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8.xml.rels" ContentType="application/vnd.openxmlformats-package.relationships+xml"/>
  <Override PartName="/xl/worksheets/_rels/sheet5.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37.png" ContentType="image/png"/>
  <Override PartName="/xl/media/image38.png" ContentType="image/png"/>
  <Override PartName="/xl/media/image39.png" ContentType="image/png"/>
  <Override PartName="/xl/media/image40.png" ContentType="image/png"/>
  <Override PartName="/xl/media/image41.png" ContentType="image/png"/>
  <Override PartName="/xl/media/image42.png" ContentType="image/png"/>
  <Override PartName="/xl/drawings/_rels/drawing6.xml.rels" ContentType="application/vnd.openxmlformats-package.relationships+xml"/>
  <Override PartName="/xl/drawings/_rels/drawing5.xml.rels" ContentType="application/vnd.openxmlformats-package.relationships+xml"/>
  <Override PartName="/xl/drawings/_rels/drawing2.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_rels/drawing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Instructivo" sheetId="1" state="visible" r:id="rId2"/>
    <sheet name="Definiciones" sheetId="2" state="visible" r:id="rId3"/>
    <sheet name="Ambiente de Control" sheetId="3" state="visible" r:id="rId4"/>
    <sheet name="Evaluación de riesgos" sheetId="4" state="visible" r:id="rId5"/>
    <sheet name="Actividades de control" sheetId="5" state="visible" r:id="rId6"/>
    <sheet name="Info y Comunicación" sheetId="6" state="visible" r:id="rId7"/>
    <sheet name="Actividades de Monitoreo" sheetId="7" state="visible" r:id="rId8"/>
    <sheet name="Conclusiones" sheetId="8" state="visible" r:id="rId9"/>
    <sheet name="tabla resumen" sheetId="9" state="visible" r:id="rId10"/>
    <sheet name="Analisis de Resultados" sheetId="10" state="visible" r:id="rId11"/>
    <sheet name="Hoja1" sheetId="11" state="hidden" r:id="rId12"/>
  </sheets>
  <definedNames>
    <definedName function="false" hidden="true" localSheetId="4" name="_xlnm._FilterDatabase" vbProcedure="false">'Actividades de control'!$C$1:$C$122</definedName>
    <definedName function="false" hidden="true" localSheetId="5" name="_xlnm._FilterDatabase" vbProcedure="false">'Info y Comunicación'!$C$1:$C$138</definedName>
    <definedName function="false" hidden="false" name="A" vbProcedure="false">[5]oficial!$a$1:#REF!</definedName>
    <definedName function="false" hidden="false" name="A205_" vbProcedure="false">#REF!</definedName>
    <definedName function="false" hidden="false" name="A242_" vbProcedure="false">#REF!</definedName>
    <definedName function="false" hidden="false" name="A255_" vbProcedure="false">#REF!</definedName>
    <definedName function="false" hidden="false" name="A498_" vbProcedure="false">#REF!</definedName>
    <definedName function="false" hidden="false" name="A534_" vbProcedure="false">#N/A</definedName>
    <definedName function="false" hidden="false" name="A598_" vbProcedure="false">#REF!</definedName>
    <definedName function="false" hidden="false" name="A641_" vbProcedure="false">#REF!</definedName>
    <definedName function="false" hidden="false" name="A68_" vbProcedure="false">#REF!</definedName>
    <definedName function="false" hidden="false" name="A784_" vbProcedure="false">#REF!</definedName>
    <definedName function="false" hidden="false" name="ACCIONISTASTOTAL" vbProcedure="false">'[6]oper recip'!#ref!</definedName>
    <definedName function="false" hidden="false" name="Accounts" vbProcedure="false">#REF!</definedName>
    <definedName function="false" hidden="false" name="Accrual___payment_of_dividends" vbProcedure="false">#REF!</definedName>
    <definedName function="false" hidden="false" name="ACT" vbProcedure="false">#REF!</definedName>
    <definedName function="false" hidden="false" name="AFANT" vbProcedure="false">#REF!</definedName>
    <definedName function="false" hidden="false" name="AFHOY" vbProcedure="false">#REF!</definedName>
    <definedName function="false" hidden="false" name="ahaccionistas01" vbProcedure="false">#REF!</definedName>
    <definedName function="false" hidden="false" name="AJPAAG" vbProcedure="false">#REF!</definedName>
    <definedName function="false" hidden="false" name="Anexo" vbProcedure="false">{"'para SB'!$A$1420:$F$1479"}</definedName>
    <definedName function="false" hidden="false" name="AppName" vbProcedure="false">#REF!</definedName>
    <definedName function="false" hidden="false" name="AS2DocOpenMode" vbProcedure="false">"AS2DocumentEdit"</definedName>
    <definedName function="false" hidden="false" name="AS2ReportLS" vbProcedure="false">1</definedName>
    <definedName function="false" hidden="false" name="AS2SyncStepLS" vbProcedure="false">0</definedName>
    <definedName function="false" hidden="false" name="AS2TickmarkLS" vbProcedure="false">#REF!</definedName>
    <definedName function="false" hidden="false" name="AS2VersionLS" vbProcedure="false">300</definedName>
    <definedName function="false" hidden="false" name="ASFSD" vbProcedure="false">#REF!</definedName>
    <definedName function="false" hidden="false" name="Assertions" vbProcedure="false">#REF!</definedName>
    <definedName function="false" hidden="false" name="A_IMPRESIÓN_IM" vbProcedure="false">#REF!</definedName>
    <definedName function="false" hidden="false" name="año" vbProcedure="false">#REF!</definedName>
    <definedName function="false" hidden="false" name="año1" vbProcedure="false">#REF!</definedName>
    <definedName function="false" hidden="false" name="AÑOS_A_PROCESAR" vbProcedure="false">#REF!</definedName>
    <definedName function="false" hidden="false" name="AÑO_A_PROCESAR" vbProcedure="false">#REF!</definedName>
    <definedName function="false" hidden="false" name="BASE" vbProcedure="false">#REF!</definedName>
    <definedName function="false" hidden="false" name="BCE" vbProcedure="false">#REF!</definedName>
    <definedName function="false" hidden="false" name="BCEBONOS" vbProcedure="false">#REF!</definedName>
    <definedName function="false" hidden="false" name="BCECAMBIOS" vbProcedure="false">#REF!</definedName>
    <definedName function="false" hidden="false" name="BCEEMPRESA" vbProcedure="false">#REF!</definedName>
    <definedName function="false" hidden="false" name="BCERENTA" vbProcedure="false">#REF!</definedName>
    <definedName function="false" hidden="false" name="BCETESOROS" vbProcedure="false">#REF!</definedName>
    <definedName function="false" hidden="false" name="BG_Del" vbProcedure="false">15</definedName>
    <definedName function="false" hidden="false" name="BG_Ins" vbProcedure="false">4</definedName>
    <definedName function="false" hidden="false" name="BG_Mod" vbProcedure="false">6</definedName>
    <definedName function="false" hidden="false" name="BLOQUE" vbProcedure="false">#REF!</definedName>
    <definedName function="false" hidden="false" name="BuiltIn_Print_Area___0" vbProcedure="false">#REF!</definedName>
    <definedName function="false" hidden="false" name="BuiltIn_Print_Titles___0" vbProcedure="false">#REF!</definedName>
    <definedName function="false" hidden="false" name="CALCULO" vbProcedure="false">[1]bdatos!#ref!</definedName>
    <definedName function="false" hidden="false" name="CAR" vbProcedure="false">#REF!</definedName>
    <definedName function="false" hidden="false" name="CAVR" vbProcedure="false">#REF!</definedName>
    <definedName function="false" hidden="false" name="cdtaccinistas01" vbProcedure="false">#REF!</definedName>
    <definedName function="false" hidden="false" name="CO.Otros_Cuentas" vbProcedure="false">#REF!</definedName>
    <definedName function="false" hidden="false" name="CO.Otros_Monto" vbProcedure="false">#REF!</definedName>
    <definedName function="false" hidden="false" name="CO.Riesgo_Cuentas" vbProcedure="false">#REF!</definedName>
    <definedName function="false" hidden="false" name="CO.Riesgo_Monto" vbProcedure="false">#REF!</definedName>
    <definedName function="false" hidden="false" name="CO.Tesoreria_Cuentas" vbProcedure="false">#REF!</definedName>
    <definedName function="false" hidden="false" name="COMP3CM" vbProcedure="false">#REF!,#REF!,#REF!,#REF!,#REF!</definedName>
    <definedName function="false" hidden="false" name="COMP3PM" vbProcedure="false">#REF!,#REF!,#REF!,#REF!</definedName>
    <definedName function="false" hidden="false" name="COMP3PY" vbProcedure="false">#REF!,#REF!,#REF!,#REF!,#REF!</definedName>
    <definedName function="false" hidden="false" name="COMPCM" vbProcedure="false">#REF!,#REF!,#REF!,#REF!,#REF!,#REF!,#REF!</definedName>
    <definedName function="false" hidden="false" name="COMPPM" vbProcedure="false">#REF!,#REF!,#REF!,#REF!,#REF!,#REF!,#REF!</definedName>
    <definedName function="false" hidden="false" name="COMPPY" vbProcedure="false">#REF!,#REF!,#REF!,#REF!,#REF!,#REF!,#REF!,#REF!</definedName>
    <definedName function="false" hidden="false" name="con10_partic" vbProcedure="false">#REF!</definedName>
    <definedName function="false" hidden="false" name="conahdirectivos01" vbProcedure="false">#REF!</definedName>
    <definedName function="false" hidden="false" name="conahojunta01" vbProcedure="false">#REF!</definedName>
    <definedName function="false" hidden="false" name="concdtdirectivos01" vbProcedure="false">#REF!</definedName>
    <definedName function="false" hidden="false" name="concdtentidades01" vbProcedure="false">#REF!</definedName>
    <definedName function="false" hidden="false" name="CONGASTO" vbProcedure="false">[1]bdatos!#ref!</definedName>
    <definedName function="false" hidden="false" name="conotros" vbProcedure="false">#REF!</definedName>
    <definedName function="false" hidden="false" name="Contagio030" vbProcedure="false">SUMIF([7]data1!$b$1:#REF!,[8]octubre!$c1,[7]data1!xfa$1:xfa$65536)</definedName>
    <definedName function="false" hidden="false" name="Contagio060" vbProcedure="false">SUMIF([7]data1!$b$1:#REF!,[8]octubre!$c1,[7]data1!xfa$1:xfa$65536)</definedName>
    <definedName function="false" hidden="false" name="Contagio090" vbProcedure="false">SUMIF([7]data1!$b$1:#REF!,[8]octubre!$c1,[7]data1!xfa$1:xfa$65536)</definedName>
    <definedName function="false" hidden="false" name="Contagio120" vbProcedure="false">SUMIF([7]data1!$b$1:#REF!,[8]octubre!$c1,[7]data1!xfa$1:xfa$65536)</definedName>
    <definedName function="false" hidden="false" name="Contagio150" vbProcedure="false">SUMIF([7]data1!$b$1:#REF!,[8]octubre!$c1,[7]data1!xfa$1:xfa$65536)</definedName>
    <definedName function="false" hidden="false" name="Contagio180" vbProcedure="false">SUMIF([7]data1!$b$1:#REF!,[8]octubre!$c1,[7]data1!xfa$1:xfa$65536)</definedName>
    <definedName function="false" hidden="false" name="ContAverage" vbProcedure="false">[9]!contaverage</definedName>
    <definedName function="false" hidden="false" name="CORDEN" vbProcedure="false">#REF!</definedName>
    <definedName function="false" hidden="false" name="CREDITO" vbProcedure="false">[10]oficial!$h$1:#REF!</definedName>
    <definedName function="false" hidden="false" name="CUENTA96" vbProcedure="false">#REF!</definedName>
    <definedName function="false" hidden="false" name="Cuentas" vbProcedure="false">[11]cuentas!$b$3:#REF!</definedName>
    <definedName function="false" hidden="false" name="d" vbProcedure="false">[12]cuentas!$b$3:#REF!</definedName>
    <definedName function="false" hidden="false" name="DEBITO" vbProcedure="false">[10]oficial!$g$1:#REF!</definedName>
    <definedName function="false" hidden="false" name="dfsd" vbProcedure="false">SUMIF([7]data1!$b$1:#REF!,[8]octubre!$c1,[7]data1!k$1:#REF!)</definedName>
    <definedName function="false" hidden="false" name="Div" vbProcedure="false">[4]b.bta.s.valores!#ref!</definedName>
    <definedName function="false" hidden="false" name="Divide" vbProcedure="false">#REF!</definedName>
    <definedName function="false" hidden="false" name="doce" vbProcedure="false">'[13]anexo-participaciones dic-11'!$e$22</definedName>
    <definedName function="false" hidden="false" name="ELIEXTRA" vbProcedure="false">'[14]elimina ext'!$a$3:#REF!</definedName>
    <definedName function="false" hidden="false" name="ELIFIL" vbProcedure="false">[14]elimina!$a$4:#REF!</definedName>
    <definedName function="false" hidden="false" name="ELIMEXT" vbProcedure="false">#REF!</definedName>
    <definedName function="false" hidden="false" name="ELIMINA" vbProcedure="false">#REF!</definedName>
    <definedName function="false" hidden="false" name="entidades" vbProcedure="false">#REF!</definedName>
    <definedName function="false" hidden="false" name="EPIANDES" vbProcedure="false">#REF!</definedName>
    <definedName function="false" hidden="false" name="ESCRIBA" vbProcedure="false">[1]bdatos!#ref!</definedName>
    <definedName function="false" hidden="false" name="ESTADOS_FINANCIEROS_A_PROCESAR" vbProcedure="false">#REF!</definedName>
    <definedName function="false" hidden="false" name="ESTCAM" vbProcedure="false">#REF!</definedName>
    <definedName function="false" hidden="false" name="ET" vbProcedure="false">#REF!</definedName>
    <definedName function="false" hidden="false" name="FailureActual" vbProcedure="false">[9]!failureactual</definedName>
    <definedName function="false" hidden="false" name="FailurePlan" vbProcedure="false">[9]!failureplan</definedName>
    <definedName function="false" hidden="false" name="FILEXT" vbProcedure="false">[14]filialext!$a$1:#REF!</definedName>
    <definedName function="false" hidden="false" name="FILIAL" vbProcedure="false">[14]filial!$a$3:#REF!</definedName>
    <definedName function="false" hidden="false" name="FleetAdj" vbProcedure="false">[9]!fleetadj</definedName>
    <definedName function="false" hidden="false" name="FleetNoAdj" vbProcedure="false">[9]!fleetnoadj</definedName>
    <definedName function="false" hidden="false" name="GastosRegionales_Monto" vbProcedure="false">'[15]gastos regionales'!$g$8:#REF!</definedName>
    <definedName function="false" hidden="false" name="gorr" vbProcedure="false">"Botón 17"</definedName>
    <definedName function="false" hidden="false" name="HTML_CodePage" vbProcedure="false">1252</definedName>
    <definedName function="false" hidden="false" name="HTML_Control" vbProcedure="false">{"'para SB'!$A$1420:$F$1479"}</definedName>
    <definedName function="false" hidden="false" name="HTML_Description" vbProcedure="false">""</definedName>
    <definedName function="false" hidden="false" name="HTML_Email" vbProcedure="false">""</definedName>
    <definedName function="false" hidden="false" name="HTML_Header" vbProcedure="false">""</definedName>
    <definedName function="false" hidden="false" name="HTML_LastUpdate" vbProcedure="false">"22/06/00"</definedName>
    <definedName function="false" hidden="false" name="HTML_LineAfter" vbProcedure="false">0</definedName>
    <definedName function="false" hidden="false" name="HTML_LineBefore" vbProcedure="false">0</definedName>
    <definedName function="false" hidden="false" name="HTML_Name" vbProcedure="false">"BANCO CENTRAL DE HONDURAS"</definedName>
    <definedName function="false" hidden="false" name="HTML_OBDlg2" vbProcedure="false">1</definedName>
    <definedName function="false" hidden="false" name="HTML_OBDlg4" vbProcedure="false">1</definedName>
    <definedName function="false" hidden="false" name="HTML_OS" vbProcedure="false">0</definedName>
    <definedName function="false" hidden="false" name="HTML_PathFile" vbProcedure="false">"A:\tasaintss.htm"</definedName>
    <definedName function="false" hidden="false" name="HTML_Title" vbProcedure="false">""</definedName>
    <definedName function="false" hidden="false" name="INDI" vbProcedure="false">#REF!</definedName>
    <definedName function="false" hidden="false" name="INDICACART" vbProcedure="false">#REF!</definedName>
    <definedName function="false" hidden="false" name="INVER" vbProcedure="false">#REF!</definedName>
    <definedName function="false" hidden="false" name="junio111" vbProcedure="false">#REF!</definedName>
    <definedName function="false" hidden="false" name="JUNTA" vbProcedure="false">#REF!</definedName>
    <definedName function="false" hidden="false" name="JUNTA1" vbProcedure="false">#REF!</definedName>
    <definedName function="false" hidden="false" name="LLPModel" vbProcedure="false">[16]!llpmodel</definedName>
    <definedName function="false" hidden="false" name="MC.PL_Cuentas" vbProcedure="false">#REF!</definedName>
    <definedName function="false" hidden="false" name="MC.PL_Monto" vbProcedure="false">#REF!</definedName>
    <definedName function="false" hidden="false" name="MESANT" vbProcedure="false">#REF!</definedName>
    <definedName function="false" hidden="false" name="MESHOY" vbProcedure="false">#REF!</definedName>
    <definedName function="false" hidden="false" name="Mora030" vbProcedure="false">SUMIF([7]data1!$b$1:#REF!,[8]octubre!$c1,[7]data1!xfa$1:xfa$65536)</definedName>
    <definedName function="false" hidden="false" name="Mora060" vbProcedure="false">SUMIF([7]data1!$b$1:#REF!,[8]octubre!$c1,[7]data1!xfa$1:xfa$65536)</definedName>
    <definedName function="false" hidden="false" name="Mora090" vbProcedure="false">SUMIF([7]data1!$b$1:#REF!,[8]octubre!$c1,[7]data1!xfa$1:xfa$65536)</definedName>
    <definedName function="false" hidden="false" name="Mora120" vbProcedure="false">SUMIF([7]data1!$b$1:#REF!,[8]octubre!$c1,[7]data1!xfa$1:xfa$65536)</definedName>
    <definedName function="false" hidden="false" name="Mora150" vbProcedure="false">SUMIF([7]data1!$b$1:#REF!,[8]octubre!$c1,[7]data1!xfa$1:xfa$65536)</definedName>
    <definedName function="false" hidden="false" name="Mora180" vbProcedure="false">SUMIF([7]data1!$b$1:#REF!,[8]octubre!$c1,[7]data1!xfa$1:xfa$65536)</definedName>
    <definedName function="false" hidden="false" name="MultiSelectNames" vbProcedure="false">#REF!</definedName>
    <definedName function="false" hidden="false" name="Nivel" vbProcedure="false">#REF!</definedName>
    <definedName function="false" hidden="false" name="NOPUC" vbProcedure="false">#REF!</definedName>
    <definedName function="false" hidden="false" name="OFI" vbProcedure="false">[10]oficial!$a$1:#REF!</definedName>
    <definedName function="false" hidden="false" name="ORDEN1" vbProcedure="false">#REF!</definedName>
    <definedName function="false" hidden="false" name="ORDEN2" vbProcedure="false">#REF!</definedName>
    <definedName function="false" hidden="false" name="ORDEN3" vbProcedure="false">#REF!</definedName>
    <definedName function="false" hidden="false" name="ORDEN4" vbProcedure="false">#REF!</definedName>
    <definedName function="false" hidden="false" name="ORDEN5" vbProcedure="false">#REF!</definedName>
    <definedName function="false" hidden="false" name="ORDEN6" vbProcedure="false">#REF!</definedName>
    <definedName function="false" hidden="false" name="PAS" vbProcedure="false">#REF!</definedName>
    <definedName function="false" hidden="false" name="PAT" vbProcedure="false">#REF!</definedName>
    <definedName function="false" hidden="false" name="PL.501_Cuentas" vbProcedure="false">'[15]swap gain mtm (pl.501)'!$c$7:#REF!</definedName>
    <definedName function="false" hidden="false" name="PL.501_Monto" vbProcedure="false">'[15]swap gain mtm (pl.501)'!$e$7:#REF!</definedName>
    <definedName function="false" hidden="false" name="PL.502_Cuentas" vbProcedure="false">'[15]gain on sale of oreos (pl.502)'!$c$7:#REF!</definedName>
    <definedName function="false" hidden="false" name="PL.502_Monto" vbProcedure="false">'[15]gain on sale of oreos (pl.502)'!$e$7:#REF!</definedName>
    <definedName function="false" hidden="false" name="PL.505_Monto" vbProcedure="false">'[15]other income (pl.505)'!$e$8:#REF!</definedName>
    <definedName function="false" hidden="false" name="PL.581_Cuentas" vbProcedure="false">'[15]other compensation (pl.581)'!$c$7:#REF!</definedName>
    <definedName function="false" hidden="false" name="PL.581_Monto" vbProcedure="false">'[15]other compensation (pl.581)'!$e$7:#REF!</definedName>
    <definedName function="false" hidden="false" name="PL.601_Cuentas" vbProcedure="false">'[15]other comp benefits (pl.601)'!$c$7:#REF!</definedName>
    <definedName function="false" hidden="false" name="PL.601_Monto" vbProcedure="false">'[15]other comp benefits (pl.601)'!$e$7:#REF!</definedName>
    <definedName function="false" hidden="false" name="PL.621_Cuentas" vbProcedure="false">'[15]rents build &amp; park (pl.621)'!$c$7:#REF!</definedName>
    <definedName function="false" hidden="false" name="PL.621_Monto" vbProcedure="false">'[15]rents build &amp; park (pl.621)'!$e$7:#REF!</definedName>
    <definedName function="false" hidden="false" name="PL.657_Cuentas" vbProcedure="false">'[15]consulting fees (pl.657)'!$c$7:#REF!</definedName>
    <definedName function="false" hidden="false" name="PL.657_Monto" vbProcedure="false">'[15]consulting fees (pl.657)'!$e$7:#REF!</definedName>
    <definedName function="false" hidden="false" name="PL.661_Cuentas" vbProcedure="false">'[15]professional services (pl.661)'!$c$7:#REF!</definedName>
    <definedName function="false" hidden="false" name="PL.661_Monto" vbProcedure="false">'[15]professional services (pl.661)'!$e$7:#REF!</definedName>
    <definedName function="false" hidden="false" name="PL.665_Cuentas" vbProcedure="false">'[15]insurance (pl.665)'!$c$7:#REF!</definedName>
    <definedName function="false" hidden="false" name="PL.665_Monto" vbProcedure="false">'[15]insurance (pl.665)'!$e$7:#REF!</definedName>
    <definedName function="false" hidden="false" name="PL.713_Cuentas" vbProcedure="false">'[15]frauds (pl.713)'!$c$7:#REF!</definedName>
    <definedName function="false" hidden="false" name="PL.713_Monto" vbProcedure="false">'[15]frauds (pl.713)'!$e$7:#REF!</definedName>
    <definedName function="false" hidden="false" name="PL.721_Cuentas" vbProcedure="false">'[15]veh &amp; equ maintenance (pl.721)'!$c$7:#REF!</definedName>
    <definedName function="false" hidden="false" name="PL.721_Monto" vbProcedure="false">'[15]veh &amp; equ maintenance (pl.721)'!$e$7:#REF!</definedName>
    <definedName function="false" hidden="false" name="PL.741_Cuentas" vbProcedure="false">'[15]representation expnses (pl.741)'!$c$7:#REF!</definedName>
    <definedName function="false" hidden="false" name="PL.741_Monto" vbProcedure="false">'[15]representation expnses (pl.741)'!$e$7:#REF!</definedName>
    <definedName function="false" hidden="false" name="PL.773_Monto" vbProcedure="false">'[15]other services (pl.773)'!$e$8:#REF!</definedName>
    <definedName function="false" hidden="false" name="PL.797_Cuentas" vbProcedure="false">'[15]depreciation (pl.797)'!$c$7:#REF!</definedName>
    <definedName function="false" hidden="false" name="PL.797_Monto" vbProcedure="false">'[15]depreciation (pl.797)'!$e$7:#REF!</definedName>
    <definedName function="false" hidden="false" name="PRES" vbProcedure="false">#REF!</definedName>
    <definedName function="false" hidden="false" name="PRES1" vbProcedure="false">#REF!</definedName>
    <definedName function="false" hidden="false" name="ProductivityWith" vbProcedure="false">[9]!productivitywith</definedName>
    <definedName function="false" hidden="false" name="ProductivityWithout" vbProcedure="false">[9]!productivitywithout</definedName>
    <definedName function="false" hidden="false" name="PUC" vbProcedure="false">#REF!</definedName>
    <definedName function="false" hidden="false" name="PYG" vbProcedure="false">#REF!</definedName>
    <definedName function="false" hidden="false" name="PYGBONOS" vbProcedure="false">#REF!</definedName>
    <definedName function="false" hidden="false" name="PYGCAMBIOS" vbProcedure="false">#REF!</definedName>
    <definedName function="false" hidden="false" name="PYGRENTA" vbProcedure="false">#REF!</definedName>
    <definedName function="false" hidden="false" name="PYGTESOROS" vbProcedure="false">#REF!</definedName>
    <definedName function="false" hidden="false" name="qeq" vbProcedure="false">SUMIF([7]data1!$b$1:#REF!,[8]octubre!$c1,[7]data1!xfa$1:xfa$65536)</definedName>
    <definedName function="false" hidden="false" name="ref_contr" vbProcedure="false">#REF!</definedName>
    <definedName function="false" hidden="false" name="RiskAfterRecalcMacro" vbProcedure="false">""</definedName>
    <definedName function="false" hidden="false" name="RiskAfterSimMacro" vbProcedure="false">""</definedName>
    <definedName function="false" hidden="false" name="RiskBeforeRecalcMacro" vbProcedure="false">""</definedName>
    <definedName function="false" hidden="false" name="RiskBeforeSimMacro" vbProcedure="false">""</definedName>
    <definedName function="false" hidden="false" name="RiskCollectDistributionSamples" vbProcedure="false">2</definedName>
    <definedName function="false" hidden="false" name="RiskFixedSeed" vbProcedure="false">1</definedName>
    <definedName function="false" hidden="false" name="RiskHasSettings" vbProcedure="false">5</definedName>
    <definedName function="false" hidden="false" name="RiskMinimizeOnStart" vbProcedure="false">0</definedName>
    <definedName function="false" hidden="false" name="RiskMonitorConvergence" vbProcedure="false">0</definedName>
    <definedName function="false" hidden="false" name="RiskNumIterations" vbProcedure="false">1000</definedName>
    <definedName function="false" hidden="false" name="RiskNumSimulations" vbProcedure="false">1</definedName>
    <definedName function="false" hidden="false" name="RiskPauseOnError" vbProcedure="false">0</definedName>
    <definedName function="false" hidden="false" name="RiskRunAfterRecalcMacro" vbProcedure="false">0</definedName>
    <definedName function="false" hidden="false" name="RiskRunAfterSimMacro" vbProcedure="false">0</definedName>
    <definedName function="false" hidden="false" name="RiskRunBeforeRecalcMacro" vbProcedure="false">0</definedName>
    <definedName function="false" hidden="false" name="RiskRunBeforeSimMacro" vbProcedure="false">0</definedName>
    <definedName function="false" hidden="false" name="RiskSamplingType" vbProcedure="false">3</definedName>
    <definedName function="false" hidden="false" name="RiskStandardRecalc" vbProcedure="false">1</definedName>
    <definedName function="false" hidden="false" name="RiskUpdateDisplay" vbProcedure="false">0</definedName>
    <definedName function="false" hidden="false" name="RiskUseDifferentSeedForEachSim" vbProcedure="false">0</definedName>
    <definedName function="false" hidden="false" name="RiskUseFixedSeed" vbProcedure="false">0</definedName>
    <definedName function="false" hidden="false" name="RiskUseMultipleCPUs" vbProcedure="false">0</definedName>
    <definedName function="false" hidden="false" name="ro" vbProcedure="false">{"'Sheet1'!$A$1:$F$179"}</definedName>
    <definedName function="false" hidden="false" name="rod" vbProcedure="false">{"'Sheet1'!$A$1:$F$179"}</definedName>
    <definedName function="false" hidden="false" name="rodirgo" vbProcedure="false">{"'Sheet1'!$A$1:$F$179"}</definedName>
    <definedName function="false" hidden="false" name="Saldo" vbProcedure="false">SUMIF([7]data2!xfb$1:xfb$65536,[8]octubre!$c1,[7]data2!a$1:#REF!)</definedName>
    <definedName function="false" hidden="false" name="sdaf" vbProcedure="false">{"'para SB'!$A$1420:$F$1479"}</definedName>
    <definedName function="false" hidden="false" name="SHARED_FORMULA_0" vbProcedure="false">#N/A</definedName>
    <definedName function="false" hidden="false" name="SHARED_FORMULA_1" vbProcedure="false">#N/A</definedName>
    <definedName function="false" hidden="false" name="SHARED_FORMULA_10" vbProcedure="false">#N/A</definedName>
    <definedName function="false" hidden="false" name="SHARED_FORMULA_11" vbProcedure="false">#N/A</definedName>
    <definedName function="false" hidden="false" name="SHARED_FORMULA_12" vbProcedure="false">#N/A</definedName>
    <definedName function="false" hidden="false" name="SHARED_FORMULA_13" vbProcedure="false">#N/A</definedName>
    <definedName function="false" hidden="false" name="SHARED_FORMULA_14" vbProcedure="false">#N/A</definedName>
    <definedName function="false" hidden="false" name="SHARED_FORMULA_15" vbProcedure="false">#N/A</definedName>
    <definedName function="false" hidden="false" name="SHARED_FORMULA_16" vbProcedure="false">#N/A</definedName>
    <definedName function="false" hidden="false" name="SHARED_FORMULA_17" vbProcedure="false">#N/A</definedName>
    <definedName function="false" hidden="false" name="SHARED_FORMULA_18" vbProcedure="false">#N/A</definedName>
    <definedName function="false" hidden="false" name="SHARED_FORMULA_19" vbProcedure="false">#N/A</definedName>
    <definedName function="false" hidden="false" name="SHARED_FORMULA_2" vbProcedure="false">#N/A</definedName>
    <definedName function="false" hidden="false" name="SHARED_FORMULA_20" vbProcedure="false">#N/A</definedName>
    <definedName function="false" hidden="false" name="SHARED_FORMULA_21" vbProcedure="false">#N/A</definedName>
    <definedName function="false" hidden="false" name="SHARED_FORMULA_22" vbProcedure="false">#N/A</definedName>
    <definedName function="false" hidden="false" name="SHARED_FORMULA_23" vbProcedure="false">#N/A</definedName>
    <definedName function="false" hidden="false" name="SHARED_FORMULA_24" vbProcedure="false">#N/A</definedName>
    <definedName function="false" hidden="false" name="SHARED_FORMULA_25" vbProcedure="false">#N/A</definedName>
    <definedName function="false" hidden="false" name="SHARED_FORMULA_26" vbProcedure="false">#N/A</definedName>
    <definedName function="false" hidden="false" name="SHARED_FORMULA_27" vbProcedure="false">#N/A</definedName>
    <definedName function="false" hidden="false" name="SHARED_FORMULA_28" vbProcedure="false">#N/A</definedName>
    <definedName function="false" hidden="false" name="SHARED_FORMULA_29" vbProcedure="false">#N/A</definedName>
    <definedName function="false" hidden="false" name="SHARED_FORMULA_3" vbProcedure="false">#N/A</definedName>
    <definedName function="false" hidden="false" name="SHARED_FORMULA_30" vbProcedure="false">#N/A</definedName>
    <definedName function="false" hidden="false" name="SHARED_FORMULA_31" vbProcedure="false">#N/A</definedName>
    <definedName function="false" hidden="false" name="SHARED_FORMULA_32" vbProcedure="false">#N/A</definedName>
    <definedName function="false" hidden="false" name="SHARED_FORMULA_33" vbProcedure="false">#N/A</definedName>
    <definedName function="false" hidden="false" name="SHARED_FORMULA_34" vbProcedure="false">#N/A</definedName>
    <definedName function="false" hidden="false" name="SHARED_FORMULA_35" vbProcedure="false">#N/A</definedName>
    <definedName function="false" hidden="false" name="SHARED_FORMULA_36" vbProcedure="false">#N/A</definedName>
    <definedName function="false" hidden="false" name="SHARED_FORMULA_37" vbProcedure="false">#N/A</definedName>
    <definedName function="false" hidden="false" name="SHARED_FORMULA_38" vbProcedure="false">#N/A</definedName>
    <definedName function="false" hidden="false" name="SHARED_FORMULA_39" vbProcedure="false">#N/A</definedName>
    <definedName function="false" hidden="false" name="SHARED_FORMULA_4" vbProcedure="false">#N/A</definedName>
    <definedName function="false" hidden="false" name="SHARED_FORMULA_40" vbProcedure="false">#N/A</definedName>
    <definedName function="false" hidden="false" name="SHARED_FORMULA_41" vbProcedure="false">#N/A</definedName>
    <definedName function="false" hidden="false" name="SHARED_FORMULA_42" vbProcedure="false">#N/A</definedName>
    <definedName function="false" hidden="false" name="SHARED_FORMULA_43" vbProcedure="false">#N/A</definedName>
    <definedName function="false" hidden="false" name="SHARED_FORMULA_44" vbProcedure="false">#N/A</definedName>
    <definedName function="false" hidden="false" name="SHARED_FORMULA_45" vbProcedure="false">#N/A</definedName>
    <definedName function="false" hidden="false" name="SHARED_FORMULA_46" vbProcedure="false">#N/A</definedName>
    <definedName function="false" hidden="false" name="SHARED_FORMULA_47" vbProcedure="false">#N/A</definedName>
    <definedName function="false" hidden="false" name="SHARED_FORMULA_48" vbProcedure="false">#N/A</definedName>
    <definedName function="false" hidden="false" name="SHARED_FORMULA_49" vbProcedure="false">#N/A</definedName>
    <definedName function="false" hidden="false" name="SHARED_FORMULA_5" vbProcedure="false">#N/A</definedName>
    <definedName function="false" hidden="false" name="SHARED_FORMULA_50" vbProcedure="false">#N/A</definedName>
    <definedName function="false" hidden="false" name="SHARED_FORMULA_51" vbProcedure="false">#N/A</definedName>
    <definedName function="false" hidden="false" name="SHARED_FORMULA_52" vbProcedure="false">#N/A</definedName>
    <definedName function="false" hidden="false" name="SHARED_FORMULA_53" vbProcedure="false">#N/A</definedName>
    <definedName function="false" hidden="false" name="SHARED_FORMULA_54" vbProcedure="false">#N/A</definedName>
    <definedName function="false" hidden="false" name="SHARED_FORMULA_55" vbProcedure="false">#N/A</definedName>
    <definedName function="false" hidden="false" name="SHARED_FORMULA_56" vbProcedure="false">#N/A</definedName>
    <definedName function="false" hidden="false" name="SHARED_FORMULA_57" vbProcedure="false">#N/A</definedName>
    <definedName function="false" hidden="false" name="SHARED_FORMULA_58" vbProcedure="false">#N/A</definedName>
    <definedName function="false" hidden="false" name="SHARED_FORMULA_6" vbProcedure="false">#N/A</definedName>
    <definedName function="false" hidden="false" name="SHARED_FORMULA_7" vbProcedure="false">#N/A</definedName>
    <definedName function="false" hidden="false" name="SHARED_FORMULA_8" vbProcedure="false">#N/A</definedName>
    <definedName function="false" hidden="false" name="SHARED_FORMULA_9" vbProcedure="false">#N/A</definedName>
    <definedName function="false" hidden="false" name="TestTypes" vbProcedure="false">#REF!</definedName>
    <definedName function="false" hidden="false" name="TextRefCopyRangeCount" vbProcedure="false">1</definedName>
    <definedName function="false" hidden="false" name="TOTAL" vbProcedure="false">#REF!</definedName>
    <definedName function="false" hidden="false" name="Total_Contagio" vbProcedure="false">SUMIF([7]data1!$b$1:#REF!,[8]octubre!$c1,[7]data1!k$1:#REF!)</definedName>
    <definedName function="false" hidden="false" name="Total_Mora" vbProcedure="false">SUMIF([7]data1!$b$1:#REF!,[8]octubre!$c1,[7]data1!k$1:#REF!)</definedName>
    <definedName function="false" hidden="false" name="TypesOfTransaction" vbProcedure="false">#REF!</definedName>
    <definedName function="false" hidden="false" name="Títulos_a_imprimir_IM" vbProcedure="false">#REF!,#REF!</definedName>
    <definedName function="false" hidden="false" name="uno" vbProcedure="false">'[13]anexo-participaciones dic-11'!$e$9</definedName>
    <definedName function="false" hidden="false" name="utilidad" vbProcedure="false">'[6]estado de resultados'!#ref!</definedName>
    <definedName function="false" hidden="false" name="VALID" vbProcedure="false">#REF!</definedName>
    <definedName function="false" hidden="false" name="VALOR" vbProcedure="false">{#N/A,#N/A,FALSE,"ANEXO1";"ACTIVO",#N/A,FALSE,"ANEXO1";"PASIVO",#N/A,FALSE,"ANEXO1";"G Y P",#N/A,FALSE,"ANEXO1"}</definedName>
    <definedName function="false" hidden="false" name="veinticuatro" vbProcedure="false">#REF!</definedName>
    <definedName function="false" hidden="false" name="veintidos" vbProcedure="false">#REF!</definedName>
    <definedName function="false" hidden="false" name="veintitres" vbProcedure="false">#REF!</definedName>
    <definedName function="false" hidden="false" name="veintiuno" vbProcedure="false">#REF!</definedName>
    <definedName function="false" hidden="false" name="W" vbProcedure="false">[5]oficial!$g$1:#REF!</definedName>
    <definedName function="false" hidden="false" name="we" vbProcedure="false">SUMIF([7]data1!$b$1:#REF!,[8]octubre!$c1,[7]data1!xfa$1:xfa$65536)</definedName>
    <definedName function="false" hidden="false" name="weq" vbProcedure="false">SUMIF([7]data1!$b$1:#REF!,[8]octubre!$c1,[7]data1!xfa$1:xfa$65536)</definedName>
    <definedName function="false" hidden="false" name="wrn.CONSOLIDADO." vbProcedure="false">{#N/A,#N/A,FALSE,"ANEXO1";"ACTIVO",#N/A,FALSE,"ANEXO1";"PASIVO",#N/A,FALSE,"ANEXO1";"G Y P",#N/A,FALSE,"ANEXO1"}</definedName>
    <definedName function="false" hidden="false" name="ws" vbProcedure="false">{"'Sheet1'!$A$1:$F$179"}</definedName>
    <definedName function="false" hidden="false" name="XXX" vbProcedure="false">#REF!</definedName>
    <definedName function="false" hidden="false" name="\0" vbProcedure="false">#REF!</definedName>
    <definedName function="false" hidden="false" name="\BD" vbProcedure="false">#REF!</definedName>
    <definedName function="false" hidden="false" name="\BJ" vbProcedure="false">#REF!</definedName>
    <definedName function="false" hidden="false" name="\BP" vbProcedure="false">#REF!</definedName>
    <definedName function="false" hidden="false" name="\c" vbProcedure="false">[1]bdatos!#ref!</definedName>
    <definedName function="false" hidden="false" name="\CA" vbProcedure="false">#REF!</definedName>
    <definedName function="false" hidden="false" name="\i" vbProcedure="false">#REF!</definedName>
    <definedName function="false" hidden="false" name="\m" vbProcedure="false">#REF!</definedName>
    <definedName function="false" hidden="false" name="_10__123Graph_LBL_BC86W_2" vbProcedure="false">[2]wiz!$f$32:#REF!</definedName>
    <definedName function="false" hidden="false" name="_11__123Graph_LBL_BC86W30" vbProcedure="false">[2]wiz!$ae$32:#REF!</definedName>
    <definedName function="false" hidden="false" name="_12__123Graph_LBL_BC86W90" vbProcedure="false">[2]wiz!$af$32:#REF!</definedName>
    <definedName function="false" hidden="false" name="_13__123Graph_XC86W30" vbProcedure="false">[2]wiz!$b$19:#REF!</definedName>
    <definedName function="false" hidden="false" name="_14__123Graph_XC86W90" vbProcedure="false">[2]wiz!$b$19:#REF!</definedName>
    <definedName function="false" hidden="false" name="_1__123Graph_AC86W_2" vbProcedure="false">[2]wiz!$f$19:#REF!</definedName>
    <definedName function="false" hidden="false" name="_296" vbProcedure="false">'[3]384-acciones corporacion'!#ref!</definedName>
    <definedName function="false" hidden="false" name="_2__123Graph_AC86W30" vbProcedure="false">[2]wiz!$ae$19:#REF!</definedName>
    <definedName function="false" hidden="false" name="_304" vbProcedure="false">'[3]384-acciones corporacion'!#ref!</definedName>
    <definedName function="false" hidden="false" name="_312" vbProcedure="false">'[3]384-acciones corporacion'!#ref!</definedName>
    <definedName function="false" hidden="false" name="_320" vbProcedure="false">'[3]384-acciones corporacion'!#ref!</definedName>
    <definedName function="false" hidden="false" name="_336" vbProcedure="false">'[3]384-acciones corporacion'!#ref!</definedName>
    <definedName function="false" hidden="false" name="_344" vbProcedure="false">'[3]384-acciones corporacion'!#ref!</definedName>
    <definedName function="false" hidden="false" name="_352" vbProcedure="false">'[3]384-acciones corporacion'!#ref!</definedName>
    <definedName function="false" hidden="false" name="_3__123Graph_AC86W90" vbProcedure="false">[2]wiz!$af$19:#REF!</definedName>
    <definedName function="false" hidden="false" name="_4__123Graph_BC86W_2" vbProcedure="false">[2]wiz!$f$32:#REF!</definedName>
    <definedName function="false" hidden="false" name="_522" vbProcedure="false">'[3]384-acciones corporacion'!#ref!</definedName>
    <definedName function="false" hidden="false" name="_530" vbProcedure="false">'[3]384-acciones corporacion'!#ref!</definedName>
    <definedName function="false" hidden="false" name="_546" vbProcedure="false">'[3]384-acciones corporacion'!#ref!</definedName>
    <definedName function="false" hidden="false" name="_554" vbProcedure="false">'[3]384-acciones corporacion'!#ref!</definedName>
    <definedName function="false" hidden="false" name="_562" vbProcedure="false">'[3]384-acciones corporacion'!#ref!</definedName>
    <definedName function="false" hidden="false" name="_5__123Graph_BC86W30" vbProcedure="false">[2]wiz!$ae$32:#REF!</definedName>
    <definedName function="false" hidden="false" name="_6__123Graph_BC86W90" vbProcedure="false">[2]wiz!$af$32:#REF!</definedName>
    <definedName function="false" hidden="false" name="_7__123Graph_LBL_AC86W_2" vbProcedure="false">[2]wiz!$f$19:#REF!</definedName>
    <definedName function="false" hidden="false" name="_8__123Graph_LBL_AC86W30" vbProcedure="false">[2]wiz!$ae$19:#REF!</definedName>
    <definedName function="false" hidden="false" name="_9__123Graph_LBL_AC86W90" vbProcedure="false">[2]wiz!$af$19:#REF!</definedName>
    <definedName function="false" hidden="false" name="_AtRisk_SimSetting_AutomaticallyGenerateReports" vbProcedure="false">0</definedName>
    <definedName function="false" hidden="false" name="_AtRisk_SimSetting_AutomaticResultsDisplayMode" vbProcedure="false">0</definedName>
    <definedName function="false" hidden="false" name="_AtRisk_SimSetting_ConvergenceConfidenceLevel" vbProcedure="false">0.95</definedName>
    <definedName function="false" hidden="false" name="_AtRisk_SimSetting_ConvergencePercentileToTest" vbProcedure="false">0.9</definedName>
    <definedName function="false" hidden="false" name="_AtRisk_SimSetting_ConvergencePerformMeanTest" vbProcedure="false">1</definedName>
    <definedName function="false" hidden="false" name="_AtRisk_SimSetting_ConvergencePerformPercentileTest" vbProcedure="false">0</definedName>
    <definedName function="false" hidden="false" name="_AtRisk_SimSetting_ConvergencePerformStdDeviationTest" vbProcedure="false">0</definedName>
    <definedName function="false" hidden="false" name="_AtRisk_SimSetting_ConvergenceTestAllOutputs" vbProcedure="false">1</definedName>
    <definedName function="false" hidden="false" name="_AtRisk_SimSetting_ConvergenceTestingPeriod" vbProcedure="false">100</definedName>
    <definedName function="false" hidden="false" name="_AtRisk_SimSetting_ConvergenceTolerance" vbProcedure="false">0.03</definedName>
    <definedName function="false" hidden="false" name="_AtRisk_SimSetting_LiveUpdate" vbProcedure="false">1</definedName>
    <definedName function="false" hidden="false" name="_AtRisk_SimSetting_LiveUpdatePeriod" vbProcedure="false">-1</definedName>
    <definedName function="false" hidden="false" name="_AtRisk_SimSetting_RandomNumberGenerator" vbProcedure="false">0</definedName>
    <definedName function="false" hidden="false" name="_AtRisk_SimSetting_ReportsList" vbProcedure="false">0</definedName>
    <definedName function="false" hidden="false" name="_AtRisk_SimSetting_SimNameCount" vbProcedure="false">0</definedName>
    <definedName function="false" hidden="false" name="_AtRisk_SimSetting_SmartSensitivityAnalysisEnabled" vbProcedure="false">1</definedName>
    <definedName function="false" hidden="false" name="_AtRisk_SimSetting_StdRecalcBehavior" vbProcedure="false">0</definedName>
    <definedName function="false" hidden="false" name="_AtRisk_SimSetting_StdRecalcWithoutRiskStatic" vbProcedure="false">0</definedName>
    <definedName function="false" hidden="false" name="_AtRisk_SimSetting_StdRecalcWithoutRiskStaticPercentile" vbProcedure="false">0.5</definedName>
    <definedName function="false" hidden="false" name="_Key1" vbProcedure="false">#REF!</definedName>
    <definedName function="false" hidden="false" name="_Key2" vbProcedure="false">#REF!</definedName>
    <definedName function="false" hidden="false" name="_Order1" vbProcedure="false">255</definedName>
    <definedName function="false" hidden="false" name="_Order2" vbProcedure="false">255</definedName>
    <definedName function="false" hidden="false" name="_Parse_Out" vbProcedure="false">[4]b.bta.s.valores!#ref!</definedName>
    <definedName function="false" hidden="false" name="_Sort" vbProcedure="false">#REF!</definedName>
    <definedName function="false" hidden="false" name="_xlnm.Print_Area" vbProcedure="false">#REF!</definedName>
    <definedName function="false" hidden="false" name="_xlnm._FilterDatabase" vbProcedure="false">#REF!</definedName>
    <definedName function="false" hidden="false" name="__123Graph_AC86W2CE" vbProcedure="false">[2]wiz!$g$19:#REF!</definedName>
    <definedName function="false" hidden="false" name="__123Graph_AC86W2ROLL" vbProcedure="false">[2]wiz!$f$19:#REF!</definedName>
    <definedName function="false" hidden="false" name="__123Graph_AC86W3CE" vbProcedure="false">[2]wiz!$j$19:#REF!</definedName>
    <definedName function="false" hidden="false" name="__123Graph_AC86W3ROLL" vbProcedure="false">[2]wiz!$i$19:#REF!</definedName>
    <definedName function="false" hidden="false" name="__123Graph_B" vbProcedure="false">[2]wiz!$g$32:#REF!</definedName>
    <definedName function="false" hidden="false" name="__123Graph_BC86W2CE" vbProcedure="false">[2]wiz!$g$32:#REF!</definedName>
    <definedName function="false" hidden="false" name="__123Graph_BC86W2ROLL" vbProcedure="false">[2]wiz!$f$32:#REF!</definedName>
    <definedName function="false" hidden="false" name="__123Graph_BC86W3CE" vbProcedure="false">[2]wiz!$j$32:#REF!</definedName>
    <definedName function="false" hidden="false" name="__123Graph_BC86W3ROLL" vbProcedure="false">[2]wiz!$i$32:#REF!</definedName>
    <definedName function="false" hidden="false" name="__123Graph_LBL_A" vbProcedure="false">[2]wiz!$g$19:#REF!</definedName>
    <definedName function="false" hidden="false" name="__123Graph_LBL_AC86W2CE" vbProcedure="false">[2]wiz!$g$19:#REF!</definedName>
    <definedName function="false" hidden="false" name="__123Graph_LBL_AC86W2ROLL" vbProcedure="false">[2]wiz!$f$19:#REF!</definedName>
    <definedName function="false" hidden="false" name="__123Graph_LBL_AC86W3CE" vbProcedure="false">[2]wiz!$j$19:#REF!</definedName>
    <definedName function="false" hidden="false" name="__123Graph_LBL_AC86W3ROLL" vbProcedure="false">[2]wiz!$i$19:#REF!</definedName>
    <definedName function="false" hidden="false" name="__123Graph_LBL_B" vbProcedure="false">[2]wiz!$g$32:#REF!</definedName>
    <definedName function="false" hidden="false" name="__123Graph_LBL_BC86W2CE" vbProcedure="false">[2]wiz!$g$32:#REF!</definedName>
    <definedName function="false" hidden="false" name="__123Graph_LBL_BC86W2ROLL" vbProcedure="false">[2]wiz!$f$32:#REF!</definedName>
    <definedName function="false" hidden="false" name="__123Graph_LBL_BC86W3CE" vbProcedure="false">[2]wiz!$j$32:#REF!</definedName>
    <definedName function="false" hidden="false" name="__123Graph_LBL_BC86W3ROLL" vbProcedure="false">[2]wiz!$i$32:#REF!</definedName>
    <definedName function="false" hidden="false" name="__123Graph_X" vbProcedure="false">[2]wiz!$b$19:#REF!</definedName>
    <definedName function="false" hidden="false" name="__123Graph_XC86W2CE" vbProcedure="false">[2]wiz!$b$19:#REF!</definedName>
    <definedName function="false" hidden="false" name="__123Graph_XC86W2ROLL" vbProcedure="false">[2]wiz!$b$19:#REF!</definedName>
    <definedName function="false" hidden="false" name="__123Graph_XC86W3CE" vbProcedure="false">[2]wiz!$b$19:#REF!</definedName>
    <definedName function="false" hidden="false" name="__123Graph_XC86W3ROLL" vbProcedure="false">[2]wiz!$b$19:#REF!</definedName>
    <definedName function="false" hidden="false" name="Área_de_impresión1" vbProcedure="false">#REF!</definedName>
    <definedName function="false" hidden="false" localSheetId="0" name="Anexo" vbProcedure="false">{"'para SB'!$A$1420:$F$1479"}</definedName>
    <definedName function="false" hidden="false" localSheetId="0" name="HTML_Control" vbProcedure="false">{"'para SB'!$A$1420:$F$1479"}</definedName>
    <definedName function="false" hidden="false" localSheetId="0" name="ro" vbProcedure="false">{"'Sheet1'!$A$1:$F$179"}</definedName>
    <definedName function="false" hidden="false" localSheetId="0" name="rod" vbProcedure="false">{"'Sheet1'!$A$1:$F$179"}</definedName>
    <definedName function="false" hidden="false" localSheetId="0" name="rodirgo" vbProcedure="false">{"'Sheet1'!$A$1:$F$179"}</definedName>
    <definedName function="false" hidden="false" localSheetId="0" name="sdaf" vbProcedure="false">{"'para SB'!$A$1420:$F$1479"}</definedName>
    <definedName function="false" hidden="false" localSheetId="0" name="VALOR" vbProcedure="false">{#N/A,#N/A,FALSE,"ANEXO1";"ACTIVO",#N/A,FALSE,"ANEXO1";"PASIVO",#N/A,FALSE,"ANEXO1";"G Y P",#N/A,FALSE,"ANEXO1"}</definedName>
    <definedName function="false" hidden="false" localSheetId="0" name="wrn.CONSOLIDADO." vbProcedure="false">{#N/A,#N/A,FALSE,"ANEXO1";"ACTIVO",#N/A,FALSE,"ANEXO1";"PASIVO",#N/A,FALSE,"ANEXO1";"G Y P",#N/A,FALSE,"ANEXO1"}</definedName>
    <definedName function="false" hidden="false" localSheetId="0" name="ws" vbProcedure="false">{"'Sheet1'!$A$1:$F$179"}</definedName>
    <definedName function="false" hidden="false" localSheetId="3" name="_xlnm._FilterDatabase" vbProcedure="false">'Evaluación de riesgos'!$C$5:$C$160</definedName>
    <definedName function="false" hidden="false" localSheetId="9" name="A205_" vbProcedure="false">#REF!</definedName>
    <definedName function="false" hidden="false" localSheetId="9" name="A242_" vbProcedure="false">#REF!</definedName>
    <definedName function="false" hidden="false" localSheetId="9" name="A255_" vbProcedure="false">#REF!</definedName>
    <definedName function="false" hidden="false" localSheetId="9" name="A498_" vbProcedure="false">#REF!</definedName>
    <definedName function="false" hidden="false" localSheetId="9" name="A598_" vbProcedure="false">#REF!</definedName>
    <definedName function="false" hidden="false" localSheetId="9" name="A641_" vbProcedure="false">#REF!</definedName>
    <definedName function="false" hidden="false" localSheetId="9" name="A68_" vbProcedure="false">#REF!</definedName>
    <definedName function="false" hidden="false" localSheetId="9" name="A784_" vbProcedure="false">#REF!</definedName>
    <definedName function="false" hidden="false" localSheetId="9" name="ACCIONISTASTOTAL" vbProcedure="false">'[6]oper recip'!#ref!</definedName>
    <definedName function="false" hidden="false" localSheetId="9" name="Accounts" vbProcedure="false">#REF!</definedName>
    <definedName function="false" hidden="false" localSheetId="9" name="Accrual___payment_of_dividends" vbProcedure="false">#REF!</definedName>
    <definedName function="false" hidden="false" localSheetId="9" name="ACT" vbProcedure="false">#REF!</definedName>
    <definedName function="false" hidden="false" localSheetId="9" name="AFANT" vbProcedure="false">#REF!</definedName>
    <definedName function="false" hidden="false" localSheetId="9" name="AFHOY" vbProcedure="false">#REF!</definedName>
    <definedName function="false" hidden="false" localSheetId="9" name="ahaccionistas01" vbProcedure="false">#REF!</definedName>
    <definedName function="false" hidden="false" localSheetId="9" name="AJPAAG" vbProcedure="false">#REF!</definedName>
    <definedName function="false" hidden="false" localSheetId="9" name="AppName" vbProcedure="false">#REF!</definedName>
    <definedName function="false" hidden="false" localSheetId="9" name="AS2TickmarkLS" vbProcedure="false">#REF!</definedName>
    <definedName function="false" hidden="false" localSheetId="9" name="ASFSD" vbProcedure="false">#REF!</definedName>
    <definedName function="false" hidden="false" localSheetId="9" name="Assertions" vbProcedure="false">#REF!</definedName>
    <definedName function="false" hidden="false" localSheetId="9" name="A_IMPRESIÓN_IM" vbProcedure="false">#REF!</definedName>
    <definedName function="false" hidden="false" localSheetId="9" name="año" vbProcedure="false">#REF!</definedName>
    <definedName function="false" hidden="false" localSheetId="9" name="año1" vbProcedure="false">#REF!</definedName>
    <definedName function="false" hidden="false" localSheetId="9" name="AÑOS_A_PROCESAR" vbProcedure="false">#REF!</definedName>
    <definedName function="false" hidden="false" localSheetId="9" name="AÑO_A_PROCESAR" vbProcedure="false">#REF!</definedName>
    <definedName function="false" hidden="false" localSheetId="9" name="BASE" vbProcedure="false">#REF!</definedName>
    <definedName function="false" hidden="false" localSheetId="9" name="BCE" vbProcedure="false">#REF!</definedName>
    <definedName function="false" hidden="false" localSheetId="9" name="BCEBONOS" vbProcedure="false">#REF!</definedName>
    <definedName function="false" hidden="false" localSheetId="9" name="BCECAMBIOS" vbProcedure="false">#REF!</definedName>
    <definedName function="false" hidden="false" localSheetId="9" name="BCEEMPRESA" vbProcedure="false">#REF!</definedName>
    <definedName function="false" hidden="false" localSheetId="9" name="BCERENTA" vbProcedure="false">#REF!</definedName>
    <definedName function="false" hidden="false" localSheetId="9" name="BCETESOROS" vbProcedure="false">#REF!</definedName>
    <definedName function="false" hidden="false" localSheetId="9" name="BLOQUE" vbProcedure="false">#REF!</definedName>
    <definedName function="false" hidden="false" localSheetId="9" name="BuiltIn_Print_Area___0" vbProcedure="false">#REF!</definedName>
    <definedName function="false" hidden="false" localSheetId="9" name="BuiltIn_Print_Titles___0" vbProcedure="false">#REF!</definedName>
    <definedName function="false" hidden="false" localSheetId="9" name="CALCULO" vbProcedure="false">[1]bdatos!#ref!</definedName>
    <definedName function="false" hidden="false" localSheetId="9" name="CAR" vbProcedure="false">#REF!</definedName>
    <definedName function="false" hidden="false" localSheetId="9" name="CAVR" vbProcedure="false">#REF!</definedName>
    <definedName function="false" hidden="false" localSheetId="9" name="cdtaccinistas01" vbProcedure="false">#REF!</definedName>
    <definedName function="false" hidden="false" localSheetId="9" name="CO.Otros_Cuentas" vbProcedure="false">#REF!</definedName>
    <definedName function="false" hidden="false" localSheetId="9" name="CO.Otros_Monto" vbProcedure="false">#REF!</definedName>
    <definedName function="false" hidden="false" localSheetId="9" name="CO.Riesgo_Cuentas" vbProcedure="false">#REF!</definedName>
    <definedName function="false" hidden="false" localSheetId="9" name="CO.Riesgo_Monto" vbProcedure="false">#REF!</definedName>
    <definedName function="false" hidden="false" localSheetId="9" name="CO.Tesoreria_Cuentas" vbProcedure="false">#REF!</definedName>
    <definedName function="false" hidden="false" localSheetId="9" name="COMP3CM" vbProcedure="false">#REF!,#REF!,#REF!,#REF!,#REF!</definedName>
    <definedName function="false" hidden="false" localSheetId="9" name="COMP3PM" vbProcedure="false">#REF!,#REF!,#REF!,#REF!</definedName>
    <definedName function="false" hidden="false" localSheetId="9" name="COMP3PY" vbProcedure="false">#REF!,#REF!,#REF!,#REF!,#REF!</definedName>
    <definedName function="false" hidden="false" localSheetId="9" name="COMPCM" vbProcedure="false">#REF!,#REF!,#REF!,#REF!,#REF!,#REF!,#REF!</definedName>
    <definedName function="false" hidden="false" localSheetId="9" name="COMPPM" vbProcedure="false">#REF!,#REF!,#REF!,#REF!,#REF!,#REF!,#REF!</definedName>
    <definedName function="false" hidden="false" localSheetId="9" name="COMPPY" vbProcedure="false">#REF!,#REF!,#REF!,#REF!,#REF!,#REF!,#REF!,#REF!</definedName>
    <definedName function="false" hidden="false" localSheetId="9" name="con10_partic" vbProcedure="false">#REF!</definedName>
    <definedName function="false" hidden="false" localSheetId="9" name="conahdirectivos01" vbProcedure="false">#REF!</definedName>
    <definedName function="false" hidden="false" localSheetId="9" name="conahojunta01" vbProcedure="false">#REF!</definedName>
    <definedName function="false" hidden="false" localSheetId="9" name="concdtdirectivos01" vbProcedure="false">#REF!</definedName>
    <definedName function="false" hidden="false" localSheetId="9" name="concdtentidades01" vbProcedure="false">#REF!</definedName>
    <definedName function="false" hidden="false" localSheetId="9" name="CONGASTO" vbProcedure="false">[1]bdatos!#ref!</definedName>
    <definedName function="false" hidden="false" localSheetId="9" name="conotros" vbProcedure="false">#REF!</definedName>
    <definedName function="false" hidden="false" localSheetId="9" name="ContAverage" vbProcedure="false">[9]!contaverage</definedName>
    <definedName function="false" hidden="false" localSheetId="9" name="CORDEN" vbProcedure="false">#REF!</definedName>
    <definedName function="false" hidden="false" localSheetId="9" name="CUENTA96" vbProcedure="false">#REF!</definedName>
    <definedName function="false" hidden="false" localSheetId="9" name="Div" vbProcedure="false">[4]b.bta.s.valores!#ref!</definedName>
    <definedName function="false" hidden="false" localSheetId="9" name="Divide" vbProcedure="false">#REF!</definedName>
    <definedName function="false" hidden="false" localSheetId="9" name="ELIMEXT" vbProcedure="false">#REF!</definedName>
    <definedName function="false" hidden="false" localSheetId="9" name="ELIMINA" vbProcedure="false">#REF!</definedName>
    <definedName function="false" hidden="false" localSheetId="9" name="entidades" vbProcedure="false">#REF!</definedName>
    <definedName function="false" hidden="false" localSheetId="9" name="EPIANDES" vbProcedure="false">#REF!</definedName>
    <definedName function="false" hidden="false" localSheetId="9" name="ESCRIBA" vbProcedure="false">[1]bdatos!#ref!</definedName>
    <definedName function="false" hidden="false" localSheetId="9" name="ESTADOS_FINANCIEROS_A_PROCESAR" vbProcedure="false">#REF!</definedName>
    <definedName function="false" hidden="false" localSheetId="9" name="ESTCAM" vbProcedure="false">#REF!</definedName>
    <definedName function="false" hidden="false" localSheetId="9" name="ET" vbProcedure="false">#REF!</definedName>
    <definedName function="false" hidden="false" localSheetId="9" name="FailureActual" vbProcedure="false">[9]!failureactual</definedName>
    <definedName function="false" hidden="false" localSheetId="9" name="FailurePlan" vbProcedure="false">[9]!failureplan</definedName>
    <definedName function="false" hidden="false" localSheetId="9" name="FleetAdj" vbProcedure="false">[9]!fleetadj</definedName>
    <definedName function="false" hidden="false" localSheetId="9" name="FleetNoAdj" vbProcedure="false">[9]!fleetnoadj</definedName>
    <definedName function="false" hidden="false" localSheetId="9" name="INDI" vbProcedure="false">#REF!</definedName>
    <definedName function="false" hidden="false" localSheetId="9" name="INDICACART" vbProcedure="false">#REF!</definedName>
    <definedName function="false" hidden="false" localSheetId="9" name="INVER" vbProcedure="false">#REF!</definedName>
    <definedName function="false" hidden="false" localSheetId="9" name="junio111" vbProcedure="false">#REF!</definedName>
    <definedName function="false" hidden="false" localSheetId="9" name="JUNTA" vbProcedure="false">#REF!</definedName>
    <definedName function="false" hidden="false" localSheetId="9" name="JUNTA1" vbProcedure="false">#REF!</definedName>
    <definedName function="false" hidden="false" localSheetId="9" name="LLPModel" vbProcedure="false">[16]!llpmodel</definedName>
    <definedName function="false" hidden="false" localSheetId="9" name="MC.PL_Cuentas" vbProcedure="false">#REF!</definedName>
    <definedName function="false" hidden="false" localSheetId="9" name="MC.PL_Monto" vbProcedure="false">#REF!</definedName>
    <definedName function="false" hidden="false" localSheetId="9" name="MESANT" vbProcedure="false">#REF!</definedName>
    <definedName function="false" hidden="false" localSheetId="9" name="MESHOY" vbProcedure="false">#REF!</definedName>
    <definedName function="false" hidden="false" localSheetId="9" name="MultiSelectNames" vbProcedure="false">#REF!</definedName>
    <definedName function="false" hidden="false" localSheetId="9" name="Nivel" vbProcedure="false">#REF!</definedName>
    <definedName function="false" hidden="false" localSheetId="9" name="NOPUC" vbProcedure="false">#REF!</definedName>
    <definedName function="false" hidden="false" localSheetId="9" name="ORDEN1" vbProcedure="false">#REF!</definedName>
    <definedName function="false" hidden="false" localSheetId="9" name="ORDEN2" vbProcedure="false">#REF!</definedName>
    <definedName function="false" hidden="false" localSheetId="9" name="ORDEN3" vbProcedure="false">#REF!</definedName>
    <definedName function="false" hidden="false" localSheetId="9" name="ORDEN4" vbProcedure="false">#REF!</definedName>
    <definedName function="false" hidden="false" localSheetId="9" name="ORDEN5" vbProcedure="false">#REF!</definedName>
    <definedName function="false" hidden="false" localSheetId="9" name="ORDEN6" vbProcedure="false">#REF!</definedName>
    <definedName function="false" hidden="false" localSheetId="9" name="PAS" vbProcedure="false">#REF!</definedName>
    <definedName function="false" hidden="false" localSheetId="9" name="PAT" vbProcedure="false">#REF!</definedName>
    <definedName function="false" hidden="false" localSheetId="9" name="PRES" vbProcedure="false">#REF!</definedName>
    <definedName function="false" hidden="false" localSheetId="9" name="PRES1" vbProcedure="false">#REF!</definedName>
    <definedName function="false" hidden="false" localSheetId="9" name="ProductivityWith" vbProcedure="false">[9]!productivitywith</definedName>
    <definedName function="false" hidden="false" localSheetId="9" name="ProductivityWithout" vbProcedure="false">[9]!productivitywithout</definedName>
    <definedName function="false" hidden="false" localSheetId="9" name="PUC" vbProcedure="false">#REF!</definedName>
    <definedName function="false" hidden="false" localSheetId="9" name="PYG" vbProcedure="false">#REF!</definedName>
    <definedName function="false" hidden="false" localSheetId="9" name="PYGBONOS" vbProcedure="false">#REF!</definedName>
    <definedName function="false" hidden="false" localSheetId="9" name="PYGCAMBIOS" vbProcedure="false">#REF!</definedName>
    <definedName function="false" hidden="false" localSheetId="9" name="PYGRENTA" vbProcedure="false">#REF!</definedName>
    <definedName function="false" hidden="false" localSheetId="9" name="PYGTESOROS" vbProcedure="false">#REF!</definedName>
    <definedName function="false" hidden="false" localSheetId="9" name="ref_contr" vbProcedure="false">#REF!</definedName>
    <definedName function="false" hidden="false" localSheetId="9" name="TestTypes" vbProcedure="false">#REF!</definedName>
    <definedName function="false" hidden="false" localSheetId="9" name="TOTAL" vbProcedure="false">#REF!</definedName>
    <definedName function="false" hidden="false" localSheetId="9" name="TypesOfTransaction" vbProcedure="false">#REF!</definedName>
    <definedName function="false" hidden="false" localSheetId="9" name="Títulos_a_imprimir_IM" vbProcedure="false">#REF!,#REF!</definedName>
    <definedName function="false" hidden="false" localSheetId="9" name="utilidad" vbProcedure="false">'[6]estado de resultados'!#ref!</definedName>
    <definedName function="false" hidden="false" localSheetId="9" name="VALID" vbProcedure="false">#REF!</definedName>
    <definedName function="false" hidden="false" localSheetId="9" name="veinticuatro" vbProcedure="false">#REF!</definedName>
    <definedName function="false" hidden="false" localSheetId="9" name="veintidos" vbProcedure="false">#REF!</definedName>
    <definedName function="false" hidden="false" localSheetId="9" name="veintitres" vbProcedure="false">#REF!</definedName>
    <definedName function="false" hidden="false" localSheetId="9" name="veintiuno" vbProcedure="false">#REF!</definedName>
    <definedName function="false" hidden="false" localSheetId="9" name="XXX" vbProcedure="false">#REF!</definedName>
    <definedName function="false" hidden="false" localSheetId="9" name="\0" vbProcedure="false">#REF!</definedName>
    <definedName function="false" hidden="false" localSheetId="9" name="\BD" vbProcedure="false">#REF!</definedName>
    <definedName function="false" hidden="false" localSheetId="9" name="\BJ" vbProcedure="false">#REF!</definedName>
    <definedName function="false" hidden="false" localSheetId="9" name="\BP" vbProcedure="false">#REF!</definedName>
    <definedName function="false" hidden="false" localSheetId="9" name="\c" vbProcedure="false">[1]bdatos!#ref!</definedName>
    <definedName function="false" hidden="false" localSheetId="9" name="\CA" vbProcedure="false">#REF!</definedName>
    <definedName function="false" hidden="false" localSheetId="9" name="\i" vbProcedure="false">#REF!</definedName>
    <definedName function="false" hidden="false" localSheetId="9" name="\m" vbProcedure="false">#REF!</definedName>
    <definedName function="false" hidden="false" localSheetId="9" name="_296" vbProcedure="false">'[3]384-acciones corporacion'!#ref!</definedName>
    <definedName function="false" hidden="false" localSheetId="9" name="_304" vbProcedure="false">'[3]384-acciones corporacion'!#ref!</definedName>
    <definedName function="false" hidden="false" localSheetId="9" name="_312" vbProcedure="false">'[3]384-acciones corporacion'!#ref!</definedName>
    <definedName function="false" hidden="false" localSheetId="9" name="_320" vbProcedure="false">'[3]384-acciones corporacion'!#ref!</definedName>
    <definedName function="false" hidden="false" localSheetId="9" name="_336" vbProcedure="false">'[3]384-acciones corporacion'!#ref!</definedName>
    <definedName function="false" hidden="false" localSheetId="9" name="_344" vbProcedure="false">'[3]384-acciones corporacion'!#ref!</definedName>
    <definedName function="false" hidden="false" localSheetId="9" name="_352" vbProcedure="false">'[3]384-acciones corporacion'!#ref!</definedName>
    <definedName function="false" hidden="false" localSheetId="9" name="_522" vbProcedure="false">'[3]384-acciones corporacion'!#ref!</definedName>
    <definedName function="false" hidden="false" localSheetId="9" name="_530" vbProcedure="false">'[3]384-acciones corporacion'!#ref!</definedName>
    <definedName function="false" hidden="false" localSheetId="9" name="_546" vbProcedure="false">'[3]384-acciones corporacion'!#ref!</definedName>
    <definedName function="false" hidden="false" localSheetId="9" name="_554" vbProcedure="false">'[3]384-acciones corporacion'!#ref!</definedName>
    <definedName function="false" hidden="false" localSheetId="9" name="_562" vbProcedure="false">'[3]384-acciones corporacion'!#ref!</definedName>
    <definedName function="false" hidden="false" localSheetId="9" name="_Key1" vbProcedure="false">#REF!</definedName>
    <definedName function="false" hidden="false" localSheetId="9" name="_Key2" vbProcedure="false">#REF!</definedName>
    <definedName function="false" hidden="false" localSheetId="9" name="_Parse_Out" vbProcedure="false">[4]b.bta.s.valores!#ref!</definedName>
    <definedName function="false" hidden="false" localSheetId="9" name="_Sort" vbProcedure="false">#REF!</definedName>
    <definedName function="false" hidden="false" localSheetId="9" name="_xlnm.Print_Area" vbProcedure="false">#REF!</definedName>
    <definedName function="false" hidden="false" localSheetId="9" name="_xlnm._FilterDatabase" vbProcedure="false">#REF!</definedName>
    <definedName function="false" hidden="false" localSheetId="9" name="Área_de_impresión1"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<sst xmlns="http://schemas.openxmlformats.org/spreadsheetml/2006/main" count="1126" uniqueCount="709">
  <si>
    <t xml:space="preserve">EVALUACIÓN INDEPENDIENTE SISTEMA DE CONTROL INTERNO
(instrucciones para su diligenciamiento)</t>
  </si>
  <si>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</si>
  <si>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 xml:space="preserve">Orientaciones Generales</t>
  </si>
  <si>
    <r>
      <rPr>
        <sz val="10"/>
        <rFont val="Arial Narrow"/>
        <family val="2"/>
        <charset val="1"/>
      </rPr>
      <t xml:space="preserve">El archivo contiene las siguientes hojas:
 -  </t>
    </r>
    <r>
      <rPr>
        <b val="true"/>
        <sz val="11"/>
        <rFont val="Arial Narrow"/>
        <family val="2"/>
        <charset val="1"/>
      </rPr>
      <t xml:space="preserve">Pestañas por cada uno de los componentes de control interno: </t>
    </r>
    <r>
      <rPr>
        <sz val="10"/>
        <rFont val="Arial Narrow"/>
        <family val="2"/>
        <charset val="1"/>
      </rPr>
      <t xml:space="preserve">"Ambiente de Control", "Evaluación de riesgos", "Actividades de control", "Información y Comunicación", y " Actividades de Monitoreo". las cuales cuentan todas con la siguiente estructura:</t>
    </r>
  </si>
  <si>
    <t xml:space="preserve">Columna</t>
  </si>
  <si>
    <t xml:space="preserve">Descripción</t>
  </si>
  <si>
    <r>
      <rPr>
        <b val="true"/>
        <sz val="9"/>
        <rFont val="Arial Narrow"/>
        <family val="2"/>
        <charset val="1"/>
      </rPr>
      <t xml:space="preserve">
</t>
    </r>
    <r>
      <rPr>
        <b val="true"/>
        <i val="true"/>
        <u val="single"/>
        <sz val="9"/>
        <rFont val="Arial Narrow"/>
        <family val="2"/>
        <charset val="1"/>
      </rPr>
      <t xml:space="preserve">Lineamiento X:</t>
    </r>
  </si>
  <si>
    <t xml:space="preserve">Esta columna define los lineamientos generales para cada uno de los componentes del MECI y se asocian los temas específicos que se deben analizar en cada uno.</t>
  </si>
  <si>
    <t xml:space="preserve">DIMENSIÓN O POLÍTICA DEL MIPG ASOCIADA AL REQUERIMIENTO</t>
  </si>
  <si>
    <t xml:space="preserve">En esta columna se deben asociar la (las) dimensión (es), así como la (s) política (s) de gestión y desempeño que permiten el desarrollo del tema en la entidad, en el marco del Modelo Integrado de Planeación y Gestión MIPG.</t>
  </si>
  <si>
    <r>
      <rPr>
        <b val="true"/>
        <sz val="9"/>
        <rFont val="Arial Narrow"/>
        <family val="2"/>
        <charset val="1"/>
      </rPr>
      <t xml:space="preserve">Evaluación "</t>
    </r>
    <r>
      <rPr>
        <b val="true"/>
        <sz val="10"/>
        <rFont val="Arial Narrow"/>
        <family val="2"/>
        <charset val="1"/>
      </rPr>
      <t xml:space="preserve">si se encuentra Presente"
</t>
    </r>
    <r>
      <rPr>
        <sz val="9"/>
        <rFont val="Arial Narrow"/>
        <family val="2"/>
        <charset val="1"/>
      </rPr>
      <t xml:space="preserve">Referencia a Procesos, Manuales/Políticas de Operación/Procedimientos/Instructivos u otros desarrollos que den cuente de su aplicación</t>
    </r>
  </si>
  <si>
    <t xml:space="preserve">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</si>
  <si>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 xml:space="preserve">EVIDENCIA DEL CONTROL</t>
  </si>
  <si>
    <t xml:space="preserve">No.</t>
  </si>
  <si>
    <t xml:space="preserve">Relaciona el consecutivo de las evidencias que se identifican en relación con la efectividad del control.</t>
  </si>
  <si>
    <t xml:space="preserve">Referencia a Análisis y verificaciones en el marco del Comité Institucional de Coordinación de Control Interno</t>
  </si>
  <si>
    <t xml:space="preserve">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</si>
  <si>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</si>
  <si>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 xml:space="preserve">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</si>
  <si>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rPr>
        <b val="true"/>
        <sz val="9"/>
        <rFont val="Arial Narrow"/>
        <family val="2"/>
        <charset val="1"/>
      </rPr>
      <t xml:space="preserve">Evaluación </t>
    </r>
    <r>
      <rPr>
        <b val="true"/>
        <sz val="10"/>
        <rFont val="Arial Narrow"/>
        <family val="2"/>
        <charset val="1"/>
      </rPr>
      <t xml:space="preserve">"si se encuentra Funcionando"</t>
    </r>
  </si>
  <si>
    <t xml:space="preserve">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</si>
  <si>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rPr>
        <sz val="10"/>
        <rFont val="Arial Narrow"/>
        <family val="2"/>
        <charset val="1"/>
      </rPr>
      <t xml:space="preserve"> -</t>
    </r>
    <r>
      <rPr>
        <sz val="11"/>
        <rFont val="Arial Narrow"/>
        <family val="2"/>
        <charset val="1"/>
      </rPr>
      <t xml:space="preserve"> </t>
    </r>
    <r>
      <rPr>
        <b val="true"/>
        <sz val="11"/>
        <rFont val="Arial Narrow"/>
        <family val="2"/>
        <charset val="1"/>
      </rPr>
      <t xml:space="preserve">Análisis de Resultados:</t>
    </r>
    <r>
      <rPr>
        <sz val="10"/>
        <rFont val="Arial Narrow"/>
        <family val="2"/>
        <charset val="1"/>
      </rPr>
      <t xml:space="preserve"> Esta hoja permite establecer si el Sistema de Control Interno evaluado se encuentra </t>
    </r>
    <r>
      <rPr>
        <b val="true"/>
        <sz val="10"/>
        <rFont val="Arial Narrow"/>
        <family val="2"/>
        <charset val="1"/>
      </rPr>
      <t xml:space="preserve">PRESENTE y FUNCIONANDO</t>
    </r>
    <r>
      <rPr>
        <sz val="10"/>
        <rFont val="Arial Narrow"/>
        <family val="2"/>
        <charset val="1"/>
      </rPr>
      <t xml:space="preserve">, permitiéndo definir puntos de mejora a través de los componentes del MECI y </t>
    </r>
    <r>
      <rPr>
        <sz val="10"/>
        <color rgb="FFFF0000"/>
        <rFont val="Arial Narrow"/>
        <family val="2"/>
        <charset val="1"/>
      </rPr>
      <t xml:space="preserve">su articulacion</t>
    </r>
    <r>
      <rPr>
        <sz val="10"/>
        <rFont val="Arial Narrow"/>
        <family val="2"/>
        <charset val="1"/>
      </rPr>
      <t xml:space="preserve"> con las Dimensiones del MIPG.</t>
    </r>
  </si>
  <si>
    <t xml:space="preserve">Clasificación </t>
  </si>
  <si>
    <t xml:space="preserve">Observaciones del Control</t>
  </si>
  <si>
    <t xml:space="preserve">Mantenimiento del Control</t>
  </si>
  <si>
    <t xml:space="preserve">Cuando en el análisis de los requerimientos en los diferentes componentes del MECI se cuente con aspectos evaluados en nivel 3 (presente) y 3 (funcionando).</t>
  </si>
  <si>
    <t xml:space="preserve">Se encuentra presente y funciona correctamente, por lo tanto se requiere acciones o actividades  dirigidas a su mantenimiento dentro del marco de las lineas de defensa.</t>
  </si>
  <si>
    <t xml:space="preserve">Oportunidad de Mejora</t>
  </si>
  <si>
    <t xml:space="preserve">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</si>
  <si>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</si>
  <si>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 xml:space="preserve">Deficiencia de Control
(Diseño o Ejecución)</t>
  </si>
  <si>
    <t xml:space="preserve">Cuando en el análisis de los requerimientos en los diferentes componentes del MECI se cuente con aspectos evaluados en nivel 2 (presente) y 2 (funcionando); 3 (presente) y 1 (funcionando); 3 (presente) y 2 (funcionando); 2 (presente) y 1 (funcionando)</t>
  </si>
  <si>
    <t xml:space="preserve">Se encuentra presente y funcionando, pero requiere acciones dirigidas a fortalecer  o mejorar su diseño y/o ejecucion.</t>
  </si>
  <si>
    <t xml:space="preserve">Deficiencia de Control Mayor
(Diseño y Ejecución)</t>
  </si>
  <si>
    <t xml:space="preserve">Cuando en el análisis de los requerimientos en los diferentes componentes del MECI se cuente con aspectos evaluados en nivel 1 (presente) y 1 (funcionando);1 (presente) y 2 (funcionando); 1(presente) y 3 (funcionando).</t>
  </si>
  <si>
    <t xml:space="preserve">No se encuentra presente  por lo tanto no esta funcionando, lo que hace que se requieran acciones dirigidas a fortalecer su diseño y puesta en marcha</t>
  </si>
  <si>
    <r>
      <rPr>
        <sz val="10"/>
        <rFont val="Arial Narrow"/>
        <family val="2"/>
        <charset val="1"/>
      </rPr>
      <t xml:space="preserve"> -</t>
    </r>
    <r>
      <rPr>
        <sz val="11"/>
        <rFont val="Arial Narrow"/>
        <family val="2"/>
        <charset val="1"/>
      </rPr>
      <t xml:space="preserve"> </t>
    </r>
    <r>
      <rPr>
        <b val="true"/>
        <sz val="11"/>
        <rFont val="Arial Narrow"/>
        <family val="2"/>
        <charset val="1"/>
      </rPr>
      <t xml:space="preserve">Conclusiones:</t>
    </r>
    <r>
      <rPr>
        <sz val="10"/>
        <rFont val="Arial Narrow"/>
        <family val="2"/>
        <charset val="1"/>
      </rPr>
      <t xml:space="preserve"> Esta hoja permite establecer si el Sistema de Control Interno evaluado se encuentra </t>
    </r>
    <r>
      <rPr>
        <b val="true"/>
        <sz val="10"/>
        <rFont val="Arial Narrow"/>
        <family val="2"/>
        <charset val="1"/>
      </rPr>
      <t xml:space="preserve">PRESENTE y FUNCIONANDO</t>
    </r>
    <r>
      <rPr>
        <sz val="10"/>
        <rFont val="Arial Narrow"/>
        <family val="2"/>
        <charset val="1"/>
      </rPr>
      <t xml:space="preserve">, definiendo puntos de mejora a través de los componentes del MECI y su relación con las Dimensiones del MIPG.</t>
    </r>
  </si>
  <si>
    <r>
      <rPr>
        <sz val="10"/>
        <rFont val="Arial Narrow"/>
        <family val="2"/>
        <charset val="1"/>
      </rPr>
      <t xml:space="preserve"> -</t>
    </r>
    <r>
      <rPr>
        <sz val="11"/>
        <rFont val="Arial Narrow"/>
        <family val="2"/>
        <charset val="1"/>
      </rPr>
      <t xml:space="preserve"> </t>
    </r>
    <r>
      <rPr>
        <b val="true"/>
        <sz val="11"/>
        <rFont val="Arial Narrow"/>
        <family val="2"/>
        <charset val="1"/>
      </rPr>
      <t xml:space="preserve">Definiciones:</t>
    </r>
    <r>
      <rPr>
        <sz val="11"/>
        <rFont val="Arial Narrow"/>
        <family val="2"/>
        <charset val="1"/>
      </rPr>
      <t xml:space="preserve"> A</t>
    </r>
    <r>
      <rPr>
        <sz val="10"/>
        <rFont val="Arial Narrow"/>
        <family val="2"/>
        <charset val="1"/>
      </rPr>
      <t xml:space="preserve">lgunos términos asociados a con control interno y utilizados en diferentes partes del formato.</t>
    </r>
  </si>
  <si>
    <t xml:space="preserve">Términos y Definiciones</t>
  </si>
  <si>
    <t xml:space="preserve">Término</t>
  </si>
  <si>
    <t xml:space="preserve">Actividad de control</t>
  </si>
  <si>
    <t xml:space="preserve">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</si>
  <si>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 xml:space="preserve">Alta Dirección</t>
  </si>
  <si>
    <t xml:space="preserve">Comprende los empleos del Nivel Directivo a los cuales corresponden funciones de dirección general, de formulación de políticas institucionales y de adopción de planes, programas y proyectos. (Decreto 770 de 2005)</t>
  </si>
  <si>
    <t xml:space="preserve">Ambiente de control</t>
  </si>
  <si>
    <t xml:space="preserve">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</si>
  <si>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 xml:space="preserve">Comité Institucional de Coordinación de Control Interno</t>
  </si>
  <si>
    <t xml:space="preserve">Instancia del más alto nivel jerárquico, creado como órgano asesor e instancia decisora en los asuntos de control interno, de oblgatoria conformación para todas las entidades estatales. (Ley 87 de 1993, art 13 y Decreto 648 de 2017).</t>
  </si>
  <si>
    <t xml:space="preserve">Comité Institucional de Gestión y Desempeño</t>
  </si>
  <si>
    <t xml:space="preserve">Instancia del más alto nivel jerárquico, encargado de orientar la implementación y operación del Modelo Integrado de Planeación y Gestión MIPG, de oblgatoria conformación para todas las entidades estatales. (Decreto 1499 de 2017).</t>
  </si>
  <si>
    <t xml:space="preserve">Componente</t>
  </si>
  <si>
    <t xml:space="preserve">Uno de los cinco elementos del Modelo Estándar de Control Interno MECI.</t>
  </si>
  <si>
    <t xml:space="preserve">Conflicto de interés</t>
  </si>
  <si>
    <t xml:space="preserve">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</si>
  <si>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 xml:space="preserve">Control Interno</t>
  </si>
  <si>
    <t xml:space="preserve">Estructura de procesos, políticas, procedimientos, manuales y otras herramientas diseñadas por la entidad para proporcionar seguridad razonable de que los objetivos y metas se alcanzarán y que los eventos no deseados se evitaran o bien se detectaran y corregirán.</t>
  </si>
  <si>
    <t xml:space="preserve">Control interno efectivo</t>
  </si>
  <si>
    <t xml:space="preserve">El Sistema de Control Interno para que sea efectivo requiere que cada uno de los cinco componentes del MECI y sus lineamientos, estén presentes, funcionando y operando de manera articulada con el MIPG.</t>
  </si>
  <si>
    <t xml:space="preserve">Controles generales de TI</t>
  </si>
  <si>
    <t xml:space="preserve">Actividades de control que ayudan a asegurar la apropiada operación de la tecnología, incluyen los controles sobre la infraestructura de tecnología, seguridad de la información, adquisición de tecnología  su desarrollo y mantenimiento.</t>
  </si>
  <si>
    <t xml:space="preserve">Corrupción</t>
  </si>
  <si>
    <t xml:space="preserve">Posibilidad de que por acción u omisión, se use el poder para desviar la gestión de lo público hacia un beneficio privado.  (Secretaría de Transparencia)</t>
  </si>
  <si>
    <t xml:space="preserve">COSO</t>
  </si>
  <si>
    <t xml:space="preserve">Committe of Sponsoring Organizations of the Treadway Commission (por sus siglas en inglés). COSO es una iniciativa conjunta de cinco organizaciones del sector privado y se dedica a liderar el desarrollo de marcos y guías en control interno y gestión de riesgos.</t>
  </si>
  <si>
    <t xml:space="preserve">Cumplimiento</t>
  </si>
  <si>
    <t xml:space="preserve">Esta relacionado con el cumplimiento a las leyes y regulaciones aplicables a la Entidad.</t>
  </si>
  <si>
    <t xml:space="preserve">Deficiencia de control</t>
  </si>
  <si>
    <t xml:space="preserve">Es una falla con respecto a un control particular o actividad de control. </t>
  </si>
  <si>
    <t xml:space="preserve">Deficiencia del Sistema de control interno</t>
  </si>
  <si>
    <t xml:space="preserve">Se asocia a fallas o brechas en un componente o componentes y sus lineamientos que tiene la capacidad para generar riesgos.</t>
  </si>
  <si>
    <t xml:space="preserve">Evaluación de Riesgos</t>
  </si>
  <si>
    <t xml:space="preserve">Proceso que permite a cada entidad identificar, analizar y administrar riesgos relevantes para el logro de sus objetivos.</t>
  </si>
  <si>
    <t xml:space="preserve">Evaluaciones continuas</t>
  </si>
  <si>
    <t xml:space="preserve">Corresponden a actividades (manuales o automáticas) que sirven para monitorear la efectividad del control interno en el día a día de las operaciones. Estas evaluaciones incluyen actos regulares de administración, comparaciones, conciliaciones y otras acciones rutinarias.</t>
  </si>
  <si>
    <t xml:space="preserve">Evaluaciones separadas</t>
  </si>
  <si>
    <t xml:space="preserve">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</si>
  <si>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 xml:space="preserve">Funcionando</t>
  </si>
  <si>
    <t xml:space="preserve">La determinación que los componentes y lineamientos son aplicados de forma sistemática como han sido diseñados y es posible analizar su efectividad para evitar la materialización de riesgos, mediante el contraste de información relevante.</t>
  </si>
  <si>
    <t xml:space="preserve">Integridad</t>
  </si>
  <si>
    <t xml:space="preserve">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</si>
  <si>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 xml:space="preserve">Lineamiento</t>
  </si>
  <si>
    <t xml:space="preserve">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</si>
  <si>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</si>
  <si>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</si>
  <si>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 xml:space="preserve">Mapa de riesgos</t>
  </si>
  <si>
    <t xml:space="preserve">Herramiento cualitativa que permite identificar los riesgos de la organización en el cual se presenta una descripción de cada uno de ellos y su tratamiento.</t>
  </si>
  <si>
    <t xml:space="preserve">Hallazgo en el cual sí existe un cumplimiento, pero a pesar de ello se determina, bajo criterios objetivos, que existe un margen de mejora para optimizar más una actividad, tarea o proceso concreto.</t>
  </si>
  <si>
    <t xml:space="preserve">Política</t>
  </si>
  <si>
    <t xml:space="preserve">Declaración emitida por la administración acerca de lo que debe hacerse para el control. Las políticas son la base para la definición de procedimientos.</t>
  </si>
  <si>
    <t xml:space="preserve">Presente</t>
  </si>
  <si>
    <t xml:space="preserve">La determinación que existen en diseño e implementación de los requerimientos asociados a las políticas de gestión y desempeño.</t>
  </si>
  <si>
    <t xml:space="preserve">Procedimiento</t>
  </si>
  <si>
    <t xml:space="preserve">Actividades desagregadas que implementan una política o determinan acciones concretas para la consecución de un objetivo o meta.</t>
  </si>
  <si>
    <t xml:space="preserve">Reporte</t>
  </si>
  <si>
    <t xml:space="preserve">Información suministrada por diferentes instancias de la entidad, que incluye datos internos y externos, así como información financiera y no financiera, necesaria para la toma de decisiones.</t>
  </si>
  <si>
    <t xml:space="preserve">Riesgo</t>
  </si>
  <si>
    <t xml:space="preserve">La posibilidad de que un evento ocurra y afecte de manera adversa el logro de los objetivos.</t>
  </si>
  <si>
    <t xml:space="preserve">Riesgo inherente</t>
  </si>
  <si>
    <t xml:space="preserve">El riesgo frente al logro de los objetivos en ausencia de cualquier acción por parte de la administración para afectar el impacto o probabilidad de dicho riesgo. </t>
  </si>
  <si>
    <t xml:space="preserve">Riesgo residual</t>
  </si>
  <si>
    <t xml:space="preserve">El riesgo frente al logro de los objetivos que permanece una vez la respuesta al riesgo ha sido diseñada e implementada por parte de la administración.</t>
  </si>
  <si>
    <t xml:space="preserve">Segregación de Funciones</t>
  </si>
  <si>
    <t xml:space="preserve">Se refiere a la asignación de las responsabilidades con diferentes niveles de autorización con el fin de reducir errores o posibles situaciones de corrupción durante el normal desarrollo de sus funciones.</t>
  </si>
  <si>
    <t xml:space="preserve">Seguridad razonable</t>
  </si>
  <si>
    <t xml:space="preserve">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</si>
  <si>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</si>
  <si>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</si>
  <si>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 xml:space="preserve">Lineas de Defensa</t>
  </si>
  <si>
    <t xml:space="preserve">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</si>
  <si>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 xml:space="preserve">AMBIENTE DE CONTROL</t>
  </si>
  <si>
    <t xml:space="preserve">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</si>
  <si>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 xml:space="preserve">ID</t>
  </si>
  <si>
    <t xml:space="preserve">Lineamiento 1: 
La entidad demuestra el compromiso con la integridad (valores) y principio+I186+C21:I31+I186+C21:I31+C21:I31+C21:I31</t>
  </si>
  <si>
    <r>
      <rPr>
        <b val="true"/>
        <sz val="11"/>
        <color rgb="FFFFFFFF"/>
        <rFont val="Arial Narrow"/>
        <family val="2"/>
        <charset val="1"/>
      </rPr>
      <t xml:space="preserve">Explicación de cómo la Entidad </t>
    </r>
    <r>
      <rPr>
        <b val="true"/>
        <u val="single"/>
        <sz val="11"/>
        <color rgb="FFFFFFFF"/>
        <rFont val="Arial Narrow"/>
        <family val="2"/>
        <charset val="1"/>
      </rPr>
      <t xml:space="preserve">evidencia</t>
    </r>
    <r>
      <rPr>
        <b val="true"/>
        <sz val="11"/>
        <color rgb="FFFFFFFF"/>
        <rFont val="Arial Narrow"/>
        <family val="2"/>
        <charset val="1"/>
      </rPr>
      <t xml:space="preserve"> que está dando respuesta al requerimiento
</t>
    </r>
    <r>
      <rPr>
        <sz val="11"/>
        <color rgb="FFFFFFFF"/>
        <rFont val="Arial Narrow"/>
        <family val="2"/>
        <charset val="1"/>
      </rPr>
      <t xml:space="preserve">Referencia a Procesos, Manuales/Políticas+C21:I31n/Procedimientos/Instructivos u otros desarrollos que den cuente de su aplicación</t>
    </r>
  </si>
  <si>
    <r>
      <rPr>
        <b val="true"/>
        <sz val="11"/>
        <color rgb="FFFFFFFF"/>
        <rFont val="Arial Narrow"/>
        <family val="2"/>
        <charset val="1"/>
      </rPr>
      <t xml:space="preserve">Explicación de cómo la Entidad </t>
    </r>
    <r>
      <rPr>
        <b val="true"/>
        <u val="single"/>
        <sz val="11"/>
        <color rgb="FFFFFFFF"/>
        <rFont val="Arial Narrow"/>
        <family val="2"/>
        <charset val="1"/>
      </rPr>
      <t xml:space="preserve">evidencia</t>
    </r>
    <r>
      <rPr>
        <b val="true"/>
        <sz val="11"/>
        <color rgb="FFFFFFFF"/>
        <rFont val="Arial Narrow"/>
        <family val="2"/>
        <charset val="1"/>
      </rPr>
      <t xml:space="preserve"> que está dando respuesta al requerimiento
</t>
    </r>
    <r>
      <rPr>
        <sz val="11"/>
        <color rgb="FFFFFFFF"/>
        <rFont val="Arial Narrow"/>
        <family val="2"/>
        <charset val="1"/>
      </rPr>
      <t xml:space="preserve">Referencia a Procesos, Manuales/Políticas de Operación/Procedimientos/Instructivos u otros desarrollos que den cuente de su aplicación</t>
    </r>
  </si>
  <si>
    <r>
      <rPr>
        <b val="true"/>
        <sz val="11"/>
        <color rgb="FFFFFFFF"/>
        <rFont val="Arial Narrow"/>
        <family val="2"/>
        <charset val="1"/>
      </rPr>
      <t xml:space="preserve">Presente 
</t>
    </r>
    <r>
      <rPr>
        <i val="true"/>
        <sz val="11"/>
        <color rgb="FFFFFFFF"/>
        <rFont val="Arial Narrow"/>
        <family val="2"/>
        <charset val="1"/>
      </rPr>
      <t xml:space="preserve">(1/2/3)</t>
    </r>
  </si>
  <si>
    <t xml:space="preserve">EVIDENCIA DEL CONTROL </t>
  </si>
  <si>
    <r>
      <rPr>
        <b val="true"/>
        <sz val="11"/>
        <color rgb="FFFFFFFF"/>
        <rFont val="Arial Narrow"/>
        <family val="2"/>
        <charset val="1"/>
      </rPr>
      <t xml:space="preserve">Funcionando 
</t>
    </r>
    <r>
      <rPr>
        <i val="true"/>
        <sz val="11"/>
        <color rgb="FFFFFFFF"/>
        <rFont val="Arial Narrow"/>
        <family val="2"/>
        <charset val="1"/>
      </rPr>
      <t xml:space="preserve">(1/2/3)</t>
    </r>
  </si>
  <si>
    <t xml:space="preserve">Evaluación </t>
  </si>
  <si>
    <t xml:space="preserve">EJEMPLO</t>
  </si>
  <si>
    <t xml:space="preserve"> Aplicación del Código de Integridad. (incluye análisis de desviaciones, convivencia laboral, temas disciplinarios internos, quejas o denuncias sobres los servidores de la entidad, u otros temas relacionados).</t>
  </si>
  <si>
    <t xml:space="preserve">Dimensión Talento Humano
Política Integridad</t>
  </si>
  <si>
    <t xml:space="preserve">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</si>
  <si>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</si>
  <si>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</si>
  <si>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 xml:space="preserve">En el marco del Comité Institucional de Control Interno bimensualmente se contrastan quejas internas y externas sobre situaciones irregulares.</t>
  </si>
  <si>
    <t xml:space="preserve">Se han analizado los temas más críticos acerca en relación con el ausentismo, acoso laboral, solicitudes de traslado y rotación del personal.</t>
  </si>
  <si>
    <t xml:space="preserve">1.1 Aplicación del Código de Integridad. (incluye análisis de desviaciones, convivencia laboral, temas disciplinarios internos, quejas o denuncias sobres los servidores de la entidad, u otros temas relacionados).</t>
  </si>
  <si>
    <r>
      <rPr>
        <sz val="11"/>
        <color rgb="FF000000"/>
        <rFont val="Arial Narrow"/>
        <family val="2"/>
        <charset val="1"/>
      </rPr>
      <t xml:space="preserve">La entidad adoptó mcodiante Resolución SDA No. 3473 de 2018 rad. 2018EE257995  Código de integridad.
SEMESTRE I: 
1) Desde el 21/04/2020 con la participación del equipo de Comunicaciones, se llevó a cabo la difusión del Código de integridad, el cual se remitió a todos los funcionarios y contratistas de la SDA. Adicionalmente, se elaboraron piezas comunicativas con mensajes de reflexión sobre los valores para y desde casa, resaltando los valores de respeto, justicia, honestidad, compromiso. Estos mensajes se remitieron hasta el 11/05/2020, dando inicio el 12/05/2020 a la semana de reflexión, en el marco de los valores de integridad. 
2) Se formula anualmente un plan de integridad, para la vigencia 2021, en el Comité Institucional de Gestión y Desempeño mediante acta del 29 de enero de 2021, se presento y aprobó el Plan de Integridad como parte integral del Plan Anticorrupción y de Atención al Ciudadano, en su componente sobre gestión de integridad. (Verificar CICCI)
 </t>
    </r>
    <r>
      <rPr>
        <sz val="11"/>
        <color rgb="FFFF0000"/>
        <rFont val="Arial Narrow"/>
        <family val="2"/>
        <charset val="1"/>
      </rPr>
      <t xml:space="preserve">*La funcionaria y gestora de integridad, hace presentación del plan de Integridad para esta vigencia 2021 indicando como preámbulo que estamos partiendo de tres ítems: 1. Diseño de la política de integridad que se hizo a nivel nacional 2. A nivel Distrito desde el año 2004 con grupo de gestores de integridad con trayectoria y desde el año 2018 se inició con la política de integridad valores y principios, con la Decreto 118 de 2018.
Los gestores de integridad realizaron capacitaciones a todos los funcionarios y contratistas de la entidad de manera virtual sobre el código de integridad de la SDA, en donde se dio a conocer la percepcion de valores en la SDAy los valores asociados al código de integridad.(verificar si se trato en el CICCI)
</t>
    </r>
    <r>
      <rPr>
        <sz val="11"/>
        <color rgb="FF000000"/>
        <rFont val="Arial Narrow"/>
        <family val="2"/>
        <charset val="1"/>
      </rPr>
      <t xml:space="preserve">SEMESTRE II
1) Mediante correo electrónico del 19/11/2021 se comunica el inicio a la semana de integridad que inicia el 22 de noviembre al 26 de noviembre de 2021.
Evidencias: (pag web informes pqr de 1 y 2 linea de defensa) 
2) - Presentar los resultados el monitoreo de los registros al SIDEAP en próximo CICCI.</t>
    </r>
  </si>
  <si>
    <t xml:space="preserve">Para el periodo evaluado no se presentaron en el CICCI los resultados de la socializacion al código de integridad.</t>
  </si>
  <si>
    <t xml:space="preserve">Durante la vigencia se observaron diferentes gestiones frente a la interiorización del código de integridad, sin embargo se recomienda;
a. Dar prioridad en próxima sesión del CICCI incluir la presentación de los resultados de la socialización y aprehesión del código de integridad.
b. Considerar las recomendaciones indicadas por la OCI comunicadas con el forest No. 2021IE258164 del 25-11-2021 resultados de la evaluación de la aprehensión del código de integridad.</t>
  </si>
  <si>
    <t xml:space="preserve">1.2 Mecanismos para el manejo de conflictos de interés. </t>
  </si>
  <si>
    <r>
      <rPr>
        <sz val="11"/>
        <color rgb="FF000000"/>
        <rFont val="Arial Narrow"/>
        <family val="2"/>
        <charset val="1"/>
      </rPr>
      <t xml:space="preserve">Para el manejo de conflictos de interés: El proceso talento humano definió e implementó lineamientos y políticas de operación mediante el Procedimiento Selección y Nombramiento Ordinario, Periodo de Prueba y Provisional código PA01-PR16  vesrsión 05 del 25-08-2021, que incluye los criterios para la declarración de conflictos de interés en el marco de lo indicado en la Circular Conjunta 001/2020 de la secretaría General y DASC en cumplimiento a la Ley 2013 de 2019.
- El proceso Control y Mejora mediante el p</t>
    </r>
    <r>
      <rPr>
        <sz val="11"/>
        <rFont val="Arial Narrow"/>
        <family val="2"/>
        <charset val="1"/>
      </rPr>
      <t xml:space="preserve">rocedimiento Auditorías Internas de Gestión, código PC01-PR04, versión 1 de 1/09/2021, definió un código de Ética de los Auditores Internos de gestión PC01-PR04-M1  versión 1 y un Estatuto de Auditoria interna de gestión PC01-PR04-INS1  Versión 1 y la plantilla para la declaración de impedimento PC01-PR01-F6   versión 1.
- La entidad mediante Resolución SDA No. 03667 "... funcionamiento del Comité de Conciliación..."artículo 13° Conflictos de interés y causales de impedimento y recusación.
</t>
    </r>
    <r>
      <rPr>
        <b val="true"/>
        <sz val="11"/>
        <rFont val="Arial Narrow"/>
        <family val="2"/>
        <charset val="1"/>
      </rPr>
      <t xml:space="preserve">SEMESTRE I.
</t>
    </r>
    <r>
      <rPr>
        <sz val="11"/>
        <rFont val="Arial Narrow"/>
        <family val="2"/>
        <charset val="1"/>
      </rPr>
      <t xml:space="preserve">1). Mediante acta  No- 01 de reunion del CICCI del 29 de enero de 2021 se presentó el estado del mapa de riesgos de gestión y corrupcion, donde se relacionan los procesos que dan manejo al conflicto de intereses en desarrollo de las actividades contratación, gestión judicial y auditorías internas de gestión.. 
</t>
    </r>
    <r>
      <rPr>
        <b val="true"/>
        <sz val="11"/>
        <color rgb="FF000000"/>
        <rFont val="Arial Narrow"/>
        <family val="2"/>
        <charset val="1"/>
      </rPr>
      <t xml:space="preserve">SEMESTRE II.
</t>
    </r>
    <r>
      <rPr>
        <sz val="11"/>
        <rFont val="Arial Narrow"/>
        <family val="2"/>
        <charset val="1"/>
      </rPr>
      <t xml:space="preserve">1). Mediante memorando No. 2021IE179003 del 25 de agosto del 2021. Se ajusta el alcance, del procedimiento  el procedimiento Selección y Nombramiento Ordinario, Periodo de Prueba y Provisional Código: PA01-PR16, versión 5, incluyendo un lineamiento y política de operación sobre la identificación y declaración de conflictos de interés</t>
    </r>
    <r>
      <rPr>
        <sz val="11"/>
        <color rgb="FFFF0000"/>
        <rFont val="Arial Narrow"/>
        <family val="2"/>
        <charset val="1"/>
      </rPr>
      <t xml:space="preserve">.
</t>
    </r>
    <r>
      <rPr>
        <sz val="11"/>
        <color rgb="FF000000"/>
        <rFont val="Arial Narrow"/>
        <family val="2"/>
        <charset val="1"/>
      </rPr>
      <t xml:space="preserve">2). Mediante correo electronico del 9 de noviembre de 2021 el area de tealento humano socializó el correo allegado por el DASCD, con el fin de que tanto los servidores públicos como los demás colaboradores de la Secretaria Distrital de Ambiente , diligencien  el formato de conflicto  de intereses del SIDEAP, para lo cual se fijó como fecha limite el 15 de noviembre de 2021.</t>
    </r>
    <r>
      <rPr>
        <sz val="11"/>
        <color rgb="FFFF0000"/>
        <rFont val="Arial Narrow"/>
        <family val="2"/>
        <charset val="1"/>
      </rPr>
      <t xml:space="preserve"> Mediante correo electronico del 9 de noviembre de 2021 el area de talento humano convoco a funcionarios y contratistas de la SDA a capacitación programada para el 10 de noviembre  sobre el diligenciamiento del formato de conflicto de intereses en el módulo de SIDEAP, antes del LUNES 15 DE NOVIEMBRE.</t>
    </r>
  </si>
  <si>
    <t xml:space="preserve">Para el periodo evaluado no se presentaron en el CICCI los resultados del monitoreo sobre los mecanismos para el manejo de conflicto de interés.</t>
  </si>
  <si>
    <t xml:space="preserve">Durante la vigencia se observaron diferentes gestiones respecto a la aplicación de los mecanismos para el conflicto de interes, sin embargo se recomienda;
a. Realizar monitoreo respecto del cargue de documentos y actualizacion de la informacion registrada  por parte de funcionarios y contratistas en las plataformas designadas para tal fin.
- Presentar los resultados el monitoreo de los registros al SIDEAP en próximo CICCI.
- Incluir en el mapa de aseguramiento la actividad de monitoreo las declaraciones de impedimentos.</t>
  </si>
  <si>
    <t xml:space="preserve">1.3 Mecanismos frente a la detección y prevención del uso inadecuado de información privilegiada u otras situaciones que puedan implicar riesgos para la entidad.</t>
  </si>
  <si>
    <t xml:space="preserve">Dimensión Información y Comunicación
Política Transparencia y Acceso a la Información Pública
Política Gestión Documental</t>
  </si>
  <si>
    <t xml:space="preserve">Los mecanismos frente a la detección y prevención del uso inadecuado de información privilegiada que pueda implicar riesgo en la entidad, se ha considerado la caracterización de usuarios y grupos de valor.
SEMESTRE I.
Convocatoria a reunión virtual mediante memorando Forest SDA No. No. 2021IE35337 de 24 de febrero de 2021.CICCI y se  presentaron los resultados de la evaluación de la comunicación interna y externa de la entidad. 
SEMESTRE II.
No se identicaron revisiones ni actualizaciones.</t>
  </si>
  <si>
    <t xml:space="preserve">Para el periodo evaluado no se presentaron en el CICCI los resultados del monitoreo de los mecanismos frente a la detección y prevención del uso inadecuado de informacipon privilegiada…</t>
  </si>
  <si>
    <t xml:space="preserve">Durante la vigencia se observaron gestiones comunicacionales respecto en atención a la detección y prevención del uso inadecuado de información privilegiada que pueda implicar riesgo en la entidad, sin embargo se recomienda;
a. Realizar monitoreo respecto a la gestión sobre los mecanismos frente a la detección y prevención en la entidad y presentar en proxima sesión del CICCI.
b. Considerar la revisión periodica de la caracterización de usuarios y grupos de valor.</t>
  </si>
  <si>
    <t xml:space="preserve">1.4 La evaluación de las acciones transversales de integridad, mediante el monitoreo permanente de los riesgos de corrupción. </t>
  </si>
  <si>
    <t xml:space="preserve">Dimension Talento Humano
Politica de Integridad</t>
  </si>
  <si>
    <t xml:space="preserve">SEMESTRE I :
1) En  Comité CICCI se presenta: a) Resultados del monitoreo al PAAC corte 31 de diciembre 2020 ver Acta CICCI del 29 de enero de 2021- 30 de abril  y Acta CICCI del 15 de junio de 2021. que incluye el seguimiento al mapa de riesgos de corrupción.
SEMESTRE II:
1) Mediante radicado 2021IE195059 del 14-09-2021, se envia segundo Informe de Seguimiento y Evaluación sobre el Estado de la Gestión de los Riesgos de Corrupción y de Gestión, Plan Anticorrupción y de Atención al Ciudadano y Plan de Integridad. Corte Mayo a Agosto de 2021. (no se evidencia acta CICCI, ni presentacion)</t>
  </si>
  <si>
    <t xml:space="preserve">En el CICCI se presentaron los resultados del monitoreo al PAAC 2021, no obstante integridad no es tan claro.</t>
  </si>
  <si>
    <t xml:space="preserve">Durante la vigencia se observaron gestiones respecto al monitoreo del mapa de riesgos de corrupción del PAAC 2021, sin embargo se recomienda:
a,- Presentar los resultados el monitoreo al PAAC con corte a agosto 2021 ante el CICCI incluyendo los resultados de la evaluacion de las acciones transversales de integridad.</t>
  </si>
  <si>
    <t xml:space="preserve">Pendiente presentar en el CICCI los resultados del monitoreo del PAAC corte 31 de agosto.</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</si>
  <si>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</si>
  <si>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 xml:space="preserve">Dimensión Direccionamiento Estratégico y Planeación
Plan Anticorrupción y de Atención al Ciudadano</t>
  </si>
  <si>
    <t xml:space="preserve">La entidad ha dispuesto en la página Web institucional el link de tramites https://ambientebogota.gov.co/es/web/transparencia/tramites-y-servicios el canal de denucias que sirve para que demanera interna se puedan registrar posibles situaciones irregulares e incumplimiento al código de integridad.
SEMESTRE I:
- Mediante acta No. 1 del Comité Institucional de Gestión y Desempeño  del 29 de enero de  2021, se aprovó el Proyecto del Plan Anticorrupción y de Atención al Ciudadano vigencia 2021 en donde incluye la evaluacion de la aprehensión al Código de Integridad, la cual seria ejecutada en el segundo semestre del año.
SEMESTRE II
- Mediante memorando 2021IE258164  del 25 de noviembre de 2021 se comunico los  resultados 2021 evaluación de la aprehensión al Código de Integridad, incluyendo el numero de denuncias, quejas sobre situaciones irregulares o posibles agreciones al Código de Integridad.</t>
  </si>
  <si>
    <t xml:space="preserve">Pendiente presentar ante el CICCI los resultados del análisis de las situacioens de irregulares o posibles agreciones al Código de Integridad hayan contribuido a la mejora de los mapas de riesgos o en otros ambitos organizacionales.</t>
  </si>
  <si>
    <t xml:space="preserve">Durante la vigencia se observo mantenimiento del link en la página web institucional, no obstante no se logro evidenciar resultados del análisis de las situacioens de irregulares o posibles agreciones al Código de Integridad que hayan contribuido a la mejora de los mapas de riesgos o en otros ambitos organizacionales.sin embargo se recomienda:
a) Elaborar el análisis de las situacioens de irregulares o posibles agreciones al Código de Integridad que contribuyan a la mejora de los mapas de riesgos o en otros ambitos organizacionales y presentarlos ante el CICCI.</t>
  </si>
  <si>
    <r>
      <rPr>
        <b val="true"/>
        <u val="single"/>
        <sz val="11"/>
        <color rgb="FFFFFFFF"/>
        <rFont val="Arial Narrow"/>
        <family val="2"/>
        <charset val="1"/>
      </rPr>
      <t xml:space="preserve">Lineamiento 2:</t>
    </r>
    <r>
      <rPr>
        <sz val="11"/>
        <color rgb="FFFFFFFF"/>
        <rFont val="Arial Narrow"/>
        <family val="2"/>
        <charset val="1"/>
      </rPr>
      <t xml:space="preserve"> 
Aplicación de mecanismos para ejercer una adecuada supervisión del Sistema de Control Interno </t>
    </r>
  </si>
  <si>
    <t xml:space="preserve">Evaluación</t>
  </si>
  <si>
    <t xml:space="preserve">2.1 Creación o actualización del Comité Institucional de Coordinación de Control Interno (incluye ajustes en periodicidad para reunión, articulación con el Comité Institucioanl de Gestión y Desempeño).</t>
  </si>
  <si>
    <t xml:space="preserve">Dimension Control Interno
Politica de Control Interno</t>
  </si>
  <si>
    <t xml:space="preserve">El Comité Institucional de Coordinación de Control Inerno (CICCI) creado con las Resoluciones SDA No. 02735 y 1455 de 2018 ver memorando No. 2020EE227607.</t>
  </si>
  <si>
    <t xml:space="preserve">En las sesiones del CICCI no fue considerada la necesidad de revisión ni actualización.</t>
  </si>
  <si>
    <t xml:space="preserve">Sin observaciones</t>
  </si>
  <si>
    <t xml:space="preserve">2.2 Definición y documentación del Esquema de Líneas de Defensa</t>
  </si>
  <si>
    <t xml:space="preserve">Dimension Control Interno
Politica de Control Interno
Lineas de defensa</t>
  </si>
  <si>
    <t xml:space="preserve">La entidad mediante Resolución SDA No. 02163 de 16 de octubre de 2020 definió los lideres de cada una de las políticas de MIPG, memorando No. 2020EE181065 y en sesión CICCI de 22 de diciembre de 2020 se aprobó el documento esquema de líneas de defensa de la SDA, públicado en la página Web institucional,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
SEMESTRE I
Mediante memorando No. 2021IE10099 de 20/01/2021, la OCI presenta los resultados de la evaluación del sistema de control interno.
SEMESTRE II.
- En el plan de adecuación y sostenibilidad del MIPG 2021, se consideró ejercicio para la revisión y actualización del esquema de líneas de defensa.
- Mediante memorando SDA No. 2019IE83422 del 12/04/2019 la SG emitió un lineamiento respecto a el autocontrol y autoevaluación de la primera y segunda línea de defensa.</t>
  </si>
  <si>
    <t xml:space="preserve">Pendiente presentar ante el CICCI los resultados de la revisión y actualización del esquema de las líneas de defensa</t>
  </si>
  <si>
    <t xml:space="preserve">Durante la vigencia se observaron gestiones respecto a la revisión y actualización del esquema líneas de defensa, sin embargo se recomienda:
a. Agilizar la revisión y actualización del equema lineas de defensa y presentar en sesión del CICCI.</t>
  </si>
  <si>
    <t xml:space="preserve">2.3 Definición de líneas de reporte en temas clave para la toma de decisiones, atendiendo el Esquema de Líneas de Defensa</t>
  </si>
  <si>
    <t xml:space="preserve">Dimension Control Interno
Politica de Control Interno
Linea de Defensa
Dimension de Informaciòn y Comunicaciòn</t>
  </si>
  <si>
    <t xml:space="preserve">La entidad mediante Resolución SDA No. 02163 de 16 de octubre de 2020 definió los lideres de cada una de las políticas de MIPG, memorando No. 2020EE181065 y en sesión CICCI de 22 de diciembre de 2020 se aprobó el documento esquema de líneas de defensa de la SDA, públicado en la página Web institucional,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
SEMESTRE I
Mediante memorando No. 2021IE10099 de 20/01/2021, la OCI presenta los resultados de la evaluación del sistema de control interno.
- En sesión CICCI del 29 de enero de 2021 se presentaron las observaciones realizadas por cada una de las lineas de defensa frente al  documento esquema de líneas de defensa de la SDA. http://www.ambientebogota.gov.co/web/transparencia/reportes-de-control-interno/-/document_library_display/Jkr8/view/10871305
SEMESTRE II.
- En el plan de adecuación y sostenibilidad del MIPG 2021, se consideró ejercicio para la revisión y actualización del esquema de líneas de defensa.
- Mediante memorando SDA No. 2019IE83422 del 12/04/2019 la SG emitió un lineamiento respecto a el autocontrol y autoevaluación de la primera y segunda línea de defensa.</t>
  </si>
  <si>
    <t xml:space="preserve">No obstante por parte de la segunda linea de defesa se han presentado algunos reportes ante el CICCI durante la vigencia, aún queda pendiente la presentación de la totalidad de los reportes en temas claves para la toma de decisiones.</t>
  </si>
  <si>
    <t xml:space="preserve">Durante la vigencia se observaron gestiones respecto a la revisión y actualización del esquema lineas de defensa, sin embargo se recomienda:
a. Agilizar la revisión y actualización del equema lineas de defensa y presentar en sesión del CICCI.
b. Asegurar la presentación de la totalidad de los reportes en temas claves para la toma de decisiones que se definan en el esquema de líneas de defensa.</t>
  </si>
  <si>
    <r>
      <rPr>
        <b val="true"/>
        <u val="single"/>
        <sz val="11"/>
        <color rgb="FFFFFFFF"/>
        <rFont val="Arial Narrow"/>
        <family val="2"/>
        <charset val="1"/>
      </rPr>
      <t xml:space="preserve">Lineamiento 3:</t>
    </r>
    <r>
      <rPr>
        <sz val="11"/>
        <color rgb="FFFFFFFF"/>
        <rFont val="Arial Narrow"/>
        <family val="2"/>
        <charset val="1"/>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</si>
  <si>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 xml:space="preserve">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</si>
  <si>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 xml:space="preserve">Dimension de Direccionamiento Estrategico y Planeaciòn
Politica de Planeaciòn Institucional 
Dimension Control Interno</t>
  </si>
  <si>
    <t xml:space="preserve">La entidad ha revisado el procedimiento administración de riesgos que en su versión actual de junio de 2021
SEMESTRE I
Se presentaron los resultados de la evaluación al PAAC y mapas de riesgos de gestión y corrupción, mediante memorando 2021IE08732 de 18/01/2021.
En comité CICCI de 29 de enero de 2021 se realizó convocatoria a sesión virtual CICCI mediante memorando Forest SDA No. 2021IE08502 de 18/01/2021
y 2021IE11893 de 22/01/2021. Se presentaron por parte de la tercera linea de defensa los resultados de la evaluación al PAAC y mapa de riesgos de gestión y corrupción. 
SEMESTRE II
El 30 de diciembre de 2021 mediante correo electronico la SG socializó los lineamientos de la politica de administración de riesgos.
Se avanza en la actualizacion del mapa de riesgos y la aplicación de la Guía de Administración de Riesgos y Controles, versión 4 del DAFP.</t>
  </si>
  <si>
    <t xml:space="preserve">Pendiente presentar ante el CICCI los resultados de la revisión y actualización de los mapas de riesgos según los lineamientos de la nueva guia de riesgos del DAFP.</t>
  </si>
  <si>
    <t xml:space="preserve">Durante la vigencia se observaron gestiones respecto a la revisión y actualización  de los mapas de riesgos, sin embargo se recomienda:
a. Revisar la totalidad de los mapas de riesgos y caracterización de los proesos conforme a los lineamientos de la nueva guia de riesgos del DAFP.
b. Considerar la inclución del proceso Gestión del Talento en los procesos estrategicos. 
c. Revisar las caracterizaciones de los procesos para mejorar el enfoque en procesos y sus interacciones.
d. Asegurar por parte de la primera línea de defensa el cargue oportuno de las evidencias de la aplicación del control en el reporte cuatrimestral que se hace en el aplicativo ISOLUCION.
e. Realizar la actualización del sistema de administración de riesgos de acuerdo a la Guía de Administración del Riesgo y diseño de controles, versión 5 del DAFP.
f. Realizar las mejoras, actualización del Sistema de Información ISOLUCION de acuerdo con la nueva Guía de riesgos y el esquema de líneas de defensa.
g. Evaluar el riesgo que genera el ausentismo laboral por incapacidades, efectos de la pandemia, así como el posible incumplimiento de objetivos y metas proyecto de inversión,
por reducciones presupuestales.</t>
  </si>
  <si>
    <t xml:space="preserve">3.2 La Alta Dirección frente a la política de Administración del Riesgo definen los niveles de aceptación del riesgo, teniendo en cuenta cada uno de los objetivos establecidos. </t>
  </si>
  <si>
    <t xml:space="preserve">Dimension Control Interno
Politica de Control Interno
Linea Estrategica</t>
  </si>
  <si>
    <t xml:space="preserve">La entidad ha revisado la Política de administración de riesgos y oportunidades adoptada en reunión de CICCI. Ver http://www.ambientebogota.gov.co/web/transparencia/politicas-lineamientos-y-manuales1  
SEMESTRE I
En  comite CICCI del 27 de abril de 2021 la alta direccion recomendo agilizar la publicación del mapa de riesgos de gestión y corrupción actualizado. 
En  comite CICCI del 15 de junio de 2021 La alta direccion realizo la  actualización de la Política de Administración del Riesgo, en sesión del 13 de octubre de 2020 mediante acta No. 6 de CICCI. Ver memorando No. 2021IE94510 DEL 14/05/2021.
SEMESTRE II
Durante el segundo semestre de la vigencia no se consideraron actividades relacionadas.</t>
  </si>
  <si>
    <t xml:space="preserve">Dado que en el primer semestre de 2021 el CICCI del 15 de junio de 2021 se realizó la  definición y evaluación de la Política de Administración del Riesgo, para el segundo semestre de la vigencia no fue considerado el tema.</t>
  </si>
  <si>
    <t xml:space="preserve">Durante la vigencia se observaron gestiones respecto a la revisión y actualización  de la política de riesgos, sin embargo se recomienda:
a. Realizar la actualización del procedimiento administración de riesgos de acuerdo a la Guía de Administración del Riesgo y diseño de controles, versión 5 del DAFP.
b. Realizar las mejoras, actualización del modulo riesgos en elsistema de Información ISOLUCION de acuerdo con la nueva Guía de riesgos y el esquema de líneas de defensa.</t>
  </si>
  <si>
    <t xml:space="preserve">3.3 Evaluación de la planeación estratégica, considerando alertas frente a posibles incumplimientos, necesidades de recursos, cambios en el entorno que puedan afectar su desarrollo, entre otros aspectos que garanticen de forma razonable su cumplimiento.</t>
  </si>
  <si>
    <t xml:space="preserve">Diimensiòn Evaluacion de Resultados 
Politica de Seguimiento y Evaluaciòn al Desemepeño Institucional
Dimension Control Interno
Lineas de defensa</t>
  </si>
  <si>
    <t xml:space="preserve">La Entidad mediante Resolución SDA No. 02163 de 16 de octubre de 2020 definió los lideres de cada una de las políticas de MIPG, ver memorando 2020EE181065  y con la Resolución SDA No.02735 “... actualiza el Comité Institucional de Coordinación de Control Interno... creado mediante Resolución 1455 de 2018...” Ver memorando SDA No. 2020EE227607.
SEMESTRE I
- En comité CICCI  del 11 de febrero de 2021 la segunda línea de defensa solicita que las áreas responsables remitan con oportunidad la información para el saneamiento y den respuesta de fondo para lograr resolver las situaciones más complejas, por ejemplo: en propiedad planta y equipo, situaciones administrativas para evitar caducidades y la pérdida de fuerza ejecutoria. La linea estrategica alerta sobre problemática que se viene presentando con los inventarios asignados a los contratistas.
- En comité CICCI  de 11 de marzo de 2021 la línea estratégica alerta  sobre el incremento en gastos de transporte, mantenimiento de vehículos y cafetería.
- En comité CICCI  de 27 de abril de 2021 se verificó el cumplimiento de las metas proyeto de inversion de la SDA y se alerto respecto a la ejecución física o magnitud,  para los siguientes 7 proyectos de inversión: 7710 arbolado urbano, 7711 Fauna silvestre, 7725 – CIMAB, 7778 Calidad del aire, 7789 – Rrecuso hidrico, 7811 Conservación y 7814 – ÁREAS PROTEGIDAS.
- En comité CICCI  de 15 de junio de 2021 la tercera lina de defensa  presentó la verificación el monitoreo y evaluacion de los mapas de riesgos 
realizado en el aplicativo ISOLUCION.</t>
  </si>
  <si>
    <t xml:space="preserve">Pendiente presentar en comité CICCI el monitoreo de la planeación estratégica respecto a las alertas frente a posibles incumplimientos…</t>
  </si>
  <si>
    <t xml:space="preserve">Durante la vigencia se observaron gestiones frente al  monitoreo de la planeación estratégica respecto a las alertas frente a posibles incumplimiento, sin embargo se recomienda:
a. Realizar el análisis e identificación de riesgos de corrupción para los procesos misionales: Evaluación, Control y Seguimiento y Gestión Ambiental y Desarrollo Rural.
b. Garantizar la generación de registros en aplicación del plan de contingencia cuando se materialicen riesgos.</t>
  </si>
  <si>
    <t xml:space="preserve">
c. Realizar la revisión y actualización del mapa de procesos, caracterizaciones y procedimientos, para: Incluir en procesos estratégicos a Gestión del Talento Humano.</t>
  </si>
  <si>
    <r>
      <rPr>
        <b val="true"/>
        <u val="single"/>
        <sz val="11"/>
        <color rgb="FFFFFFFF"/>
        <rFont val="Arial Narrow"/>
        <family val="2"/>
        <charset val="1"/>
      </rPr>
      <t xml:space="preserve">Lineamiento 4:</t>
    </r>
    <r>
      <rPr>
        <sz val="11"/>
        <color rgb="FFFFFFFF"/>
        <rFont val="Arial Narrow"/>
        <family val="2"/>
        <charset val="1"/>
      </rPr>
      <t xml:space="preserve"> 
Compromiso con la competencia de todo el personal, por lo que la gestión del talento humano tiene un carácter estratégico con el despliegue de actividades clave para todo el ciclo de vida del servidor público –ingreso, permanencia y retiro.</t>
    </r>
  </si>
  <si>
    <t xml:space="preserve">4.1 Evaluación de la Planeación Estratégica del Talento Humano.</t>
  </si>
  <si>
    <t xml:space="preserve">Dimension de Talento Humano
Politica Gestion Estrategica del Talento Humano
Dimension de Control Interno
Lineas de Defensa</t>
  </si>
  <si>
    <r>
      <rPr>
        <b val="true"/>
        <sz val="11"/>
        <rFont val="Arial Narrow"/>
        <family val="2"/>
        <charset val="1"/>
      </rPr>
      <t xml:space="preserve">SEMESTRE I
</t>
    </r>
    <r>
      <rPr>
        <sz val="11"/>
        <rFont val="Arial Narrow"/>
        <family val="2"/>
        <charset val="1"/>
      </rPr>
      <t xml:space="preserve">1. El Plan Estratégico de Talento Humano fue presentado y aprobado mediante acta 01 del Comité Institucional de Gestión y Desempeño de la SDA el 29 de enero de 2021, así mismo fue publicado en la página Web de la entidad link de transparencia. Así mismo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 (solo indicativo, aprueba y firma representante legal SDA)
</t>
    </r>
    <r>
      <rPr>
        <b val="true"/>
        <sz val="11"/>
        <rFont val="Arial Narrow"/>
        <family val="2"/>
        <charset val="1"/>
      </rPr>
      <t xml:space="preserve">SEMESTRE II:
</t>
    </r>
    <r>
      <rPr>
        <sz val="11"/>
        <rFont val="Arial Narrow"/>
        <family val="2"/>
        <charset val="1"/>
      </rPr>
      <t xml:space="preserve">1. Mediante memorando 2021IE254582 se socializó el informe Preliminar del Trabajo de Auditoria Interna. Proceso de Gestión de Talento Humano en el que se recomiendó para la vigencia 2022 incorporar el componente de los Planes de Mejoramiento Individual para estructurar acciones que permitan evidenciar mayor fortalecimiento del talento humano, y asegurar mejores contribuciones al cumplimiento de los objetivos y metas institucionales y a la creación de valor público.</t>
    </r>
  </si>
  <si>
    <t xml:space="preserve">Pendiente socializar los resultados de la Auditoria de Gestión de Talento humano en el CICCI.</t>
  </si>
  <si>
    <t xml:space="preserve">Durante la vigencia se observaron gestiones frente a la evaluación de la planeación estratégica del Talento Humano, sin embargo se recomienda:
a) Incorporar para la vigencia 2022 en el Plan Estratégico de Talento Humano el componente de los Planes de Mejoramiento Individual para estructurar acciones que permitan evidenciar mayor fortalecimiento del talento humano, y asegurar mejores contribuciones al cumplimiento de los objetivos y metas institucionales y a la creación de valor público.</t>
  </si>
  <si>
    <t xml:space="preserve">4.2 Evaluación de las actividades relacionadas con el Ingreso del personal.</t>
  </si>
  <si>
    <r>
      <rPr>
        <sz val="11"/>
        <rFont val="Arial Narrow"/>
        <family val="2"/>
        <charset val="1"/>
      </rPr>
      <t xml:space="preserve">Regulado por el Procedimiento: Selección y Nombramiento Ordinario, Periodo de Prueba y Provisional Código: PA01-PR16, Versión: 5, evaluando las actividades realcionadas al ingreso del personal mediante Anexo 2: Formato Cumplimiento de Requisitos Código: PA01-PR16-F2, Versión: 4 y Anexo 3: Formato Certificación Cumplimiento de Requisitos  Código: PA01-PR16-F3, Versión: 4, fijando como responsable del procedimiento la Dirección de Gestión Corporativa.
SEMESTRE I
En comité No. 1 de gestion y desempeñodel dia 29 de enero de 2021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 (solo indicativo, aprueba y firma representante legal
SDA)
</t>
    </r>
    <r>
      <rPr>
        <b val="true"/>
        <sz val="11"/>
        <rFont val="Arial Narrow"/>
        <family val="2"/>
        <charset val="1"/>
      </rPr>
      <t xml:space="preserve">SEMESTRE II:
</t>
    </r>
    <r>
      <rPr>
        <sz val="11"/>
        <rFont val="Arial Narrow"/>
        <family val="2"/>
        <charset val="1"/>
      </rPr>
      <t xml:space="preserve">1). En Sesión Ordinaria No. 11 del 27 de septiembre de 2021 Comité de Contratación adoptado el Manual de contratación de la SDA mediante Resolución 03380 del 30 de septiembre de 2021, el cual establece los criterios, lineamientos, procedimientos y responsabilidades que se deben adelantar en la gestión contractual de conformidad con las etapas de planeación, selección, contratación y ejecución de los contratos y/o convenios suscritos por la entidad. 
</t>
    </r>
  </si>
  <si>
    <t xml:space="preserve">No se ha llevado el tema ante el CICCI.</t>
  </si>
  <si>
    <t xml:space="preserve">Durante la vigencia no se observaron gestiones ni reportes frente a la evaluación de las actividades de ingreso de personal, se recomienda:
a) Considerar en proximo CICCI la evaluación de las actividades de ingreso de personal.</t>
  </si>
  <si>
    <t xml:space="preserve">4.3 Evaluación de las actividades relacionadas con la permanencia del personal.</t>
  </si>
  <si>
    <r>
      <rPr>
        <sz val="11"/>
        <rFont val="Arial Narrow"/>
        <family val="2"/>
        <charset val="1"/>
      </rPr>
      <t xml:space="preserve">Regulado por: Procedimiento: Evaluación del Desempeño Laboral Código: PA01-PR10, Versión: 7 recopila la información objetiva permitiendo la toma de decisiones relacionadas con la permanencia, ascenso y retiro del servicio.
Procedimiento Acuerdos de Gestión Código: PA01-PR34, Versión: 4 por medio del cual se adopta la metodología y los instrumentos para suscribir los Acuerdos de Gestión entre los Gerentes Públicos y el Superior Jerárquico, dando cumplimiento a los objetivos y obtención de resultados institucionales evaluando su rendimiento y competencia a través del seguimiento respectivo.
</t>
    </r>
    <r>
      <rPr>
        <b val="true"/>
        <sz val="11"/>
        <rFont val="Arial Narrow"/>
        <family val="2"/>
        <charset val="1"/>
      </rPr>
      <t xml:space="preserve">SEMESTRE I:
</t>
    </r>
    <r>
      <rPr>
        <sz val="11"/>
        <rFont val="Arial Narrow"/>
        <family val="2"/>
        <charset val="1"/>
      </rPr>
      <t xml:space="preserve">1. Mediante acta 01 del 29 de enero de 2021 del Comité Institucional de Gestión y Desempeño de la SDA, se aprueban los siguientes planes:
- Plan Institucional de estímulos, cuyo propósito es elevar los valores de eficiencia, satisfacción y desarrollo de los empleados en el desempeño de su labor, y de contribuir con el cumplimiento efectivo de las metas institucionales.
- Plan Estratégico de Talento Humano en cumplimento a la Política Estratégica de Talento Humano y en articulación con MIPG cuenta con los siguientes instrumentos metodológicos y actividades que permiten evaluar la gestión: Evaluación del Desempeño, Acuerdos de Gestión, Programas de Pre pensionados, Teletrabajo y Reporte SIDEAP.
- Se dio cumplimiento al plan de mejoramiento por procesos y fueron evaluadas durante el 2021 como eficaces las siguientes acciones:
- 287 Revisar cumplimiento de los requisitos exigidos en el Manual de Funciones y Competencias Laborales. 17/feb./2021. 
</t>
    </r>
    <r>
      <rPr>
        <b val="true"/>
        <sz val="11"/>
        <rFont val="Arial Narrow"/>
        <family val="2"/>
        <charset val="1"/>
      </rPr>
      <t xml:space="preserve">SEMESTRE II:
</t>
    </r>
    <r>
      <rPr>
        <sz val="11"/>
        <rFont val="Arial Narrow"/>
        <family val="2"/>
        <charset val="1"/>
      </rPr>
      <t xml:space="preserve">1.  Mediante memorando 2021IE261723 se socializó el informe definitivo del Trabajo de Auditoria Interna. Proceso de Gestión de Talento Humano evidenciándose que se presentó una recusación que fue resuelta mediante Resolución SDA No. 01309 del 26 de mayo de 2020 contenida en el radicado No. 2021EE103267
2. Mediante memorando 2021IE261723 se socializó el informe definitivo del Trabajo de Auditoria Interna. Proceso de Gestión de Talento Humano  se recomienda Considerar la actualización del método de evaluación del desempeño individual en la que se determine y haga seguimiento al cumplimiento de criterios para que el evaluador identifique brechas y ventanas de oportunidad de mejoramiento en el desempeño individual word_ini de los miembros de los equipos de trabajo que componen la planta de personal al momento de la evaluación y, con ello, estructurar planes de mejoramiento individual, lo cual puede componer una mejor práctica y un factor de éxito en el logro institucional. Esta misma práctica debería replicarse para los acuerdos de gestión de los gerentes públicos.
- La OCI realizó seguimiento al plan demejoramiento del proceso Gestion del talento Hunano comncando los resultados con los siguientes numeros de radicado: 2021IE53049 de 23 de marzo y  2021IE125214 de 23 de junio </t>
    </r>
  </si>
  <si>
    <t xml:space="preserve">Durante la vigencia no se observaron gestiones ni reportes frente a la evaluación de las actividades para la permanencia de personal, se recomienda:
a) Considerar en próximo CICCI la presentación de resultados de la evaluación de las actividades sobre la permanencia de personal</t>
  </si>
  <si>
    <t xml:space="preserve">No se han socializado los resultados de la Auditoria de Gestión de Talento humano en el CICCI.</t>
  </si>
  <si>
    <t xml:space="preserve">4.4Analizar si se cuenta con políticas claras y comunicadas relacionadas con la responsabilidad de cada servidor sobre el desarrollo y mantenimiento del control interno (1a línea de defensa)</t>
  </si>
  <si>
    <r>
      <rPr>
        <sz val="11"/>
        <rFont val="Arial Narrow"/>
        <family val="2"/>
        <charset val="1"/>
      </rPr>
      <t xml:space="preserve">La Secretaría Distrtal de Ambiente mediante Resolución 818 de 2020 modifico el manual de funciones y competencias laborales, el cual ya ha tenido modificaciones al respeto, las cuales se encuentran publicadas en la pagina de la secretaría link de transparencia.
La entidad cuenta con 18 procesos y 250 procedimientos los cuales se norman a través del sistema de informacion de información ISOLUCION, evidenciando sus objetivos, alcance, actividades, anexos, normas y lineamientos y politicas secregadas a los funcionarios de la secretaría.
</t>
    </r>
    <r>
      <rPr>
        <b val="true"/>
        <sz val="11"/>
        <rFont val="Arial Narrow"/>
        <family val="2"/>
        <charset val="1"/>
      </rPr>
      <t xml:space="preserve">SEMESTRE I:
</t>
    </r>
    <r>
      <rPr>
        <sz val="11"/>
        <rFont val="Arial Narrow"/>
        <family val="2"/>
        <charset val="1"/>
      </rPr>
      <t xml:space="preserve">Mediante memorando No. 2021IE114573 del 08 de junio de 2021 comunican los resultados del seguimiento a la implementación del Esquema de Líneas de Defensa, en donde se evidencia respecto de la primera linea de defensa No realizan seguimiento a temas tales como: Plan de mejoramiento por proceso y de entes externos de control, riesgos de gestión y corrupción, indicadores, PQRS y la ejecución de las metas de los proyectos de inversión a cargo del proceso, la revisión y mejora de los documentos del proceso, ni la socialización de los protocolos, instructivos, procedimientos que orientan la ejecución de las actividades del proceso.
</t>
    </r>
    <r>
      <rPr>
        <b val="true"/>
        <sz val="11"/>
        <rFont val="Arial Narrow"/>
        <family val="2"/>
        <charset val="1"/>
      </rPr>
      <t xml:space="preserve">SEMESTRE II:
</t>
    </r>
    <r>
      <rPr>
        <sz val="11"/>
        <rFont val="Arial Narrow"/>
        <family val="2"/>
        <charset val="1"/>
      </rPr>
      <t xml:space="preserve">- Mediante memorando 2021IE179449 del 26 de agosto del 2021 se adopto el MANUAL DE SEGURIDAD Y SALUD EN EL TRABAJO PARA CONTRATISTAS Y/O PROVEEDORES, el cual fue aprobado por el Comité Institucional de Gestión y Desempeño 22 de junio de 2021. 
- Mediante memorando 2021EE247250 del 12 de noviembre de 2021 RESOLUCIÓN No. 04298  se modifica el Manual de Funciones y Competencias Laborales de La Secretaría Distrital de Ambiente y se dictan otras disposiciones.</t>
    </r>
  </si>
  <si>
    <t xml:space="preserve">Duirante el periodo evaluado no se considero el tema en el CICCI. No obstante, se retoma reporte del primer semestre de 2021 mediante acta No. 5 del 15 de junio de 2021 se realizo la presentación de los resultados del seguimiento a la implementación del “Esquema de Líneas de Defensa”. Comunicado con memorando No. 2021IE114573 del 08 de junio de 2021, cuya recomendación fue Fortalecer los ejercicios de autocontrol incluyendo en el transcurso de la vigencia los temas definidos en el documento “Esquema de líneas de defensa” y en la “política de administración de riesgos”. Muy importante asegurar la oportunidad y calidad de las respuestas a las PQRS por cada una de las dependencias.</t>
  </si>
  <si>
    <t xml:space="preserve">Durante la vigencia se observaron gestiones frente a la socialización de polticas frente a las responsaiblidad de los servidores en el marco del desarrollo del sistema de control interno, sin embargo se recomienda:
a) Continuar fortaleciendo el esquema de lineas de defensa.</t>
  </si>
  <si>
    <t xml:space="preserve">4.5 Evaluación de las actividades relacionadas con el retiro del personal.</t>
  </si>
  <si>
    <t xml:space="preserve">Regulado por el procedimiento: Procedimiento: Desvinculación del personal de los cargos pertenecientes a la Secretaria Distrital de Ambiente Código: PA01-PR35, Versión: 4, anexo 1 Acta de Entrega del Cargo Código: PA01-PR35-F1, Versión: 3 y anexo 2 Formato Paz y Salvo Funcionarios, código: PA01-PR35-F2, Versión: 2.  Para dar un manejo adecuado de la desvinculación o el retiro del servicio de los funcionarios se realiza la gestión del reconocimiento y pago de las prestaciones sociales a las que tiene derecho el servidor por efecto de su desvinculación.</t>
  </si>
  <si>
    <t xml:space="preserve">Durante la vigencia no se observaron gestiones ni reportes frente a la evaluación de las actividades relacionadas con el retiro de personal, se recomienda:
a) Considerar en próximo CICCI la presentación de resultados de la evaluación de las actividades sobre el retiro de personal
b) Atender lo indicado en memorando 2021IE105377 de 28 de mayo de 2021 la OCI  presento los resultados de la medición del desempeño institucional de la vigencia 2020 publicados por el Departamento Administrativo de la Función Pública –DAFP-, como consecuencia de la aplicación Formulario Único de Reporte de avance a la Gestión -FURAG-, con las siguientes onclusiones y recomendaciones:
Las políticas con menor calificación son: Gestión Estratégica del Talento Humano, 81,3 y la de Integridad con un puntaje de 78,5. por lo cual se recomiendó:
-Diseñar y ejecutar un programa de desvinculación asistida por otras causales como actividad de la planeación del talento humano de la entidad.
-Analizar las causas del retiro de los servidores de la entidad, con el fin de implementar acciones de mejora en la gestión del talento humano.
-Implementar en la entidad mecanismos suficientes y adecuados para transferir el conocimiento de los servidores que se retiran a quienes continúan vinculados.</t>
  </si>
  <si>
    <t xml:space="preserve">4.6 Evaluar el impacto del Plan Institucional de Capacitación - PIC</t>
  </si>
  <si>
    <r>
      <rPr>
        <sz val="11"/>
        <color rgb="FF000000"/>
        <rFont val="Arial Narrow"/>
        <family val="2"/>
        <charset val="1"/>
      </rPr>
      <t xml:space="preserve">Regulado por el Procedimiento: Elaboración y ejecución de los Planes Institucionales de capacitación y Estímulos Código: PA01-PR32, Versión: 4, con el fin de Desarrollar actividades de capacitación para los servidores de la entidad, a través de la generación de conocimientos, el desarrollo y fortalecimiento de competencias; Dentro del procedimiento se tiene el formato Encuesta de identificación de necesidades para el plan institucional de estímulos; Evaluación de la Capacitación y encuesta de evaluación nivel de satisfacción plan institucional de estímulos.
</t>
    </r>
    <r>
      <rPr>
        <b val="true"/>
        <sz val="11"/>
        <color rgb="FF000000"/>
        <rFont val="Arial Narrow"/>
        <family val="2"/>
        <charset val="1"/>
      </rPr>
      <t xml:space="preserve">
SEMESTRE I:
</t>
    </r>
    <r>
      <rPr>
        <sz val="11"/>
        <color rgb="FF000000"/>
        <rFont val="Arial Narrow"/>
        <family val="2"/>
        <charset val="1"/>
      </rPr>
      <t xml:space="preserve">En comité No. 1 de gestion y desempeñodel dia 29 de enero de 2021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t>
    </r>
  </si>
  <si>
    <t xml:space="preserve">No se ha evaluado el impacto del PIC, ni llevado el tema ante el CICCI.</t>
  </si>
  <si>
    <t xml:space="preserve">Durante la vigencia no se observaron gestiones ni reportes frente a la evaluación de las actividades relacionadas con el PIC, se recomienda:
a) Considerar en próximo CICCI la presentación de resultados de la evaluación de las actividades del impacto del PIC por parte de la primera linea de defensa</t>
  </si>
  <si>
    <t xml:space="preserve">4.7 Evaluación frente a los productos y servicios en los cuales participan los contratistas de apoyo.</t>
  </si>
  <si>
    <r>
      <rPr>
        <sz val="11"/>
        <color rgb="FF000000"/>
        <rFont val="Arial Narrow"/>
        <family val="2"/>
        <charset val="1"/>
      </rPr>
      <t xml:space="preserve">Regulado mediante Resolución 950 del 18 de julio de 2016 - Manual de Supervisión e Interventoría de la SDA. En el manual de supervisión está establecido que cada supervisor verifica los productos y servicios que realizan los contratistas de apoyo de la entidad. 
</t>
    </r>
    <r>
      <rPr>
        <b val="true"/>
        <sz val="11"/>
        <color rgb="FF000000"/>
        <rFont val="Arial Narrow"/>
        <family val="2"/>
        <charset val="1"/>
      </rPr>
      <t xml:space="preserve">SEMESTRE II:
</t>
    </r>
    <r>
      <rPr>
        <sz val="11"/>
        <color rgb="FF000000"/>
        <rFont val="Arial Narrow"/>
        <family val="2"/>
        <charset val="1"/>
      </rPr>
      <t xml:space="preserve">- Mediante memorando 2021IE179449 del 26 de agosto del 2021 se adopto el MANUAL DE SEGURIDAD Y SALUD EN EL TRABAJO PARA CONTRATISTAS Y/O PROVEEDORES, el cual fue aprobado por el Comité Institucional de Gestión y Desempeño 22 de junio de 2021. 
Mediante la presentación de cuentas de cobro se verifica el cumplimiento  de las obligaciones contractuales, con la materialización o/y avance del formato IAAP mensual de Forest, el cual debe estar avalado por el supervisor.
- La OCI mediante memorando 2021IE141611 de 13 de julio de 2021 , comunico el resultado del seguimiento al cumplimiento de acciones de plan de mejoramiento suscrito ante la Contraloría de Bogotá D.C. a 30 de juniode 2021 - Proceso Gestión Contractual, en donde se verificarn acciones de Cumplimiento de las actividades por parte de los contratistas.</t>
    </r>
  </si>
  <si>
    <t xml:space="preserve">Durante la vigencia no se observaron gestiones ni reportes frente a la evaluación de los productos y servicios de los cuales participan el personal contratistas de apoyo, se recomienda:
a) Considerar en próximo CICCI la presentación de resultados de la evaluación de las actividades respecto a los productos y servicios de los cuales participan el personal contratistas de apoyo
</t>
  </si>
  <si>
    <r>
      <rPr>
        <b val="true"/>
        <u val="single"/>
        <sz val="11"/>
        <color rgb="FFFFFFFF"/>
        <rFont val="Arial Narrow"/>
        <family val="2"/>
        <charset val="1"/>
      </rPr>
      <t xml:space="preserve">Lineamiento 5:</t>
    </r>
    <r>
      <rPr>
        <sz val="11"/>
        <color rgb="FFFFFFFF"/>
        <rFont val="Arial Narrow"/>
        <family val="2"/>
        <charset val="1"/>
      </rPr>
      <t xml:space="preserve"> 
La entidad establece líneas de reporte dentro de la entidad para evaluar el funcionamiento del Sistema de Control Interno.</t>
    </r>
  </si>
  <si>
    <t xml:space="preserve">5.1 Acorde con la estructura del Esquema de Líneas de Defensa se han definido estándares de reporte, periodicidad y responsables frente a diferentes temas críticos de la entidad.</t>
  </si>
  <si>
    <t xml:space="preserve">Dimension de Informaciòn y Comunicaciòn
Dimensiòn de Control Interno
Lineas de Defensa</t>
  </si>
  <si>
    <t xml:space="preserve">Los Estados Financieros son publicados, en la página web de la SDA de forma mensual. en la ruta: http://www.ambientebogota.gov.co/web/sda/informes -financieros.  
El plan de sostenibilidad contable se plantea de forma anual, y se realiza seguimiento como parte del comité técnico de sostenibilidad contable.
El reporte de avance y cumplimiento de las metas proyectos de inversión está definido de manera trimestral para el cargue en SEGPLAN y se presenta en CIGD y en CICCI, los resportes de la ejecución de los controles del mapa de riesgos y planes de manejo están definidos en la política de administración de reisgos y oportunidades.
SEMESTRE I
- Los Estados Financieros son publicados, en la página web de la SDA de forma mensual.
- En comité CICCI de 11 de febrero de 2021 se realizo la Presentación del seguimiento al plan de saneamiento contable 2020, Presentación de los estados financieros con corte 31 de diciembre de 2020 y formulación de recomendaciones. (Subdirección Financiera).
- En comité CICCI de 15 de junio de 2021 se realizo la Presentación de los resultados de la evaluación y seguimiento cuatrimestral al PAAC y mapas de riesgos de la entidad. -OCI-
SEMESTRE II
Los Estados Financieros son publicados, en la página web de la SDA de forma mensual.</t>
  </si>
  <si>
    <t xml:space="preserve">Para el periodo evaluado</t>
  </si>
  <si>
    <t xml:space="preserve">Durante la vigencia se observaron gestiones frente a los estandares de reportes por parte de los responsables en temas criticos.</t>
  </si>
  <si>
    <t xml:space="preserve">5.2 La Alta Dirección analiza la información asociada con la generación de reportes financieros.</t>
  </si>
  <si>
    <t xml:space="preserve">
Dimensiòn de Control Interno
Linea de Estrategica</t>
  </si>
  <si>
    <t xml:space="preserve">La Entidad mediante Resolución SDA No.1455 de 2018 por medio de la cual se crea el CICCI.
Res. 0684 de 2020 (Rad.2020EE53463)  Crea y reglamenta el Comité Técnico de Sostenibilidad del Sistema Contable de SDA, modificada por Res.  Res. 812 de 2020 (Rad 2020EE65079). Igualmente, incluir  Res 1849 de 2018 (Rad. 2018EE142792) Adopta el Manual de Políticas de Operación Contable de la SDA y toman otras determinaciones
La información financiera es detallada y expuesta, tanto en el Comité Institucional de Coordinación de Control Interno, y en el Comité
Técnico de Sostenibilidad Contable (CTSC).
Se cuenta con Comité de sanemaiento contable en que se realiza seguimiento al plan de saneamiento contable que tiene como propósito depurar y mejorar los datos para asegurar la ingtegridad de los estados financieros.
SEMESTRE I
En comite CICCI de 27 de abril de 2021 se presento Informe de seguimiento metas proyectos de inversión, en términos de comprometido, pagado y ejecución física o magnitud con corte 31 de diciembre de 2020. (Acción del plan de mejoramiento suscrito ante la Contraloría Distrital). Subdirección de Proyectos Cooperación Internacional).
-Presentación de los estados financieros con corte 31 de marzo de 2021 y
formulación de recomendaciones. (Subdirección Financiera). En cumplimiento del artículo 3. Numeral 4. de la Resolución SDA No. 02735 de 2020.</t>
  </si>
  <si>
    <t xml:space="preserve">Durante la vigencia se observaron gestiones frente al análisis de la información financiera . 
La Oficina de Control Interno presentó remitio el informe de la Evaluación al Sistema de Control Interno Contable a la Veeduría mediante correo institucional el día 13 de febrero de 2021. Publicado en el link: http://www.ambientebogota.gov.co/web/transparencia/reportes-de-control interno/-/document_library_display/Jkr8/view/10870871D</t>
  </si>
  <si>
    <t xml:space="preserve">5.3 Teniendo en cuenta la información suministrada por la 2a y 3a línea de defensa se toman decisiones a tiempo para garantizar el cumplimiento de las metas y objetivos.</t>
  </si>
  <si>
    <t xml:space="preserve">Dimensiòn de Control Interno
Lineas de Defensa</t>
  </si>
  <si>
    <t xml:space="preserve">La entidad medienta Resolución SDA No. 915 de 2019 por medio del cual se crea el Comité de Gestión y Desempeño y  la Resolución 1455 de 2018 por medio de la cual se crea el CICCI.
Se evidencia en las actas de Comitpe Institucional de Coordinación de Control Interno - CICCI y en las de Comité Institucional de Gestión y Desempeño - CICGE 
SEMESTRE I
- En comite CICCI de 27 de abril de 2021 se presento Informe de seguimiento metas proyectos de inversión, en términos de comprometido, pagado y ejecución física o magnitud con corte 31 de diciembre de 2020. (Acción del plan de mejoramiento suscrito ante la Contraloría Distrital). Subdirección de Proyectos Cooperación Internacional).
-Presentación de los estados financieros con corte 31 de marzo de 2021 y
formulación de recomendaciones. (Subdirección Financiera). En cumplimiento del artículo 3. Numeral 4. de la Resolución SDA No. 02735 de 2020.
- En comité CICCI de 15 de junio de 2021 se realizo la Presentación de los resultados de la evaluación y seguimiento cuatrimestral al PAAC y mapas de riesgos de la entidad. -OCI-
En comité CICCI de 11 de febrero de 2021 se realizo la P, esentación del seguimiento al plan de saneamiento contable 2020, Presentación de los estados financieros con corte 31 de diciembre de 2020 y formulación de recomendaciones. (Subdirección Financiera).</t>
  </si>
  <si>
    <t xml:space="preserve">En sesiones del comite CICCI de 27 de abril , 15 de junio de 2021 y febrero de 2021 se realizo la Presentación del seguimiento al plan de saneamiento contable 2020, Presentación de los estados financieros con corte 31 de diciembre de 2020 y formulación de recomendaciones. (Subdirección Financiera).</t>
  </si>
  <si>
    <t xml:space="preserve">Durante la vigencia se observaron gestiones y desiciones frente a los resultados presentados por la 2da y 3ra linea de defensa ...
</t>
  </si>
  <si>
    <t xml:space="preserve">5.4 Se evalúa la estructura de control a partir de los cambios en procesos, procedimientos, u otras herramientas, a fin de garantizar su adecuada formulación y afectación frente a la gestión del riesgo.</t>
  </si>
  <si>
    <t xml:space="preserve">Dimension de Gestion con Valores para Resultado
Politica de Fortalecimiento Organizacional y Simplificaciòn de Procesos
Dimension Control Interno
Lineas de Defensa</t>
  </si>
  <si>
    <t xml:space="preserve">La entidad mediante el sistema de información ISOLUCIÓN, administra los cambios en los procesos, procedimientos y otras herramientas, ademas cuenta con un plan de adecuacion de MIPG el cual fue presentado y aprobado en comité de Gestion y Ddesempeño dia 26 de mayo de 2021. A traves de la Política de Fortalecimiento Organizacional y Simplificación de Procesos.</t>
  </si>
  <si>
    <t xml:space="preserve">Durante el segundo semestre de 2021 no se llevaron resultados ante el comité del CICCI</t>
  </si>
  <si>
    <t xml:space="preserve">Durante la vigencia se observaron gestiones frente a la administra los cambios en los procesos, procedimientos y otras herramientas en el marco del desarrollo del sistema de control interno, no obstante se recomienda:
a) presentar ante el CICCI los resultados de la evaluación de la estructura del control.</t>
  </si>
  <si>
    <t xml:space="preserve">5.5 La entidad aprueba y hace seguimiento al Plan Anual de Auditoría presentado y ejecutado por parte de la Oficina de Control Interno.</t>
  </si>
  <si>
    <t xml:space="preserve">Dimension Control Interno
Linea Estrategica</t>
  </si>
  <si>
    <t xml:space="preserve">La entidad mediante Resolución SDA No. 1455 de 2018 por medio de la cual se crea el CICCI, establece dentro de las funciones la aprobación del Plan Anual de Auditoría el seguimiento a la ejecución.
SEMESTRE I
- En sesión CICCI de 29 de enero de 2021 se aprobó el Plan Anual de Auditoría a ejecutar en la vigencia 2021.
SEMESTRE II
 CICCI de 15 de junio de 2021  la OCI presentó Informe se seguimiento a la ejecución del Plan Anual de Auditorías y Programa Anual de Auditorías y solicitud de modificaciones. -OCI-. Con los siguientes resultados:
Porcentaje de avance respecto del primer semestre 2021: 87,38%
Porcentaje de avance respecto de la vigencia 2021: 48,13%.
</t>
  </si>
  <si>
    <t xml:space="preserve">Durante el segundo semestre de 2021 se llevaron resultados ante el comité del CICCI</t>
  </si>
  <si>
    <t xml:space="preserve">Durante la vigencia se observaron gestiones frente al seguimiento del plan anual de auditoria.</t>
  </si>
  <si>
    <t xml:space="preserve">5.6 La entidad analiza los informes presentados por la Oficina de Control Interno y evalúa su impacto en relación con la mejora institucional.</t>
  </si>
  <si>
    <t xml:space="preserve">La entidad mediante Resolución SDA No. 1455 de 2018 por medio de la cual se crea el CICCI, establece dentro de las funciones la aprobación del Plan Anual de Auditoría el seguimiento a la ejecución, para lo cual la OCI comunica los resultados e informes al directivo líder de cada tema y éste evalúa e implementa las acciones de mejora. Los informes de auditorías internas, seguimientos especiales, informes de Ley y consolidados de seguimientos  a: planes de mejoramiento por procesos, planes de mejoramiento suscritos ante entes de control, PAAC e indicadores y la evaluación de los mapas de riesgos de gestión y corrupción así como las alertas y recomendaciones que surjan se comunican a todo el equipo directivo (miembros CICCI) con memorando.  
SEMESTRE I
En CICCI de 15 de junio de 2021  la OCI presentó Informe se seguimiento a la ejecución del Plan Anual de Auditorías y Programa Anual de Auditorías y solicitud de modificaciones. -OCI.</t>
  </si>
  <si>
    <t xml:space="preserve">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</si>
  <si>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</si>
  <si>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val="true"/>
        <u val="single"/>
        <sz val="11"/>
        <color rgb="FFFFFFFF"/>
        <rFont val="Arial Narrow"/>
        <family val="2"/>
        <charset val="1"/>
      </rPr>
      <t xml:space="preserve">Lineamiento 6: 
</t>
    </r>
    <r>
      <rPr>
        <b val="true"/>
        <sz val="11"/>
        <color rgb="FFFFFFFF"/>
        <rFont val="Arial Narrow"/>
        <family val="2"/>
        <charset val="1"/>
      </rPr>
      <t xml:space="preserve">Definición de objetivos con suficiente claridad para identificar y evaluar los riesgos relacionados: i)Estratégicos; ii)Operativos; iii)Legales y Presupuestales; iv)De Información Financiera y no Financiera.
</t>
    </r>
  </si>
  <si>
    <r>
      <rPr>
        <b val="true"/>
        <sz val="11"/>
        <color rgb="FFFFFFFF"/>
        <rFont val="Arial Narrow"/>
        <family val="2"/>
        <charset val="1"/>
      </rPr>
      <t xml:space="preserve">Explicación de cómo la Entidad </t>
    </r>
    <r>
      <rPr>
        <b val="true"/>
        <u val="single"/>
        <sz val="11"/>
        <color rgb="FFFFFFFF"/>
        <rFont val="Arial Narrow"/>
        <family val="2"/>
        <charset val="1"/>
      </rPr>
      <t xml:space="preserve">evidencia </t>
    </r>
    <r>
      <rPr>
        <b val="true"/>
        <sz val="11"/>
        <color rgb="FFFFFFFF"/>
        <rFont val="Arial Narrow"/>
        <family val="2"/>
        <charset val="1"/>
      </rPr>
      <t xml:space="preserve">que está dando respuesta al requerimiento
</t>
    </r>
    <r>
      <rPr>
        <sz val="11"/>
        <color rgb="FFFFFFFF"/>
        <rFont val="Arial Narrow"/>
        <family val="2"/>
        <charset val="1"/>
      </rPr>
      <t xml:space="preserve">Referencia a Procesos, Manuales/Políticas de Operación/Procedimientos/Instructivos u otros desarrollos que den cuente de su aplicación</t>
    </r>
  </si>
  <si>
    <r>
      <rPr>
        <b val="true"/>
        <sz val="11"/>
        <color rgb="FFFFFFFF"/>
        <rFont val="Arial Narrow"/>
        <family val="2"/>
        <charset val="1"/>
      </rPr>
      <t xml:space="preserve">Presente
</t>
    </r>
    <r>
      <rPr>
        <i val="true"/>
        <sz val="11"/>
        <color rgb="FFFFFFFF"/>
        <rFont val="Arial Narrow"/>
        <family val="2"/>
        <charset val="1"/>
      </rPr>
      <t xml:space="preserve">(1/2/3)</t>
    </r>
  </si>
  <si>
    <r>
      <rPr>
        <b val="true"/>
        <sz val="11"/>
        <color rgb="FFFFFFFF"/>
        <rFont val="Arial Narrow"/>
        <family val="2"/>
        <charset val="1"/>
      </rPr>
      <t xml:space="preserve">Funcionando
</t>
    </r>
    <r>
      <rPr>
        <i val="true"/>
        <sz val="11"/>
        <color rgb="FFFFFFFF"/>
        <rFont val="Arial Narrow"/>
        <family val="2"/>
        <charset val="1"/>
      </rPr>
      <t xml:space="preserve">(1/2/3)</t>
    </r>
  </si>
  <si>
    <t xml:space="preserve">6.1  La Entidad cuenta con mecanismos para vincular o relacionar el plan estratégico con los objetivos estratégicos y estos a su vez con los objetivos operativos.</t>
  </si>
  <si>
    <t xml:space="preserve">Dimension de Direccionamiento Estratetegico y Planeacion.
Politica de Planeacion Institucional</t>
  </si>
  <si>
    <t xml:space="preserve">La Entidad en cumplimiento del Decreto 612 de 2018, se formulan los planes institucionales que, de forma articulada y orientada al direccionamiento de la entidad, componen el Plan de acción integrado Institucional.
Este esta compuesto por 12 planes institucionales: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9.1 Plan de Gestión de Integridad; 10. Plan Estratégico de Tecnologías de la Información y las Comunicaciones ­ PETI;  11. Plan de Tratamiento de Riesgos de Seguridad y Privacidad de la Información; y 12. Plan de Seguridad y Privacidad de la Información.
Los cuales tienes asociados los objetivos estratégicos de la entidad. Así mismo, el proceso de planeación de la entidad se define en gran medida por la hoja de ruta del plan de gobierno y el plan de desarrollo distrital de la administración distrital, y a su vez los proyectos de inversión tienen asociado los objetivos estratégicos de la entidad a los que le apunta</t>
  </si>
  <si>
    <t xml:space="preserve">Para el periodo evaluado no se presentaron, no obstante en el primer semestres se presentó por la segunda línea de defensa en CICCI</t>
  </si>
  <si>
    <t xml:space="preserve">Durante la vigencia se observaron gestiones frente a la operatividad de los mecanismos.</t>
  </si>
  <si>
    <t xml:space="preserve">6.2 Los objetivos de los procesos, programas o proyectos (según aplique) que están definidos, son específicos, medibles, alcanzables, relevantes, delimitados en el tiempo.</t>
  </si>
  <si>
    <t xml:space="preserve">Dimension de Gestion con Valores para Resultado
Politica de Fortalecimiento Organizacional y Simplificaciòn de Procesos</t>
  </si>
  <si>
    <t xml:space="preserve">En la Entidad los objetivos de los procesos están definidos en los documentos de caracterización, son medibles mediante indicadores de proceso que miden lo qué se hace, y el cómo se hace es medible mediante indicadores de gestión asociados a las actividades que se realiza bajo un marco de planeación que son los proyectos de inversión en la SDA; estos indicadores están etiquetados en el aplicativo ISOlucion como indicadores de proceso, indicadores de gestión, Indicador Objetivo de Proyecto.
El proceso misional de planeación ambiental y el proceso de apoyo gestión tecnológica que están bajo la responsabilidad de la DPSIA, tiene en el marco del PDD Bogotá Mejor para Todos, un total de 14 indicadores de gestión, 2 indicadores de proceso de Gestión Tecnológica, y 6 indicadores de gestión y 1 indicador de proceso para Planeación Ambiental. La periodicidad de la medición, la formula, las variables, metas y demás características son evidenciables en la hoja de vida del indicador, las cuales son consultables tanto el drive de la dependencia con el modulo ISOlucion, conforme al procedimiento interno PE01-PR03 "Formulación, medición y evaluación de indicadores de gestión".
* Indicadores de proceso (aplicativo ISOlucion-módulo medición)
* Indicadores de gestión)
(aplicativo ISOlucion-módulo medición)
* Planes de acción de los proyectos de inversión
SEMESTRE I</t>
  </si>
  <si>
    <t xml:space="preserve">En el periodo evaluado no se presentaron, no obstante en Comité CICCI  de enero se presentaron resultados de las evaluaciones por la tercera línea de defensa y por la SGCD, SPCI y SF como segundas líneas de defensa</t>
  </si>
  <si>
    <t xml:space="preserve">6.3 La Alta Dirección evalúa periódicamente los objetivos establecidos para asegurar que estos continúan siendo consistentes y apropiados para la Entidad.</t>
  </si>
  <si>
    <t xml:space="preserve">Dimension de Direccionamiento Estratetegico y Planeacion.
Politica de Planeacion Institucional
Dimension Control Interno
Linea Estrategica</t>
  </si>
  <si>
    <t xml:space="preserve">En la entidad los Gerentes de cada proyecto de inversión de la SDA, realizan jornadas de autoevaluación donde evalúan periódicamente los objetivos y metas establecidas, así como el seguimiento a la ejecución presupuestal. La DPSIA en el marco del PDD Bogotá Mejor para Todos como gerente de los proyectos de inversión 980 Sendero Panorámico, 1029 Planeación Ambiental y 1030 Uso y apropiación de las TIC,  ha realizado jornada de Autoevaluación mensual de cada uno de los proyectos que gerencia, mediante el diligenciamiento y uso para análisis y seguimiento de las herramientas:  * Formato “Matriz de seguimiento a metas plan de desarrollo”, * Relación detallada de la ejecución presupuestal y de las reservas, y * Plan Anual de Adquisiciones, en las cuales se revisan los siguientes aspectos:  Verificación compromisos anteriores, verificación de la ejecución presupuestal y cumplimiento físico de las metas del proyecto de inversión, presentación por cada uno de los coordinadores temáticos las acciones programadas para la vigencia 2019 y del seguimiento a productos, seguimiento a la contratación y la gestión de reservas y pasivos, verificación de indicadores, seguimiento Plan de Mejoramiento por Procesos, seguimiento atención PQRs asignadas a la DPSIA.
* Actas de reunión de jornadas de autoevaluación
(consultables en https://drive.google.com/drive/folders/1SvnhmHifDcshfOKIumGlR7WFQ7k4PegN?usp=sharing)</t>
  </si>
  <si>
    <t xml:space="preserve">Durante el periodo evaluado no se presentarion resultado en el CICCI, no obstante en Comité CICCI  de enero se presentaron resultados de las evaluaciones por la tercera línea de defensa y por la SGCD, SPCI y SF como segundas líneas de defensa.</t>
  </si>
  <si>
    <t xml:space="preserve">Durante la vigencia no se observaron gestiones frente a la evaluación periódica de los objetivos, se recomienda: 
- Considerar en proximo comite CICCI realizar la revisión de los objetivos establecidos.</t>
  </si>
  <si>
    <r>
      <rPr>
        <b val="true"/>
        <u val="single"/>
        <sz val="11"/>
        <color rgb="FFFFFFFF"/>
        <rFont val="Arial Narrow"/>
        <family val="2"/>
        <charset val="1"/>
      </rPr>
      <t xml:space="preserve">Lineamiento 7: 
</t>
    </r>
    <r>
      <rPr>
        <b val="true"/>
        <sz val="11"/>
        <color rgb="FFFFFFFF"/>
        <rFont val="Arial Narrow"/>
        <family val="2"/>
        <charset val="1"/>
      </rPr>
      <t xml:space="preserve">Identificación y análisis de riesgos (Analiza factores internos y externos; Implica a los niveles apropiados de la dirección; Determina cómo responder a los riesgos; Determina la importancia de los riesgos). 
</t>
    </r>
  </si>
  <si>
    <t xml:space="preserve">7.1 Teniendo en cuenta la estructura de la política de Administración del Riesgo, su alcance define lineamientos para toda la entidad, incluyendo regionales, áreas tercerizadas u otras instancias que afectan la prestación del servicio.</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</si>
  <si>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 La última version de la Guia de Riesgos corresponde a la Version 5 de diciembre de 2020 para la cual se debera realizar los nuevos ajustes relacionados con al estructura de la politica </t>
  </si>
  <si>
    <t xml:space="preserve">Durante el periodo evaluado no se presento en el CICCI la revisión de la politica, no obstante se ha venido trabajando en  revision de la poltica de administracion del riesgo.</t>
  </si>
  <si>
    <t xml:space="preserve">Durante la vigencia se observaron gestiones frente a la revisión de la política de riesgos, se recomienda:
- Realizar el ajustes de la version 5 de la politica de riesgos y presentarla en proxima sesión del CICCI.</t>
  </si>
  <si>
    <t xml:space="preserve">7.2 La Oficina de Planeación, Gerencia de Riesgos (donde existan), como 2a línea de defensa, consolidan información clave frente a la gestión del riesgo.</t>
  </si>
  <si>
    <t xml:space="preserve">Dimension Control Interno 
Lineas de Defensa</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</si>
  <si>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
En acta No 5 del 15 de junio de 2021, la oci socializa ante el CICCI los resultados del seguimiento a la implementación del “Esquema de Líneas de Defensa”. Comunicado con memorando No. 2021IE114573 de 08/06/2021; donde el Monitoreo por parte de la segunda linea de defensa  al sistema de administración de riesgos. SGCD- se encuentra pendiente.</t>
  </si>
  <si>
    <t xml:space="preserve">Para el periodo evaludo no se presentaron ante el CICCI resultados frente a la información de la gestión del riesgos, no obstante se observo socialización de lineameintos de la gestion del reisgo por parte de la segunda linea de defensa.</t>
  </si>
  <si>
    <t xml:space="preserve">Durante la vigencia se observaron gestiones frente a la consolidación  de la información de la gestión del riesgos, se recomienda:
- Presentar en proxima sesión del CICCI información consolidada de la gestión del riesgos por parte de la segunda linea de defensa.</t>
  </si>
  <si>
    <t xml:space="preserve">7.3 A partir de la información consolidada y reportada por la 2a línea de defensa (7.2), la Alta Dirección analiza sus resultados y en especial considera si se han presentado materializaciones de riesgo.</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</si>
  <si>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
En comité institucional de coordinacion de control interno se presenta en acta No 5 del 15 de junio de 2021 materializacion en los siguientes procesos: 1) Proceso gestion documental  con la alteracion y perdida de la informacion en el archivo de la SDA. 2) Gestion de Talento Humano con posible error en la liquidacion de nomina. </t>
  </si>
  <si>
    <t xml:space="preserve">Para el periodo evaludo no se evidenció revisión y analisis en el CICCI. No obstante, en el primer semestre se presento información sobre materializacion del riesgo en 2 procesos con accion contingente  y evidencia de la accion contingente,</t>
  </si>
  <si>
    <t xml:space="preserve">Durante la vigencia se observaron gestiones frentea la materialización de los riegos en los procesos, se recomienda:
- Presentar en proxima sesión del CICCI información consolidada de la gestión del riesgos por parte de la segunda linea de defensa para el respectivo análsis.</t>
  </si>
  <si>
    <t xml:space="preserve">7.4 Cuando se detectan materializaciones de riesgo, se definen los cursos de acción en relación con la revisión y actualización del mapa de riesgos correspondiente.</t>
  </si>
  <si>
    <t xml:space="preserve">Dimension de Direccionamiento Estratetegico y Planeacion.
Politica de Planeacion Institucional
Dimension Control Interno 
Lineas de Defensa</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</si>
  <si>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
En acta No 5 de 15 de junio de 2021, se materializaron 2 riesgos con los siguientes cursos de accion: 1) los riesgos identificados son gestionados adecuadamente, (se lleva a cabo seguimiento y  actualización), 2) Los riesgos son monitoreados periódicamente de acuerdo con la política de administración del riesgo de la entidad y 3) Se cuenta con procesos claros para el monitoreo y evaluación del desarrollo de exposiciones al riesgo.</t>
  </si>
  <si>
    <t xml:space="preserve">Para el periodo evaludo no se evidenció revisión y analisis en el CICCI. No obstante, en los informes de la OCI de los riesgos se han evidenciado riesgos materializados y se han realizado las recomendaciones respectivas.</t>
  </si>
  <si>
    <t xml:space="preserve">Durante la vigencia se observaron gestiones frente a la materialización de los riegos en los procesos, se recomienda:
- Presentar en proxima sesión del CICCI información consolidada de la gestión del riesgos por parte de la segunda linea de defensa respecto a la materialziación de riesgos.
- Agilizar la revisión y actualización de la totalidad de los mapas de riesgos
- Realizar la revisión general del análisis de contexto e identificación de riesgos.</t>
  </si>
  <si>
    <t xml:space="preserve">7.5 Se llevan a cabo seguimientos a las acciones definidas para resolver materializaciones de riesgo detectadas.</t>
  </si>
  <si>
    <t xml:space="preserve">Dimension de Evaluacion de Resultados 
Politica de Seguimiento y evaluacion al Desempeño Institucional.
Dimension Control Interno 
Lineas de Defensa</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</si>
  <si>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II
Mediante radicado forest 2021IE209671 de 29 de septiembre de 2021 se presenta seguimiento de la tercera linea de defensa a acciones para abordar riesgos en sistema de informacion ISOLUCION, no obstante no se evidencia socializacion de seguimiento ante el CICCI.</t>
  </si>
  <si>
    <t xml:space="preserve">Para el periodo evaludo no se evidenció revisión y analisis en el CICCI. No obstante, se evidencian reportes e informes de evaluacion de los riesgos por parte de la OCI.</t>
  </si>
  <si>
    <t xml:space="preserve">Durante la vigencia se observaron gestiones frente a la materialización de los riegos en los procesos, se recomienda:
- Presentar.en proxima sesión del CICCI los resultados y el manejo que se ha dado a riesgos materializados.</t>
  </si>
  <si>
    <r>
      <rPr>
        <b val="true"/>
        <u val="single"/>
        <sz val="11"/>
        <color rgb="FFFFFFFF"/>
        <rFont val="Arial Narrow"/>
        <family val="2"/>
        <charset val="1"/>
      </rPr>
      <t xml:space="preserve">Lineamiento 8: 
</t>
    </r>
    <r>
      <rPr>
        <b val="true"/>
        <sz val="11"/>
        <color rgb="FFFFFFFF"/>
        <rFont val="Arial Narrow"/>
        <family val="2"/>
        <charset val="1"/>
      </rPr>
      <t xml:space="preserve">Evaluación del riesgo de fraude o corrupción. 
Cumplimiento artículo 73 de la Ley 1474 de 2011, relacionado con la prevención de los riesgos de corrupción.
</t>
    </r>
  </si>
  <si>
    <t xml:space="preserve">8.1 La Alta Dirección acorde con el análisis del entorno interno y externo, define los procesos, programas o proyectos (según aplique), susceptibles de posibles actos de corrupción.</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</si>
  <si>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
- El Plan Anticorrupción y de Atención al Ciudadano es revisado y actualizado anualmente de acuerdo a los resultados de su seguimiento y evaluación.
- Mediante acta 01 de 29 de enero de 2021 se presento ante el CICCI los resultados de la evaluación al PAAC y mapas de riesgos de gestión y corrupción; memorando 2021IE08732del 18 enero de 2021.
Mediante acta 04 del 27 de abril se presento ante el CICCI el mapa de riesgos de gestión y corrupción actualizado, el cual fue publicado.</t>
  </si>
  <si>
    <t xml:space="preserve">Para el periodo evaluado no se evidenció revisión y análisis en el CICCI. No obstante, en el primer semestre de la vigencia se realizaron gestiones al respecto.</t>
  </si>
  <si>
    <t xml:space="preserve">Durante la vigencia se observaron gestiones frente a la revisión de los instrumentos para el análisis de contexto interno y externo, se recomienda:
- Revisar y evaluar los lineamentos contenidos en la Guía para la Administración de riesgo y el diseño de controles en entidades públicas, versión 5 de 2020 para verificar si hay lugar a la implementación de mejoras.</t>
  </si>
  <si>
    <t xml:space="preserve">8.2 La Alta Dirección monitorea los riesgos de corrupción con la periodicidad establecida en la Política de Administración del Riesgo.</t>
  </si>
  <si>
    <t xml:space="preserve">Dimension de Control Interno
Linea Estrategica</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</si>
  <si>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 Además se cuenta con el procedimiento Administración de riesgos 
Código: PE03-PR02, Versión 18.
SEMESTRE I
- En el Acta 01 de 29 de enero de 2021 se presento ante el CICCI los resultados de la evaluación al PAAC y mapas de riesgos de gestión y corrupción; memorando 2021IE08732del 18 enero de 2021.
Mediante acta 04 del 27 de abril se presento ante el CICCI el mapa de riesgos de gestión y corrupción actualizado
Mediante acta 05 de 20 de junio de 2021 sepresento ante el CICCI los resultados de la evaluación y seguimiento cuatrimestral al PAAC y mapas de riesgos de la entidad. -OCI-Comunicado con memorando No. 2021IE94510 del 14/05/2021.</t>
  </si>
  <si>
    <t xml:space="preserve">Para el periodo evaluado no se evidenció revisión en el CICCI. No obstante, en el primer semestre de la vigencia se evidenciaron gestiones al respecto.</t>
  </si>
  <si>
    <t xml:space="preserve">Durante la vigencia se observaron gestiones frente al reporte de los monitores de los riesgos de corrupción, se recomienda:
- Presentar en proxima sesión del CICCI los resultados del monitores de los riesgos de corrupción por parte de la segunda línea de defensa.</t>
  </si>
  <si>
    <t xml:space="preserve">8.3 Para el desarrollo de las actividades de control, la entidad considera la adecuada división de las funciones y que éstas se encuentren segregadas en diferentes personas para reducir el riesgo de acciones fraudulentas.</t>
  </si>
  <si>
    <t xml:space="preserve">Dimension de Contro Interno
Lineas de Defensa</t>
  </si>
  <si>
    <t xml:space="preserve">Para el periodo evaluado no se evidenció revisión en el CICCI.</t>
  </si>
  <si>
    <t xml:space="preserve">Durante la vigencia no se observaron gestiones frente a la adecuada división de funciones y su segregación en las personas para reducir las acciones fraudalenta, se recomienda:
- Presentar en proxima sesión del CICCI el resultado del análisis respecto a la adecuada división de funciones y su segregación en las personas para reducir las acciones fraudalentas.</t>
  </si>
  <si>
    <t xml:space="preserve">8.4 La Alta Dirección evalúa fallas en los controles (diseño y ejecución) para definir cursos de acción apropiados para su mejora.</t>
  </si>
  <si>
    <t xml:space="preserve">Durante la vigencia no se observaron gestiones frente al diseño y ejecución de los controles, se recomienda:
 - Presentar en proxima sesión del CICCI el resultado del análisis respecto al diseño y ejecución de controles.</t>
  </si>
  <si>
    <r>
      <rPr>
        <b val="true"/>
        <u val="single"/>
        <sz val="11"/>
        <color rgb="FFFFFFFF"/>
        <rFont val="Arial Narrow"/>
        <family val="2"/>
        <charset val="1"/>
      </rPr>
      <t xml:space="preserve">
Lineamiento 9:</t>
    </r>
    <r>
      <rPr>
        <b val="true"/>
        <sz val="11"/>
        <color rgb="FFFFFFFF"/>
        <rFont val="Arial Narrow"/>
        <family val="2"/>
        <charset val="1"/>
      </rPr>
      <t xml:space="preserve"> </t>
    </r>
    <r>
      <rPr>
        <sz val="11"/>
        <color rgb="FFFFFFFF"/>
        <rFont val="Arial Narrow"/>
        <family val="2"/>
        <charset val="1"/>
      </rPr>
      <t xml:space="preserve">Identificación y análisis de cambios significativos </t>
    </r>
  </si>
  <si>
    <t xml:space="preserve">9.1 Acorde con lo establecido en la política de Administración del Riesgo, se monitorean los factores internos y externos definidos para la entidad, a fin de establecer cambios en el entorno que determinen nuevos riesgos o ajustes a los existentes.</t>
  </si>
  <si>
    <t xml:space="preserve">Dimension de Direccionamiento Estrategico 
Politica de Planeacion Institucional</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</si>
  <si>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SEMESTRE I
- En Acta No 5 del 15 de junio de 2021, se presenta la Definición y evaluación de la Política de Administración del Riesgo.donde la OCI recomienda que la evaluación debe considerar su aplicación en la entidad, cambios en el entorno que puedan definir ajustes, dificultades para su desarrollo, riesgos emergentes. </t>
  </si>
  <si>
    <t xml:space="preserve">Para el periodo evaluado no se evidenció revisión en el CICCI</t>
  </si>
  <si>
    <t xml:space="preserve">Durante la vigencia no se observaron gestiones frente al monitoreo de los factores internos y externos, se recomienda:
1. Actualizar la totalidad de los mapas de riesgos de los procesos</t>
  </si>
  <si>
    <t xml:space="preserve">9.2 La Alta Dirección analiza los riesgos asociados a actividades tercerizadas, regionales u otras figuras externas que afecten la prestación del servicio a los usuarios, basados en los informes de la segunda y tercera linea de defensa.</t>
  </si>
  <si>
    <t xml:space="preserve">Dimension de Control Interno
Lineas de Defensa</t>
  </si>
  <si>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SEMESTRE I
En acta No 1  de 29 de enero de 2021 en seguimiento al Plan Anticorrupción y de Atención al Ciudadano y de Evaluación de la Gestión de los Riesgos de Gestión y de Corrupción. I Semestre: Cuatrimestre Enero 1 a Abril I 30 de 2021. ademas la OCI recomienda no repetir en el PAAC 2021 acciones que se pueden convertir en políticas de operación. Por ejemplo: incorporar un lineamiento para que en todos los contratos de prestación de servicios se incluya como obligación del contratista declarar los conflictos de interés que podría tener o los que pudieren sobrevenir.
El análisis de los riesgos se incluyen en los estudios previos y se definen las responsabilidades de cada parte en los contratos.
 </t>
  </si>
  <si>
    <t xml:space="preserve">Para el periodo evaluado no se han presentado en el CICCI los resultados de monitoreos de la segunda línea de defensa</t>
  </si>
  <si>
    <t xml:space="preserve">9.3 La Alta Dirección monitorea los riesgos aceptados revisando que sus condiciones no hayan cambiado y definir su pertinencia para sostenerlos o ajustarlos.</t>
  </si>
  <si>
    <t xml:space="preserve">Para el periodo evaluado no se han presentado en el CICCI los resultados de monitoreos de la segunda línea de defensa,</t>
  </si>
  <si>
    <t xml:space="preserve">9.4 La Alta Dirección evalúa fallas en los controles (diseño y ejecución) para definir cursos de acción apropiados para su mejora, basados en los informes de la segunda y tercera linea de defensa.</t>
  </si>
  <si>
    <t xml:space="preserve">9.5 La entidad analiza el impacto sobre el control interno por cambios en los diferentes niveles organizacionales.</t>
  </si>
  <si>
    <t xml:space="preserve">Dimension de Direccionamiento Estrategico y Planeacion
Politica de Planeacion Institucional
Dimension de Control Interno
Linea Estrategica</t>
  </si>
  <si>
    <t xml:space="preserve">ACTIVIDADES DE CONTROL</t>
  </si>
  <si>
    <t xml:space="preserve">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</si>
  <si>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val="true"/>
        <u val="single"/>
        <sz val="11"/>
        <color rgb="FFFFFFFF"/>
        <rFont val="Arial Narrow"/>
        <family val="2"/>
        <charset val="1"/>
      </rPr>
      <t xml:space="preserve">
Lineamiento 10: 
</t>
    </r>
    <r>
      <rPr>
        <b val="true"/>
        <sz val="11"/>
        <color rgb="FFFFFFFF"/>
        <rFont val="Arial Narrow"/>
        <family val="2"/>
        <charset val="1"/>
      </rPr>
      <t xml:space="preserve">Diseño y desarrollo de actividades de control (Integra el desarrollo de controles con la evaluación de riesgos; tiene en cuenta a qué nivel se aplican las actividades; facilita la segregación de funciones).</t>
    </r>
  </si>
  <si>
    <r>
      <rPr>
        <b val="true"/>
        <sz val="11"/>
        <color rgb="FFFFFFFF"/>
        <rFont val="Arial Narrow"/>
        <family val="2"/>
        <charset val="1"/>
      </rPr>
      <t xml:space="preserve">Explicación de cómo la Entidad</t>
    </r>
    <r>
      <rPr>
        <b val="true"/>
        <u val="single"/>
        <sz val="11"/>
        <color rgb="FFFFFFFF"/>
        <rFont val="Arial Narrow"/>
        <family val="2"/>
        <charset val="1"/>
      </rPr>
      <t xml:space="preserve"> evidencia </t>
    </r>
    <r>
      <rPr>
        <b val="true"/>
        <sz val="11"/>
        <color rgb="FFFFFFFF"/>
        <rFont val="Arial Narrow"/>
        <family val="2"/>
        <charset val="1"/>
      </rPr>
      <t xml:space="preserve">que está dando respuesta al requerimiento
</t>
    </r>
    <r>
      <rPr>
        <sz val="11"/>
        <color rgb="FFFFFFFF"/>
        <rFont val="Arial Narrow"/>
        <family val="2"/>
        <charset val="1"/>
      </rPr>
      <t xml:space="preserve">Referencia a Procesos, Manuales/Políticas de Operación/Procedimientos/Instructivos u otros desarrollos que den cuente de su aplicación</t>
    </r>
  </si>
  <si>
    <t xml:space="preserve">10.1 Para el desarrollo de las actividades de control, la entidad considera la adecuada división de las funciones y que éstas se encuentren segregadas en diferentes personas para reducir el riesgo de error o de incumplimientos de alto impacto en la operación.</t>
  </si>
  <si>
    <r>
      <rPr>
        <sz val="11"/>
        <color rgb="FF000000"/>
        <rFont val="Arial Narrow"/>
        <family val="2"/>
        <charset val="1"/>
      </rPr>
      <t xml:space="preserve">La Entidad cuenta con un manual de funciones que se crea mediante  Resolución No.1568 del 19 de Marzo de 2009, el cual ha sido modificado, adicionado y derogado conforme las necesidades de la SDA, actualmente rige en la entidad la Resolución No. 818 del 30 de marzo de 2020,</t>
    </r>
    <r>
      <rPr>
        <i val="true"/>
        <sz val="11"/>
        <color rgb="FF000000"/>
        <rFont val="Arial Narrow"/>
        <family val="2"/>
        <charset val="1"/>
      </rPr>
      <t xml:space="preserve"> “Por la cual se modifica el manual de funciones y competencias laborales para los empleos de la planta de personal de la Secretaría Distrital de Ambiente</t>
    </r>
    <r>
      <rPr>
        <sz val="11"/>
        <color rgb="FF000000"/>
        <rFont val="Arial Narrow"/>
        <family val="2"/>
        <charset val="1"/>
      </rPr>
      <t xml:space="preserve">” cuyo propósito es permitirle a los funcionarios dar cumplimiento de los objetivos planteados por la dependencia, así mismo, se cuenta con el apoyo de contratistas para desarrollar actividades que conllevan al cumplimiento de metas. 
</t>
    </r>
    <r>
      <rPr>
        <sz val="11"/>
        <rFont val="Arial Narrow"/>
        <family val="2"/>
        <charset val="1"/>
      </rPr>
      <t xml:space="preserve">La base de datos de los contratistas de prestación de servicios se encuentra publicada en la pagina web de la Secretaria Distrital de Ambiente, link de transparencia y acceso a la información, en esta base de datos se puede evidenciar el objeto contractual, meta del contrato, proyecto del contrato, presupuesto, duración del contrato y el área para la cual fue contratado; de igual manera en los procedimientos de los procesos que con lleva la entidad en la plataforma ISOLUCIÓN  se encuentran funciones que segregan a los funcionarios y contratistas de la entidad.
SEMESTRE I
Mediante acta No. 3 del 11 de marzo de 2021, en reunión del CICCI se estipula el compromiso por parte de la DGC revisar y ajustar el  procedimiento para el manejo y asignación de la responsabilidad de los inventarios de las áreas comunes y los que se usan para ejecutar las funciones y obligaciones de funcionarios y contratistas respectivamente, para mitigar el riesgo de pérdida o daños a los activos de la entidad.
En acta de reunión No. 5 Del 15 de junio de 2021 la OCI presenta ante el CICCI los resultados del índice de desempeño institucional.</t>
    </r>
  </si>
  <si>
    <t xml:space="preserve">Para el periodo evaluado no se presentaron en el CICCI el análisis de la divisón de funciones y segregación.</t>
  </si>
  <si>
    <t xml:space="preserve">Durante la vigencia no se observaron gestiones frente al monitoreo al análisis de la divisón de funciones y segregación, se recomienda:
- Presentar en próxima sesión CICCI monitoreo al análisis de la divisón de funciones y segregación para la reducción de riesgos de error.</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</si>
  <si>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</si>
  <si>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 xml:space="preserve">La entidad cuenta con alternativas de contratación que permiten cubrir con los riesgos identificados. Dentro del Procedimiento Estructuración de Estudios Previos modalidad contratación directa, Código: PA08-PR03   Versión: 11    del 23 de junio de 2021, anexo No.3: Certificado de inexistencia o insuficiencia de personal y/o autorización para celebrar contratos de Prestación de Servicios Profesionales y Apoyo a la Gestión, Código: PA08-PR03-F3, versión 11, el cual se firma para la contratación de prestaciones sociales una vez verificada la disponibilidad del personal de planta para atender el requerimiento presentado por el responsable del Proyecto, y  no existe personal de planta o existiendo personal en la planta, éste no es suficiente o requiere de un grado de especialización.
SEMESTRE I
Así mismo la Secretaria Distrital de Ambiente en reunión del  29 de enero de 2021, el Comité Institucional de Gestión y desempeño aprobó el Plan Estratégico de Talento Humano 2021,  cuyo proceso trabaja en función de sus objetivos, proyecta y suple las necesidades de personal y definen los planes y programas de gestión del talento humano, con el fin de integrar las políticas y prácticas de personal con las prioridades de la entidad.
Mediante acta No. 3 del 11 de marzo de 2021, en reunión del CIGD se estipula el compromiso por parte de la DGC revisar y ajustar el  procedimiento para el manejo y asignación de la responsabilidad de los inventarios de las áreas comunes y los que se usan para ejecutar las funciones y obligaciones de funcionarios y contratistas respectivamente, para mitigar el riesgo de pérdida o daños a los activos de la entidad.</t>
  </si>
  <si>
    <t xml:space="preserve">Para el periodo evaluado no se presentaron en el CICCI el análisis de la divisón de funciones y segregación.
</t>
  </si>
  <si>
    <t xml:space="preserve">Durante la vigencia no se observaro gestiones frente al monitoreo al análisis de la divisón de funciones y segregación, se recomienda:
- Presentar en próxima sesión CICCI monitoreo o informes donde se identifique falta de personal o dificultad en la segregación de funciones.
</t>
  </si>
  <si>
    <t xml:space="preserve">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</si>
  <si>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</si>
  <si>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t xml:space="preserve">
La Secretaria Distrital de Ambiente, actualmente cuenta con sistemas de gestión en las Normas ISO 9001, 14001, 14001 y OHSAS 18001.
SEMESTRE I
- En reunión del 29 de enero de 2021, Acta No. 1 la OCI presentó ante el CICCI, el PAA con auditorias a realizar con criterios de las normas ISO.</t>
  </si>
  <si>
    <t xml:space="preserve">Para el periodo evaluado se observa que la OCI presentó resultados de los ejercicios de auditoria, evaluación y seguimiento en las sesiones del CICCI</t>
  </si>
  <si>
    <t xml:space="preserve">Durante la vigencia  se observaron gestiones frente al seguimiento de las evaluaciones y auditorias realizadas.</t>
  </si>
  <si>
    <r>
      <rPr>
        <b val="true"/>
        <u val="single"/>
        <sz val="11"/>
        <color rgb="FFFFFFFF"/>
        <rFont val="Arial Narrow"/>
        <family val="2"/>
        <charset val="1"/>
      </rPr>
      <t xml:space="preserve">Lineamiento 11: 
</t>
    </r>
    <r>
      <rPr>
        <b val="true"/>
        <sz val="11"/>
        <color rgb="FFFFFFFF"/>
        <rFont val="Arial Narrow"/>
        <family val="2"/>
        <charset val="1"/>
      </rPr>
      <t xml:space="preserve">Seleccionar y Desarrolla controles generales sobre TI para apoyar la consecución de los objetivos .</t>
    </r>
  </si>
  <si>
    <t xml:space="preserve">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</si>
  <si>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</si>
  <si>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r>
      <rPr>
        <sz val="10"/>
        <color rgb="FF000000"/>
        <rFont val="Arial Narrow"/>
        <family val="2"/>
        <charset val="1"/>
      </rPr>
      <t xml:space="preserve">Con el PETI se define, visualiza y proyecta el horizonte y perfil tecnológico de la SDA, dando como resultado una institución dinámica, orientada y acorde al Plan de Desarrollo Distrital, que pretende aportar valor de una manera consistente en el cumplimiento de los objetivos misionales aprobada en el Cicci en enero 2021. Ademas se han definido actividades de control en aplicacion de softwares y sistemas de gestion.
</t>
    </r>
    <r>
      <rPr>
        <b val="true"/>
        <sz val="10"/>
        <color rgb="FF000000"/>
        <rFont val="Arial Narrow"/>
        <family val="2"/>
        <charset val="1"/>
      </rPr>
      <t xml:space="preserve">I Semestre 2021: 1) </t>
    </r>
    <r>
      <rPr>
        <sz val="10"/>
        <color rgb="FF000000"/>
        <rFont val="Arial Narrow"/>
        <family val="2"/>
        <charset val="1"/>
      </rPr>
      <t xml:space="preserve">Mediante acta No. 1 del 29 de enero de 2021, la OCI socializo los resultados de la auditoría al proceso Gestión Tecnológica PETI</t>
    </r>
    <r>
      <rPr>
        <b val="true"/>
        <sz val="10"/>
        <color rgb="FF000000"/>
        <rFont val="Arial Narrow"/>
        <family val="2"/>
        <charset val="1"/>
      </rPr>
      <t xml:space="preserve">.  2)</t>
    </r>
    <r>
      <rPr>
        <sz val="10"/>
        <color rgb="FF000000"/>
        <rFont val="Arial Narrow"/>
        <family val="2"/>
        <charset val="1"/>
      </rPr>
      <t xml:space="preserve"> Mediante acta No. 5 del 18 de mayo de 2021, se modifica el PAA, estableciendo nueva fecha para la presentación de resultados de la auditoría al Proceso Gestión Tecnológica.</t>
    </r>
    <r>
      <rPr>
        <b val="true"/>
        <sz val="10"/>
        <color rgb="FF000000"/>
        <rFont val="Arial Narrow"/>
        <family val="2"/>
        <charset val="1"/>
      </rPr>
      <t xml:space="preserve">3) </t>
    </r>
    <r>
      <rPr>
        <sz val="10"/>
        <color rgb="FF000000"/>
        <rFont val="Arial Narrow"/>
        <family val="2"/>
        <charset val="1"/>
      </rPr>
      <t xml:space="preserve">Mediante memorando No. 2021IE105377 del 28 de mayo de 2021, la OCI socializó el informe de resultados del Índice de Desempeño Institucional vigencia 2020, en donde evidencio una disminución en el porcentaje respecto de la vigencia 2019 y 2020 en la Política de Gobierno Digital y Seguridad Digital.  4</t>
    </r>
    <r>
      <rPr>
        <b val="true"/>
        <sz val="10"/>
        <color rgb="FF000000"/>
        <rFont val="Arial Narrow"/>
        <family val="2"/>
        <charset val="1"/>
      </rPr>
      <t xml:space="preserve">)</t>
    </r>
    <r>
      <rPr>
        <sz val="10"/>
        <color rgb="FF000000"/>
        <rFont val="Arial Narrow"/>
        <family val="2"/>
        <charset val="1"/>
      </rPr>
      <t xml:space="preserve"> Mediante acta No. 5 del 18 de mayo de 2021,la OCI, presentó ante el CICCI los resultados del índice de desempeño Institucional. 
</t>
    </r>
    <r>
      <rPr>
        <b val="true"/>
        <sz val="10"/>
        <color rgb="FF000000"/>
        <rFont val="Arial Narrow"/>
        <family val="2"/>
        <charset val="1"/>
      </rPr>
      <t xml:space="preserve">II Semestre 2021: </t>
    </r>
    <r>
      <rPr>
        <sz val="10"/>
        <color rgb="FF000000"/>
        <rFont val="Arial Narrow"/>
        <family val="2"/>
        <charset val="1"/>
      </rPr>
      <t xml:space="preserve">Mediante acta No 8 de 27 de octubre de 2021 se modifica el PAA retirando la auditoria de gestion tecnologica ya que la oficina no cuenta con personal idoneo para llevarla a cabo y sera priorizada en el 2022.</t>
    </r>
  </si>
  <si>
    <t xml:space="preserve">Para el periodo evaluado no se presentó información al CICCI, sin embargo se programo auditoria en la vigencia y en comité se considero la exclusión de la efvaluación en la vigen</t>
  </si>
  <si>
    <t xml:space="preserve">Durante la vigencia  se observaron gestiones frente a la programación de auditoria a las TIC, no obstante fue necesario excluir el ejercicio para la vigencia, se recomienda
- Mantener la priorizacion de llevar a cabo la auditoria de gestion tecnologica retirada del PAA Para el 2022.</t>
  </si>
  <si>
    <t xml:space="preserve">11.2  Para los proveedores de tecnología  selecciona y desarrolla actividades de control internas sobre las actividades realizadas por el proveedor de servicios.</t>
  </si>
  <si>
    <r>
      <rPr>
        <sz val="10"/>
        <color rgb="FF000000"/>
        <rFont val="Arial Narrow"/>
        <family val="2"/>
        <charset val="1"/>
      </rPr>
      <t xml:space="preserve">Con el PETI se define, visualiza y proyecta el horizonte y perfil tecnológico de la SDA, dando como resultado una institución dinámica, orientada y acorde al Plan de Desarrollo Distrital, que pretende aportar valor de una manera consistente en el cumplimiento de los objetivos misionales aprobada en el Cicci en enero 2021. Ademas se han definido actividades de control en aplicacion de softwares y sistemas de gestion.
</t>
    </r>
    <r>
      <rPr>
        <b val="true"/>
        <sz val="10"/>
        <color rgb="FF000000"/>
        <rFont val="Arial Narrow"/>
        <family val="2"/>
        <charset val="1"/>
      </rPr>
      <t xml:space="preserve">I Semestre 2021</t>
    </r>
    <r>
      <rPr>
        <sz val="10"/>
        <color rgb="FF000000"/>
        <rFont val="Arial Narrow"/>
        <family val="2"/>
        <charset val="1"/>
      </rPr>
      <t xml:space="preserve">: 1)Mediante acta No. 1 del 29 de enero de 2021, la OCI socializo los resultados de la auditoría al proceso Gestión Tecnológica. 2) Mediante acta No. 5 del 18 de mayo de 2021, se modifica el PAA, estableciendo nueva fecha para la presentación de resultados de la auditoría al Proceso Gestión Tecnológica. 
3) Con el procedimiento  PA03-PR02 Version 7 del 4 de abril de 2019 se cuenta con punto de conrtol el Ticket Mesa de Servicios. 
4) Con el procedimiento PA03-PR05 Version 7del 4 de abril de 2019  se evidencia control Alertas generadas por la Herramienta Symantec Backup Exec.
5) Mediante memorando No. 2021IE105377 del 28 de mayo de 2021, la OCI socializó el informe de resultados del Índice de Desempeño Institucional vigencia 2020, en donde evidencio una disminución en el porcentaje respecto de la vigencia 2019 y 2020 en la Política de Gobierno Digital y Seguridad Digital.</t>
    </r>
  </si>
  <si>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</si>
  <si>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</si>
  <si>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 xml:space="preserve">Durante la vigencia  se observaron gestiones frente a la programación de auditoria a las TIC, no obstante fue necesario excluir el ejercicio para la vigencia, se recomienda
- Mantener la priorizacion de llevar a cabo la auditoria de gestion tecnologica retirada del PAA Para el 2022.
- Presentar al CICCI los avances o modificaciones en las matrices de roles y usuarios ademas de actualizar de manera periodica dejando version y fecha estipulada</t>
  </si>
  <si>
    <t xml:space="preserve">11.4 Se cuenta con información de la 3a línea de defensa, como evaluador independiente en relación con los controles implementados por el proveedor de servicios, para  asegurar que los riesgos relacionados se mitigan.
</t>
  </si>
  <si>
    <t xml:space="preserve">Dimension Control Interno
Tercera Linea de Defensa</t>
  </si>
  <si>
    <r>
      <rPr>
        <sz val="11"/>
        <color rgb="FF000000"/>
        <rFont val="Arial Narrow"/>
        <family val="2"/>
        <charset val="1"/>
      </rPr>
      <t xml:space="preserve">La OCI, mediante  Radicado : </t>
    </r>
    <r>
      <rPr>
        <b val="true"/>
        <sz val="11"/>
        <color rgb="FF000000"/>
        <rFont val="Arial Narrow"/>
        <family val="2"/>
        <charset val="1"/>
      </rPr>
      <t xml:space="preserve">II Semestre 2020</t>
    </r>
    <r>
      <rPr>
        <sz val="11"/>
        <color rgb="FF000000"/>
        <rFont val="Arial Narrow"/>
        <family val="2"/>
        <charset val="1"/>
      </rPr>
      <t xml:space="preserve">: Mediante radicado 2020IE237056 del 24 de diciembre de 2020 se comunica los resultados de la auditoria de Gestión Tecnológica, Donde se verificó la gestión y cumplimiento  del proceso Gestión Tecnológica, estado de avance en la implementación de las Políticas de Gobierno Digital, seguridad digital y avance en la implementación del PETI,el cumplimiento a la Ley 1712 de 2015 en cuanto a las publicaciones con datos abiertos, seguridad, confiabilidad e integridad de la información. </t>
    </r>
    <r>
      <rPr>
        <b val="true"/>
        <sz val="11"/>
        <color rgb="FF000000"/>
        <rFont val="Arial Narrow"/>
        <family val="2"/>
        <charset val="1"/>
      </rPr>
      <t xml:space="preserve">I Semetres 2021 : </t>
    </r>
    <r>
      <rPr>
        <sz val="11"/>
        <color rgb="FF000000"/>
        <rFont val="Arial Narrow"/>
        <family val="2"/>
        <charset val="1"/>
      </rPr>
      <t xml:space="preserve">1) mediante acta No 1 de 29 de enero de 2021 se socializan los resultados de la auditoria ante el CICCI </t>
    </r>
    <r>
      <rPr>
        <b val="true"/>
        <sz val="11"/>
        <color rgb="FF000000"/>
        <rFont val="Arial Narrow"/>
        <family val="2"/>
        <charset val="1"/>
      </rPr>
      <t xml:space="preserve">2</t>
    </r>
    <r>
      <rPr>
        <sz val="11"/>
        <color rgb="FF000000"/>
        <rFont val="Arial Narrow"/>
        <family val="2"/>
        <charset val="1"/>
      </rPr>
      <t xml:space="preserve">) Mediante acta No. 5 del 18 de mayo de 2021, se modifica el PAA, estableciendo nueva fecha para la presentación de resultados de la auditoría al Proceso Gestión Tecnológica. 
II Semestre 2021: Mediante acta No 8 de 27 de octubre de 2021 se modifica el PAA retirando la auditoria de gestion tecnologica ya que la oficina no cuenta con personal idoneo para llevarla a cabo y sera priorizada en el 2022.</t>
    </r>
  </si>
  <si>
    <t xml:space="preserve">Durante la vigencia  se observaron gestiones frente a la programación de auditoria a las TIC, no obstante fue necesario excluir el ejercicio para la vigencia, se recomienda:
- Mantener la priorizacion de llevar a cabo la auditoria de gestion tecnologica retirada del PAA Para el 2022.
- Presentar al CICCI los avances o modificaciones en las matrices de roles y usuarios ademas de actualizar de manera periodica dejando version y fecha estipulada</t>
  </si>
  <si>
    <r>
      <rPr>
        <b val="true"/>
        <u val="single"/>
        <sz val="11"/>
        <color rgb="FFFFFFFF"/>
        <rFont val="Arial Narrow"/>
        <family val="2"/>
        <charset val="1"/>
      </rPr>
      <t xml:space="preserve">Lineamiento 12: 
</t>
    </r>
    <r>
      <rPr>
        <b val="true"/>
        <sz val="11"/>
        <color rgb="FFFFFFFF"/>
        <rFont val="Arial Narrow"/>
        <family val="2"/>
        <charset val="1"/>
      </rPr>
      <t xml:space="preserve">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</si>
  <si>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</si>
  <si>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 xml:space="preserve">Dimension de Gestion con Valores para el Resultado
Politica de Fortalecimiento Organizacional y Simplificacion de Procesos.</t>
  </si>
  <si>
    <r>
      <rPr>
        <b val="true"/>
        <sz val="9"/>
        <color rgb="FF000000"/>
        <rFont val="Arial Narrow"/>
        <family val="2"/>
        <charset val="1"/>
      </rPr>
      <t xml:space="preserve">SEMESTRE I:
</t>
    </r>
    <r>
      <rPr>
        <sz val="9"/>
        <color rgb="FF000000"/>
        <rFont val="Arial Narrow"/>
        <family val="2"/>
        <charset val="1"/>
      </rPr>
      <t xml:space="preserve">- En comité No. 1 de gestion y desempeñodel dia 29 de enero de 2021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
-Mediante acta No. 5 del 15 de junio la OCI presentó ante el CICCI  los resultados de la evaluación y seguimiento cuatrimestral al PAAC y mapas de riesgos de la entidad Comunicado con memorando No. 2021IE94510 de 14 de mayo de 2021.
Mediante acta No. 1 del 29 de enero de 2021 la OCI, fue aprobado el Plan anual de Auditorias en donde se establecido fecha de inicio para la Auditoría al Proceso de Gestión Administrativa, incluye: Caracterización, procedimientos del proceso, sistema de Gestión Ambiental: PIGA, componente de gestión ambiental (Res. SDA No 02163 de 2020), verificación de contratos de servicios tercerizados, almacén e inventarios, plan de mantenimiento.
</t>
    </r>
    <r>
      <rPr>
        <b val="true"/>
        <sz val="9"/>
        <color rgb="FF000000"/>
        <rFont val="Arial Narrow"/>
        <family val="2"/>
        <charset val="1"/>
      </rPr>
      <t xml:space="preserve">SEMESTRE II:
</t>
    </r>
    <r>
      <rPr>
        <sz val="9"/>
        <color rgb="FF000000"/>
        <rFont val="Arial Narrow"/>
        <family val="2"/>
        <charset val="1"/>
      </rPr>
      <t xml:space="preserve">En aplicativo ISOLUCIÖN se evidencia la actualizacion de la caracterizcion de 7 procesos:
- Evaluacion Control y seguimiento actualizado el 22 de octubre de 2021.
- Gestión administrativa actualizado el 10 de diciembre de 2021.
-  Gestión Ambiental y Desarrollo Rural  actualizado el 21 de  junio de 2021.
- Gestión Contractual actualizado el 29 de noviembre 2021.
-  Gestión  Talento Humano actualizado el 29 de noviembre de 2021.
- Metrología, Monitoreo y Moderación actualizado el 24 de noviembre de  2021.
- Servicio aa la ciudadania actualizado el 22 de noviembre de 2021.
- Direccionamiento estrategico actualiazado el 29 de noviembre de 2021.
- Sistema integrado de gestión actualizado el 03 de diciembre de 2021.
- Comunicaciones actualizado el 23 de noviembre de 2021.}
- Particfipacion y eduacaion ambiental actualizado el 29 de noviembre de 2021.
- Planeación ambiental actualizado el 29 de noviembre de 2021.
- Gestión ambiental y desarrollo Rural actualizado el 09 de diciembre de 2021.
- Gestión juridica actualizado el  02 de diciembre de 2021.
- Gestión documental el 02 de diciembre de 2021.
- Gestión tegnologica el 29 de noviembre de 2021.
Mediante memorando 2021IE179449 del 26 de agosto del 2021 se adopto el MANUAL DE SEGURIDAD Y SALUD EN EL TRABAJO PARA CONTRATISTAS Y/O PROVEEDORES, el cual fue aprobado por el Comité Institucional de Gestión y Desempeño 22 de junio de 2021. 
Mediante acta No. 5 del 15 de junio la OCI presentó ante el CICCI  los resultados de la evaluación y seguimiento cuatrimestral al PAAC y mapas de riesgos de la entidad</t>
    </r>
  </si>
  <si>
    <t xml:space="preserve">Para el periodo evaluado no se presentaron en sesión CICCI, no obstante se realizaron gestiones al respecto</t>
  </si>
  <si>
    <t xml:space="preserve">Durante la vigencia no se presentaron gestiones, se recomienda:
- Atender lo indicado en el acta No. 5 del 15 de junio la OCI presentó ante el CICCI  los resultados de la evaluación y seguimiento cuatrimestral al PAAC y mapas de riesgos de la entidad, en donde se recomendó Realizar la revisión y actualización del mapa de procesos, caracterizaciones y procedimientos.</t>
  </si>
  <si>
    <t xml:space="preserve">12.2  El diseño de controles se evalúa frente a la gestión del riesgo.</t>
  </si>
  <si>
    <t xml:space="preserve">Todas las Dimensiones de MIPG 
</t>
  </si>
  <si>
    <t xml:space="preserve">La entidad medinate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Regulado mediante Procedimiento Interno  Administración de riesgos Código: PE03-PR02, Versión: 18;  
- Define y actualiza el Plan Anticorrupción y de Atención al Ciudadano de acuerdo a los resultados de su seguimiento y evaluación. Este plan tiene tres seguimientos cuatrimestrales al año, a cargo de la Oficina de Control Interno como tercera línea de defensa y, cuatro seguimientos trimestrales al año, realizados por la segunda línea de defensa de la entidad conforme al esquema de lineas de defensa de la SDA
SEMESTRE I
Mediante acta No. 1 del 29 de enero de 2021 la OCI, presentó ante el CICCI Presento los resultados de la evaluación al PAAC y mapas de riesgos de 
gestión y corrupción. 
Mediante acta No. 4 del 27 de abril de 2021 la  SGCD presentó ante el CICCI  el mapa de riesgos de gestión y corrupción actualizado, conforme las recomendaciones de la OCI.
Mediante acta No. 5 del 15 de junio de 2021 la OCI presentó ante el CICCI los resultados de la evaluación y seguimiento cuatrimestral al PAAC y 
mapas de riesgos de la entidad.</t>
  </si>
  <si>
    <t xml:space="preserve">12.3  Monitoreo a los riesgos acorde con la política de administración de riesgo establecida para la entidad.
</t>
  </si>
  <si>
    <t xml:space="preserve">Dimension de Direccionamiento Estrategico y Planeacion
Politica de Planeacion Institucional.</t>
  </si>
  <si>
    <r>
      <rPr>
        <sz val="9"/>
        <color rgb="FF000000"/>
        <rFont val="Arial Narrow"/>
        <family val="2"/>
        <charset val="1"/>
      </rPr>
      <t xml:space="preserve">El Plan Anticorrupción y de Atención al Ciudadano es revisado y actualizado anualmente de acuerdo a los resultados de su seguimiento y evaluación. Este plan tiene tres seguimientos cuatrimestrales al año, a cargo de la Oficina de Control Interno como tercera línea de defensa y, cuatro seguimientos trimestrales al año, realizados por la segunda línea de defensa de la entidad conforme al esquema de lineas de defensa de la SDA
-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Regulado mediante Procedimiento Interno  Administración  de riesgos Código: PE03-PR02, Versión: 18;  Formato Plan de Manejo de Riesgos-Mapa de riesgos PE03-PR02- F2.
</t>
    </r>
    <r>
      <rPr>
        <b val="true"/>
        <sz val="9"/>
        <color rgb="FF000000"/>
        <rFont val="Arial Narrow"/>
        <family val="2"/>
        <charset val="1"/>
      </rPr>
      <t xml:space="preserve">
SEMESTRE I:
</t>
    </r>
    <r>
      <rPr>
        <sz val="9"/>
        <color rgb="FF000000"/>
        <rFont val="Arial Narrow"/>
        <family val="2"/>
        <charset val="1"/>
      </rPr>
      <t xml:space="preserve">- Mediante radicado No. 2021IE94510 del 14 de mayo de 2021, se preparó y socializó el "Primer Informe de Seguimiento y Evaluación sobre el Estado de la Gestión de los Riesgos de Corrupción y de Gestión y del Plan Anticorrupción y de Atención al Ciudadano. Corte Enero a Abril de 2021"
</t>
    </r>
    <r>
      <rPr>
        <b val="true"/>
        <sz val="9"/>
        <color rgb="FF000000"/>
        <rFont val="Arial Narrow"/>
        <family val="2"/>
        <charset val="1"/>
      </rPr>
      <t xml:space="preserve">
SEMESTRE II:
</t>
    </r>
    <r>
      <rPr>
        <sz val="9"/>
        <color rgb="FF000000"/>
        <rFont val="Arial Narrow"/>
        <family val="2"/>
        <charset val="1"/>
      </rPr>
      <t xml:space="preserve">- mediante el radicado N° 2021IE195059 del 14 de septiembre de 2021, el Segundo Informe de Seguimiento y Evaluación sobre el Estado de la Gestión de los Riesgos de Corrupción y de Gestión, Plan Anticorrupción y de Atención al Ciudadano y Plan de Integridad. Corte Mayo a Agosto de 2021. 
</t>
    </r>
  </si>
  <si>
    <t xml:space="preserve">Para el periodo evaluado no se presentaron en sesión CICCI, no obstante se realizaron gestiones al respecto,</t>
  </si>
  <si>
    <t xml:space="preserve">Durante la vigencia no se presentaron gestiones, se recomienda:
- Presentar en proxima sesión del CICCI los resultados de la gestión</t>
  </si>
  <si>
    <t xml:space="preserve">12.4 Verificación de que los responsables estén ejecutando los controles tal como han sido diseñados.</t>
  </si>
  <si>
    <t xml:space="preserve">Dimension Control Interno
Segunda Linea de Defensa</t>
  </si>
  <si>
    <r>
      <rPr>
        <sz val="11"/>
        <color rgb="FF000000"/>
        <rFont val="Arial Narrow"/>
        <family val="2"/>
        <charset val="1"/>
      </rPr>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Los responsables de la primera linea de defensa implementan y documenta en actas los seguimientos de autocontrol y autoevaluación de los temas a su cargo
Ademas cuenta con actividades de monitoreo de la segunda linea de defensa para los temas transvesales y el plan anual de auditorias por parte de la tercera línea de defensa.
</t>
    </r>
    <r>
      <rPr>
        <b val="true"/>
        <sz val="11"/>
        <color rgb="FF000000"/>
        <rFont val="Arial Narrow"/>
        <family val="2"/>
        <charset val="1"/>
      </rPr>
      <t xml:space="preserve">SEMESTRE I</t>
    </r>
    <r>
      <rPr>
        <sz val="11"/>
        <color rgb="FF000000"/>
        <rFont val="Arial Narrow"/>
        <family val="2"/>
        <charset val="1"/>
      </rPr>
      <t xml:space="preserve">:
- Informe tercer cuatrimestre de 2020, comunciado con memorando No. 2021IE08732 de 18 de enero de 2021.
- Mediante radicado No. 2021IE94510 del 14 de mayo de 2021, se preparó y socializó el "Primer Informe de Seguimiento y Evaluación sobre el Estado de la Gestión de los Riesgos de Corrupción y de Gestión y del Plan Anticorrupción y de Atención al Ciudadano. Corte Enero a Abril de 2021.
</t>
    </r>
    <r>
      <rPr>
        <b val="true"/>
        <sz val="11"/>
        <color rgb="FF000000"/>
        <rFont val="Arial Narrow"/>
        <family val="2"/>
        <charset val="1"/>
      </rPr>
      <t xml:space="preserve">SEMESTRE II:
</t>
    </r>
    <r>
      <rPr>
        <sz val="11"/>
        <color rgb="FF000000"/>
        <rFont val="Arial Narrow"/>
        <family val="2"/>
        <charset val="1"/>
      </rPr>
      <t xml:space="preserve">- Mediante el radicado N° 2021IE195059 del 14 de septiembre de 2021, el Segundo Informe de Seguimiento y Evaluación sobre el Estado de la Gestión
de los Riesgos de Corrupción y de Gestión, Plan Anticorrupción y de Atención al Ciudadano y Plan de Integridad. Corte Mayo a Agosto de 2021. </t>
    </r>
  </si>
  <si>
    <t xml:space="preserve">Para el periodo evaluado se ha presentado los resultado de la evluación realizada por la tercera lina de defenen desarrollo del plan anual de auditia 2021</t>
  </si>
  <si>
    <t xml:space="preserve">Durante la vigencia no se presentaron gestiones, se recomienda:
- Presentar en proxima sesión del CICCI los resultados de los monitores de la segunda línea de defensa.</t>
  </si>
  <si>
    <t xml:space="preserve">12.5  Se evalúa la adecuación de los controles a las especificidades de cada proceso, considerando cambios en regulaciones, estructuras internas u otros aspectos que determinen cambios en su diseño.</t>
  </si>
  <si>
    <t xml:space="preserve">Dimension Control Interno
 Lineas de Defensa</t>
  </si>
  <si>
    <r>
      <rPr>
        <sz val="11"/>
        <color rgb="FF000000"/>
        <rFont val="Arial Narrow"/>
        <family val="2"/>
        <charset val="1"/>
      </rPr>
      <t xml:space="preserve">La entidad mediante acta del Comité del Sistema Integrado de Gestión del 05 de diciembre de 2016 se adopta la Politica de administración de riesgos y oportunidades, modificada mediante acta de CICCI de 13 de octubre de 2020, en la cual se definio la periodicidad de la revisión, niveles para calificar el riesgo, modificó el alcance, se amplió la política, se definieron los roles y responsabilidades de las 4 líneas de defensa; se incluyen responsabilidades frente al perfil de riesgo inherente y residual y se incluye un capítulo de comunicación de la política.
Los responsables de la primera linea de defensa implementan y documenta en actas los seguimientos de autocontrol y autoevaluación de los temas a su cargo
Ademas cuenta con actividades de monitoreo de la segunda linea de defensa para los temas transvesales y el plan anual de auditorias por parte de la tercera línea de defensa.
</t>
    </r>
    <r>
      <rPr>
        <b val="true"/>
        <sz val="11"/>
        <color rgb="FF000000"/>
        <rFont val="Arial Narrow"/>
        <family val="2"/>
        <charset val="1"/>
      </rPr>
      <t xml:space="preserve">SEMESTRE I:
- </t>
    </r>
    <r>
      <rPr>
        <sz val="11"/>
        <color rgb="FF000000"/>
        <rFont val="Arial Narrow"/>
        <family val="2"/>
        <charset val="1"/>
      </rPr>
      <t xml:space="preserve">Mediante acta de reunion 01 de 29 de enero de 2021, se presoento por parte de la DPSIA como segunda linea de defensa de los resultados del monitoreo al PAAC, tercer cuatrimestre  de 2020.
- Informe tercer cuatrimestre de 2020, comunciado con memorando No. 2021IE08732 de 18 de enero de 2021.
- Mediante radicado No. 2021IE94510 del 14 de mayo de 2021, se preparó y socializó el "Primer Informe de Seguimiento y Evaluación sobre el Estado de la Gestión de los Riesgos de Corrupción y de Gestión y del Plan Anticorrupción y de Atención al Ciudadano. Corte Enero a Abril de 2021.
</t>
    </r>
    <r>
      <rPr>
        <b val="true"/>
        <sz val="11"/>
        <color rgb="FF000000"/>
        <rFont val="Arial Narrow"/>
        <family val="2"/>
        <charset val="1"/>
      </rPr>
      <t xml:space="preserve">SEMESTRE II:
</t>
    </r>
    <r>
      <rPr>
        <sz val="11"/>
        <color rgb="FF000000"/>
        <rFont val="Arial Narrow"/>
        <family val="2"/>
        <charset val="1"/>
      </rPr>
      <t xml:space="preserve">- Mediante el radicado N° 2021IE195059 del 14 de septiembre de 2021, el Segundo Informe de Seguimiento y Evaluación sobre el Estado de la Gestión
de los Riesgos de Corrupción y de Gestión, Plan Anticorrupción y de Atención al Ciudadano y Plan de Integridad. Corte Mayo a Agosto de 2021. 
</t>
    </r>
  </si>
  <si>
    <t xml:space="preserve">INFORMACIÓN Y COMUNICACIÓN</t>
  </si>
  <si>
    <t xml:space="preserve">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</si>
  <si>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rPr>
        <b val="true"/>
        <u val="single"/>
        <sz val="11"/>
        <color rgb="FFFFFFFF"/>
        <rFont val="Arial Narrow"/>
        <family val="2"/>
        <charset val="1"/>
      </rPr>
      <t xml:space="preserve">
Lineamiento 13: 
</t>
    </r>
    <r>
      <rPr>
        <b val="true"/>
        <sz val="11"/>
        <color rgb="FFFFFFFF"/>
        <rFont val="Arial Narrow"/>
        <family val="2"/>
        <charset val="1"/>
      </rPr>
      <t xml:space="preserve">Utilización de información relevante (Identifica requisitos de información; Capta fuentes de datos internas y externas; Procesa datos relevantes y los transforma en información).</t>
    </r>
  </si>
  <si>
    <t xml:space="preserve">13.1 La entidad ha diseñado sistemas de información para capturar y procesar datos y transformarlos en información para alcanzar los requerimientos de información definidos.</t>
  </si>
  <si>
    <t xml:space="preserve">Dimension de Informacion y comunicación 
</t>
  </si>
  <si>
    <t xml:space="preserve">La entidad cuenta con un plan de comunicaciones el cual se actualiza anualmente, ademas cuenta con diferentes sistemas de información para los procesos administrativos y misionales
I Semestre: 1)Mediante el proceso PE02-PR02 Version 11 de 29 de septiembre de 2021  la OAC establece estrategias para facilitar el adecuado flujo de información al interior de la entidad. 2) Divulgación  realizada de acuerdo al instructivo 126PG02-PR02-I-1- Herramientas de comunicación interna, el cual contiene entre otras las siguientes : Correo Institucional,Boletín “Para estar en Ambiente”,Carteleras Digitales,Sonido interno,Intranet, Plantillas. 3) En el Manual del SIG se contempla la Política de gestión de seguridad de la información la cual hace parte del Sistema Integrado de Gestión y es la de mantener, fortalecer e impulsar el uso de tecnologías de la información y comunicaciones con el manejo adecuado de los recursos tecnológicos, implementando mejores prácticas y estándares para el gobierno de TI y actuando responsablemente bajo principios básicos de confidencialidad, integridad y disponibilidad frente a los activos de información de la  Secretaria Distrital de Ambiente se pueden consultar en la pagina https://ambientebogota.gov.co/web/intranet-sda/sig-mipg. 
4) Procedimiento  PA06-PR02.Se cuenta con el cuadro de caracterización documental -registro de activos de información - índice de información clasificada y reservada (hoja 2 inventario de activos de información tipo hardware, software y servicios).5) se cuenta con el  Visor geográfico Ambiental, el cual es una solución informática en software libre y de código abierto para la difusión de información ambiental y participación ciudadana a través de un Visor Geográfico, que permita contar con los aportes de la comunidad de gestores ambientales y comunidad en general en el desarrollo de campañas y eventos ambientales.</t>
  </si>
  <si>
    <t xml:space="preserve">Para el periodo evaluado no se presentaron resultado en el CICCI, no obstante se han realizado gestiones respecto en el primer semestre de 2021</t>
  </si>
  <si>
    <t xml:space="preserve">Durante la vigencia no se presentaron gestiones, se recomienda:
a) Presentar en proximo CICCI los resultados frente al estado de implementacion de los sistemas</t>
  </si>
  <si>
    <t xml:space="preserve">13.2  La entidad cuenta con el inventario de información relevante (interno/externa) y cuenta con un mecanismo que permita su actualización.</t>
  </si>
  <si>
    <t xml:space="preserve">Dimension de Informacion y comunicación 
Politica de Transparencia y Acceso a la Informaciòn Publica</t>
  </si>
  <si>
    <r>
      <rPr>
        <sz val="11"/>
        <rFont val="Arial Narrow"/>
        <family val="2"/>
        <charset val="1"/>
      </rPr>
      <t xml:space="preserve">La entidad mediante la DGC y el grupo de gestión documental cuenta con el inventario documental de la información transferida para custodia y almacenamiento de las áreas misionales, de apoyo y estrategias al archivo central mediante el Formato Único de Inventario Documental – FUID Código:</t>
    </r>
    <r>
      <rPr>
        <b val="true"/>
        <sz val="11"/>
        <rFont val="Arial Narrow"/>
        <family val="2"/>
        <charset val="1"/>
      </rPr>
      <t xml:space="preserve"> PA06-PR18-F1. 2) </t>
    </r>
    <r>
      <rPr>
        <sz val="11"/>
        <rFont val="Arial Narrow"/>
        <family val="2"/>
        <charset val="1"/>
      </rPr>
      <t xml:space="preserve">Mediante el procedimiento  PE02-PR01 Describir las actividades que permiten la divulgación externa de los temas prioritarios, acciones y proyectos que realice la Secretaría Distrital de Ambiente.
Identifica la información como un componente indispensable en la conducción y consecución de los objetivos institucionales, razón por la cual es necesario que se establezca un marco en el cual se asegure que la información es protegida de una manera adecuada, independientemente de la forma en la que ésta sea manejada, procesada, transportada o almacenada.
</t>
    </r>
  </si>
  <si>
    <t xml:space="preserve">Para el periodo evaluado no se presentaron resultado en el CICCI, no obstante toda la documentación interna se encuentra organizada, cataloga en un repositorio de información denominado sistema de informacion Isolucion, el cual corresponde a todo el listado maestro de documentos tanto interno como externos de relevancia para los procesos de la entidad, corresponde a un sistema de Información de procesos de apoyo administrativo Gestión Documental y estratégico del Sistema Integrado de Gestión, que integra el Sistema Integrado de Gestión, el cual facilita la planeación, la implementación, la administración, el mantenimiento y mejoramiento del sistema de gestión toda esta informacion se encuentra </t>
  </si>
  <si>
    <t xml:space="preserve">Durante la vigencia no se presentaron gestiones, se recomienda:
a) Presentar en proximo CICCI los resultados frente al estado del inventario documental
No obstante la oficina de Control Interno ha realizado las evaluaciones y recomendaciones sobre los sistemas de información en el CICCI enero 29 de 2021. La oficina de control interno encuentra acertada la informacion sin embargo es necesario cargar los links completos redireccionado de manera directa.</t>
  </si>
  <si>
    <t xml:space="preserve">13.3 La entidad considera un ámbito amplio de fuentes de datos (internas y externas), para la captura y procesamiento posterior de información clave para la consecución de metas y objetivos.</t>
  </si>
  <si>
    <t xml:space="preserve">Los líderes de procesos con el acompañamiento del equipo operativo del Sistema Integrado de Gestión, identificarán los activos de información, sus respectivos responsables, custodios, ubicación, entre otras características, con el fin de garantizar su administración y control. Ademas de capacitaciones de:
1) Mediante acta No 1 de 29 de enero de 2021 se evidencia soacializacion por parte de la DPSIA de los seguimientos realizados a transparencia y acceso de la informacion.
2) mediante acta No 5 de 15 de junio de 2021 la SER solicita modificacion al sistema de informacion y verificacion en sitio a partir de agosto de 2021 ya que por pandemia se  han impactado negativamente los flujos de información interna y externa 
3) Mediante acta No 6 de 29 de julio de 2021 se evidencia que la DPSIA Registro Activos Información. Identificar Información Clasificada y Reservada. Lineamientos uso de información privilegiada dando cumplimiento a compromisos de actas anteriores.
4) mediante acta No 7 de 29 de septiembre de 2021 la DPSIA socializa  en CICCI las políticas de administración de la información
5) Capacitacion de transparencia agosto 11  de 2021 dirigido por la veeduria. 
6) La OAC consulta fuentes internas y externas para la elaboración de comunicados de prensa y piezas divulgativas ademas de cargar de manera semalan informes de toda la informacion divulgada como evidencia.
7) se evidencia cumplimiento de la Ley 1712 de 2014 se cuenta con un  micrositio de transparencia y acceso a la información, teniendo en cuenta el decreto reglamentario 103 de 2015 y la resolución 3564 de 201, donde se publica información de gestión y relevante de la entidad, tanto en transparencia activa como en transparencia activa, mediante la cual se gestiona de manera proactiva, la actualización y seguimiento de los contenidos web relacionados a la Transparencia y acceso a la información pública, por parte de los diferentes enlaces en cada dependencia dentro de la entidad, que contribuyan al cumplimiento de la ley 1712 de 2014, implementando los mecanismos de TI requeridos y normatizados por la estrategia de gobierno digital, que permitan el uso y apropiación de la información por parte de grupos de interés y de la ciudadanía en general.</t>
  </si>
  <si>
    <t xml:space="preserve">Para el periodo evaluado no se presentaron resultado en el CICCI.</t>
  </si>
  <si>
    <t xml:space="preserve">Durante la vigencia no se presentaron gestiones, se recomienda:
a) Presentar en proximo CICCI los resultados frente al estado de las fuentes de datos (internas y externa)</t>
  </si>
  <si>
    <t xml:space="preserve">13.4 La entidad ha desarrollado e implementado actividades de control sobre la integridad, confidencialidad y disponibilidad de los datos e información definidos como relevantes.</t>
  </si>
  <si>
    <t xml:space="preserve">La entidad cuenta con roles, competencia y responsabilidades de cada una de las Líneas de Defensa y para dar cumplimiento a cada una de ellas se verifico la capacitación del 15 de noviembre y e cargue de seguridad de la informacion es acertado, la informacion publica esta al alcance de cualquier ciudadano mientras que documentos sensibles están limitados únicamente para la consulta de lideres que lo requieran y tengan permisos de acceso ( acceso que es limitado)
-La entidad cuenta con un cuadro de caracterización documental donde posa informacion clasificada y reservada para cada uno de los procesos lo cual hace la informacion confiable e ineditable.
SEMESTRE I
1) Mediante acta No 7 de 29 de septiembre de 2021 se socializaron y presentaron las politicas de seguridad y privacidad de la informacion ente ellos privacidad y confidencialidad.
2) se evidecia  Cuadro de caracterización documental activos de información índice de info. clasificada y reservada (consultable aplicativo ISOlucion-modulo Sistemas / MECI).
3) Se encuentra Controles de seguridad y privacidad de la información (Consultable en https://drive.google.com/drive/folders/16hDqITkdzSp3JlnAwJymaUMjG01-RHca?usp=sharing) </t>
  </si>
  <si>
    <t xml:space="preserve">Durante la vigencia no se presentaron gestiones, se recomienda:
a) Presentar en proximo CICCI los resultados frente al estado de las actividades de control para asegura la integridad, confidencialidad e integridad delos datos.</t>
  </si>
  <si>
    <r>
      <rPr>
        <b val="true"/>
        <u val="single"/>
        <sz val="11"/>
        <color rgb="FFFFFFFF"/>
        <rFont val="Arial Narrow"/>
        <family val="2"/>
        <charset val="1"/>
      </rPr>
      <t xml:space="preserve">
Lineamiento 14: 
</t>
    </r>
    <r>
      <rPr>
        <b val="true"/>
        <sz val="11"/>
        <color rgb="FFFFFFFF"/>
        <rFont val="Arial Narrow"/>
        <family val="2"/>
        <charset val="1"/>
      </rPr>
      <t xml:space="preserve">Comunicación Interna (Se comunica con el Comité Institucional de Coordinación de Control Interno o su equivalente; Facilita líneas de comunicación en todos los niveles; Selecciona el método de comunicación pertinente).</t>
    </r>
  </si>
  <si>
    <t xml:space="preserve">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</si>
  <si>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</si>
  <si>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r>
      <rPr>
        <sz val="11"/>
        <color rgb="FF000000"/>
        <rFont val="Arial Narrow"/>
        <family val="2"/>
        <charset val="1"/>
      </rPr>
      <t xml:space="preserve">Mensualmente cada dependencia revisa el avance en la ejecución de las metas proyecto de inversión y lo documenta en actas de autocontrol. Todas las dependencias cuentas con las respectivas de autocontrol sin embargo se podría fortalecer con un formato de obligatoriedad que permita diligenciar la firma de manera digital y en tiempo real para que no queden sin firma y con espacios en blanco.
- Se cuenta con el sistema de Correspondencia Forest que es una herramienta tecnológica que registra la actuación de la entidad, basado en un sistema de gestión de procesos y documentos, desarrollado bajo mapas de procesos,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entre servidores. El correo institucional donde nos comunican diferentes eventos y es el más rápido. Las pantallas de comunicación ubicadas en cada piso con el fin de socializar actividades y eventos en la sede principal y en las distintas sedes de la SDA. La Oficina Asesora de Comunicaciones cuenta con una profesional encargada de la comunicación interna, en quien se puede apoyar la alta dirección para dar a conocer los objetivos y metas estratégicas para ser divulgados a través de los canales internos de comunicación. 
SEMESTRE I 
</t>
    </r>
    <r>
      <rPr>
        <b val="true"/>
        <sz val="11"/>
        <color rgb="FF000000"/>
        <rFont val="Arial Narrow"/>
        <family val="2"/>
        <charset val="1"/>
      </rPr>
      <t xml:space="preserve">1)</t>
    </r>
    <r>
      <rPr>
        <sz val="11"/>
        <color rgb="FF000000"/>
        <rFont val="Arial Narrow"/>
        <family val="2"/>
        <charset val="1"/>
      </rPr>
      <t xml:space="preserve">Mediante Acta Nº 1 de 29 de enero de 2021 Se presentó en el CICCI de 2021 reporte de comunicaciones.
</t>
    </r>
    <r>
      <rPr>
        <b val="true"/>
        <sz val="11"/>
        <color rgb="FF000000"/>
        <rFont val="Arial Narrow"/>
        <family val="2"/>
        <charset val="1"/>
      </rPr>
      <t xml:space="preserve">2</t>
    </r>
    <r>
      <rPr>
        <sz val="11"/>
        <color rgb="FF000000"/>
        <rFont val="Arial Narrow"/>
        <family val="2"/>
        <charset val="1"/>
      </rPr>
      <t xml:space="preserve">) Mediante acta Nº 6 de 29 de julio de 2021 se presentan los resultados del SCI Semestral (Ene-Jun 2021) - Rad. 2021IE151972 del 26-Jul-2021.
</t>
    </r>
    <r>
      <rPr>
        <b val="true"/>
        <sz val="11"/>
        <color rgb="FF000000"/>
        <rFont val="Arial Narrow"/>
        <family val="2"/>
        <charset val="1"/>
      </rPr>
      <t xml:space="preserve">3) </t>
    </r>
    <r>
      <rPr>
        <sz val="11"/>
        <color rgb="FF000000"/>
        <rFont val="Arial Narrow"/>
        <family val="2"/>
        <charset val="1"/>
      </rPr>
      <t xml:space="preserve">Mediante acta Nº 7 de 29 de septiembre de 2021 se presentan los resultados de la auditoria evaluacion control y seguimiento presentando las politicas de seguridad y privacidad de la informacion. </t>
    </r>
  </si>
  <si>
    <t xml:space="preserve">Para el periodo evaluado no se presentaron resultado en el CICCI. No obstante para elprimer semestre se presentaron los resultados generales de la implementación, eficacia y sostenibilidad de los sistemas de información dentro del informe consolidado del Sistema de Gestión de seguridad de la Información</t>
  </si>
  <si>
    <t xml:space="preserve">Durante la vigencia se presentaron gestiones sobre los resultados de la efectividad del flujo de la información interna en los informes de la OCI presentados al CICCI, y en las auditoría presentada se evidencian los resultados, pendiente por socializar los planes de mejoramiento .</t>
  </si>
  <si>
    <t xml:space="preserve">14.2 La entidad cuenta con políticas de operación relacionadas con la administración de la información (niveles de autoridad y responsabilidad)</t>
  </si>
  <si>
    <t xml:space="preserve">La entida cuenta con plataforma isolucion se carga el plan de comunicaciones anual.se encuentra evidencia de la vigencia 2021.
1) Mediante acta Nº 6 de 29 de julio de 2021 se evidencia que m ediante memorando N° 2021IE147712 del 21-Jul-2021 la DPSIA solicitó ampliar la fecha de cumplimento del compromiso hasta el 30-Sep-2021 toda vez que no es posible contar con el recurso humano encargado del tema de las políticas de seguridad y privacidad de la información dadas sus condiciones de salud.
2) Mediante acta Nº 7 de 29 de septiembre de 2021se evidencia socializacion y Presentación de las políticas de seguridad y privacidad de la información.
3.) Plan de comunicaciones en la plataforma Isolucion- MECI- Plan de comunicaciones.</t>
  </si>
  <si>
    <t xml:space="preserve">Durante la vigencia no se presentaron gestiones frente a las politicas de operación relacionadas con la administración de la informacion, no obstante estas fueron presentadas y socializadas ante el CICCIen la vigencia 2020.</t>
  </si>
  <si>
    <t xml:space="preserve">14.3 La entidad cuenta con canales de información internos para la denuncia anónima o confidencial de posibles situaciones irregulares y se cuenta con mecanismos específicos para su manejo, de manera tal que generen la confianza para utilizarlos.</t>
  </si>
  <si>
    <t xml:space="preserve">La entidad cuenta con canales de información internos que son los mismos que cualquier usuario externo puede consultar
 1) En el pie de pagina de la pagina de la SDA en el link https://ambientebogota.gov.co/inicio se evidencian las fuentes de comunicacion como correo y telefonos de contacto 
2)Mediante la ventanilla virtual puede generar se puede realizar solicitudes de información, denuncias, derechos de petición, quejas y sugerencias, remisión de información y muchos trámites más se puede evidenciar por la pagina en el link: https://ambientebogota.gov.co/-como-dar-aviso-a-la-secretaria-distrital-de-ambiente-sobre-casos-de-rescate-o-denuncias-relacionadas-con-fauna-silvestre-
3) dentro de la pagina esta el boton PQRF con el link https://ambientebogota.gov.co/es/web/transparencia/tienes-una-pqrsf donde se puede enviar un correo o llamar.
4) en cuando a los requerimientos anonimos se cuenta con la pagina de bogota te escucha en el link https://bogota.gov.co/sdqs/crear-peticion no es necesario poner informacion personal.</t>
  </si>
  <si>
    <t xml:space="preserve">Durante la vigencia no se presentaron gestiones frente a la implementación de los canales. se recomienda:
- Implementar buzon de correo propio para denuncias anonimas ya que cuenta con llamadas y estas si pueden ser reportadas como anonimas, ademas no se evidencia socializacion en el CICCI lo cual se recomienda pertinente revisar.
- Presentar en próxima sesion del CICCI el análisis de las PQRS recibidas a la entidad, incluyendo las peticiones anónimas internas con soportes en sistema Forest, con debida trazabilidad y respuesta, además de la firma de recepción del documento con evidencia física</t>
  </si>
  <si>
    <t xml:space="preserve">
Sistema Distrital de Quejas y Soluciones – SDQS Es una herramienta virtual por la cual usted podrá interponer todas sus peticiones como quejas, reclamos, solicitudes de información, consultas, sugerencias, felicitaciones y denuncias por corrupción, que puedan afectar sus intereses o los de la comunidad, con el objeto de que las entidades distritales emitan una respuesta oportuna, o inicien una actuación administrativa según sea el caso.  Ventanillavirtual/app http://www.bogota.gov.co/sdqs. Correo electrónico.
El canal de denuncia anónimo es el sistema de radicación de correspondencia de la SDA. 
No hay buzones para denuncias anónimas 
</t>
  </si>
  <si>
    <t xml:space="preserve">14.4 La entidad establece e implementa políticas y procedimientos para facilitar una comunicación interna efectiva.</t>
  </si>
  <si>
    <t xml:space="preserve">1)Mediante el procedimiento  PE02-PR02 Version 11 de 29 de septiembre de 2021 denominado comunicación interna se describen las actividades secuenciales que permiten el adecuado flujo de información para el manejo de la comunicación interna de la SDA.
2) Mediante Resolución  N°4287 se adopta el Manual de Procesos y Procedimientos de la Secretaría Distrital de Ambiente.
3) se evidencian piezas comunicativas atraves de correos electronicos, redes sociales y fondos de pantalla</t>
  </si>
  <si>
    <t xml:space="preserve">Durante la vigencia no se presentaron gestiones frente a la implementación de las políticas, se recomienda:
- Presentar en próxima sesion del CICCI de la implementación de la politica</t>
  </si>
  <si>
    <r>
      <rPr>
        <b val="true"/>
        <u val="single"/>
        <sz val="11"/>
        <color rgb="FFFFFFFF"/>
        <rFont val="Arial Narrow"/>
        <family val="2"/>
        <charset val="1"/>
      </rPr>
      <t xml:space="preserve">
Lineamiento 15: 
</t>
    </r>
    <r>
      <rPr>
        <b val="true"/>
        <sz val="11"/>
        <color rgb="FFFFFFFF"/>
        <rFont val="Arial Narrow"/>
        <family val="2"/>
        <charset val="1"/>
      </rPr>
      <t xml:space="preserve">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</si>
  <si>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</si>
  <si>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</si>
  <si>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 xml:space="preserve">La entidad realiza la divulgación de Información y Contratación de Bienes, Servicios y proyectos. en cuanto  la información externa, con el fin de que ésta se mantenga disponible y actualizada. Adicionalmente,  la comunicación externa a través de los diferentes medios con los que cuenta la entidad, tales como: página Web de la entidad , secop para los casos de contratación, tv y redes sociales.
- Cuenta con la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SEMESTRE 1
1) Mediante el procedimiento PE02-PR01  Version 11 de 20 de marzo de 2019 denominado comunicación externa,  se describen las actividades que permiten la divulgación externa  de los temas prioritarios, acciones y proyectos que realice la SDA. Procedimiento de atención al ciudadano. 
2) Mediante acta Nº 5 de 15 de junio de 2021, se presentan y  destacan los monitoreos en la vigencia 2021, en los siguientes temas:Monitoreo a PQRS. -SGCD comunicados con memorandos.
3) divulgacion de informacion a traves de las redes sociales, medios comunicativos y la web</t>
  </si>
  <si>
    <t xml:space="preserve">Para el periodo evaluado no se presentaron resultado en el CICCI. No obtane, se han presentado resultados del monitoreo a PQRS por la segunda línea de defensa</t>
  </si>
  <si>
    <t xml:space="preserve">Durante la vigencia no se presentaron gestiones frente a la implementación de controles, se recomienda:
- Presentar en próxima sesion del CICCI de la implementación los resultados de la efectividad del flujo de la información interna.</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</si>
  <si>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</si>
  <si>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</si>
  <si>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 xml:space="preserve">La entidad cuenta y gestiona la comunicación externa a través de los diferentes medios con los que cuenta la entidad, tales como: 
1. Página Web
2. Oficina de Atención al Ciudadano 
3. Programa de televisión
4. Campañas en diferentes medios (televisión, radio y periódicos)
6. Presentaciones y ejercicios de rendición de cuentas de la entidad
En cuanto a  las auditorías internas, seguimientos y evaluaciones es necesario mantener actualizada la información externa con el propósito que se encuentre disponible confiable y completa.1)Dentro del procedimiento PE02-PR01 version 11 de 20 de marzo de 2019 denominado comunicación externa, se determina las herramientas de comunicación externa a través de la cual se divulgará la información como lo son las siguientes:-Realización de eventos,-Campaña masiva o directas
-Atención a medios,-Comunicado de prensa,-Programa de radio y/o televisión,-Publicación en la página web,-Videos y/o audiovisuales
-Administración de las redes sociales.
2) Mediante boton trnsparencia en la pagina de la entidad en el link https://ambientebogota.gov.co/es/web/transparencia.</t>
  </si>
  <si>
    <t xml:space="preserve">Para el periodo evaluado no se presentaron resultado en el CICCI. No obtane, se han presentado gestiones al respecto</t>
  </si>
  <si>
    <t xml:space="preserve">Durante la vigencia no se presentaron gestiones frente  los resultados de la efectividad del flujo de la información con canales externos de comunicación  con la informacion a divulgar.</t>
  </si>
  <si>
    <t xml:space="preserve">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</si>
  <si>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</si>
  <si>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 xml:space="preserve">La entidad cuenta con el proceso de  de Servicio a la Ciudadania se cuentan con los siguientes procedimientos que dan cumplimiento  al manejor de la informacion entrante:
1) mediante el procedimiento PA09-PR04 Canales de atencion version 3 de 19 de noviembre de 2021, se garantiza el acceso a los trámites y servicios de la entidad a la ciudadanía, en sus diferentes grupos de valor, a través de los canales de atención presencial, telefónico y virtual; cumpliendo los criterios de la Política Publica Distrital de Servicio a la Ciudadanía. 
2) mediante el procedimiento PA09-PR05 Recepción, impresión y salida de documentos  version 3 de 5 de septiembre de 2021 se Gestiona de forma eficiente y oportuna los documentos allegados a la entidad para ser radicados y distribuidos a los procesos competentes con el propósito de tramitar su respuesta y envío por correo electrónico o físico.  
3) mediante el procedimiento  PA09-PR03 Peticiones ciudadanas, grupos de valor y entes de control  version 4 de 13 de diciembre (muy reciente ) se revisan las Peticiones ciudadanas, grupos de valor y entes de control </t>
  </si>
  <si>
    <t xml:space="preserve">Se sugiere dar seguimiento a la informacion entrnte en la entidad no solo en los informes de pqrs.</t>
  </si>
  <si>
    <t xml:space="preserve">15.4 La entidad cuenta con procesos o procedimientos encaminados a evaluar periodicamente la efectividad de los canales de comunicación con partes externas, así como sus contenidos, de tal forma que se puedan mejorar.
</t>
  </si>
  <si>
    <t xml:space="preserve">Dimension de Informacion y Comunicación
Politica deControl Interno
Lineas de Defensa</t>
  </si>
  <si>
    <t xml:space="preserve">La entidad a través de la OAC aplica una encuesta anual para conocer la opinión de los servidores sobre los canales de comunicación interna. 
SEMESTRE I
1)  en acta Nº 3 del 11 de marzo de 2021  se socializan y presentan los resultados de la Evaluación de los canales de comunicación externos e internos- Revisión de
caracterización de usuarios y grupos de valor evaluando la percepción frente a la efectividad de los canales externos a traves de diferentes preguntas.
</t>
  </si>
  <si>
    <t xml:space="preserve">Durante la vigencia no se presentaron gestiones frente a la evaluación peridica, se recomienda:
- Presentar en próxima sesion del CICCI de la implementación los resultados de la evaluacion peridica de los canales de comunicacion y reportes de la paginna web
- Socializar los resultados  las observaciones encontradas dentro de las respuestas dadas por lo funcionarios de la entidad.</t>
  </si>
  <si>
    <t xml:space="preserve">15.5 La entidad analiza periodicamente su caracterización de usuarios o grupos de valor, a fin de actualizarla cuando sea pertinente.</t>
  </si>
  <si>
    <t xml:space="preserve">Dimension de Direccionamiento Estrategico y Planeaciòn
Politica de Planeacion Institucional</t>
  </si>
  <si>
    <t xml:space="preserve">La OAC revisa y actualiza periódicamente la información de sus grupos de valor como periodistas, editores, jefes de redacción e influenciadores.
1)  en acta Nº 3 del 11 de marzo de 2021  se socializan y presentan los resultados de la Evaluación de los canales de comunicación externos e internos- Revisión de
caracterización de usuarios y grupos de valor evaluando la percepción frente a la efectividad de los canales externos a traves de diferentes preguntas.
2) En acta Nº 5 de 15 de junio de 2021 se evidencia socializacion de monitoreo por parte de la segunda linea de defensa en la Revisión de caracterización
de usuarios y grupos de valor.
</t>
  </si>
  <si>
    <t xml:space="preserve">Durante la vigencia se presentaron gestiones frente a los resultados de la evaluacion peridica de los canalSe evidencia que la entidad analiza de manera anual su caracterizacion de usuarios o grupos de valor, ademas que realiza seguimiento y monitoreo de los resultados, no obstante aunque el lineamiento no define cada cuanto se refiere periodicamente se sugiere realizar evaluacion, seguimiento y monitoreo de manera semestral.</t>
  </si>
  <si>
    <t xml:space="preserve">15.6 La entidad analiza periodicamente los resultados frente a la evaluación de percepción por parte de los usuarios o grupos de valor para la incorporación de las mejoras correspondientes.</t>
  </si>
  <si>
    <t xml:space="preserve">Esta actividad corresponde a la Subsecretaría General y de Control Disciplinario y a la Dirección de Planeación y Sistemas de Información Ambiental.
1) La OAC aplica una encuesta mensual a través de redes sociales para conocer al percepción ciudadana en torno a las actuaciones de la SDA evidenciados los resultados en acta Nº  3 de 11 de marzo de 2021.</t>
  </si>
  <si>
    <t xml:space="preserve">ACTIVIDADES DE MONITOREO</t>
  </si>
  <si>
    <t xml:space="preserve">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</si>
  <si>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val="true"/>
        <u val="single"/>
        <sz val="11"/>
        <color rgb="FFFFFFFF"/>
        <rFont val="Arial Narrow"/>
        <family val="2"/>
        <charset val="1"/>
      </rPr>
      <t xml:space="preserve">Lineamiento 16. </t>
    </r>
    <r>
      <rPr>
        <sz val="11"/>
        <color rgb="FFFFFFFF"/>
        <rFont val="Arial Narrow"/>
        <family val="2"/>
        <charset val="1"/>
      </rPr>
      <t xml:space="preserve"> Evaluaciones continuas y/o separadas (autoevaluación, auditorías) para determinar si los componentes del Sistema de Control Interno están presentes y funcionando.
</t>
    </r>
  </si>
  <si>
    <t xml:space="preserve">Observaciones de la evaluacion independiente (tener encuenta papel de  líneas de defensa) 
*Nota: Unicamente diligenciar las observaciones que van vinculadas al desarrollo de actividades de las demas lineas de defensa</t>
  </si>
  <si>
    <t xml:space="preserve">16.1 El comité Institucional de Coordinación de Control Interno aprueba anualmente el Plan Anual de Auditoría presentado por parte del Jefe de Control Interno o quien haga sus veces y hace el correspondiente seguimiento a sus ejecución?</t>
  </si>
  <si>
    <t xml:space="preserve">Dimension de Control Interno
Lineas Estrategica</t>
  </si>
  <si>
    <r>
      <rPr>
        <sz val="11"/>
        <color rgb="FF000000"/>
        <rFont val="Arial Narrow"/>
        <family val="2"/>
        <charset val="1"/>
      </rPr>
      <t xml:space="preserve">La entidad ha regulado mediante Resolución SDA No.02735 “Por medio de la cual se actualiza el Comité Institucional de Coordinación de Control Interno de la Secretaría Distrital de Ambiente creado mediante la Resolución 1455 de 2018 y se toman otras determinaciones”.
</t>
    </r>
    <r>
      <rPr>
        <b val="true"/>
        <sz val="11"/>
        <color rgb="FF000000"/>
        <rFont val="Arial Narrow"/>
        <family val="2"/>
        <charset val="1"/>
      </rPr>
      <t xml:space="preserve">SEMESTRE I:
</t>
    </r>
    <r>
      <rPr>
        <sz val="11"/>
        <color rgb="FF000000"/>
        <rFont val="Arial Narrow"/>
        <family val="2"/>
        <charset val="1"/>
      </rPr>
      <t xml:space="preserve">- Mediante acta de reuinion 01 del 29 de enero se presento el informe de gestión de la OCI y autoevaluación del estatuto de  Auditoría y Código de Ética del Auditor, comunicado con memorando No.2021IE07144 de 15 de enero de 2021.
- Mediante acta de reuinión 01 del 29 de enero de 2021 En CICCI se aprobó el Plan Anual de Auditoría a ejecutar en la vigencia 2021.
- mediante acta de reunion 5 del 15 de junio de 2021  la OCI presentó Informe se seguimiento a la ejecución del Plan Anual de Auditorías y Programa Anual de Auditorías y solicitud de modificaciones. 
</t>
    </r>
    <r>
      <rPr>
        <b val="true"/>
        <sz val="11"/>
        <color rgb="FF000000"/>
        <rFont val="Arial Narrow"/>
        <family val="2"/>
        <charset val="1"/>
      </rPr>
      <t xml:space="preserve">SEMESTRE II:
</t>
    </r>
    <r>
      <rPr>
        <sz val="11"/>
        <color rgb="FF000000"/>
        <rFont val="Arial Narrow"/>
        <family val="2"/>
        <charset val="1"/>
      </rPr>
      <t xml:space="preserve">- mediante acta 07 del 29 de septiembre de 2021 se presento ante el CICCI los resultados de la auditoria interna realizada al proceso“EVALUACIÓN, CONTROL Y SEGUIMIENTO”</t>
    </r>
  </si>
  <si>
    <t xml:space="preserve">Para el periodo evaluado en sesiones del CICCI se han presentado los resultados de la ejecución del plan de auditoria anual de la OCI</t>
  </si>
  <si>
    <t xml:space="preserve">Durante la vigencia se presentaron gestiones frente a los resultados del cumplimiento de plan anual de auditoria</t>
  </si>
  <si>
    <t xml:space="preserve">16.2  La Alta Dirección periódicamente evalúa los resultados de las evaluaciones (contínuas e independientes)  para concluir acerca de la efectividad del Sistema de Control Interno</t>
  </si>
  <si>
    <r>
      <rPr>
        <sz val="11"/>
        <color rgb="FF000000"/>
        <rFont val="Arial Narrow"/>
        <family val="2"/>
        <charset val="1"/>
      </rPr>
      <t xml:space="preserve">Regulado mediante Resolución SDA No.02735 “Por medio de la cual se actualiza el Comité Institucional de Coordinación de Control Interno de la Secretaría Distrital de Ambiente creado mediante la Resolución 1455 de 2018 y se toman otras determinaciones”.
</t>
    </r>
    <r>
      <rPr>
        <b val="true"/>
        <sz val="11"/>
        <color rgb="FF000000"/>
        <rFont val="Arial Narrow"/>
        <family val="2"/>
        <charset val="1"/>
      </rPr>
      <t xml:space="preserve">SEMESTRE I:
</t>
    </r>
    <r>
      <rPr>
        <sz val="11"/>
        <color rgb="FF000000"/>
        <rFont val="Arial Narrow"/>
        <family val="2"/>
        <charset val="1"/>
      </rPr>
      <t xml:space="preserve">- Mediante acta de reuinion 01 del 29 de enero se presento el informe de gestión de la OCI y autoevaluación del estatuto de  Auditoría y Código de Ética del Auditor, comunicado con memorando No.2021IE07144 de 15 de enero de 2021.
- Mediante acta de reuinión 01 del 29 de enero de 2021 En CICCI se aprobó el Plan Anual de Auditoría a ejecutar en la vigencia 2021.
- mediante acta de reunion 5 del 15 de junio de 2021  la OCI presentó Informe se seguimiento a la ejecución del Plan Anual de Auditorías y Programa Anual de Auditorías y solicitud de modificaciones. 
</t>
    </r>
    <r>
      <rPr>
        <b val="true"/>
        <sz val="11"/>
        <color rgb="FF000000"/>
        <rFont val="Arial Narrow"/>
        <family val="2"/>
        <charset val="1"/>
      </rPr>
      <t xml:space="preserve">SEMESTRE II:
</t>
    </r>
    <r>
      <rPr>
        <sz val="11"/>
        <color rgb="FF000000"/>
        <rFont val="Arial Narrow"/>
        <family val="2"/>
        <charset val="1"/>
      </rPr>
      <t xml:space="preserve">- mediante acta 07 del 29 de septiembre de 2021 se presento ante el CICCI los resultados de la auditoria interna realizada al proceso“EVALUACIÓN, CONTROL Y SEGUIMIENTO”</t>
    </r>
  </si>
  <si>
    <t xml:space="preserve">Se han presentado en el CICCI el seguimiento del plan anual de auditoria vigencia 2021 se programó el seguimiento evaluación del Sistema de Control Interno -SCI de la Secretaría Distrital de Ambiente comunicados ante el CICCI en acta 01 del 29 de enero de 2021 y acta 06 del 29 de julio de 2021, los cuales fueron comunicados mediante los siguientes comunicados. 
- Memorando Forest No. 2021IE13326 de 25 de enero de 2021. 
- Mediante el radicado N° 2021IE151972 del 26 de julio de 2021.</t>
  </si>
  <si>
    <t xml:space="preserve">Durante la vigencia se presentaron gestiones frente a los resultados de las auditores, evaluaciones y los seguimientos perioricos en las fechas correspondientes son presentadas en reuniones del CICCI; continuar con los ejercicios y presentaciones ante el CICCI.
</t>
  </si>
  <si>
    <t xml:space="preserve">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</si>
  <si>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 xml:space="preserve">Dimension de Control Interno
Tercera Linea de Defensa</t>
  </si>
  <si>
    <t xml:space="preserve">El Plan Anticorrupción y de Atención al Ciudadano es revisado y actualizado anualmente de acuerdo a los resultados de su seguimiento y evaluación. Este plan tiene tres seguimientos cuatrimestrales al año, a cargo de la Oficina de Control Interno como tercera línea de defensa y, cuatro seguimientos trimestrales al año, realizados por la segunda línea de defensa de la entidad conforme al esquema de lineas de defensa de la SDA, los riesgos se evaluan segun la Guia de administracion y diseño de controles DAFP.
SEMESTRE I:
Mediante acta No. 5 del 15 de junio la OCI presentó ante el CICCI  los resultados de la evaluación y seguimiento cuatrimestral al PAAC y mapas de riesgos de la entidad Comunicado con memorando No. 2021IE94510 de 14 de mayo de 2021
-Mediante acta 01 del 29 de enero de 2021 el CICCI aprobo el plan Anual de Auditoria programando como actividad la Evaluación de la gestión de los riesgos de gestión y corrupción de manera trimestral.
- Informe tercer cuatrimestre de 2020, comunciado con memorando No. 2021IE08732 de 18 de enero de 2021.
- Mediante radicado No. 2021IE94510 del 14 de mayo de 2021, se preparó y socializó el "Primer Informe de Seguimiento y Evaluación sobre el Estado de la Gestión de los Riesgos de Corrupción y de Gestión y del Plan Anticorrupción y de Atención al Ciudadano. Corte Enero a Abril de 2021.
SEMESTRE II:
- Mediante el radicado N° 2021IE195059 del 14 de septiembre de 2021, el Segundo Informe de Seguimiento y Evaluación sobre el Estado de la Gestión
de los Riesgos de Corrupción y de Gestión, Plan Anticorrupción y de Atención al Ciudadano y Plan de Integridad. Corte Mayo a Agosto de 2021. 
Mediante memorando No. 2021IE114573 del 08 de junio de 2021, se comunico el resultado del seguimiento a la implementación del "Esquema de líneas de defensa", el cual se hizo por parte de la OCI las siguientes recomendaciones:
• Continuar fortaleciendo la implementación del procedimiento de auditorías.</t>
  </si>
  <si>
    <t xml:space="preserve">Se han presentado en el CICCI el seguimiento del plan anual de auditoria vigencia 2021, donde se programó el seguimiento evaluación del Sistema de Control Interno -SCI de la Secretaría Distrital de Ambiente comunicados ante el CICCI en acta 01 del 29 de enero de 2021 y acta 06 del 29 de julio de 2021, los cuales fueron comunicados mediante los siguientes comunicados. 
- Memorando Forest No. 2021IE13326 de 25 de enero de 2021. 
- Mediante el radicado N° 2021IE151972 del 26 de julio de 2021.</t>
  </si>
  <si>
    <t xml:space="preserve">Durante la vigencia se presentaron gestiones frente a los resultados de las evaluaciones independietes.</t>
  </si>
  <si>
    <t xml:space="preserve">16.4 Acorde con el Esquema de Líneas de Defensa se han implementado procedimientos de monitoreo continuo como parte de las actividades de la 2a línea de defensa, a fin de contar con información clave para la toma de decisiones.</t>
  </si>
  <si>
    <t xml:space="preserve">Dimension de Control Interno
Segunda Linea de Defensa</t>
  </si>
  <si>
    <t xml:space="preserve">Esquema líneas de defensa de la SDA adoptado en el CICCI en el acta No.12 del 22 de  diciembre de 2020.
mediante acta reuinion 05 del 15 de junio de 2021, se presentaron ante el CICCI los resultados del seguimiento a la implementación del “Esquema de Líneas de Defensa”. Comunicado con memorando No. 2021IE114573 de 08/06/2021.s haciendo monitorireo a la fecha de los siguientes procesoss:
-Monitoreo a PQRS. -SGCD 
- Monitoreo al avance en el cumplimiento de metas proyecto de inversión, avance de la  ejecución financiera y física. -SPCI- Presentados en CICCI.
- Monitoreo a los estados financieros – SF- Monitoreo a los estados financieros.
- Monitoreo al avance y/o cumplimiento del plan de sostenibilidad contable. SF - Presentados en CICCI y en CTSC.
- Monitoreo al sistema de administración de riesgos. SGCD- Comunicado a los líderes de los procesos con memorando y presentado en CICCI.
- Monitoreo al Plan Anticorrupción y de Atención al Ciudadano –PAAC. DPSIA - Presentado en CICCI y publicado en la página Web.
- Monitoreo a la política de prevención del daño antijurídico. DLA - Presentado en Comité de Conciliación.
- Monitoreo al Sistema de Gestión Ambiental en el marco de la ISO 14001:2015, incluye el avance en la implementación del PIGA y programas ambientales. DGC -Presentado en 
CIGD.
- Evaluación de los canales de comunicación externos e internos- Revisión de caracterización de usuarios y grupos de valor. OCOM - Presentado en CICCI.
Mediante acta reuinion 05 del 15 de junio de 2021, se presentaron ante el CICCI los resultados del seguimiento a la implementación del “Esquema de Líneas de Defensa”. Comunicado con memorando No. 2021IE114573 de 08/06/2021</t>
  </si>
  <si>
    <t xml:space="preserve">Para el periodo evaluado en sesiones del CICCI no se han presentado los resultados del monitoreo de la segunda linea de defensa</t>
  </si>
  <si>
    <t xml:space="preserve">Se sugiere inlcuir en próxima sesion CICCI o CIGD la presentaron monitores por parte de la segunda línea de defensa, los cuales generaron recomendaciones que fueron monitoreadas y cumplidas con el fin de mejorar el desempeño institucional.</t>
  </si>
  <si>
    <t xml:space="preserve">16.5 Frente a las evaluaciones independientes la entidad considera evaluaciones externas de organismos de control, de vigilancia, certificadores, ONG´s u otros que permitan tener una mirada independiente de las operaciones.</t>
  </si>
  <si>
    <t xml:space="preserve">La Secretaría Distrital de Ambiente actualmente se encuentra certificada en normas ISO 9001, 14001 y OHSAS 18001, asi mismo es auditada anualmente por la Contraloría Distrital de Bogotá.
En el Plan Anual de Auditoria vigencia 2021, aprobada por el CICCI en acta de reunión 01 del 29 de enero de 2021, programó el seguimiento Plan de Mejoramiento Suscrito Ante la contraloría.</t>
  </si>
  <si>
    <t xml:space="preserve">El 02 de agosto de 2021 se comunica Auditoría de Regularidad, Código 59, PAD 2021, vigencia 2020, Publicidad en la plataforma del SECOP.</t>
  </si>
  <si>
    <t xml:space="preserve">Durante la vigencia se presentaron gestiones frente a la ejedución ys resultados de las evaluaciones externas..</t>
  </si>
  <si>
    <r>
      <rPr>
        <b val="true"/>
        <u val="single"/>
        <sz val="11"/>
        <color rgb="FFFFFFFF"/>
        <rFont val="Arial Narrow"/>
        <family val="2"/>
        <charset val="1"/>
      </rPr>
      <t xml:space="preserve">Lineamiento 17. </t>
    </r>
    <r>
      <rPr>
        <sz val="11"/>
        <color rgb="FFFFFFFF"/>
        <rFont val="Arial Narrow"/>
        <family val="2"/>
        <charset val="1"/>
      </rPr>
      <t xml:space="preserve"> 
Evaluación y comunicación de deficiencias oportunamente (Evalúa los resultados, Comunica las deficiencias y Monitorea las medidas correctivas).
</t>
    </r>
  </si>
  <si>
    <t xml:space="preserve">17.1 A partir de la información de las evaluaciones independientes, se evalúan para determinar su efecto en el Sistema de Control Interno de la entidad y su impacto en el logro de los objetivos, a fin de determinar cursos de acción para su mejora.</t>
  </si>
  <si>
    <t xml:space="preserve">La entidad cuenta con 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Lineamientos para la primera y segunda línea de defensa, memorando de la SGCD.
En reunión de CICCI del 22 de diciembre, acta No. 12 de 2020 se adoptó el esquema de líneas de defensa de la entidad.</t>
  </si>
  <si>
    <t xml:space="preserve">Se han presentado en el CICCI el seguimiento del plan anual de auditoria vigencia 2021</t>
  </si>
  <si>
    <t xml:space="preserve">Durante la vigencia se presentaron gestiones frente a la ejedución ys resultados de las evaluaciones y auditorias del PAA 2021</t>
  </si>
  <si>
    <t xml:space="preserve">17.2 Los informes recibidos de entes externos (organismos de control, auditores externos, entidades de vigilancia entre otros) se consolidan y se concluye sobre el impacto en el Sistema de Control Interno, a fin de determinar los cursos de acción.</t>
  </si>
  <si>
    <t xml:space="preserve">La entidad ha implementado un sistema intgegrado de gestión donde se incluyen entre otras normas ISO 9001, 14001 y OHSAS 18001 y los ejercicios de auditoria por la Contraloría Distrital de Bogotá y la Contraloria General de la República.
SEMESTRE I
En CICCI de 29 de enero de 2021 se presento el informe de evaluación del sistema de control interno 2020. Comunicado con memorando No. 2021IE10099 de 20/01/2021.</t>
  </si>
  <si>
    <t xml:space="preserve">Para el periodo evaluado en sesiones del CICCI no se han presentado los resultados de las auditorias externas</t>
  </si>
  <si>
    <t xml:space="preserve">Durante la vigencia no se presentaron gestiones frente a la ejecución y resultados de las evaluaciones y auditorias externas, se recomienda:
-En presentar los resultados de las auditorias externas en proximas sesiones del CICCI.</t>
  </si>
  <si>
    <t xml:space="preserve">17.3 La entidad cuenta con políticas donde se establezca a quién reportar las deficiencias de control interno como resultado del monitoreo continuo.</t>
  </si>
  <si>
    <t xml:space="preserve">La entidad cuenta con la Política de administración de riesgos y oportunidades aprobada el 7 de noviembre de 2019 en CICCI.
Resolución SDA No.02735 “Por medio de la cual se actualiza el Comité Institucional de Coordinación de Control Interno de la Secretaría Distrital de Ambiente creado mediante la Resolución 1455 de 2018 y se toman otras determinaciones” Memorando SDA No. 2020EE227607.E I
Mediante memorando 2021IE141611 de 13 de julio de 2021 la OCI remitió Resultado del seguimiento al cumplimiento de acciones de plan de
mejoramiento suscrito ante la Contraloría de Bogotá D.C. a 30 de junio de 2021 - Proceso Gestión Contractual, evidenciando el cumplimiento a las acciones establecidas para la supervisión de contratos.
SEMEST
Documento esquema de líneas de defensa de la SDA  aprobado en CICCI de fecha 22 de diciembre de 2020, acta No. 12</t>
  </si>
  <si>
    <t xml:space="preserve">17.4 La Alta Dirección hace seguimiento a las acciones correctivas relacionadas con las deficiencias comunicadas sobre el Sistema de Control Interno y si se han cumplido en el tiempo establecido.</t>
  </si>
  <si>
    <t xml:space="preserve">La entidad cuenta con la 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Lineamientos para la primera y segunda línea de defensa, memorando de la SGCD.
Procedimientos: plan de mejoramiento institucional y plan de mejoramiento por procesos.
Aplicativo ISOLUCION</t>
  </si>
  <si>
    <t xml:space="preserve">Se han presentado en el CICCI el seguimiento del plan anual de auditoria vigencia 202l.</t>
  </si>
  <si>
    <t xml:space="preserve">17.5 Los procesos y/o servicios tercerizados, son evaluados acorde con su nivel de riesgos.</t>
  </si>
  <si>
    <t xml:space="preserve">La entidad cuenta con la 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Lineamientos para la primera y segunda línea de defensa, memorando de la SGCD.
Procedimientos: plan de mejoramiento institucional y plan de mejoramiento por procesos.
Aplicativo ISOLUCIONE I
En comité CICCI de 29 de enero de 2021 se realizo la Presentación del seguimiento con corte 31 de diciembre de 2020 al plan de mejoramiento suscrito ante entes externos de control. Comunicado con memorando No. 2021IE09322 de 19/01/2021.
SEMES
En comité CICCI de 29 de enero de 2021 se realizo la Presentación  del seguimiento con corte 31 de diciembre de 2020 al plan de mejoramiento por procesos. Comunicado con memorando No. 2021IE08513 de 18/01/2021.</t>
  </si>
  <si>
    <t xml:space="preserve">Durante la vigencia se presentaron gestiones frente a la ejedución y resultados de las evaluaciones y auditorias del PAA 2021</t>
  </si>
  <si>
    <t xml:space="preserve">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</si>
  <si>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</si>
  <si>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 xml:space="preserve">La entidad cuenta con el Procedimiento Peticiones Quejas, Reclamos, Sugerencias y Felicitaciones Código: PA09-PR03 el cual articula anexos tales como Encuesta Percepción y Satisfacción Servicio
SEMESTRE I
En CICCI de 29 de enero de 2021 se aprobó el Plan Anual de Auditoría a ejecutar en la vigencia 2021.
se evidencia en el plan anual de auditoria publicado en el siguiente link: http://www.ambientebogota.gov.co/web/transparencia/reportes-de-control-interno/-/document_library_display/Jkr8/view/10868805/31058?_110_INSTANCE_Jkr8_redirect=http%3A%2F%2Fwww.ambientebogota.gov.co%2Fweb%2Ftransparencia%2Freportes-de-control-interno%2F-%2Fdocument_library_display%2FJkr8%2Fview%2F10868805</t>
  </si>
  <si>
    <t xml:space="preserve">Para el periodo evalulado no se han presentado en el CICCI, no obstante el seguimiento del plan anual de auditoria vigencia 202l, se preento el seguimiento a PQRS</t>
  </si>
  <si>
    <t xml:space="preserve">Durante la vigencia se presentaron gestiones frente a la ejedución y resultados de las evaluaciones y auditorias del PAA 2021. Se recomienda:
- Presentar en sesión CICCI, los resultado del monitoreo de las PQRS</t>
  </si>
  <si>
    <t xml:space="preserve">17.7 Verificación del avance y cumplimiento de las acciones incluidas en los planes de mejoramiento producto de las autoevaluaciones. (2ª Línea).
</t>
  </si>
  <si>
    <t xml:space="preserve">
Dimension de Control Interno
Lineas de Defensa</t>
  </si>
  <si>
    <t xml:space="preserve">La entidad definió y aprobó el esquema de líneas de defensa para la entidad, se publicó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
SEMESTRE
Se evalúan por autocontrol y se documentan en actas de cada dependencia, se realizan monitoreos en temas como estados financieros, saneamiento contable, PQRS, seguimiento a metas proyectos de inversión. Y se evalúan de manera independiente conforme a las actividades programadas por roles, aprobado para la OCI. 
En comité CICCI se presento el informe de evaluación del sistema de control interno 2020. Comunicado con memorando No. 2021IE10099 de 20/01/2021.</t>
  </si>
  <si>
    <t xml:space="preserve">Para el periodo evaluado no se presentaron los resultado del estado de las acciones de mejora implementadas</t>
  </si>
  <si>
    <t xml:space="preserve">Durante la vigencia se presentaron gestiones frente a la ejecución de los pm. Se recomienda:
- Presentar en sesión CICCI, los resultado del estado de los PM  producto de la autoevlauación</t>
  </si>
  <si>
    <t xml:space="preserve">17.8 Evaluación de la efectividad de las acciones incluidas en los Planes de mejoramiento producto de las auditorías internas y de entes externos. (3ª Línea)</t>
  </si>
  <si>
    <t xml:space="preserve">La entida cuenta con un Procedimiento plan de mejoramiento por procesos y otro para Plan de Mejoramiento Institucional, para lo cual se programan seguimeinto en el Plan Anual de Auditoría aprobado</t>
  </si>
  <si>
    <t xml:space="preserve">17.9 Las deficiencias de control interno son reportadas a los responsables de nivel jerárquico superior, para tomar la acciones correspondientes?</t>
  </si>
  <si>
    <t xml:space="preserve">Manual de funciones de la entidad.
Resolución SDA No.02735 “Por medio de la cual se actualiza el Comité Institucional de Coordinación de Control Interno de la Secretaría Distrital de Ambiente creado mediante la Resolución 1455 de 2018 y se toman otras determinaciones” Memorando SDA No. 2020EE227607.
Resolución 915 de 2019 CIGD
Proceso Control y Mejora
Lineamientos para la primera y segunda línea de defensa, memorando de la SGCD.
Procedimientos: plan de mejoramiento institucional y plan de mejoramiento por procesos.
Aplicativo ISOLUCION</t>
  </si>
  <si>
    <t xml:space="preserve">Nombre de la Entidad:</t>
  </si>
  <si>
    <t xml:space="preserve">SECRETARÍA DISTRITAL DE AMBIENTE</t>
  </si>
  <si>
    <t xml:space="preserve">Periodo Evaluado:</t>
  </si>
  <si>
    <t xml:space="preserve">SEGUNDO SEMESTRE DE 2021, PERIODO JULIO - DICIEMBRE DE 2021</t>
  </si>
  <si>
    <t xml:space="preserve">Estado del sistema de Control Interno de la entidad</t>
  </si>
  <si>
    <t xml:space="preserve">Conclusión general sobre la evaluación del Sistema de Control Interno</t>
  </si>
  <si>
    <t xml:space="preserve">¿Están todos los componentes operando juntos y de manera integrada? (Si / en proceso / No) (Justifique su respuesta):</t>
  </si>
  <si>
    <t xml:space="preserve">Si</t>
  </si>
  <si>
    <r>
      <rPr>
        <sz val="14"/>
        <color rgb="FF000000"/>
        <rFont val="Arial"/>
        <family val="2"/>
        <charset val="1"/>
      </rPr>
      <t xml:space="preserve">La entidad cuenta con todos los componentes operando juntos y de manera integrada, se observó en general que el Sistema de Control Interno - SCI de la Secretaria Distrital de Ambiente - SDA, fortaleció su resultado de acuerdo con los resultados revisados en cada uno de los cinco (5) componentes del MECI y articulados con las dimensiones del MIPG. Así las cosas, e</t>
    </r>
    <r>
      <rPr>
        <sz val="12"/>
        <color rgb="FF000000"/>
        <rFont val="Arial"/>
        <family val="1"/>
      </rPr>
      <t xml:space="preserve">l resultado cuantitativo de la evaluación del Sistema de Control Interno fue de 92,34 % de cumplimiento de los factores evaluados.
</t>
    </r>
    <r>
      <rPr>
        <sz val="14"/>
        <color rgb="FF000000"/>
        <rFont val="Arial"/>
        <family val="2"/>
        <charset val="1"/>
      </rPr>
      <t xml:space="preserve">Para la evaluación, se revisaron para la vigencia los resultados y temas tratados en 09 sesiones del Comité Institucional de Coordinación de Control Interno, la revisión de la información en los diferentes sistemas de información con que cuenta la lentiadad y los resultados  de la ejecución del plan anual de auditorias de la vigencia, arrojando las siguientes oportunidades de mejora que al ser adoptados permitiran superar las brechas identificadas.
OPORTUNIDADES DE MEJORA POR COMPONENTE DEL MECI
</t>
    </r>
    <r>
      <rPr>
        <b val="true"/>
        <sz val="14"/>
        <color rgb="FF000000"/>
        <rFont val="Arial"/>
        <family val="2"/>
        <charset val="1"/>
      </rPr>
      <t xml:space="preserve">COMPONENTE AMBIENTE DE CONTROL
</t>
    </r>
    <r>
      <rPr>
        <sz val="14"/>
        <color rgb="FF000000"/>
        <rFont val="Arial"/>
        <family val="2"/>
        <charset val="1"/>
      </rPr>
      <t xml:space="preserve">a. Continuar con gestiones para el rediseño organizacional de la entidad, que incluya la definición de áreas que se encarguen de manera específica de la planeación, talento humano, tecnologías de la información y las comunicaciones y servicio al ciudadano.
b. Considerar en el CICCI la comunicación de los resultados de la adopción de los lineamientos de la de la Circular Conjunta 001 de 2020 y la evaluación de los lineamientos para el manejo del conflicto de interés en la Entidad.
c. Considerar el monitoreo de la evaluación del impacto de los planes institucionales de capacitación y el de bienestar e incentivos.
d. Realizar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e. Implementar un mecanismo de aplicación informática para el monitoreo de las estrategias de austeridad en el gasto en conjunto con las entidades que conforman el sector ambiente, con el fin de facilitar el reporte mensual por cada entidad para la elaboración de los informes semestrales consolidados.
f. Revisar y documentar los lineamientos para el uso adecuado de la información privilegiada, clasificada y reservada.
EVALUACION  DE RIESGOS
a. Para realizar una transición ordenada para la aplicación de la metodología que trata la “Guía para la administración del riesgo y el diseño de controles en entidades públicas” versión 5 de diciembre de 2020, es importante que la Secretaría trabaje previamente en un mecanismo de articulación de la Política de Administración del Riesgo con la propuesta de la Política Anti Soborno.
b. Desarrollar e implementar la política Anti - Soborno durante la vigencia 2022 para establecer su adecuación a las operaciones institucionales y que permita detectar posibles ajustes y asegurar razonablemente que los 18 procesos cuentan por lo menos con 12 actas de las sesiones de autoevaluación y autocontrol e incluya la revisión de los riesgos del proceso.
c. Incluir en los monitoreos de la segunda línea de defensa la información de los riesgos materializados y hacer seguimiento para asegurar que se formulen los planes o acciones de manejo y seguimiento a su implementación.
ACTIVIDADES DE CONTROL
a Agilizar la revisión, adecuación y actualización de la totalidad de las caracterizaciones de los procesos de la entidad, con base a los factores citados previamente.     
b Fortalecer en los planes de manejo de los humedales la incorporación de las actividades a ejecutar en el marco de la línea base para el seguimiento a los Planes de Manejo Ambiental de los Humedales del Distrito de manera oportuna, de modo que, si presentan retrasos o incumplimientos, se tomen acciones oportunas.      
c Dar prioridad a la revisión, actualización y gestión de la aprobación de las TRD y la emisión de las políticas de cero papel y los componentes de información digital y/o electrónica.      
d Considerar la presentación ante el CICCI de los resultados del monitoreo por la segunda línea de defensa de las actividades desarrolladas por los proveedores de servicios de tecnología.
INFORMACIÓN Y COMUNICACIÓN
a Continuar con el fortalecimiento de los mecanismos de seguimiento por dependencia y monitoreo de la segunda línea de defensa que permita asegurar la oportunidad en las respuestas de peticiones, quejas y reclamos radicados asignados.       
b Agilizar la implementación de los mecanismos o sistemas de información para controlar las fechas y estado de los trámites ambientales (permisivos y sancionatorios).      
c Implementar buzones o canales internos de denuncia anónima o confidencial sobre posibles situaciones irregulares.      
d Culminar la implementación del plan de trabajo del protocolo IPv6 y presentar los resultados de la ejecución en el Comité Institucional de Gestión y Desempeño.      
e Actualizar el inventario de información relevante (interna / externa) y socializarlo al CICCI.      
f Realizar seguimiento a través de indicadores sobre uso y apropiación de TI en la entidad, para optimizar su implementación y el resultado de la misma.      
G Reprogramar o reportar los resultados de la actividad para el fortalecimiento de las capacidades de seguridad de la información, a través de ejercicio de simulación y respuesta a ataques cibernéticos, y ejercicio de ingeniería social. 
ACTIVIDADES DE MONITOREO
Presentar ante el CICCI los resultados del monitoreo respecto al seguimiento a la política de gobierno digital y seguridad y el Plan Estratégico de Tecnologías de la Información – PETI.</t>
    </r>
  </si>
  <si>
    <t xml:space="preserve">¿Es efectivo el sistema de control interno para los objetivos evaluados? (Si/No) (Justifique su respuesta):</t>
  </si>
  <si>
    <t xml:space="preserve">El sistema de control interno implementado en la entidad a través del  Modelo Estándar de Control Interno MECI se encuentra implementado, es efectivo se han realizado mejoras, se siguiere continuar fortalecimiento el autocontrol, autoevaluación para que todas las líneas de defensa implementen los controles para superar las debilidades observadas con el fin de continuar  fortaleciendolo y asegurar el cumplimiento los objetivos y metas de la entidad minimizando los riesgos en su consecución.</t>
  </si>
  <si>
    <t xml:space="preserve">La entidad cuenta dentro de su Sistema de Control Interno, con una institucionalidad (Líneas de defensa)  que le permita la toma de decisiones frente al control (Si/No) (Justifique su respuesta):</t>
  </si>
  <si>
    <t xml:space="preserve">La entidad adoptó e implementó el esquema de líneas de defensa, cuenta con la dinamica en los procesos de documentar el seguimiento por autocontrol en actas donde se incuporan los temas transversales y propios de la dependencia que permiten identificar desviaciones e implementación de las mejoras.</t>
  </si>
  <si>
    <t xml:space="preserve">¿El componente está presente y funcionando?</t>
  </si>
  <si>
    <t xml:space="preserve">Nivel de Cumplimiento componente</t>
  </si>
  <si>
    <r>
      <rPr>
        <b val="true"/>
        <u val="single"/>
        <sz val="12"/>
        <color rgb="FFFFFFFF"/>
        <rFont val="Arial"/>
        <family val="2"/>
        <charset val="1"/>
      </rPr>
      <t xml:space="preserve"> Estado actual:</t>
    </r>
    <r>
      <rPr>
        <b val="true"/>
        <sz val="12"/>
        <color rgb="FFFFFFFF"/>
        <rFont val="Arial"/>
        <family val="2"/>
        <charset val="1"/>
      </rPr>
      <t xml:space="preserve"> Explicacion de las Debilidades y/o Fortalezas</t>
    </r>
  </si>
  <si>
    <t xml:space="preserve">Nivel de Cumplimiento componente presentado en el informe anterior</t>
  </si>
  <si>
    <t xml:space="preserve">
Estado  del componente presentado en el informe anterior</t>
  </si>
  <si>
    <t xml:space="preserve"> Avance final del componente </t>
  </si>
  <si>
    <r>
      <rPr>
        <b val="true"/>
        <sz val="12"/>
        <rFont val="Arial"/>
        <family val="2"/>
        <charset val="1"/>
      </rPr>
      <t xml:space="preserve">FORTALEZAS
a) El Comité Institucional de Coordinación de Control Interno –CICCI fue creado con Resolución SDA No. 1455 de 2018, en este comité se han presentado monitoreos en temas como: PQRS, estados financieros, saneamiento contable, metas proyectos de inversión, consolidado de riesgos de corrupción, se aprueba el Plan Anual de Auditorías y se hace seguimiento a su ejecución, a los resultados de las evaluaciones realizadas por la tercera línea de defensa y se tomen decisiones para fortalecer el sistema de control interno.
b) En la Resolución SDA No. 915 de 2019, por medio de la cual se crea el Comité Institucional de Gestión y Desempeño, se incluye el equipo de gestores éticos y su interacción con este comité para fortalecer la interiorización y aplicación del Código de Integridad en la entidad.
c) En cumplimiento del Decreto Distrital No. 612 de 2018, se formularon los planes institucionales, publicados en la página Web, link: http://www.ambientebogota.gov.co/web/transparencia/politicas-lineamientos-y-manuales1.  http://ambientebogota.gov.co/web/sda/proyectos-de-inversion).
d) La entidad formuló el plan integrado de acción, plan estratégico de la entidad, en el marco del plan de desarrollo distrital “Un nuevo contrato Social y Ambiental para la Bogotá del siglo XXI”, con aplicación de la metodología MGA, incluye la identificación de riesgos para cada proyecto. Se firman acuerdos de gestión con los gerentes públicos, con compromisos de ejecución del plan integrado de acción anual, para garantizar el aporte en el cumplimiento de los objetivos y metas organizacionales.
e) Se tiene una estructura organizacional, manual de funciones y la infraestructura para soportar la planta de personal y de los servidores contratados por orden de prestación de servicios, así como para atender a los usuarios de los diferentes servicios que presta la entidad en cumplimiento de la misión para generar valor público.
f) La entidad formula un plan de integridad y tiene conformado un equipo de gestores éticos con servidores de planta y de contrato, quienes lideran la ejecución del plan aprobado en Comité de Gestión y Desempeño.  
g) El Código de Integridad se adoptó con Res. SDA No. 3473 de 2018 Rad. SDA No.2018EE257995.
h) Se implementó el Código de Integridad acorde con el esquema definido de 5 valores y sus lineamientos de conducta, se desarrollan ejercicios internos para la socialización e interiorización a todos los servidores y contratistas de la entidad. Se formula anualmente un plan de integridad para fortalecer la interiorización, se ha desarrollado la socialización mediante piezas comunicativas y fomentando la participación entre los servidores públicos con mensajes de reflexión dirigidos a los servidores públicos. Para la vigencia 2020, se desarrolló una estrategia de los gestores de integridad con el Comité de Convivencia Laboral para la apropiación del código, sobre cómo se viven los valores con el trabajo en casa.
La Oficina de Control interno Socializó el Manual Operativo del MIPG, versión 3, haciendo énfasis en la séptima dimensión, política de control interno, roles y responsabilidades de las líneas de defensa, valores de la entidad adoptados en el Código de integridad y sistema de administración de riesgos y realizó una evaluación de la aprehensión en la cual participaron 675 servidores de la entidad.
i) La Dirección de Gestión Corporativa -DGC tiene a cargo la gestión del talento humano, que se desarrolla a través de los planes: estratégico de talento humano, de vacantes, de capacitación, incentivos y bienestar.  Los planes formulados se encuentran publicados en el link: http://www.ambientebogota.gov.co/web/transparencia/politicas-lineamientos-y-manuales1/-/document_library_display/nRf4/view/9552970.
j) Los conflictos de interés se manejan por temas, los implementados son: los de auditorías internas, representación judicial, decisiones del comité de conciliaciones y manejo de laboratorios. Para el comité de conciliación está en la  Resolución 3667 de 2017  (Rad. 2017EE262666), artículo 13.
k) El proceso de gestión del talento humano cuenta con el procedimiento “Selección y Nombramiento Ordinario, Periodo de Prueba y Provisional” código PA01-PR16, para la evaluación y se diligencia el Formato de Cumplimiento de Requisitos y Formato Certificación, adicionalmente tiene el procedimiento Evaluación del Desempeño Laboral código PA01-PR10 y el procedimiento Desvinculación del personal de los cargos pertenecientes a la Secretaria Distrital de Ambiente Código: PA01- PR35, que incluyen los lineamientos para la permanencia, ascenso y retiro del servicio. 
l) Con Resolución SDA No. 818 del 30 de marzo de 2020, Forest SDA No.  2020EE65214, se modificó el manual de funciones, se encuentra publicado en la página web Transparencia y acceso a la información Pública.
m) La entidad tiene formulados y publicados en la página Web los planes institucionales de capacitación y el de bienestar e incentivos.
DEBILIDADES
a) Se presentaron metas producto de los proyectos de inversión -PI asociadas al plan de desarrollo “Bogotá Mejora para todos” que no lograron avanzar debido a debilidades en la planeación, por ejemplo; Meta No. 168. Número de ciudadanos que recorren el sendero panorámico y los cerros orientales y 169 Número de km del sendero panorámico adecuados, Meta No. 169. Número de ciudadanos que recorren el sendero panorámico y los cerros orientales, Meta No. 437. Número de km del sendero panorámico adecuados, entre otras.   
b) En la estructura organizacional de la entidad Decreto Distrital No.109 de 2009, modificado parcialmente por el Decreto Distrital No. 175 de 2009, no fueron previstas áreas específicas para la planeación institucional, es decir una oficina asesora de planeación, tampoco de talento humano, tecnologías de información, control disciplinario interno y servicio al ciudadano, lo que hace más compleja la operación, pues las funciones están dispersas en la Subsecretaría General y de Control Disciplinario, la Dirección de Gestión Corporativa y la Dirección de Planeación y Sistemas de Información.
c) La mayoría de los procesos de la entidad no tiene como salida del planear un plan operativo que recoja todos los productos, recursos, responsables tiempos, indicadores, que debe ejecutar el proceso, lo que hace más difícil la planificación de los recursos y el seguimiento y control por las líneas de defensa: el autocontrol, la autoevaluación (monitoreo) y la evaluación independiente.
d) Se emitió la Circular Conjunta 001/2020 (secretaría General y DASCD) para dar cumplimiento a la Ley 2013 de 2019, sin embargo no se ha adoptado en los procedimientos de Talento Humano y no ha sido socializada a todos los servidores de la entidad.
e) No se ha evaluado el impacto de los planes institucionales de capacitación y el de bienestar e incentivos.
</t>
    </r>
    <r>
      <rPr>
        <b val="true"/>
        <sz val="12"/>
        <color rgb="FF000000"/>
        <rFont val="Arial"/>
        <family val="2"/>
        <charset val="1"/>
      </rPr>
      <t xml:space="preserve">
</t>
    </r>
  </si>
  <si>
    <t xml:space="preserve">i Fortalezas      
a Presentación de monitoreos segunda línea de defensa y reportes de los ejercicios de evaluación y seguimiento de la ejecución del plan anual de auditoria 2021 en sesiones del CICCI.      
b Se suscribieron los acuerdos de gestión con los gerentes públicos con compromisos de ejecución del plan integrado de acción anual, los cuales fueron cumplidos.      
c Las evaluaciones de la aprehensión al código de integridad efectuadas por la Oficina de Control Interno arrojaron que el 83.3 % de las 451 personas encuestadas reconoce los cinco (5) valores adoptados por la entidad en el Código de Integridad; así mismo, respecto al reconocimiento individual de cada valor, el porcentaje de aprehensión supera, en promedio, el 90 %.      
d El proceso de gestión del Talento Humano realizó la revisión y actualización de los procedimientos “Selección y Nombramiento Ordinario, Periodo de Prueba y Provisional” código PA01-PR16 versión 5 de agosto de 2021 y “Desvinculación del personal de los cargos pertenecientes a la Secretaria Distrital de Ambiente” código PA01- PR35 versión 4 de septiembre de 2021.     
 ii. Debilidades      
a En el Decreto Distrital No.109 de 2009 sobre estructura organizacional de la SDA, modificado parcialmente por el Decreto Distrital No. 175 de 2009, no fueron previstas áreas específicas para la Planeación Institucional, Talento Humano, Tecnologías de Información y Servicio al Ciudadano; las funciones de dichas áreas están en dependencias como: la Subsecretaría General, la Dirección de Gestión Corporativa y la Dirección de Planeación y Sistemas de Información, Subdirección de Proyectos y Cooperación Internacional.      
b No ha sido objeto de revisión en el CICCI los resultados de la adopción de los lineamientos de la Circular Conjunta 001 de 2020 de la Secretaría General de la Alcaldía Mayor de Bogotá y el Departamento Administrativo de Servicio Civil Distrital (DASCD) en cumplimiento de lo indicado en la Ley 2013 de 2019 sobre Conflictos de Interés y Declaración de Bienes y Rentas.      
c Aún se encuentra pendiente la evaluación del impacto de los planes institucionales de capacitación y el de bienestar e incentivos. Ninguna de las Líneas de Defensa lo ha contemplado en sus reportes.      
d No se ha considerado desde la segunda línea de defensa la evaluación de los lineamientos para el manejo del conflicto de interés en la entidad que adoptó el CICCI.      
e El proceso de Gestión del Talento Humano no ha realizado recientemente la revisión y actualización del procedimiento “Evaluación del Desempeño Laboral” código PA01-PR10.      
f No se han revisado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g No se ha considerado la posibilidad de desarrollar una aplicación de medición de la austeridad en el gasto en conjunto con las entidades que conforman el sector ambiente, con el fin de facilitar el reporte mensual por cada entidad para la elaboración de los informes semestrales consolidados del sector ambiente y el seguimiento y análisis sobre los ahorros generados por la estrategia de austeridad relacionada con los planes e indicadores establecidos en el Decreto Distrital 492 de 2019 “Por el cual se expiden lineamientos generales sobre austeridad y transparencia del gasto público en las entidades y organismos del orden distrital y se dictan otras disposiciones”.      
h No se han Integrado la totalidad de las actividades del Plan de Integridad dentro del instrumento que se definió para la formulación del Plan Anticorrupción y de Atención al Ciudadano 2022, con el propósito de contar con un único instrumento que facilite el seguimiento y la evaluación.      
Iii. Oportunidades de mejora      
a Continuar con gestiones para el rediseño organizacional de la entidad, que incluya la definición de áreas que se encarguen de manera específica de la planeación, talento humano, tecnologías de la información y las comunicaciones y servicio al ciudadano.      
b Considerar en el CICCI la comunicación de los resultados de la adopción de los lineamientos de la de la Circular Conjunta 001 de 2020 y la evaluación de los lineamientos para el manejo del conflicto de interés en la Entidad.      
c Considerar el monitoreo de la evaluación del impacto de los planes institucionales de capacitación y el de bienestar e incentivos.      
d Realizar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e Implementar un mecanismo de aplicación informática para el monitoreo de las estrategias de austeridad en el gasto en conjunto con las entidades que conforman el sector ambiente, con el fin de facilitar el reporte mensual por cada entidad para la elaboración de los informes semestrales consolidados.      
F Revisar y documentar los lineamientos para el uso adecuado de la información privilegiada, clasificada y reservada.  </t>
  </si>
  <si>
    <t xml:space="preserve">Evaluación de riesgos</t>
  </si>
  <si>
    <t xml:space="preserve">FORTALEZAS
a) Existe un documento de política de administración de riesgos que fue revisada por el nivel directivo, ajustada y aprobada en Comité Institucional de Coordinación de Control Interno –CICCI el 7 de noviembre de 2019. 
b) La Oficina de Control Interno en lo corrido de la vigencia 2020 ha dictado capacitaciones en la aplicación de la guía de administración de riesgos del DAFP a los servidores de la entidad y se evalúo la aprehensión a 675 servidores públicos que participaron. Se realizó la evaluación cuatrimestral y se comunicaron los resultados a todas las partes interesadas.
c) Se realizan asesorías por proceso y se evalúa el diseño y aplicación de los controles formulados para los riesgos identificados en los mapas de riesgos de gestión y corrupción cuatrimestralmente por parte de la Oficina de Control Interno -OCI, los resultados se comunican a cada proceso, se publican en un informe consolidado que incluye en seguimiento a Plan Anticorrupción y de Atención al Ciudadano -PAAC y se presentan en el CICCI para que se dé lineamiento frente a la implementación de las mejoras.
d) El CICCI ha tomado decisiones como la revisión de los análisis de contexto interno y externo y la identificación de riesgos, así como la revisión y actualización de las caracterizaciones de los procesos, la formulación de un plan que asegure la respuesta oportuna de las peticiones y para el saneamiento contable, entre otros aspectos para el fortalecimiento del sistema de control interno.
e) Está definido el mapa de procesos con la cadena de valor, caracterizaciones y  procedimientos.
f) El módulo gestión de riesgos del aplicativo ISOlución fue actualizado conforme con los parámetros de la guía de administración de riesgos, versión 4 del Departamento Administrativo de la Función Pública -DAFP de modo que sirve para la consolidación, monitoreo, seguimiento y evaluación, reduciendo reprocesos.
DEBILIDADES
a) El cumplimiento a la política de administración de riesgos y oportunidades es parcial, se debe fortalecer el diseño de controles.
b) No se realizan monitoreos a los mapas de riesgos por la segunda línea de defensa.
c) La política de administración de riesgos tiene frecuencias iguales para el monitoreo y evaluación independiente por lo que se cruzan y no se reciben monitoreos como insumo para la evaluación. La política no cumple con todos los parámetros de la Guía de administración de riesgos, versión 4, DAFP.
d) No se ha realizado análisis de riesgos de actividades tercerizadas por la primera línea de defensa.
e) El proceso Gestión del Talento Humano no ha analizado el impacto sobre el control interno por cambios en los diferentes niveles organizacionales.
</t>
  </si>
  <si>
    <t xml:space="preserve">i Fortalezas      
a En el periodo se actualizó la Política de Administración de Riesgos aprobada en el CICCI diciembre de 2021.      
b La Subsecretaria General realizó socialización de la nueva Política de Riesgos al 31 de diciembre de 2021.      
c La segunda línea de defensa presentó los resultados del monitoreo de riesgos en CICCI del mes de septiembre de 2021.      
d La OCI comunicó los resultados mediante informe consolidado del seguimiento a Plan Anticorrupción y de Atención al Ciudadano - PAAC y en el CICCI de julio de 2021.      
e De acuerdo con el nivel de madurez para la administración de los riesgos establecido en la Guía de Roles de las Oficinas de Control Interno 2018, se concluye que la entidad se encuentra en un nivel de madurez 4 “Administrado”, es decir: “Los riesgos identificados son gestionados adecuadamente, (se lleva a cabo seguimiento y actualización) Los riesgos son monitoreados periódicamente de acuerdo con la política de administración del riesgo de la entidad Se cuenta con procesos claros para el monitoreo y evaluación del desarrollo de exposiciones al riesgo”.      
ii. Debilidades      
a No se han considerado en dos (2) mapas de riesgos (Proceso Control, Evaluación y Seguimiento, y Gestión Jurídica) los planes de manejo para riesgos materializados.      b Se presenta desarticulación entre la Política de Administración de Riesgos de la Entidad y la propuesta de la Política Anti-Soborno.      iii. Oportunidades de mejora      a Para realizar una transición ordenada para la aplicación de la metodología que trata la “Guía para la administración del riesgo y el diseño de controles en entidades públicas” versión 5 de diciembre de 2020, es importante que la Secretaría trabaje previamente en un mecanismo de articulación de la Política de Administración del Riesgo con la propuesta de la Política Anti Soborno.      
b Desarrollar e implementar la política Anti - Soborno durante la vigencia 2022 para establecer su adecuación a las operaciones institucionales y que permita detectar posibles ajustes y asegurar razonablemente que los 18 procesos cuentan por lo menos con 12 actas de las sesiones de autoevaluación y autocontrol e incluya la revisión de los riesgos del proceso.      
c Incluir en los monitoreos de la segunda línea de defensa la información de los riesgos materializados y hacer seguimiento para asegurar que se formulen los planes o acciones de manejo y seguimiento a su implementación.</t>
  </si>
  <si>
    <t xml:space="preserve">Actividades de control</t>
  </si>
  <si>
    <t xml:space="preserve">FORTALEZAS
a) Se cuenta con un mapa de procesos, estos a su vez se desarrollan a través de procedimientos que incluyen políticas de operación para ser ejecutadas por las líneas de defensa, adicionalmente en los procedimientos se tienen controles para reducir la probabilidad de ocurrencia de los riesgos en la operación, a estos controles se les hace seguimiento a través de ejercicios de autocontrol, autoevaluación y en las evaluaciones independientes. 
b) Los procesos realizan reuniones de autocontrol en temas como: metas proyectos de inversión, planes de mejoramiento, mapas de riesgos, pero se debe mejorar la forma como se documentan los compromisos para cerrar las brechas identificadas.
c) Se cuenta con una organización interna en la Dirección de Planeación y sistemas de Información distribuida por los procesos de TI: Gestión de Gobierno y Estrategia; Gestión de Sistemas de Información Ambiental; Gestión de Información; Gestión de Servicios Tecnológicos y Seguridad y privacidad. De igual forma mediante el Plan Anual de Adquisiciones se proyectan las funciones, roles y usuarios requeridos para la administración y gobierno de TI en la SDA.
Por otra parte, se cuenta con el directorio activo de la SDA, en el cual se administra los perfiles de los usuarios con permisos para el acceso de los sistemas de información. * Organización interna del equipo de trabajo de TI (consultable en https://drive.google.com/file/d/11r-wsLWuW186n_VJz0mjLsdUa4EA_EWI/view?usp=sharing * Plan Anual de Adquisiciones consultables en SECOP II * Directorio activo de la SDA alojado en IP 192.168.175.41.
DEBILIDADES
a) Se observan debilidades en la descripción de las caracterizaciones de los procesos, específicamente en la interacción entre los procesos, clientes y proveedores, y la definición de los productos o salidas resultantes. La salida del planear no es la entrada del hacer, lo que dificulta la verificación y seguimiento de las actividades planeadas. La planeación del proceso no incluye todas las actividades que éstos ejecutan para lograr cumplir el objetivo a corto plazo, es decir en cada vigencia.
b) No se cuenta con un plan de manejo de humedales específico que detalle las actividades a ejecutar en cada vigencia para cumplir con los Planes de Manejo Ambiental de los Humedales del Distrito –PMAHD- y facilitar su posterior seguimiento y control.
c) No se han presentado en el Comité Institucional de Coordinación de Control Interno –CICCI- el monitoreo con los resultados del avance en la implementación de la política de gobierno digital que incluya: actividades relevantes sobre infraestructura tecnológica, procesos de gestión de la seguridad, procesos de adquisición, desarrollo y mantenimiento de tecnologías.
</t>
  </si>
  <si>
    <t xml:space="preserve">i. Fortalezas      
a La Entidad cuenta con una plataforma informática donde se dispone de los instrumentos y repositorio de las actividades de control, como: mapa de procesos, caracterizaciones, procedimientos, políticas de operación y controles para reducir la probabilidad de ocurrencia de los riesgos en la operación; a estos controles se les hace seguimiento a través de ejercicios de autocontrol y autoevaluación.      
b Los procesos realizan y documentan reuniones de autocontrol para la revisión de la gestión en temas como: metas proyectos de inversión, indicadores, acciones de los planes de mejoramiento y mapas de riesgos.      
c Se cuenta con el directorio activo de la SDA, en el cual se administran los perfiles de los usuarios con permisos para el acceso de los sistemas de información*.  * Organización interna del equipo de trabajo de TI (consultable en https://drive.google.com/file/d/11r-wsLWuW186n_VJz0mjLsdUa4EA_EWI/view?usp=sharing)      
ii. Debilidades      
a Aunque se han adecuado y actualizado más del 80% de las caracterizaciones de los procesos de la Entidad, donde se han fortalecido las salidas del planear, las actividades, metas, productos, recursos, responsables tiempos, indicadores que deben ejecutar los procesos, se hace necesario dar cobertura al 100% de la revisión y actualización de los instrumentos faltantes (20%).      
b Persiste en los planes de manejo de humedales la falta de detalle de las actividades a ejecutar en cada vigencia (desde 2020), que facilite su posterior seguimiento y control para las diferentes líneas de defensa.      
c Aunque se han dado avances en la revisión de las Tablas de Retención Documental (TRD), a la fecha no se cuenta con la totalidad de las TRD de las dependencias revisadas y actualizadas, donde incorpore, entre otros, la política cero papel y el componente digital o electrónico.      
d No han sido presentados ante el CICCI los resultados del monitoreo por la segunda línea de defensa de las actividades desarrolladas por los proveedores de servicios de tecnología.      
iii. Oportunidades de mejora      
a Agilizar la revisión, adecuación y actualización de la totalidad de las caracterizaciones de los procesos de la entidad, con base a los factores citados previamente.      
b Fortalecer en los planes de manejo de los humedales la incorporación de las actividades a ejecutar en el marco de la línea base para el seguimiento a los Planes de Manejo Ambiental de los Humedales del Distrito de manera oportuna, de modo que, si presentan retrasos o incumplimientos, se tomen acciones oportunas.      
c Dar prioridad a la revisión, actualización y gestión de la aprobación de las TRD y la emisión de las políticas de cero papel y los componentes de información digital y/o electrónica.      
d Considerar la presentación ante el CICCI de los resultados del monitoreo por la segunda línea de defensa de las actividades desarrolladas por los proveedores de servicios de tecnología. </t>
  </si>
  <si>
    <t xml:space="preserve">Información y comunicación</t>
  </si>
  <si>
    <t xml:space="preserve">FORTALEZAS
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a) Se cuenta con el sistema de Correspondencia, SIA Forest que es una herramienta tecnológica que registra la actuación de la entidad, basado en un sistema de gestión de procesos y documentos, desarrollado bajo mapas de procesos,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interno y externo. 
b) Se cuenta con correo electrónico institucional para comunicación interna y externa. En cada piso hay pantallas para comunicar en cada piso de la entidad actividades y eventos en la sede principal y en las distintas sedes de la SDA.
c) La OAC dentro del Plan de Comunicaciones contempla las políticas y las pautas de actuación para la comunicación interna y externa, el manejo de la imagen institucional y las vocerías para la atención de los medios de comunicación. El Plan de Comunicaciones se encuentra en la plataforma ISOLUCION.
d) Mediante la ventanilla virtual puede generar se puede realizar solicitudes de información, denuncias, derechos de petición, quejas y sugerencias, remisión de información y muchos trámites más.
e) Sistema Distrital de Quejas y Soluciones – SDQS es una herramienta virtual por la se pueden interponer todas sus peticiones como quejas, reclamos, solicitudes de información, consultas, sugerencias, felicitaciones y denuncias por corrupción, que puedan afectar los intereses de la comunidad,  Ventanillavirtual/app http://www.bogota.gov.co/sdqs. Correo electrónico.
f) En el procedimiento E02-PR01 denominado comunicación externa  se describen las actividades que permiten la divulgación externa  de los temas prioritarios, acciones y proyectos que realiza la SDA, como:
-Realización de eventos
-Campañas masivas o directas
-Atención a medios
-Comunicados de prensa
-Programa de radio y/o televisión
-Publicaciones en la página web
-Videos y/o audiovisuales
-Administración de las redes sociales
g) La Oficina Asesora de Comunicaciones revisa y actualiza periódicamente la información de sus grupos de valor como periodistas, editores, jefes de redacción e influenciadores.
h) La OAC aplica una encuesta mensual a través de redes sociales para conocer la percepción ciudadana en torno a las actuaciones de la SDA.
i) La OAC aplica una encuesta anual para conocer la opinión de los servidores sobre los canales de comunicación interna.
j) La entidad cuenta con el inventario de información relevante (interno/externa) y cuenta con un mecanismo que permita su actualización.
DEBILIDADES
a) Inoportunidad en las respuestas de peticiones quejas y reclamos radicadas en la entidad.
b) No se tienen buzones o canales internos de denuncia anónima o confidencial sobre posibles situaciones irregulares con mecanismos específicos para su manejo, de tal manera que generen confianza.
c) La entidad no analiza periódicamente los resultados frente a la evaluación de percepción de los usuarios o grupos de valor, para la incorporación de las mejoras correspondientes ni se socializan los resultados al CICCI. Tampoco se socializan los resultados de la encuesta anual de opinión de los servidores sobre los canales de comunicación interna.
d) No se cuenta con un sistema de información para controlar la información de los trámites ambientales.
e) No se cuenta con plan de trabajo para las actividades de la implementación del protocolo IPv6, dado que el término señalado por el MINTIC vence para las entidades territoriales es el 31 de diciembre de 2020.  </t>
  </si>
  <si>
    <t xml:space="preserve">i Fortalezas      
a La entidad cuenta con el sistema de correspondencia SIA Forest y el desarrollo de diferentes módulos que soportan el registro de la actuación de la Entidad, basado en un sistema de gestión de documentos, desarrollado bajo actividades, tareas, responsables, tiempos programados y de ejecución, formularios electrónicos, asociación de procesos, uso de plantillas definidas, registro de documentos, firmas digitales que garantiza la trazabilidad en los documentos, la radicación masiva y en línea, las tablas de retención documental, la exposición de formularios electrónicos a los usuarios y realiza la numeración automática de los Conceptos, Resoluciones, entre otras funcionalidades y beneficios, por lo que es un mecanismo de comunicación interno y externo.       
b Se cuenta con correo electrónico institucional para comunicación interna y externa.      
c En cada piso de la sede central hay pantallas electrónicas para comunicar actividades y eventos en la sede principal y en las distintas sedes de la SDA.      
d La Oficina Asesora de Comunicaciones (OAC), en el Plan de Comunicaciones, incluye las políticas y pautas de actuación para la comunicación interna y externa, el manejo de la imagen institucional y las vocerías para la atención de los medios de comunicación.      
e La Entidad asegura y pone a disposición de las partes interesadas el Sistema Distrital de Quejas y Soluciones – SDQS como herramienta virtual por la se pueden radicar todas las peticiones, quejas, reclamos, solicitudes de información, consultas, sugerencias, felicitaciones y denuncias por corrupción, que puedan afectar los intereses de la comunidad, http://www.bogota.gov.co/sdqs.      
f En el procedimiento E02-PR01 Comunicación Externa, versión 11 del 20 de marzo de 2019, se describen las actividades que permiten la divulgación externa de los temas prioritarios, acciones y proyectos que realiza la SDA.      
g Se socializó en el CICCI del 29 de julio de 2021 las políticas de operación, lineamientos y procedimientos para la comunicación interna efectiva,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ii. Debilidades      
a En 113 de 404 peticiones (es decir, un 28%), persisten casos de inoportunidad en las respuestas a peticiones quejas y reclamos radicadas en la entidad.       b No se cuenta con un sistema de información para ejercer un control en las fechas de las diferentes etapas de los trámites ambientales (permisivos y sancionatorios).      
c La entidad no cuenta con canal de información interno específico para la presentación de denuncia anónima o confidencial de posibles situaciones irregulares.      
d Aunque venció el plazo para las entidades territoriales el 31 de diciembre de 2020, aun no se cuenta con la implementación del protocolo Ipv6.      
e No se han presentado ante el CICCI los resultados del seguimiento a través de indicadores sobre uso y apropiación de Tecnologías de la Información en la Entidad.      
f Aún se encuentra pendiente la actividad para el fortalecimiento de las capacidades de seguridad de la información, a través de ejercicio de simulación y respuesta a ataques cibernéticos, y ejercicio de ingeniería social, actividad definida en el plan de adecuación del MIPG 2021 a realizarse el 31 de diciembre de 2021.      
g No se ha efectuado la actualización del inventario de información relevante (interna / externa) para poder socializar el resultado en el CICCI       
iii. Oportunidades de mejora      
a Continuar con el fortalecimiento de los mecanismos de seguimiento por dependencia y monitoreo de la segunda línea de defensa que permita asegurar la oportunidad en las respuestas de peticiones, quejas y reclamos radicados asignados.       
b Agilizar la implementación de los mecanismos o sistemas de información para controlar las fechas y estado de los trámites ambientales (permisivos y sancionatorios).      
c Implementar buzones o canales internos de denuncia anónima o confidencial sobre posibles situaciones irregulares.      
d Culminar la implementación del plan de trabajo del protocolo IPv6 y presentar los resultados de la ejecución en el Comité Institucional de Gestión y Desempeño.      
e Actualizar el inventario de información relevante (interna / externa) y socializarlo al CICCI.      
f Realizar seguimiento a través de indicadores sobre uso y apropiación de TI en la entidad, para optimizar su implementación y el resultado de la misma.      
g Reprogramar o reportar los resultados de la actividad para el fortalecimiento de las capacidades de seguridad de la información, a través de ejercicio de simulación y respuesta a ataques cibernéticos, y ejercicio de ingeniería social. </t>
  </si>
  <si>
    <t xml:space="preserve">Monitoreo </t>
  </si>
  <si>
    <t xml:space="preserve">FORTALEZAS
a) La OCI, tercera línea de defensa presenta los resultados de las evaluaciones realizadas de conformidad con el Plan Anual de Auditorías y con base en estos resultados la alta dirección toma decisiones para fortalecer y mejorar el sistema de control interno, se documentan como compromisos y se les hace seguimiento para garantizar su implementación. 
b) El plan anual de auditorías se elaboró con un enfoque basado en riesgos y se han realizado los ajustes pertinentes debidamente aprobados por el CICCI para mejorarlo.
c) El CICCI ha revisado los resultados de la auditoría de regularidad a la vigencia 2018 comunicada en el mes de junio de 2020 y se formuló el plan de mejoramiento para cerrar las brechas evidenciadas.
d) El Comité Institucional de Gestión y desempeño aprobó el PAAC y el plan de integridad para la vigencia 2020.
e) Todas las dependencias realizan reuniones de autocontrol para hacer seguimiento a temas como: plan de acción, planes de mejoramiento, metas, indicadores, riesgos,  entre otros.
f) La segunda línea de defensa ha realizado monitoreo en temas como: seguimiento a PQRS, plan de acción, estados financieros, saneamiento contable, política de prevención del daño antijurídico. 
g) La entidad adoptó las políticas de defensa judicial y prevención del daño antijurídico en el marco del Comité de conciliación.
DEBILIDADES
a) No se documenta en la totalidad de las dependencias de la entidad los resultados de los ejercicios de autocontrol y autoevaluación y las decisiones que resultan como consecuencia de éstas.
b) Inoportunidad en el cumplimiento de las acciones de los planes de mejoramiento formuladas por los procesos.
c) No se han presentado en CICCI monitoreos del sistema de administración de riesgos por la segunda línea de defensa.
d) No se cuenta con un documento que defina quiénes hacen segunda línea de defensa en la entidad y los roles, responsabilidades, reportes, periodicidad, destinatarios para que sean insumo para fortalecer el sistema de control interno de la entidad, conforme al manual operativo del MIPG, versión 3.
</t>
  </si>
  <si>
    <t xml:space="preserve"> i Fortalezas      
a La Entidad cuenta con un esquema de líneas de defensa adoptado y socializado.     
b Se elaboró y aprobó el Plan Anual de Auditorías (PAA) con un enfoque basado en riesgos.      
c Presentación en las seis (6) sesiones del CICCI por parte de la tercera línea de defensa (Oficina de Control Interno) de los resultados de las evaluaciones realizadas según programación del Plan Anual de Auditorías. Con base en estos resultados, la Alta Dirección toma decisiones.      
d La primera línea de defensa documentó las reuniones de autocontrol para hacer seguimiento a temas como: plan de acción, planes de mejoramiento, metas, indicadores, riesgos, respuestas a peticiones, quejas, reclamos y sugerencias -PQRS, entre otros.      
e La segunda línea de defensa realizó monitoreo en temas como: seguimiento a PQRS, metas proyecto de inversión, estados financieros, saneamiento contable, política de prevención del daño antijurídico, comunicación interna y externa, política de gobierno digital y seguridad, Plan Estratégico de Tecnologías de la Información - PETI, política de talento humano, gestión del riesgo, planes de mejoramiento.      f La entidad adoptó las políticas de defensa judicial y prevención del daño antijurídico en el marco del Comité de Conciliación.      
ii. Debilidades      
a La segunda línea de defensa no ha presentado los resultados del seguimiento a la política de gobierno digital y seguridad y el Plan Estratégico de Tecnologías de la Información - PETI.      I
Iii. Oportunidades de mejora      
a Presentar ante el CICCI los resultados del monitoreo respecto al seguimiento a la política de gobierno digital y seguridad y el Plan Estratégico de Tecnologías de la Información - PETI.</t>
  </si>
  <si>
    <t xml:space="preserve">COMPONENTE</t>
  </si>
  <si>
    <t xml:space="preserve">CALIFICACION 2021 i</t>
  </si>
  <si>
    <t xml:space="preserve">CALIFICACION 2020 ii</t>
  </si>
  <si>
    <t xml:space="preserve">VARIACION</t>
  </si>
  <si>
    <t xml:space="preserve">CALIFICACION 2021 ii</t>
  </si>
  <si>
    <t xml:space="preserve">Actividades de Control</t>
  </si>
  <si>
    <t xml:space="preserve">Información y Comunicación</t>
  </si>
  <si>
    <t xml:space="preserve">Actividades de Monitoreo</t>
  </si>
  <si>
    <t xml:space="preserve">Promedio</t>
  </si>
  <si>
    <t xml:space="preserve">Cantidad</t>
  </si>
  <si>
    <t xml:space="preserve">1: La entidad demuestra el compromiso con la integridad (valores) y principio</t>
  </si>
  <si>
    <t xml:space="preserve">Danna</t>
  </si>
  <si>
    <r>
      <rPr>
        <u val="single"/>
        <sz val="11"/>
        <color rgb="FF000000"/>
        <rFont val="Arial Narrow"/>
        <family val="2"/>
        <charset val="1"/>
      </rPr>
      <t xml:space="preserve">2: </t>
    </r>
    <r>
      <rPr>
        <sz val="11"/>
        <color rgb="FF000000"/>
        <rFont val="Arial Narrow"/>
        <family val="2"/>
        <charset val="1"/>
      </rPr>
      <t xml:space="preserve">Aplicación de mecanismos para ejercer una adecuada supervisión del Sistema de Control Interno</t>
    </r>
  </si>
  <si>
    <t xml:space="preserve">Francisco</t>
  </si>
  <si>
    <r>
      <rPr>
        <u val="single"/>
        <sz val="11"/>
        <color rgb="FF000000"/>
        <rFont val="Arial Narrow"/>
        <family val="2"/>
        <charset val="1"/>
      </rPr>
      <t xml:space="preserve">3:</t>
    </r>
    <r>
      <rPr>
        <sz val="11"/>
        <color rgb="FF000000"/>
        <rFont val="Arial Narrow"/>
        <family val="2"/>
        <charset val="1"/>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</si>
  <si>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 xml:space="preserve">4: Compromiso con la competencia de todo el personal, por lo que la gestión del talento humano tiene un carácter estratégico con el despliegue de actividades clave para todo el ciclo de vida del servidor público –ingreso, permanencia y retiro.</t>
  </si>
  <si>
    <t xml:space="preserve">5: La entidad establece líneas de reporte dentro de la entidad para evaluar el funcionamiento del Sistema de Control Interno.</t>
  </si>
  <si>
    <t xml:space="preserve">Evaluacion de riesgo</t>
  </si>
  <si>
    <t xml:space="preserve">6: Definición de objetivos con suficiente claridad para identificar y evaluar los riesgos relacionados: i)Estratégicos; ii)Operativos; iii)Legales y Presupuestales; iv)De Información Financiera y no Financiera.</t>
  </si>
  <si>
    <t xml:space="preserve">7: Identificación y análisis de riesgos (Analiza factores internos y externos; Implica a los niveles apropiados de la dirección; Determina cómo responder a los riesgos; Determina la importancia de los riesgos). </t>
  </si>
  <si>
    <t xml:space="preserve">Johana</t>
  </si>
  <si>
    <t xml:space="preserve">8: Evaluación del riesgo de fraude o corrupción. Cumplimiento artículo 73 de la Ley 1474 de 2011, relacionado con la prevención de los riesgos de corrupción.</t>
  </si>
  <si>
    <t xml:space="preserve">9: Identificación y análisis de cambios significativos </t>
  </si>
  <si>
    <t xml:space="preserve">Actividaddes de control</t>
  </si>
  <si>
    <t xml:space="preserve">10: Diseño y desarrollo de actividades de control (Integra el desarrollo de controles con la evaluación de riesgos; tiene en cuenta a qué nivel se aplican las actividades; facilita la segregación de funciones).</t>
  </si>
  <si>
    <t xml:space="preserve">11: Seleccionar y Desarrolla controles generales sobre TI para apoyar la consecución de los objetivos .</t>
  </si>
  <si>
    <t xml:space="preserve">12: Despliegue de políticas y procedimientos (Establece responsabilidades sobre la ejecución de las políticas y procedimientos; Adopta medidas correctivas; Revisa las políticas y procedimientos).</t>
  </si>
  <si>
    <t xml:space="preserve">Inf y comunicación</t>
  </si>
  <si>
    <t xml:space="preserve">13: Utilización de información relevante (Identifica requisitos de información; Capta fuentes de datos internas y externas; Procesa datos relevantes y los transforma en información).</t>
  </si>
  <si>
    <t xml:space="preserve">14: Comunicación Interna (Se comunica con el Comité Institucional de Coordinación de Control Interno o su equivalente; Facilita líneas de comunicación en todos los niveles; Selecciona el método de comunicación pertinente).</t>
  </si>
  <si>
    <t xml:space="preserve">15: Comunicación con el exterior (Se comunica con los grupos de valor y con terceros externos interesados; Facilita líneas de comunicación).</t>
  </si>
  <si>
    <t xml:space="preserve">Actividades de monitoreo</t>
  </si>
  <si>
    <t xml:space="preserve">16.  Evaluaciones continuas y/o separadas (autoevaluación, auditorías) para determinar si los componentes del Sistema de Control Interno están presentes y funcionando.</t>
  </si>
  <si>
    <t xml:space="preserve">17.  Evaluación y comunicación de deficiencias oportunamente (Evalúa los resultados, Comunica las deficiencias y Monitorea las medidas correctivas).</t>
  </si>
  <si>
    <t xml:space="preserve">ANÁLISIS DE RESULTADOS PARA LA TOMA DE DECISIONES</t>
  </si>
  <si>
    <t xml:space="preserve">Se encuentra presente  y funcionando, pero requiere mejoras frente a su diseño, ya que  opera de manera efectiva
</t>
  </si>
  <si>
    <t xml:space="preserve">Se encuentra presente  y funcionando, pero requiere mejoras frente a su diseño, ya que  opera de manera efectiva</t>
  </si>
  <si>
    <t xml:space="preserve">Cuando en el análisis de los requerimientos en los diferentes componentes del MECI se cuente con aspectos evaluados en nivel 2 (presente) y 2 (funcionando); 3 (presente) y 1 (funcionando); 3 (presente) y 2 (funcionando);2 (presente) y 1 (funcionando)</t>
  </si>
  <si>
    <t xml:space="preserve">Cuando en el análisis de los requerimientos en los diferentes componentes del MECI se cuente con aspectos evaluados en nivel 1 (presente) y 1 (funcionando); ;1 (presente) y 2 (funcionando); 1(presente) y 3 (funcionando).</t>
  </si>
  <si>
    <t xml:space="preserve">Registro de deficiencias</t>
  </si>
  <si>
    <t xml:space="preserve">RESULTADOS</t>
  </si>
  <si>
    <t xml:space="preserve">FUENTE DEL ANALISIS</t>
  </si>
  <si>
    <t xml:space="preserve">CONTROL PRESENTE</t>
  </si>
  <si>
    <t xml:space="preserve">CONTROL FUNCIONANDO</t>
  </si>
  <si>
    <t xml:space="preserve">OBSERVACIONES DEL CONTROL</t>
  </si>
  <si>
    <t xml:space="preserve">NIVEL DE CUMPLIMIENTO-ASPECTOS PARTICULARES POR COMPONENTE</t>
  </si>
  <si>
    <t xml:space="preserve">NIVEL DE CUMPLIMIENTO- DEL COMPONENTE</t>
  </si>
  <si>
    <t xml:space="preserve">RECOMENDACIONES DESDE LA MIRADA DE EVALUACION INDEPENDIENTE</t>
  </si>
  <si>
    <t xml:space="preserve">PLANES DE MEJORAMIENTO (Donde aplique)</t>
  </si>
  <si>
    <t xml:space="preserve">Id. Requerimiento</t>
  </si>
  <si>
    <t xml:space="preserve">Descripción del Lineamiento</t>
  </si>
  <si>
    <t xml:space="preserve">Pregunta Indicativa</t>
  </si>
  <si>
    <t xml:space="preserve">Accion(es) de Mejora</t>
  </si>
  <si>
    <t xml:space="preserve">Fecha de Inicio</t>
  </si>
  <si>
    <t xml:space="preserve">Fecha Terminacion</t>
  </si>
  <si>
    <t xml:space="preserve">Responsable</t>
  </si>
  <si>
    <t xml:space="preserve">Seguimiento</t>
  </si>
  <si>
    <t xml:space="preserve">% de avance</t>
  </si>
  <si>
    <t xml:space="preserve">Incluir en el plan de integridad de la vigencia una actividad de: Revisión de desviaciones, convivencia laboral, temas disciplinarios internos, quejas o denuncias sobre los servidores de la entidad o temas relacionados para establecer valores del código de integridad vulnerados y acciones para cerrar las brechas.</t>
  </si>
  <si>
    <t xml:space="preserve">Implementar el canal o buzon especial para las denuncias.</t>
  </si>
  <si>
    <t xml:space="preserve">Revisar la información clasificada y reservada y definir y socializar lineamientos para el uso adecuado de la información privilegiada</t>
  </si>
  <si>
    <t xml:space="preserve">Presentar en CICCI el monitoreo de la evaluación del imnpacto del PIC, plan de bienestar e incentivos y de las políticas de talento humano para la retención de personal.</t>
  </si>
  <si>
    <t xml:space="preserve">Evaluar los objetivos de la entidad periódicamente para asegurar que se cumplan y si es necesario modificarlos o ajustarlos.</t>
  </si>
  <si>
    <t xml:space="preserve">Incluir en el monitoreo de riesgos los materializados y hacer seguimiento para asegurar que se formulen los planes o acciones de manejo y hacer seguimietno a su implementación.</t>
  </si>
  <si>
    <r>
      <rPr>
        <sz val="11"/>
        <color rgb="FF000000"/>
        <rFont val="Arial"/>
        <family val="2"/>
        <charset val="1"/>
      </rPr>
      <t xml:space="preserve">a)</t>
    </r>
    <r>
      <rPr>
        <sz val="7"/>
        <color rgb="FF000000"/>
        <rFont val="Times New Roman"/>
        <family val="1"/>
        <charset val="1"/>
      </rPr>
      <t xml:space="preserve">    </t>
    </r>
    <r>
      <rPr>
        <sz val="11"/>
        <color rgb="FF000000"/>
        <rFont val="Arial"/>
        <family val="2"/>
        <charset val="1"/>
      </rPr>
      <t xml:space="preserve">Realizar una revisión de los controles asociados a los riesgos de corrupción identificados por cada uno de los procesos para asegurar la segregación de funciones para reducir el riesgo de acciones fraudulentas.</t>
    </r>
  </si>
  <si>
    <r>
      <rPr>
        <sz val="11"/>
        <color rgb="FF000000"/>
        <rFont val="Arial"/>
        <family val="2"/>
        <charset val="1"/>
      </rPr>
      <t xml:space="preserve">a)</t>
    </r>
    <r>
      <rPr>
        <sz val="7"/>
        <color rgb="FF000000"/>
        <rFont val="Times New Roman"/>
        <family val="1"/>
        <charset val="1"/>
      </rPr>
      <t xml:space="preserve">    </t>
    </r>
    <r>
      <rPr>
        <sz val="11"/>
        <color rgb="FF000000"/>
        <rFont val="Arial"/>
        <family val="2"/>
        <charset val="1"/>
      </rPr>
      <t xml:space="preserve">Evaluar el impacto por los cambios en los diferentes niveles organizacionales y presentar los resultados en CICCI.</t>
    </r>
  </si>
  <si>
    <r>
      <rPr>
        <sz val="11"/>
        <color rgb="FF000000"/>
        <rFont val="Arial"/>
        <family val="2"/>
        <charset val="1"/>
      </rPr>
      <t xml:space="preserve">a)</t>
    </r>
    <r>
      <rPr>
        <sz val="7"/>
        <color rgb="FF000000"/>
        <rFont val="Times New Roman"/>
        <family val="1"/>
        <charset val="1"/>
      </rPr>
      <t xml:space="preserve">    </t>
    </r>
    <r>
      <rPr>
        <sz val="11"/>
        <color rgb="FF000000"/>
        <rFont val="Arial"/>
        <family val="2"/>
        <charset val="1"/>
      </rPr>
      <t xml:space="preserve">Identificar y documentar las situaciones específicas donde no es posible segregar funciones por ejemplo por: falta de personal, presupuesto y definir actividades de control alternativas para cubrir los riesgos identificados.</t>
    </r>
  </si>
  <si>
    <t xml:space="preserve">Establecer y documentar las actividades relevantes de control, sobre las infraestructuras tecnológicas, los proceso de gestión de la seguridad y adquisición, desarrollo y mantenimiento de tecnologías</t>
  </si>
  <si>
    <t xml:space="preserve">Presentar en CICCI el inventario de información interna/externa relevante y establecer una periodicidad para su actualización.</t>
  </si>
  <si>
    <t xml:space="preserve">Definir canales internos para la denuncia anónima o confidencial de posibles situaciones irregulares y mecanismos específicos para su manejo de modo que generen confianza para utilizarlos.</t>
  </si>
  <si>
    <t xml:space="preserve">Presentar ante eñ CICCI los resultados del monitores del seguimiento de la aplicaciones de los canales internos para la denuncia anónima o confidencial de posibles situaciones irregulares y mecanismos específicos para su manejo de modo que generen confianza para utilizarlos.</t>
  </si>
  <si>
    <t xml:space="preserve">Fortalecer canales de información para la denuncia anónima o confidencial de posibles situaciones irregulares y mecanismos específicos para su manejo de tal manera que generen confianza para utilizarlos, socializarlos en el CICCI</t>
  </si>
  <si>
    <t xml:space="preserve">Realizar el monitoreo y evaluación de los servicios tercerizados y presetnar los resultados en el CICCI.</t>
  </si>
  <si>
    <t xml:space="preserve">Presentar en el CICCI el monitoreo a planes de mejoramiento por la segunda línea de defensa.</t>
  </si>
  <si>
    <t xml:space="preserve">
Lineamiento </t>
  </si>
  <si>
    <t xml:space="preserve">Pregunta </t>
  </si>
  <si>
    <t xml:space="preserve">Componente </t>
  </si>
  <si>
    <t xml:space="preserve">Dimensión o política del mipg asociada al requerimiento</t>
  </si>
  <si>
    <t xml:space="preserve">Puntaje</t>
  </si>
  <si>
    <t xml:space="preserve">Orden</t>
  </si>
  <si>
    <t xml:space="preserve">Descripción del lineamiento </t>
  </si>
  <si>
    <t xml:space="preserve">Funcionando </t>
  </si>
  <si>
    <t xml:space="preserve">Nivel de cumplimiento - aspectos particulares por componente</t>
  </si>
  <si>
    <t xml:space="preserve">1.1</t>
  </si>
  <si>
    <t xml:space="preserve">Ambiente de Control</t>
  </si>
  <si>
    <t xml:space="preserve">La entidad demuestra el compromiso con la integridad (valores) y principios del servicio público</t>
  </si>
  <si>
    <t xml:space="preserve">Cuando en el análisis de los requerimientos en los diferenes componentes del MECI se cuente con aspectos evaluados en nivel 2 (presente) y 3 (funcionando).</t>
  </si>
  <si>
    <t xml:space="preserve">1.2</t>
  </si>
  <si>
    <t xml:space="preserve">Cuando en el análisis de los requerimientos en los diferenes componentes del MECI se cuente con aspectos evaluados en nivel 2 (presente) y 2 (funcionando); 3 (presente) y 1 (funcionando); 3 (presente) y 2 (funcionando).</t>
  </si>
  <si>
    <t xml:space="preserve">Deficiencia de control mayor</t>
  </si>
  <si>
    <t xml:space="preserve">1.3</t>
  </si>
  <si>
    <t xml:space="preserve">Cuando en el análisis de los requerimientos en los diferenes componentes del MECI se cuente con aspectos evaluados en nivel 1 (presente) y 1 (funcionando); 2 (presente) y 1 (funcionando).</t>
  </si>
  <si>
    <t xml:space="preserve">1.4</t>
  </si>
  <si>
    <t xml:space="preserve">1.5</t>
  </si>
  <si>
    <t xml:space="preserve">2.1</t>
  </si>
  <si>
    <t xml:space="preserve">Aplicación de mecanismos para ejercer una adecuada supervisión del Sistema de Control Interno </t>
  </si>
  <si>
    <t xml:space="preserve">2.2</t>
  </si>
  <si>
    <t xml:space="preserve">2.3</t>
  </si>
  <si>
    <t xml:space="preserve">3.1</t>
  </si>
  <si>
    <t xml:space="preserve">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</si>
  <si>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 xml:space="preserve">3.3</t>
  </si>
  <si>
    <t xml:space="preserve">3.2</t>
  </si>
  <si>
    <t xml:space="preserve">4.1</t>
  </si>
  <si>
    <t xml:space="preserve">Compromiso con la competencia de todo el personal, por lo que la gestión del talento humano tiene un carácter estratégico con el despliegue de actividades clave para todo el ciclo de vida del servidor público –ingreso, permanencia y retiro.</t>
  </si>
  <si>
    <t xml:space="preserve">4.2</t>
  </si>
  <si>
    <t xml:space="preserve">4.3</t>
  </si>
  <si>
    <t xml:space="preserve">4.4</t>
  </si>
  <si>
    <t xml:space="preserve">4.5</t>
  </si>
  <si>
    <t xml:space="preserve">4.6</t>
  </si>
  <si>
    <t xml:space="preserve">4.7</t>
  </si>
  <si>
    <t xml:space="preserve">5.1</t>
  </si>
  <si>
    <t xml:space="preserve">La entidad establece líneas de reporte dentro de la entidad para evaluar el funcionamiento del Sistema de Control Interno.</t>
  </si>
  <si>
    <t xml:space="preserve">5.2</t>
  </si>
  <si>
    <t xml:space="preserve">5.3</t>
  </si>
  <si>
    <t xml:space="preserve">5.4</t>
  </si>
  <si>
    <t xml:space="preserve">5.5</t>
  </si>
  <si>
    <t xml:space="preserve">5.6</t>
  </si>
  <si>
    <t xml:space="preserve">6.1</t>
  </si>
  <si>
    <t xml:space="preserve">Definición de objetivos con suficiente claridad para identificar y evaluar los riesgos relacionados: i)Estratégicos; ii)Operativos; iii)Legales y Presupuestales; iv)De Información Financiera y no Financiera.
</t>
  </si>
  <si>
    <t xml:space="preserve">6.2</t>
  </si>
  <si>
    <t xml:space="preserve">6.3</t>
  </si>
  <si>
    <t xml:space="preserve">7.1</t>
  </si>
  <si>
    <t xml:space="preserve">Identificación y análisis de riesgos (Analiza factores internos y externos; Implica a los niveles apropiados de la dirección; Determina cómo responder a los riesgos; Determina la importancia de los riesgos). </t>
  </si>
  <si>
    <t xml:space="preserve">7.2</t>
  </si>
  <si>
    <t xml:space="preserve">7.3</t>
  </si>
  <si>
    <t xml:space="preserve">7.4</t>
  </si>
  <si>
    <t xml:space="preserve">7.5</t>
  </si>
  <si>
    <t xml:space="preserve">8.1</t>
  </si>
  <si>
    <t xml:space="preserve">Evaluación del riesgo de fraude o corrupción. 
Cumplimiento artículo 73 de la Ley 1474 de 2011, relacionado con la prevención de los riesgos de corrupción.
</t>
  </si>
  <si>
    <t xml:space="preserve">8.2</t>
  </si>
  <si>
    <t xml:space="preserve">8.3</t>
  </si>
  <si>
    <t xml:space="preserve">8.4</t>
  </si>
  <si>
    <t xml:space="preserve">9.1</t>
  </si>
  <si>
    <t xml:space="preserve">Identificación y análisis de cambios significativos </t>
  </si>
  <si>
    <t xml:space="preserve">9.2</t>
  </si>
  <si>
    <t xml:space="preserve">9.3</t>
  </si>
  <si>
    <t xml:space="preserve">9.4</t>
  </si>
  <si>
    <t xml:space="preserve">9.5</t>
  </si>
  <si>
    <t xml:space="preserve">10.1</t>
  </si>
  <si>
    <t xml:space="preserve">Diseño y desarrollo de actividades de control (Integra el desarrollo de controles con la evaluación de riesgos; tiene en cuenta a qué nivel se aplican las actividades; facilita la segregación de funciones).</t>
  </si>
  <si>
    <t xml:space="preserve">10.2</t>
  </si>
  <si>
    <t xml:space="preserve">10.3</t>
  </si>
  <si>
    <t xml:space="preserve">11.1</t>
  </si>
  <si>
    <t xml:space="preserve">Seleccionar y Desarrolla controles generales sobre TI para apoyar la consecución de los objetivos .</t>
  </si>
  <si>
    <t xml:space="preserve">11.2</t>
  </si>
  <si>
    <t xml:space="preserve">11.3</t>
  </si>
  <si>
    <t xml:space="preserve">11.4</t>
  </si>
  <si>
    <t xml:space="preserve">12.1</t>
  </si>
  <si>
    <t xml:space="preserve">Despliegue de políticas y procedimientos (Establece responsabilidades sobre la ejecución de las políticas y procedimientos; Adopta medidas correctivas; Revisa las políticas y procedimientos).</t>
  </si>
  <si>
    <t xml:space="preserve">12.2</t>
  </si>
  <si>
    <t xml:space="preserve">12.3</t>
  </si>
  <si>
    <t xml:space="preserve">12.4</t>
  </si>
  <si>
    <t xml:space="preserve">12.5</t>
  </si>
  <si>
    <t xml:space="preserve">13.1</t>
  </si>
  <si>
    <t xml:space="preserve">Info y Comunicación</t>
  </si>
  <si>
    <t xml:space="preserve">Utilización de información relevante (Identifica requisitos de información; Capta fuentes de datos internas y externas; Procesa datos relevantes y los transforma en información).</t>
  </si>
  <si>
    <t xml:space="preserve">13.2</t>
  </si>
  <si>
    <t xml:space="preserve">13.3</t>
  </si>
  <si>
    <t xml:space="preserve">13.4</t>
  </si>
  <si>
    <t xml:space="preserve">14.1</t>
  </si>
  <si>
    <t xml:space="preserve">Comunicación Interna (Se comunica con el Comité Institucional de Coordinación de Control Interno o su equivalente; Facilita líneas de comunicación en todos los niveles; Selecciona el método de comunicación pertinente).</t>
  </si>
  <si>
    <t xml:space="preserve">14.2</t>
  </si>
  <si>
    <t xml:space="preserve">14.3</t>
  </si>
  <si>
    <t xml:space="preserve">14.4</t>
  </si>
  <si>
    <t xml:space="preserve">15.1</t>
  </si>
  <si>
    <t xml:space="preserve">Comunicación con el exterior (Se comunica con los grupos de valor y con terceros externos interesados; Facilita líneas de comunicación).</t>
  </si>
  <si>
    <t xml:space="preserve">15.2</t>
  </si>
  <si>
    <t xml:space="preserve">15.3</t>
  </si>
  <si>
    <t xml:space="preserve">15.4</t>
  </si>
  <si>
    <t xml:space="preserve">15.5</t>
  </si>
  <si>
    <t xml:space="preserve">15.6</t>
  </si>
  <si>
    <t xml:space="preserve">16.1</t>
  </si>
  <si>
    <t xml:space="preserve">Monitoreo - Supervisión</t>
  </si>
  <si>
    <t xml:space="preserve">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</si>
  <si>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 xml:space="preserve">16.2</t>
  </si>
  <si>
    <t xml:space="preserve">16.3</t>
  </si>
  <si>
    <t xml:space="preserve">16.4</t>
  </si>
  <si>
    <t xml:space="preserve">16.5</t>
  </si>
  <si>
    <t xml:space="preserve">17.1 </t>
  </si>
  <si>
    <t xml:space="preserve">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</si>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</sst>
</file>

<file path=xl/styles.xml><?xml version="1.0" encoding="utf-8"?>
<styleSheet xmlns="http://schemas.openxmlformats.org/spreadsheetml/2006/main">
  <numFmts count="14">
    <numFmt numFmtId="164" formatCode="General"/>
    <numFmt numFmtId="165" formatCode="0.00"/>
    <numFmt numFmtId="166" formatCode="dd/mm/yyyy;@"/>
    <numFmt numFmtId="167" formatCode="0"/>
    <numFmt numFmtId="168" formatCode="General"/>
    <numFmt numFmtId="169" formatCode="0.000"/>
    <numFmt numFmtId="170" formatCode="0.0000"/>
    <numFmt numFmtId="171" formatCode="0.000000"/>
    <numFmt numFmtId="172" formatCode="[$$-240A]\ #,##0.00"/>
    <numFmt numFmtId="173" formatCode="0.00000"/>
    <numFmt numFmtId="174" formatCode="0.00%"/>
    <numFmt numFmtId="175" formatCode="@"/>
    <numFmt numFmtId="176" formatCode="0%"/>
    <numFmt numFmtId="177" formatCode="0.0%"/>
  </numFmts>
  <fonts count="77">
    <font>
      <sz val="10"/>
      <color rgb="FF000000"/>
      <name val="Arial"/>
      <family val="2"/>
      <charset val="1"/>
    </font>
    <font>
      <sz val="10"/>
      <name val="Arial"/>
      <family val="0"/>
    </font>
    <font>
      <sz val="10"/>
      <name val="Arial"/>
      <family val="0"/>
    </font>
    <font>
      <sz val="10"/>
      <name val="Arial"/>
      <family val="0"/>
    </font>
    <font>
      <sz val="10"/>
      <color rgb="FF000000"/>
      <name val="Arial"/>
      <family val="0"/>
      <charset val="1"/>
    </font>
    <font>
      <sz val="10"/>
      <name val="Arial"/>
      <family val="2"/>
      <charset val="1"/>
    </font>
    <font>
      <sz val="10"/>
      <color rgb="FF000000"/>
      <name val="Calibri"/>
      <family val="2"/>
      <charset val="1"/>
    </font>
    <font>
      <sz val="12"/>
      <name val="Times New Roman"/>
      <family val="1"/>
      <charset val="1"/>
    </font>
    <font>
      <b val="true"/>
      <sz val="10"/>
      <color rgb="FF000080"/>
      <name val="Arial"/>
      <family val="2"/>
      <charset val="1"/>
    </font>
    <font>
      <sz val="10"/>
      <name val="Arial Narrow"/>
      <family val="2"/>
      <charset val="1"/>
    </font>
    <font>
      <b val="true"/>
      <sz val="14"/>
      <name val="Arial Narrow"/>
      <family val="2"/>
      <charset val="1"/>
    </font>
    <font>
      <b val="true"/>
      <u val="single"/>
      <sz val="11"/>
      <name val="Arial Narrow"/>
      <family val="2"/>
      <charset val="1"/>
    </font>
    <font>
      <b val="true"/>
      <sz val="11"/>
      <name val="Arial Narrow"/>
      <family val="2"/>
      <charset val="1"/>
    </font>
    <font>
      <b val="true"/>
      <sz val="10"/>
      <name val="Arial Narrow"/>
      <family val="2"/>
      <charset val="1"/>
    </font>
    <font>
      <b val="true"/>
      <sz val="9"/>
      <name val="Arial Narrow"/>
      <family val="2"/>
      <charset val="1"/>
    </font>
    <font>
      <b val="true"/>
      <i val="true"/>
      <u val="single"/>
      <sz val="9"/>
      <name val="Arial Narrow"/>
      <family val="2"/>
      <charset val="1"/>
    </font>
    <font>
      <sz val="9"/>
      <name val="Arial Narrow"/>
      <family val="2"/>
      <charset val="1"/>
    </font>
    <font>
      <sz val="11"/>
      <name val="Arial Narrow"/>
      <family val="2"/>
      <charset val="1"/>
    </font>
    <font>
      <sz val="10"/>
      <color rgb="FFFF0000"/>
      <name val="Arial Narrow"/>
      <family val="2"/>
      <charset val="1"/>
    </font>
    <font>
      <b val="true"/>
      <sz val="12"/>
      <name val="Arial Narrow"/>
      <family val="2"/>
      <charset val="1"/>
    </font>
    <font>
      <b val="true"/>
      <sz val="10"/>
      <color rgb="FF000000"/>
      <name val="Arial Narrow"/>
      <family val="2"/>
      <charset val="1"/>
    </font>
    <font>
      <sz val="10"/>
      <color rgb="FF000000"/>
      <name val="Arial Narrow"/>
      <family val="2"/>
      <charset val="1"/>
    </font>
    <font>
      <sz val="11"/>
      <color rgb="FF000000"/>
      <name val="Arial Narrow"/>
      <family val="2"/>
      <charset val="1"/>
    </font>
    <font>
      <b val="true"/>
      <sz val="11"/>
      <color rgb="FF404040"/>
      <name val="Arial Narrow"/>
      <family val="2"/>
      <charset val="1"/>
    </font>
    <font>
      <b val="true"/>
      <sz val="11"/>
      <color rgb="FFFFFFFF"/>
      <name val="Arial Narrow"/>
      <family val="2"/>
      <charset val="1"/>
    </font>
    <font>
      <b val="true"/>
      <sz val="11"/>
      <color rgb="FF000000"/>
      <name val="Arial Narrow"/>
      <family val="2"/>
      <charset val="1"/>
    </font>
    <font>
      <sz val="11"/>
      <color rgb="FFFFFFFF"/>
      <name val="Arial Narrow"/>
      <family val="2"/>
      <charset val="1"/>
    </font>
    <font>
      <sz val="11"/>
      <color rgb="FFFF0000"/>
      <name val="Arial Narrow"/>
      <family val="2"/>
      <charset val="1"/>
    </font>
    <font>
      <b val="true"/>
      <sz val="14"/>
      <color rgb="FFFFFFFF"/>
      <name val="Arial Narrow"/>
      <family val="2"/>
      <charset val="1"/>
    </font>
    <font>
      <sz val="12"/>
      <color rgb="FF595959"/>
      <name val="Arial Narrow"/>
      <family val="2"/>
      <charset val="1"/>
    </font>
    <font>
      <b val="true"/>
      <u val="single"/>
      <sz val="11"/>
      <color rgb="FFFFFFFF"/>
      <name val="Arial Narrow"/>
      <family val="2"/>
      <charset val="1"/>
    </font>
    <font>
      <i val="true"/>
      <sz val="11"/>
      <color rgb="FFFFFFFF"/>
      <name val="Arial Narrow"/>
      <family val="2"/>
      <charset val="1"/>
    </font>
    <font>
      <b val="true"/>
      <sz val="11"/>
      <color rgb="FFFF0000"/>
      <name val="Arial Narrow"/>
      <family val="2"/>
      <charset val="1"/>
    </font>
    <font>
      <b val="true"/>
      <sz val="16"/>
      <name val="Arial Narrow"/>
      <family val="2"/>
      <charset val="1"/>
    </font>
    <font>
      <sz val="11"/>
      <color rgb="FFED7D31"/>
      <name val="Arial Narrow"/>
      <family val="2"/>
      <charset val="1"/>
    </font>
    <font>
      <sz val="11"/>
      <color rgb="FF158466"/>
      <name val="Arial Narrow"/>
      <family val="2"/>
      <charset val="1"/>
    </font>
    <font>
      <u val="single"/>
      <sz val="10"/>
      <color rgb="FF0000FF"/>
      <name val="Arial"/>
      <family val="2"/>
      <charset val="1"/>
    </font>
    <font>
      <u val="single"/>
      <sz val="11"/>
      <color rgb="FF0000FF"/>
      <name val="Arial Narrow"/>
      <family val="2"/>
      <charset val="1"/>
    </font>
    <font>
      <i val="true"/>
      <sz val="11"/>
      <color rgb="FF000000"/>
      <name val="Arial Narrow"/>
      <family val="2"/>
      <charset val="1"/>
    </font>
    <font>
      <b val="true"/>
      <sz val="9"/>
      <color rgb="FF000000"/>
      <name val="Arial Narrow"/>
      <family val="2"/>
      <charset val="1"/>
    </font>
    <font>
      <sz val="9"/>
      <color rgb="FF000000"/>
      <name val="Arial Narrow"/>
      <family val="2"/>
      <charset val="1"/>
    </font>
    <font>
      <sz val="11"/>
      <color rgb="FFC9211E"/>
      <name val="Arial Narrow"/>
      <family val="2"/>
      <charset val="1"/>
    </font>
    <font>
      <b val="true"/>
      <sz val="20"/>
      <color rgb="FFFFFFFF"/>
      <name val="Arial Narrow"/>
      <family val="2"/>
      <charset val="1"/>
    </font>
    <font>
      <b val="true"/>
      <sz val="14"/>
      <color rgb="FF000000"/>
      <name val="Arial Narrow"/>
      <family val="2"/>
      <charset val="1"/>
    </font>
    <font>
      <b val="true"/>
      <sz val="18"/>
      <color rgb="FFFFFFFF"/>
      <name val="Arial"/>
      <family val="2"/>
      <charset val="1"/>
    </font>
    <font>
      <b val="true"/>
      <sz val="20"/>
      <color rgb="FFFFFFFF"/>
      <name val="Arial"/>
      <family val="2"/>
      <charset val="1"/>
    </font>
    <font>
      <sz val="20"/>
      <color rgb="FFFF0000"/>
      <name val="Arial"/>
      <family val="2"/>
      <charset val="1"/>
    </font>
    <font>
      <b val="true"/>
      <sz val="12"/>
      <color rgb="FFFF0000"/>
      <name val="Arial"/>
      <family val="2"/>
      <charset val="1"/>
    </font>
    <font>
      <b val="true"/>
      <sz val="12"/>
      <name val="Arial"/>
      <family val="2"/>
      <charset val="1"/>
    </font>
    <font>
      <b val="true"/>
      <sz val="10"/>
      <name val="Arial"/>
      <family val="2"/>
      <charset val="1"/>
    </font>
    <font>
      <sz val="25"/>
      <color rgb="FF000000"/>
      <name val="Arial"/>
      <family val="2"/>
      <charset val="1"/>
    </font>
    <font>
      <sz val="14"/>
      <color rgb="FF000000"/>
      <name val="Arial"/>
      <family val="2"/>
      <charset val="1"/>
    </font>
    <font>
      <sz val="12"/>
      <color rgb="FF000000"/>
      <name val="Arial"/>
      <family val="1"/>
    </font>
    <font>
      <b val="true"/>
      <sz val="14"/>
      <color rgb="FF000000"/>
      <name val="Arial"/>
      <family val="2"/>
      <charset val="1"/>
    </font>
    <font>
      <b val="true"/>
      <sz val="10"/>
      <color rgb="FFFF0000"/>
      <name val="Arial"/>
      <family val="2"/>
      <charset val="1"/>
    </font>
    <font>
      <b val="true"/>
      <sz val="12"/>
      <color rgb="FFFFFFFF"/>
      <name val="Arial"/>
      <family val="2"/>
      <charset val="1"/>
    </font>
    <font>
      <b val="true"/>
      <u val="single"/>
      <sz val="12"/>
      <color rgb="FFFFFFFF"/>
      <name val="Arial"/>
      <family val="2"/>
      <charset val="1"/>
    </font>
    <font>
      <b val="true"/>
      <sz val="10"/>
      <color rgb="FF000000"/>
      <name val="Arial"/>
      <family val="2"/>
      <charset val="1"/>
    </font>
    <font>
      <sz val="18"/>
      <color rgb="FF000000"/>
      <name val="Arial"/>
      <family val="2"/>
      <charset val="1"/>
    </font>
    <font>
      <b val="true"/>
      <sz val="16"/>
      <color rgb="FF000000"/>
      <name val="Arial"/>
      <family val="2"/>
      <charset val="1"/>
    </font>
    <font>
      <b val="true"/>
      <sz val="12"/>
      <color rgb="FF000000"/>
      <name val="Arial"/>
      <family val="2"/>
      <charset val="1"/>
    </font>
    <font>
      <sz val="12"/>
      <name val="Arial"/>
      <family val="2"/>
      <charset val="1"/>
    </font>
    <font>
      <b val="true"/>
      <i val="true"/>
      <sz val="10"/>
      <name val="Arial"/>
      <family val="2"/>
      <charset val="1"/>
    </font>
    <font>
      <b val="true"/>
      <i val="true"/>
      <sz val="10"/>
      <color rgb="FF000000"/>
      <name val="Arial"/>
      <family val="2"/>
      <charset val="1"/>
    </font>
    <font>
      <u val="single"/>
      <sz val="11"/>
      <color rgb="FF000000"/>
      <name val="Arial Narrow"/>
      <family val="2"/>
      <charset val="1"/>
    </font>
    <font>
      <sz val="10"/>
      <color rgb="FFFFFFFF"/>
      <name val="Arial Narrow"/>
      <family val="2"/>
      <charset val="1"/>
    </font>
    <font>
      <sz val="20"/>
      <color rgb="FF000000"/>
      <name val="Arial Narrow"/>
      <family val="2"/>
      <charset val="1"/>
    </font>
    <font>
      <sz val="20"/>
      <color rgb="FFFFFFFF"/>
      <name val="Arial Narrow"/>
      <family val="2"/>
      <charset val="1"/>
    </font>
    <font>
      <b val="true"/>
      <sz val="16"/>
      <color rgb="FFFFFFFF"/>
      <name val="Arial Narrow"/>
      <family val="2"/>
      <charset val="1"/>
    </font>
    <font>
      <b val="true"/>
      <sz val="12"/>
      <color rgb="FFFFFFFF"/>
      <name val="Arial Narrow"/>
      <family val="2"/>
      <charset val="1"/>
    </font>
    <font>
      <b val="true"/>
      <sz val="10"/>
      <color rgb="FFFFFFFF"/>
      <name val="Arial Narrow"/>
      <family val="2"/>
      <charset val="1"/>
    </font>
    <font>
      <b val="true"/>
      <i val="true"/>
      <sz val="10"/>
      <color rgb="FF000000"/>
      <name val="Arial Narrow"/>
      <family val="2"/>
      <charset val="1"/>
    </font>
    <font>
      <b val="true"/>
      <sz val="22"/>
      <color rgb="FF000000"/>
      <name val="Arial Narrow"/>
      <family val="2"/>
      <charset val="1"/>
    </font>
    <font>
      <i val="true"/>
      <sz val="10"/>
      <color rgb="FF000000"/>
      <name val="Arial Narrow"/>
      <family val="2"/>
      <charset val="1"/>
    </font>
    <font>
      <sz val="11"/>
      <color rgb="FF000000"/>
      <name val="Arial"/>
      <family val="2"/>
      <charset val="1"/>
    </font>
    <font>
      <sz val="7"/>
      <color rgb="FF000000"/>
      <name val="Times New Roman"/>
      <family val="1"/>
      <charset val="1"/>
    </font>
    <font>
      <sz val="10"/>
      <color rgb="FFFF0000"/>
      <name val="Arial"/>
      <family val="2"/>
      <charset val="1"/>
    </font>
  </fonts>
  <fills count="29">
    <fill>
      <patternFill patternType="none"/>
    </fill>
    <fill>
      <patternFill patternType="gray125"/>
    </fill>
    <fill>
      <patternFill patternType="solid">
        <fgColor rgb="FFFF0000"/>
        <bgColor rgb="FFC9211E"/>
      </patternFill>
    </fill>
    <fill>
      <patternFill patternType="solid">
        <fgColor rgb="FFFFCC00"/>
        <bgColor rgb="FFFFFF00"/>
      </patternFill>
    </fill>
    <fill>
      <patternFill patternType="solid">
        <fgColor rgb="FFFAC090"/>
        <bgColor rgb="FFF7D1D5"/>
      </patternFill>
    </fill>
    <fill>
      <patternFill patternType="solid">
        <fgColor rgb="FFFFFFFF"/>
        <bgColor rgb="FFFFFFD7"/>
      </patternFill>
    </fill>
    <fill>
      <patternFill patternType="solid">
        <fgColor rgb="FFDCE6F2"/>
        <bgColor rgb="FFDAE3F3"/>
      </patternFill>
    </fill>
    <fill>
      <patternFill patternType="solid">
        <fgColor rgb="FF00B050"/>
        <bgColor rgb="FF158466"/>
      </patternFill>
    </fill>
    <fill>
      <patternFill patternType="solid">
        <fgColor rgb="FF92D050"/>
        <bgColor rgb="FF83A343"/>
      </patternFill>
    </fill>
    <fill>
      <patternFill patternType="solid">
        <fgColor rgb="FFFFFF00"/>
        <bgColor rgb="FFFFCC00"/>
      </patternFill>
    </fill>
    <fill>
      <patternFill patternType="solid">
        <fgColor rgb="FFC4BD97"/>
        <bgColor rgb="FFCCCCCC"/>
      </patternFill>
    </fill>
    <fill>
      <patternFill patternType="solid">
        <fgColor rgb="FFFBE5D6"/>
        <bgColor rgb="FFFFF5CE"/>
      </patternFill>
    </fill>
    <fill>
      <patternFill patternType="solid">
        <fgColor rgb="FFC5E0B4"/>
        <bgColor rgb="FFCCCCCC"/>
      </patternFill>
    </fill>
    <fill>
      <patternFill patternType="solid">
        <fgColor rgb="FFBDD7EE"/>
        <bgColor rgb="FFCCCCCC"/>
      </patternFill>
    </fill>
    <fill>
      <patternFill patternType="solid">
        <fgColor rgb="FF83A343"/>
        <bgColor rgb="FF92D050"/>
      </patternFill>
    </fill>
    <fill>
      <patternFill patternType="solid">
        <fgColor rgb="FFF1F1F1"/>
        <bgColor rgb="FFDEE7E5"/>
      </patternFill>
    </fill>
    <fill>
      <patternFill patternType="solid">
        <fgColor rgb="FFDAE3F3"/>
        <bgColor rgb="FFDCE6F2"/>
      </patternFill>
    </fill>
    <fill>
      <patternFill patternType="solid">
        <fgColor rgb="FFED7D31"/>
        <bgColor rgb="FF9C6500"/>
      </patternFill>
    </fill>
    <fill>
      <patternFill patternType="solid">
        <fgColor rgb="FF558ED5"/>
        <bgColor rgb="FF81829A"/>
      </patternFill>
    </fill>
    <fill>
      <patternFill patternType="solid">
        <fgColor rgb="FF604A7B"/>
        <bgColor rgb="FF595959"/>
      </patternFill>
    </fill>
    <fill>
      <patternFill patternType="solid">
        <fgColor rgb="FF2E3917"/>
        <bgColor rgb="FF404040"/>
      </patternFill>
    </fill>
    <fill>
      <patternFill patternType="solid">
        <fgColor rgb="FF376092"/>
        <bgColor rgb="FF595959"/>
      </patternFill>
    </fill>
    <fill>
      <patternFill patternType="solid">
        <fgColor rgb="FF4F6228"/>
        <bgColor rgb="FF595959"/>
      </patternFill>
    </fill>
    <fill>
      <patternFill patternType="solid">
        <fgColor rgb="FFFFF5CE"/>
        <bgColor rgb="FFFFFFD7"/>
      </patternFill>
    </fill>
    <fill>
      <patternFill patternType="solid">
        <fgColor rgb="FFF7D1D5"/>
        <bgColor rgb="FFFBE5D6"/>
      </patternFill>
    </fill>
    <fill>
      <patternFill patternType="solid">
        <fgColor rgb="FFDEE7E5"/>
        <bgColor rgb="FFDCE6F2"/>
      </patternFill>
    </fill>
    <fill>
      <patternFill patternType="solid">
        <fgColor rgb="FFCCCCCC"/>
        <bgColor rgb="FFBDD7EE"/>
      </patternFill>
    </fill>
    <fill>
      <patternFill patternType="solid">
        <fgColor rgb="FFFFFFD7"/>
        <bgColor rgb="FFFFF5CE"/>
      </patternFill>
    </fill>
    <fill>
      <patternFill patternType="solid">
        <fgColor rgb="FF8EB4E3"/>
        <bgColor rgb="FFBDD7EE"/>
      </patternFill>
    </fill>
  </fills>
  <borders count="109">
    <border diagonalUp="false" diagonalDown="false">
      <left/>
      <right/>
      <top/>
      <bottom/>
      <diagonal/>
    </border>
    <border diagonalUp="false" diagonalDown="false">
      <left style="medium"/>
      <right style="medium"/>
      <top style="medium"/>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style="medium"/>
      <top/>
      <bottom/>
      <diagonal/>
    </border>
    <border diagonalUp="false" diagonalDown="false">
      <left style="double"/>
      <right style="thin">
        <color rgb="FFFFFFFF"/>
      </right>
      <top style="double"/>
      <bottom/>
      <diagonal/>
    </border>
    <border diagonalUp="false" diagonalDown="false">
      <left style="thin">
        <color rgb="FFFFFFFF"/>
      </left>
      <right style="double"/>
      <top style="double"/>
      <bottom style="thin"/>
      <diagonal/>
    </border>
    <border diagonalUp="false" diagonalDown="false">
      <left style="double"/>
      <right style="hair"/>
      <top style="thin"/>
      <bottom style="hair"/>
      <diagonal/>
    </border>
    <border diagonalUp="false" diagonalDown="false">
      <left style="hair"/>
      <right style="double"/>
      <top style="thin"/>
      <bottom style="hair"/>
      <diagonal/>
    </border>
    <border diagonalUp="false" diagonalDown="false">
      <left style="double"/>
      <right style="hair"/>
      <top style="hair"/>
      <bottom style="hair"/>
      <diagonal/>
    </border>
    <border diagonalUp="false" diagonalDown="false">
      <left style="hair"/>
      <right style="double"/>
      <top style="hair"/>
      <bottom style="hair"/>
      <diagonal/>
    </border>
    <border diagonalUp="false" diagonalDown="false">
      <left style="double"/>
      <right style="hair"/>
      <top style="hair"/>
      <bottom/>
      <diagonal/>
    </border>
    <border diagonalUp="false" diagonalDown="false">
      <left style="hair"/>
      <right style="hair"/>
      <top style="hair"/>
      <bottom style="hair"/>
      <diagonal/>
    </border>
    <border diagonalUp="false" diagonalDown="false">
      <left style="double"/>
      <right style="hair"/>
      <top style="hair"/>
      <bottom style="double"/>
      <diagonal/>
    </border>
    <border diagonalUp="false" diagonalDown="false">
      <left style="hair"/>
      <right style="double"/>
      <top style="hair"/>
      <bottom style="double"/>
      <diagonal/>
    </border>
    <border diagonalUp="false" diagonalDown="false">
      <left style="thin"/>
      <right style="thin"/>
      <top style="thin"/>
      <bottom style="thin"/>
      <diagonal/>
    </border>
    <border diagonalUp="false" diagonalDown="false">
      <left/>
      <right/>
      <top style="dashed"/>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bottom style="hair"/>
      <diagonal/>
    </border>
    <border diagonalUp="false" diagonalDown="false">
      <left style="hair"/>
      <right style="thin"/>
      <top/>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style="thin"/>
      <top style="thin"/>
      <bottom/>
      <diagonal/>
    </border>
    <border diagonalUp="false" diagonalDown="false">
      <left style="thin"/>
      <right style="thin"/>
      <top style="medium"/>
      <bottom/>
      <diagonal/>
    </border>
    <border diagonalUp="false" diagonalDown="false">
      <left style="medium"/>
      <right style="hair"/>
      <top/>
      <bottom style="medium"/>
      <diagonal/>
    </border>
    <border diagonalUp="false" diagonalDown="false">
      <left style="hair"/>
      <right style="hair"/>
      <top/>
      <bottom style="medium"/>
      <diagonal/>
    </border>
    <border diagonalUp="false" diagonalDown="false">
      <left style="hair"/>
      <right style="thin"/>
      <top style="thin"/>
      <bottom style="medium"/>
      <diagonal/>
    </border>
    <border diagonalUp="false" diagonalDown="false">
      <left style="hair"/>
      <right style="thin"/>
      <top/>
      <bottom style="medium"/>
      <diagonal/>
    </border>
    <border diagonalUp="false" diagonalDown="false">
      <left style="hair"/>
      <right style="hair"/>
      <top/>
      <bottom style="hair"/>
      <diagonal/>
    </border>
    <border diagonalUp="false" diagonalDown="false">
      <left style="hair"/>
      <right style="hair"/>
      <top style="medium"/>
      <bottom style="hair"/>
      <diagonal/>
    </border>
    <border diagonalUp="false" diagonalDown="false">
      <left/>
      <right style="hair"/>
      <top style="hair"/>
      <bottom style="hair"/>
      <diagonal/>
    </border>
    <border diagonalUp="false" diagonalDown="false">
      <left style="thin"/>
      <right style="hair"/>
      <top style="hair"/>
      <bottom style="medium"/>
      <diagonal/>
    </border>
    <border diagonalUp="false" diagonalDown="false">
      <left style="medium"/>
      <right style="hair"/>
      <top style="medium"/>
      <bottom style="medium"/>
      <diagonal/>
    </border>
    <border diagonalUp="false" diagonalDown="false">
      <left style="hair"/>
      <right style="hair"/>
      <top style="medium"/>
      <bottom style="medium"/>
      <diagonal/>
    </border>
    <border diagonalUp="false" diagonalDown="false">
      <left style="hair"/>
      <right/>
      <top style="medium"/>
      <bottom style="medium"/>
      <diagonal/>
    </border>
    <border diagonalUp="false" diagonalDown="false">
      <left style="hair"/>
      <right style="thin"/>
      <top style="medium"/>
      <bottom style="medium"/>
      <diagonal/>
    </border>
    <border diagonalUp="false" diagonalDown="false">
      <left style="hair"/>
      <right style="hair"/>
      <top style="hair"/>
      <bottom style="medium"/>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medium"/>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top style="thin"/>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hair"/>
      <right/>
      <top/>
      <bottom style="medium"/>
      <diagonal/>
    </border>
    <border diagonalUp="false" diagonalDown="false">
      <left style="hair"/>
      <right style="medium"/>
      <top style="medium"/>
      <bottom/>
      <diagonal/>
    </border>
    <border diagonalUp="false" diagonalDown="false">
      <left style="thin"/>
      <right/>
      <top style="medium"/>
      <bottom style="thin"/>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style="medium"/>
      <diagonal/>
    </border>
    <border diagonalUp="false" diagonalDown="false">
      <left style="thin">
        <color rgb="FFFFFFFF"/>
      </left>
      <right style="thin"/>
      <top style="thin">
        <color rgb="FFFFFFFF"/>
      </top>
      <bottom/>
      <diagonal/>
    </border>
    <border diagonalUp="false" diagonalDown="false">
      <left style="thin"/>
      <right style="thin"/>
      <top style="thin">
        <color rgb="FFFFFFFF"/>
      </top>
      <bottom style="medium"/>
      <diagonal/>
    </border>
    <border diagonalUp="false" diagonalDown="false">
      <left style="thin"/>
      <right style="hair"/>
      <top style="medium"/>
      <bottom style="medium"/>
      <diagonal/>
    </border>
    <border diagonalUp="false" diagonalDown="false">
      <left style="thin">
        <color rgb="FFFFFFFF"/>
      </left>
      <right style="thin">
        <color rgb="FFFFFFFF"/>
      </right>
      <top/>
      <bottom style="thin">
        <color rgb="FFFFFFFF"/>
      </bottom>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n">
        <color rgb="FF81829A"/>
      </left>
      <right style="thin">
        <color rgb="FF81829A"/>
      </right>
      <top style="thin">
        <color rgb="FF81829A"/>
      </top>
      <bottom style="thin"/>
      <diagonal/>
    </border>
    <border diagonalUp="false" diagonalDown="false">
      <left style="thin">
        <color rgb="FF81829A"/>
      </left>
      <right style="hair">
        <color rgb="FF81829A"/>
      </right>
      <top style="hair">
        <color rgb="FF81829A"/>
      </top>
      <bottom style="hair">
        <color rgb="FF81829A"/>
      </bottom>
      <diagonal/>
    </border>
    <border diagonalUp="false" diagonalDown="false">
      <left style="hair">
        <color rgb="FF81829A"/>
      </left>
      <right style="hair">
        <color rgb="FF81829A"/>
      </right>
      <top style="hair">
        <color rgb="FF81829A"/>
      </top>
      <bottom style="hair">
        <color rgb="FF81829A"/>
      </bottom>
      <diagonal/>
    </border>
    <border diagonalUp="false" diagonalDown="false">
      <left style="hair">
        <color rgb="FF81829A"/>
      </left>
      <right style="thin">
        <color rgb="FF81829A"/>
      </right>
      <top style="hair">
        <color rgb="FF81829A"/>
      </top>
      <bottom style="thin">
        <color rgb="FF81829A"/>
      </bottom>
      <diagonal/>
    </border>
    <border diagonalUp="false" diagonalDown="false">
      <left style="thin">
        <color rgb="FF81829A"/>
      </left>
      <right style="hair">
        <color rgb="FF81829A"/>
      </right>
      <top style="hair">
        <color rgb="FF81829A"/>
      </top>
      <bottom style="thin">
        <color rgb="FF81829A"/>
      </bottom>
      <diagonal/>
    </border>
    <border diagonalUp="false" diagonalDown="false">
      <left style="thin">
        <color rgb="FF81829A"/>
      </left>
      <right style="thin">
        <color rgb="FF81829A"/>
      </right>
      <top style="thin">
        <color rgb="FF81829A"/>
      </top>
      <bottom style="thin">
        <color rgb="FF81829A"/>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ck"/>
      <right/>
      <top/>
      <bottom style="thick"/>
      <diagonal/>
    </border>
    <border diagonalUp="false" diagonalDown="false">
      <left/>
      <right/>
      <top/>
      <bottom style="thick"/>
      <diagonal/>
    </border>
    <border diagonalUp="false" diagonalDown="false">
      <left/>
      <right style="thick"/>
      <top/>
      <bottom style="thick"/>
      <diagonal/>
    </border>
    <border diagonalUp="false" diagonalDown="false">
      <left style="medium"/>
      <right style="dashed"/>
      <top style="medium"/>
      <bottom style="medium"/>
      <diagonal/>
    </border>
    <border diagonalUp="false" diagonalDown="false">
      <left style="dashed"/>
      <right style="dashed"/>
      <top style="medium"/>
      <bottom style="medium"/>
      <diagonal/>
    </border>
    <border diagonalUp="false" diagonalDown="false">
      <left style="dashed"/>
      <right style="medium"/>
      <top style="medium"/>
      <bottom style="medium"/>
      <diagonal/>
    </border>
    <border diagonalUp="false" diagonalDown="false">
      <left style="medium"/>
      <right style="dashed"/>
      <top/>
      <bottom style="dashed"/>
      <diagonal/>
    </border>
    <border diagonalUp="false" diagonalDown="false">
      <left style="dashed"/>
      <right style="dashed"/>
      <top/>
      <bottom style="dashed"/>
      <diagonal/>
    </border>
    <border diagonalUp="false" diagonalDown="false">
      <left style="dashed"/>
      <right style="medium"/>
      <top/>
      <bottom style="dashed"/>
      <diagonal/>
    </border>
    <border diagonalUp="false" diagonalDown="false">
      <left style="medium"/>
      <right style="dashed"/>
      <top style="dashed"/>
      <bottom style="dashed"/>
      <diagonal/>
    </border>
    <border diagonalUp="false" diagonalDown="false">
      <left style="dashed"/>
      <right style="dashed"/>
      <top style="dashed"/>
      <bottom style="dashed"/>
      <diagonal/>
    </border>
    <border diagonalUp="false" diagonalDown="false">
      <left style="dashed"/>
      <right style="medium"/>
      <top style="dashed"/>
      <bottom style="dashed"/>
      <diagonal/>
    </border>
    <border diagonalUp="false" diagonalDown="false">
      <left style="medium"/>
      <right style="dashed"/>
      <top style="dashed"/>
      <bottom style="medium"/>
      <diagonal/>
    </border>
    <border diagonalUp="false" diagonalDown="false">
      <left style="dashed"/>
      <right style="dashed"/>
      <top style="dashed"/>
      <bottom style="medium"/>
      <diagonal/>
    </border>
    <border diagonalUp="false" diagonalDown="false">
      <left style="dashed"/>
      <right style="medium"/>
      <top style="dashed"/>
      <bottom style="medium"/>
      <diagonal/>
    </border>
    <border diagonalUp="false" diagonalDown="false">
      <left style="hair"/>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thin"/>
      <diagonal/>
    </border>
    <border diagonalUp="false" diagonalDown="false">
      <left style="thin"/>
      <right style="medium"/>
      <top style="thin"/>
      <bottom style="medium"/>
      <diagonal/>
    </border>
    <border diagonalUp="false" diagonalDown="false">
      <left style="medium"/>
      <right style="dotted"/>
      <top style="medium"/>
      <bottom style="dotted"/>
      <diagonal/>
    </border>
    <border diagonalUp="false" diagonalDown="false">
      <left style="dotted"/>
      <right style="dotted"/>
      <top style="medium"/>
      <bottom style="dotted"/>
      <diagonal/>
    </border>
    <border diagonalUp="false" diagonalDown="false">
      <left style="dotted"/>
      <right/>
      <top style="medium"/>
      <bottom style="dotted"/>
      <diagonal/>
    </border>
    <border diagonalUp="false" diagonalDown="false">
      <left style="dotted"/>
      <right style="dotted"/>
      <top/>
      <bottom style="dotted"/>
      <diagonal/>
    </border>
    <border diagonalUp="false" diagonalDown="false">
      <left style="medium"/>
      <right style="dotted"/>
      <top style="dotted"/>
      <bottom style="dotted"/>
      <diagonal/>
    </border>
    <border diagonalUp="false" diagonalDown="false">
      <left style="dotted"/>
      <right style="dotted"/>
      <top style="dotted"/>
      <bottom style="dotted"/>
      <diagonal/>
    </border>
    <border diagonalUp="false" diagonalDown="false">
      <left style="dotted"/>
      <right/>
      <top/>
      <bottom style="dotted"/>
      <diagonal/>
    </border>
    <border diagonalUp="false" diagonalDown="false">
      <left style="medium"/>
      <right style="dotted"/>
      <top style="dotted"/>
      <bottom style="medium"/>
      <diagonal/>
    </border>
    <border diagonalUp="false" diagonalDown="false">
      <left style="dotted"/>
      <right style="dotted"/>
      <top style="dotted"/>
      <bottom style="medium"/>
      <diagonal/>
    </border>
    <border diagonalUp="false" diagonalDown="false">
      <left style="dotted"/>
      <right/>
      <top style="dotted"/>
      <bottom style="medium"/>
      <diagonal/>
    </border>
  </borders>
  <cellStyleXfs count="6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6" fontId="0" fillId="0" borderId="0" applyFont="true" applyBorder="false" applyAlignment="true" applyProtection="false">
      <alignment horizontal="general" vertical="bottom" textRotation="0" wrapText="false" indent="0" shrinkToFit="false"/>
    </xf>
    <xf numFmtId="164" fontId="36"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0" fillId="2"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cellStyleXfs>
  <cellXfs count="578">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58" applyFont="true" applyBorder="false" applyAlignment="false" applyProtection="true">
      <alignment horizontal="general" vertical="bottom" textRotation="0" wrapText="false" indent="0" shrinkToFit="false"/>
      <protection locked="true" hidden="false"/>
    </xf>
    <xf numFmtId="164" fontId="10" fillId="0" borderId="1" xfId="58" applyFont="true" applyBorder="true" applyAlignment="true" applyProtection="true">
      <alignment horizontal="center" vertical="center" textRotation="0" wrapText="true" indent="0" shrinkToFit="false"/>
      <protection locked="true" hidden="false"/>
    </xf>
    <xf numFmtId="164" fontId="9" fillId="0" borderId="2" xfId="58" applyFont="true" applyBorder="true" applyAlignment="false" applyProtection="true">
      <alignment horizontal="general" vertical="bottom" textRotation="0" wrapText="false" indent="0" shrinkToFit="false"/>
      <protection locked="true" hidden="false"/>
    </xf>
    <xf numFmtId="164" fontId="9" fillId="0" borderId="0" xfId="58" applyFont="true" applyBorder="true" applyAlignment="false" applyProtection="true">
      <alignment horizontal="general" vertical="bottom" textRotation="0" wrapText="false" indent="0" shrinkToFit="false"/>
      <protection locked="true" hidden="false"/>
    </xf>
    <xf numFmtId="164" fontId="9" fillId="0" borderId="3" xfId="58" applyFont="true" applyBorder="true" applyAlignment="false" applyProtection="true">
      <alignment horizontal="general" vertical="bottom" textRotation="0" wrapText="false" indent="0" shrinkToFit="false"/>
      <protection locked="true" hidden="false"/>
    </xf>
    <xf numFmtId="164" fontId="9" fillId="0" borderId="4" xfId="58" applyFont="true" applyBorder="true" applyAlignment="false" applyProtection="true">
      <alignment horizontal="general" vertical="bottom" textRotation="0" wrapText="false" indent="0" shrinkToFit="false"/>
      <protection locked="true" hidden="false"/>
    </xf>
    <xf numFmtId="164" fontId="9" fillId="0" borderId="5" xfId="58" applyFont="true" applyBorder="true" applyAlignment="false" applyProtection="true">
      <alignment horizontal="general" vertical="bottom" textRotation="0" wrapText="false" indent="0" shrinkToFit="false"/>
      <protection locked="true" hidden="false"/>
    </xf>
    <xf numFmtId="164" fontId="9" fillId="0" borderId="6" xfId="58" applyFont="true" applyBorder="true" applyAlignment="false" applyProtection="true">
      <alignment horizontal="general" vertical="bottom" textRotation="0" wrapText="false" indent="0" shrinkToFit="false"/>
      <protection locked="true" hidden="false"/>
    </xf>
    <xf numFmtId="164" fontId="9" fillId="0" borderId="7" xfId="58" applyFont="true" applyBorder="true" applyAlignment="true" applyProtection="true">
      <alignment horizontal="left" vertical="center" textRotation="0" wrapText="true" indent="0" shrinkToFit="false"/>
      <protection locked="true" hidden="false"/>
    </xf>
    <xf numFmtId="164" fontId="11" fillId="0" borderId="7" xfId="58" applyFont="true" applyBorder="true" applyAlignment="true" applyProtection="true">
      <alignment horizontal="left" vertical="top" textRotation="0" wrapText="true" indent="0" shrinkToFit="false"/>
      <protection locked="true" hidden="false"/>
    </xf>
    <xf numFmtId="164" fontId="9" fillId="0" borderId="7" xfId="58" applyFont="true" applyBorder="true" applyAlignment="true" applyProtection="true">
      <alignment horizontal="left" vertical="top" textRotation="0" wrapText="true" indent="0" shrinkToFit="false"/>
      <protection locked="true" hidden="false"/>
    </xf>
    <xf numFmtId="164" fontId="13" fillId="0" borderId="0" xfId="58" applyFont="true" applyBorder="true" applyAlignment="true" applyProtection="true">
      <alignment horizontal="left" vertical="center" textRotation="0" wrapText="true" indent="0" shrinkToFit="false"/>
      <protection locked="true" hidden="false"/>
    </xf>
    <xf numFmtId="164" fontId="9" fillId="0" borderId="0" xfId="58" applyFont="true" applyBorder="true" applyAlignment="true" applyProtection="true">
      <alignment horizontal="left" vertical="center" textRotation="0" wrapText="true" indent="0" shrinkToFit="false"/>
      <protection locked="true" hidden="false"/>
    </xf>
    <xf numFmtId="164" fontId="9" fillId="0" borderId="3" xfId="58" applyFont="true" applyBorder="true" applyAlignment="true" applyProtection="true">
      <alignment horizontal="general" vertical="bottom" textRotation="0" wrapText="false" indent="0" shrinkToFit="false"/>
      <protection locked="true" hidden="false"/>
    </xf>
    <xf numFmtId="164" fontId="14" fillId="4" borderId="8" xfId="60" applyFont="true" applyBorder="true" applyAlignment="true" applyProtection="true">
      <alignment horizontal="center" vertical="center" textRotation="0" wrapText="true" indent="0" shrinkToFit="false"/>
      <protection locked="true" hidden="false"/>
    </xf>
    <xf numFmtId="164" fontId="14" fillId="4" borderId="9" xfId="58" applyFont="true" applyBorder="true" applyAlignment="true" applyProtection="true">
      <alignment horizontal="center" vertical="center" textRotation="0" wrapText="false" indent="0" shrinkToFit="false"/>
      <protection locked="true" hidden="false"/>
    </xf>
    <xf numFmtId="164" fontId="14" fillId="5" borderId="10" xfId="60" applyFont="true" applyBorder="true" applyAlignment="true" applyProtection="true">
      <alignment horizontal="left" vertical="top" textRotation="0" wrapText="true" indent="0" shrinkToFit="false" readingOrder="1"/>
      <protection locked="true" hidden="false"/>
    </xf>
    <xf numFmtId="164" fontId="16" fillId="0" borderId="11" xfId="58" applyFont="true" applyBorder="true" applyAlignment="true" applyProtection="true">
      <alignment horizontal="left" vertical="top" textRotation="0" wrapText="true" indent="0" shrinkToFit="false"/>
      <protection locked="true" hidden="false"/>
    </xf>
    <xf numFmtId="164" fontId="14" fillId="5" borderId="12" xfId="0" applyFont="true" applyBorder="true" applyAlignment="true" applyProtection="true">
      <alignment horizontal="left" vertical="center" textRotation="0" wrapText="true" indent="0" shrinkToFit="false"/>
      <protection locked="true" hidden="false"/>
    </xf>
    <xf numFmtId="164" fontId="16" fillId="0" borderId="13" xfId="58" applyFont="true" applyBorder="true" applyAlignment="true" applyProtection="true">
      <alignment horizontal="left" vertical="top" textRotation="0" wrapText="true" indent="0" shrinkToFit="false"/>
      <protection locked="true" hidden="false"/>
    </xf>
    <xf numFmtId="164" fontId="14" fillId="5" borderId="14" xfId="58" applyFont="true" applyBorder="true" applyAlignment="true" applyProtection="true">
      <alignment horizontal="center" vertical="center" textRotation="90" wrapText="false" indent="0" shrinkToFit="false"/>
      <protection locked="true" hidden="false"/>
    </xf>
    <xf numFmtId="164" fontId="14" fillId="5" borderId="15" xfId="0" applyFont="true" applyBorder="true" applyAlignment="true" applyProtection="true">
      <alignment horizontal="general" vertical="center" textRotation="0" wrapText="false" indent="0" shrinkToFit="false"/>
      <protection locked="true" hidden="false"/>
    </xf>
    <xf numFmtId="164" fontId="16" fillId="5" borderId="15" xfId="0" applyFont="true" applyBorder="true" applyAlignment="true" applyProtection="true">
      <alignment horizontal="general" vertical="center" textRotation="0" wrapText="true" indent="0" shrinkToFit="false"/>
      <protection locked="true" hidden="false"/>
    </xf>
    <xf numFmtId="164" fontId="16" fillId="0" borderId="13" xfId="0" applyFont="true" applyBorder="true" applyAlignment="true" applyProtection="true">
      <alignment horizontal="left" vertical="center" textRotation="0" wrapText="true" indent="0" shrinkToFit="false"/>
      <protection locked="true" hidden="false"/>
    </xf>
    <xf numFmtId="164" fontId="14" fillId="5" borderId="16" xfId="0" applyFont="true" applyBorder="true" applyAlignment="true" applyProtection="true">
      <alignment horizontal="left" vertical="center" textRotation="0" wrapText="true" indent="0" shrinkToFit="false"/>
      <protection locked="true" hidden="false"/>
    </xf>
    <xf numFmtId="164" fontId="16" fillId="0" borderId="17" xfId="0" applyFont="true" applyBorder="true" applyAlignment="true" applyProtection="true">
      <alignment horizontal="left" vertical="top" textRotation="0" wrapText="tru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4" fontId="16" fillId="0" borderId="0" xfId="0" applyFont="true" applyBorder="true" applyAlignment="true" applyProtection="true">
      <alignment horizontal="left" vertical="top" textRotation="0" wrapText="true" indent="0" shrinkToFit="false"/>
      <protection locked="true" hidden="false"/>
    </xf>
    <xf numFmtId="164" fontId="12" fillId="6" borderId="18" xfId="59" applyFont="true" applyBorder="true" applyAlignment="true" applyProtection="true">
      <alignment horizontal="center" vertical="center" textRotation="0" wrapText="true" indent="0" shrinkToFit="false"/>
      <protection locked="false" hidden="false"/>
    </xf>
    <xf numFmtId="164" fontId="19" fillId="7" borderId="18" xfId="59" applyFont="true" applyBorder="true" applyAlignment="true" applyProtection="true">
      <alignment horizontal="center" vertical="center" textRotation="0" wrapText="true" indent="0" shrinkToFit="false"/>
      <protection locked="false" hidden="false"/>
    </xf>
    <xf numFmtId="164" fontId="16" fillId="0" borderId="18" xfId="59" applyFont="true" applyBorder="true" applyAlignment="true" applyProtection="true">
      <alignment horizontal="center" vertical="center" textRotation="0" wrapText="true" indent="0" shrinkToFit="false"/>
      <protection locked="false" hidden="false"/>
    </xf>
    <xf numFmtId="164" fontId="19" fillId="8" borderId="18" xfId="59" applyFont="true" applyBorder="true" applyAlignment="true" applyProtection="true">
      <alignment horizontal="center" vertical="center" textRotation="0" wrapText="true" indent="0" shrinkToFit="false"/>
      <protection locked="false" hidden="false"/>
    </xf>
    <xf numFmtId="164" fontId="19" fillId="9" borderId="18" xfId="59" applyFont="true" applyBorder="true" applyAlignment="true" applyProtection="true">
      <alignment horizontal="center" vertical="center" textRotation="0" wrapText="true" indent="0" shrinkToFit="false"/>
      <protection locked="false" hidden="false"/>
    </xf>
    <xf numFmtId="164" fontId="19" fillId="2" borderId="18" xfId="59" applyFont="true" applyBorder="true" applyAlignment="true" applyProtection="true">
      <alignment horizontal="center" vertical="center" textRotation="0" wrapText="true" indent="0" shrinkToFit="false"/>
      <protection locked="false" hidden="false"/>
    </xf>
    <xf numFmtId="164" fontId="9" fillId="0" borderId="2" xfId="58" applyFont="true" applyBorder="true" applyAlignment="true" applyProtection="true">
      <alignment horizontal="general" vertical="top" textRotation="0" wrapText="true" indent="0" shrinkToFit="false"/>
      <protection locked="true" hidden="false"/>
    </xf>
    <xf numFmtId="164" fontId="9" fillId="0" borderId="0" xfId="58" applyFont="true" applyBorder="true" applyAlignment="true" applyProtection="true">
      <alignment horizontal="general" vertical="top" textRotation="0" wrapText="true" indent="0" shrinkToFit="false"/>
      <protection locked="true" hidden="false"/>
    </xf>
    <xf numFmtId="164" fontId="9" fillId="0" borderId="3" xfId="58" applyFont="true" applyBorder="true" applyAlignment="true" applyProtection="true">
      <alignment horizontal="general" vertical="top" textRotation="0" wrapText="true" indent="0" shrinkToFit="false"/>
      <protection locked="true" hidden="false"/>
    </xf>
    <xf numFmtId="164" fontId="9" fillId="0" borderId="2" xfId="58" applyFont="true" applyBorder="true" applyAlignment="true" applyProtection="true">
      <alignment horizontal="left" vertical="top" textRotation="0" wrapText="false" indent="0" shrinkToFit="false"/>
      <protection locked="true" hidden="false"/>
    </xf>
    <xf numFmtId="164" fontId="20" fillId="0" borderId="19" xfId="59" applyFont="true" applyBorder="true" applyAlignment="true" applyProtection="true">
      <alignment horizontal="center" vertical="center" textRotation="0" wrapText="true" indent="0" shrinkToFit="false"/>
      <protection locked="false" hidden="false"/>
    </xf>
    <xf numFmtId="164" fontId="21" fillId="0" borderId="19" xfId="59" applyFont="true" applyBorder="true" applyAlignment="true" applyProtection="true">
      <alignment horizontal="center" vertical="center" textRotation="0" wrapText="true" indent="0" shrinkToFit="false"/>
      <protection locked="false" hidden="false"/>
    </xf>
    <xf numFmtId="164" fontId="9" fillId="0" borderId="3" xfId="58" applyFont="true" applyBorder="true" applyAlignment="true" applyProtection="true">
      <alignment horizontal="left" vertical="top" textRotation="0" wrapText="false" indent="0" shrinkToFit="false"/>
      <protection locked="true" hidden="false"/>
    </xf>
    <xf numFmtId="164" fontId="14" fillId="0" borderId="0" xfId="60" applyFont="true" applyBorder="true" applyAlignment="true" applyProtection="true">
      <alignment horizontal="left" vertical="top" textRotation="0" wrapText="true" indent="0" shrinkToFit="false" readingOrder="1"/>
      <protection locked="true" hidden="false"/>
    </xf>
    <xf numFmtId="164" fontId="9" fillId="0" borderId="0" xfId="58" applyFont="true" applyBorder="true" applyAlignment="true" applyProtection="true">
      <alignment horizontal="general" vertical="bottom" textRotation="0" wrapText="false" indent="0" shrinkToFit="false"/>
      <protection locked="true" hidden="false"/>
    </xf>
    <xf numFmtId="164" fontId="9" fillId="0" borderId="7" xfId="58" applyFont="true" applyBorder="true" applyAlignment="true" applyProtection="true">
      <alignment horizontal="left" vertical="top" textRotation="0" wrapText="false" indent="0" shrinkToFit="false"/>
      <protection locked="true" hidden="false"/>
    </xf>
    <xf numFmtId="164" fontId="9" fillId="0" borderId="20" xfId="58" applyFont="true" applyBorder="true" applyAlignment="false" applyProtection="true">
      <alignment horizontal="general" vertical="bottom" textRotation="0" wrapText="false" indent="0" shrinkToFit="false"/>
      <protection locked="true" hidden="false"/>
    </xf>
    <xf numFmtId="164" fontId="9" fillId="0" borderId="21" xfId="58" applyFont="true" applyBorder="true" applyAlignment="false" applyProtection="true">
      <alignment horizontal="general" vertical="bottom" textRotation="0" wrapText="false" indent="0" shrinkToFit="false"/>
      <protection locked="true" hidden="false"/>
    </xf>
    <xf numFmtId="164" fontId="9" fillId="0" borderId="22" xfId="58" applyFont="true" applyBorder="true" applyAlignment="fals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3" fillId="4" borderId="0" xfId="0" applyFont="true" applyBorder="true" applyAlignment="true" applyProtection="true">
      <alignment horizontal="center" vertical="center" textRotation="0" wrapText="true" indent="0" shrinkToFit="false"/>
      <protection locked="false" hidden="false"/>
    </xf>
    <xf numFmtId="164" fontId="24" fillId="0" borderId="0" xfId="0" applyFont="true" applyBorder="false" applyAlignment="true" applyProtection="true">
      <alignment horizontal="general" vertical="center" textRotation="0" wrapText="true" indent="0" shrinkToFit="false"/>
      <protection locked="false" hidden="false"/>
    </xf>
    <xf numFmtId="164" fontId="23" fillId="4" borderId="23" xfId="0" applyFont="true" applyBorder="true" applyAlignment="true" applyProtection="false">
      <alignment horizontal="center" vertical="center" textRotation="0" wrapText="true" indent="0" shrinkToFit="false"/>
      <protection locked="true" hidden="false"/>
    </xf>
    <xf numFmtId="164" fontId="23" fillId="4" borderId="24" xfId="0" applyFont="true" applyBorder="true" applyAlignment="true" applyProtection="false">
      <alignment horizontal="center" vertical="center" textRotation="0" wrapText="true" indent="0" shrinkToFit="false"/>
      <protection locked="true" hidden="false"/>
    </xf>
    <xf numFmtId="164" fontId="25" fillId="0" borderId="25" xfId="0" applyFont="true" applyBorder="true" applyAlignment="true" applyProtection="false">
      <alignment horizontal="center" vertical="center" textRotation="0" wrapText="true" indent="0" shrinkToFit="false"/>
      <protection locked="true" hidden="false"/>
    </xf>
    <xf numFmtId="164" fontId="22" fillId="0" borderId="26" xfId="0" applyFont="true" applyBorder="true" applyAlignment="true" applyProtection="false">
      <alignment horizontal="left" vertical="center" textRotation="0" wrapText="true" indent="0" shrinkToFit="false"/>
      <protection locked="true" hidden="false"/>
    </xf>
    <xf numFmtId="164" fontId="12" fillId="0" borderId="27" xfId="0" applyFont="true" applyBorder="true" applyAlignment="true" applyProtection="false">
      <alignment horizontal="center" vertical="center" textRotation="0" wrapText="true" indent="0" shrinkToFit="false"/>
      <protection locked="true" hidden="false"/>
    </xf>
    <xf numFmtId="164" fontId="22" fillId="0" borderId="28" xfId="0" applyFont="true" applyBorder="true" applyAlignment="true" applyProtection="false">
      <alignment horizontal="left" vertical="center" textRotation="0" wrapText="true" indent="0" shrinkToFit="false"/>
      <protection locked="true" hidden="false"/>
    </xf>
    <xf numFmtId="164" fontId="25" fillId="0" borderId="29" xfId="0" applyFont="true" applyBorder="true" applyAlignment="true" applyProtection="false">
      <alignment horizontal="center" vertical="center" textRotation="0" wrapText="true" indent="0" shrinkToFit="false"/>
      <protection locked="true" hidden="false"/>
    </xf>
    <xf numFmtId="164" fontId="22" fillId="0" borderId="30" xfId="0" applyFont="true" applyBorder="true" applyAlignment="true" applyProtection="false">
      <alignment horizontal="left" vertical="center" textRotation="0" wrapText="true" indent="0" shrinkToFit="false"/>
      <protection locked="true" hidden="false"/>
    </xf>
    <xf numFmtId="164" fontId="12" fillId="0" borderId="29" xfId="0" applyFont="true" applyBorder="true" applyAlignment="true" applyProtection="false">
      <alignment horizontal="center" vertical="center" textRotation="0" wrapText="true" indent="0" shrinkToFit="false"/>
      <protection locked="true" hidden="false"/>
    </xf>
    <xf numFmtId="164" fontId="17" fillId="0" borderId="30" xfId="0" applyFont="true" applyBorder="true" applyAlignment="true" applyProtection="false">
      <alignment horizontal="left" vertical="center" textRotation="0" wrapText="true" indent="0" shrinkToFit="false"/>
      <protection locked="true" hidden="false"/>
    </xf>
    <xf numFmtId="164" fontId="22" fillId="5" borderId="0" xfId="0" applyFont="true" applyBorder="false" applyAlignment="false" applyProtection="false">
      <alignment horizontal="general" vertical="bottom" textRotation="0" wrapText="false" indent="0" shrinkToFit="false"/>
      <protection locked="true" hidden="false"/>
    </xf>
    <xf numFmtId="164" fontId="22" fillId="5" borderId="0" xfId="0" applyFont="true" applyBorder="false" applyAlignment="false" applyProtection="true">
      <alignment horizontal="general" vertical="bottom" textRotation="0" wrapText="false" indent="0" shrinkToFit="false"/>
      <protection locked="true" hidden="false"/>
    </xf>
    <xf numFmtId="164" fontId="26" fillId="5" borderId="0" xfId="0" applyFont="true" applyBorder="true" applyAlignment="false" applyProtection="false">
      <alignment horizontal="general" vertical="bottom" textRotation="0" wrapText="false" indent="0" shrinkToFit="false"/>
      <protection locked="true" hidden="false"/>
    </xf>
    <xf numFmtId="165" fontId="26" fillId="5" borderId="0" xfId="0" applyFont="true" applyBorder="true" applyAlignment="false" applyProtection="false">
      <alignment horizontal="general" vertical="bottom" textRotation="0" wrapText="false" indent="0" shrinkToFit="false"/>
      <protection locked="true" hidden="false"/>
    </xf>
    <xf numFmtId="165" fontId="27" fillId="5" borderId="0" xfId="0" applyFont="true" applyBorder="true" applyAlignment="false" applyProtection="false">
      <alignment horizontal="general" vertical="bottom" textRotation="0" wrapText="false" indent="0" shrinkToFit="false"/>
      <protection locked="true" hidden="false"/>
    </xf>
    <xf numFmtId="164" fontId="22" fillId="5" borderId="0" xfId="0" applyFont="true" applyBorder="true" applyAlignment="true" applyProtection="false">
      <alignment horizontal="left" vertical="center" textRotation="0" wrapText="true" indent="0" shrinkToFit="false"/>
      <protection locked="true" hidden="false"/>
    </xf>
    <xf numFmtId="164" fontId="22" fillId="5" borderId="0" xfId="0" applyFont="true" applyBorder="true" applyAlignment="true" applyProtection="false">
      <alignment horizontal="center" vertical="bottom" textRotation="0" wrapText="false" indent="0" shrinkToFit="false"/>
      <protection locked="true" hidden="false"/>
    </xf>
    <xf numFmtId="164" fontId="22" fillId="5" borderId="0" xfId="0" applyFont="true" applyBorder="true" applyAlignment="true" applyProtection="false">
      <alignment horizontal="general" vertical="center" textRotation="0" wrapText="false" indent="0" shrinkToFit="false"/>
      <protection locked="true" hidden="false"/>
    </xf>
    <xf numFmtId="166" fontId="22" fillId="5" borderId="0" xfId="0" applyFont="true" applyBorder="true" applyAlignment="true" applyProtection="false">
      <alignment horizontal="center" vertical="bottom" textRotation="0" wrapText="false" indent="0" shrinkToFit="false"/>
      <protection locked="true" hidden="false"/>
    </xf>
    <xf numFmtId="164" fontId="28" fillId="3" borderId="0" xfId="0" applyFont="true" applyBorder="true" applyAlignment="true" applyProtection="false">
      <alignment horizontal="center" vertical="center" textRotation="0" wrapText="false" indent="0" shrinkToFit="false"/>
      <protection locked="true" hidden="false"/>
    </xf>
    <xf numFmtId="164" fontId="29" fillId="5" borderId="0" xfId="0" applyFont="true" applyBorder="true" applyAlignment="true" applyProtection="false">
      <alignment horizontal="justify" vertical="top" textRotation="0" wrapText="true" indent="0" shrinkToFit="false"/>
      <protection locked="true" hidden="false"/>
    </xf>
    <xf numFmtId="167" fontId="22" fillId="5" borderId="0" xfId="0" applyFont="true" applyBorder="true" applyAlignment="true" applyProtection="true">
      <alignment horizontal="center" vertical="center" textRotation="0" wrapText="false" indent="0" shrinkToFit="false"/>
      <protection locked="true" hidden="false"/>
    </xf>
    <xf numFmtId="167" fontId="22" fillId="5" borderId="0" xfId="0" applyFont="true" applyBorder="true" applyAlignment="true" applyProtection="false">
      <alignment horizontal="center" vertical="center" textRotation="0" wrapText="false" indent="0" shrinkToFit="false"/>
      <protection locked="true" hidden="false"/>
    </xf>
    <xf numFmtId="164" fontId="22" fillId="5" borderId="0" xfId="0" applyFont="true" applyBorder="true" applyAlignment="true" applyProtection="false">
      <alignment horizontal="justify" vertical="center" textRotation="0" wrapText="true" indent="0" shrinkToFit="false"/>
      <protection locked="true" hidden="false"/>
    </xf>
    <xf numFmtId="164" fontId="24" fillId="3" borderId="31" xfId="0" applyFont="true" applyBorder="true" applyAlignment="true" applyProtection="true">
      <alignment horizontal="left" vertical="center" textRotation="0" wrapText="true" indent="0" shrinkToFit="false"/>
      <protection locked="true" hidden="false"/>
    </xf>
    <xf numFmtId="164" fontId="26" fillId="3" borderId="31" xfId="0" applyFont="true" applyBorder="true" applyAlignment="true" applyProtection="false">
      <alignment horizontal="left" vertical="center" textRotation="0" wrapText="true" indent="0" shrinkToFit="false"/>
      <protection locked="true" hidden="false"/>
    </xf>
    <xf numFmtId="164" fontId="24" fillId="3" borderId="31" xfId="0" applyFont="true" applyBorder="true" applyAlignment="true" applyProtection="false">
      <alignment horizontal="center" vertical="center" textRotation="0" wrapText="true" indent="0" shrinkToFit="false"/>
      <protection locked="true" hidden="false"/>
    </xf>
    <xf numFmtId="164" fontId="24" fillId="3" borderId="32" xfId="0" applyFont="true" applyBorder="true" applyAlignment="true" applyProtection="false">
      <alignment horizontal="center" vertical="center" textRotation="0" wrapText="true" indent="0" shrinkToFit="false"/>
      <protection locked="true" hidden="false"/>
    </xf>
    <xf numFmtId="164" fontId="24" fillId="3" borderId="31" xfId="0" applyFont="true" applyBorder="true" applyAlignment="true" applyProtection="false">
      <alignment horizontal="center" vertical="center" textRotation="90" wrapText="true" indent="0" shrinkToFit="false"/>
      <protection locked="true" hidden="false"/>
    </xf>
    <xf numFmtId="164" fontId="24" fillId="3" borderId="18" xfId="0" applyFont="true" applyBorder="true" applyAlignment="true" applyProtection="false">
      <alignment horizontal="center" vertical="center" textRotation="0" wrapText="false" indent="0" shrinkToFit="false"/>
      <protection locked="true" hidden="false"/>
    </xf>
    <xf numFmtId="164" fontId="24" fillId="5" borderId="0" xfId="0" applyFont="true" applyBorder="true" applyAlignment="true" applyProtection="false">
      <alignment horizontal="center" vertical="center" textRotation="90" wrapText="true" indent="0" shrinkToFit="false"/>
      <protection locked="true" hidden="false"/>
    </xf>
    <xf numFmtId="165" fontId="24" fillId="5" borderId="0" xfId="0" applyFont="true" applyBorder="true" applyAlignment="true" applyProtection="false">
      <alignment horizontal="center" vertical="center" textRotation="90" wrapText="true" indent="0" shrinkToFit="false"/>
      <protection locked="true" hidden="false"/>
    </xf>
    <xf numFmtId="165" fontId="32" fillId="5" borderId="0" xfId="0" applyFont="true" applyBorder="true" applyAlignment="true" applyProtection="false">
      <alignment horizontal="center" vertical="center" textRotation="90" wrapText="true" indent="0" shrinkToFit="false"/>
      <protection locked="true" hidden="false"/>
    </xf>
    <xf numFmtId="164" fontId="24" fillId="3" borderId="31" xfId="0" applyFont="true" applyBorder="true" applyAlignment="true" applyProtection="false">
      <alignment horizontal="center" vertical="center" textRotation="0" wrapText="false" indent="0" shrinkToFit="false"/>
      <protection locked="true" hidden="false"/>
    </xf>
    <xf numFmtId="164" fontId="33" fillId="10" borderId="18" xfId="0" applyFont="true" applyBorder="true" applyAlignment="true" applyProtection="false">
      <alignment horizontal="center" vertical="center" textRotation="90" wrapText="false" indent="0" shrinkToFit="true"/>
      <protection locked="true" hidden="false"/>
    </xf>
    <xf numFmtId="168" fontId="22" fillId="10" borderId="18" xfId="0" applyFont="true" applyBorder="true" applyAlignment="true" applyProtection="true">
      <alignment horizontal="left" vertical="top" textRotation="0" wrapText="true" indent="0" shrinkToFit="false"/>
      <protection locked="true" hidden="false"/>
    </xf>
    <xf numFmtId="164" fontId="12" fillId="10" borderId="18" xfId="0" applyFont="true" applyBorder="true" applyAlignment="true" applyProtection="false">
      <alignment horizontal="center" vertical="center" textRotation="0" wrapText="true" indent="0" shrinkToFit="false"/>
      <protection locked="true" hidden="false"/>
    </xf>
    <xf numFmtId="164" fontId="12" fillId="10" borderId="18" xfId="0" applyFont="true" applyBorder="true" applyAlignment="true" applyProtection="true">
      <alignment horizontal="center" vertical="center" textRotation="0" wrapText="false" indent="0" shrinkToFit="false"/>
      <protection locked="false" hidden="false"/>
    </xf>
    <xf numFmtId="164" fontId="12" fillId="10" borderId="18" xfId="0" applyFont="true" applyBorder="true" applyAlignment="true" applyProtection="false">
      <alignment horizontal="center" vertical="center" textRotation="0" wrapText="false" indent="0" shrinkToFit="false"/>
      <protection locked="true" hidden="false"/>
    </xf>
    <xf numFmtId="168" fontId="12" fillId="10" borderId="18" xfId="0" applyFont="true" applyBorder="true" applyAlignment="true" applyProtection="true">
      <alignment horizontal="center" vertical="center" textRotation="0" wrapText="true" indent="0" shrinkToFit="false"/>
      <protection locked="true" hidden="true"/>
    </xf>
    <xf numFmtId="164" fontId="26" fillId="5" borderId="0" xfId="0" applyFont="true" applyBorder="true" applyAlignment="true" applyProtection="true">
      <alignment horizontal="center" vertical="center" textRotation="0" wrapText="true" indent="0" shrinkToFit="false"/>
      <protection locked="true" hidden="true"/>
    </xf>
    <xf numFmtId="165" fontId="26" fillId="5" borderId="0" xfId="0" applyFont="true" applyBorder="true" applyAlignment="true" applyProtection="true">
      <alignment horizontal="center" vertical="center" textRotation="0" wrapText="true" indent="0" shrinkToFit="false"/>
      <protection locked="true" hidden="true"/>
    </xf>
    <xf numFmtId="165" fontId="27" fillId="5" borderId="0" xfId="0" applyFont="true" applyBorder="true" applyAlignment="true" applyProtection="false">
      <alignment horizontal="center" vertical="center" textRotation="0" wrapText="true" indent="0" shrinkToFit="false"/>
      <protection locked="true" hidden="false"/>
    </xf>
    <xf numFmtId="164" fontId="22" fillId="5" borderId="0" xfId="0" applyFont="true" applyBorder="true" applyAlignment="false" applyProtection="false">
      <alignment horizontal="general" vertical="bottom" textRotation="0" wrapText="false" indent="0" shrinkToFit="false"/>
      <protection locked="true" hidden="false"/>
    </xf>
    <xf numFmtId="164" fontId="17" fillId="10" borderId="18" xfId="0" applyFont="true" applyBorder="true" applyAlignment="true" applyProtection="false">
      <alignment horizontal="center" vertical="center" textRotation="0" wrapText="false" indent="0" shrinkToFit="false"/>
      <protection locked="true" hidden="false"/>
    </xf>
    <xf numFmtId="168" fontId="22" fillId="0" borderId="33" xfId="0" applyFont="true" applyBorder="true" applyAlignment="true" applyProtection="true">
      <alignment horizontal="left" vertical="top" textRotation="0" wrapText="true" indent="0" shrinkToFit="false"/>
      <protection locked="true" hidden="false"/>
    </xf>
    <xf numFmtId="164" fontId="22" fillId="11" borderId="33" xfId="0" applyFont="true" applyBorder="true" applyAlignment="true" applyProtection="false">
      <alignment horizontal="left" vertical="top" textRotation="0" wrapText="true" indent="0" shrinkToFit="false"/>
      <protection locked="true" hidden="false"/>
    </xf>
    <xf numFmtId="164" fontId="22" fillId="11" borderId="34" xfId="0" applyFont="true" applyBorder="true" applyAlignment="true" applyProtection="false">
      <alignment horizontal="left" vertical="top" textRotation="0" wrapText="true" indent="0" shrinkToFit="false"/>
      <protection locked="true" hidden="false"/>
    </xf>
    <xf numFmtId="164" fontId="22" fillId="11" borderId="35" xfId="0" applyFont="true" applyBorder="true" applyAlignment="true" applyProtection="true">
      <alignment horizontal="justify" vertical="center" textRotation="0" wrapText="true" indent="0" shrinkToFit="false"/>
      <protection locked="false" hidden="false"/>
    </xf>
    <xf numFmtId="164" fontId="22" fillId="12" borderId="36" xfId="0" applyFont="true" applyBorder="true" applyAlignment="true" applyProtection="true">
      <alignment horizontal="center" vertical="center" textRotation="0" wrapText="false" indent="0" shrinkToFit="false"/>
      <protection locked="false" hidden="false"/>
    </xf>
    <xf numFmtId="164" fontId="25" fillId="11" borderId="37" xfId="0" applyFont="true" applyBorder="true" applyAlignment="true" applyProtection="true">
      <alignment horizontal="center" vertical="center" textRotation="0" wrapText="false" indent="0" shrinkToFit="false"/>
      <protection locked="false" hidden="false"/>
    </xf>
    <xf numFmtId="164" fontId="17" fillId="11" borderId="38" xfId="0" applyFont="true" applyBorder="true" applyAlignment="true" applyProtection="true">
      <alignment horizontal="left" vertical="center" textRotation="0" wrapText="true" indent="0" shrinkToFit="false"/>
      <protection locked="false" hidden="false"/>
    </xf>
    <xf numFmtId="164" fontId="22" fillId="11" borderId="36" xfId="0" applyFont="true" applyBorder="true" applyAlignment="true" applyProtection="true">
      <alignment horizontal="justify" vertical="center" textRotation="0" wrapText="true" indent="0" shrinkToFit="false"/>
      <protection locked="false" hidden="false"/>
    </xf>
    <xf numFmtId="164" fontId="22" fillId="12" borderId="34" xfId="0" applyFont="true" applyBorder="true" applyAlignment="true" applyProtection="true">
      <alignment horizontal="center" vertical="center" textRotation="0" wrapText="false" indent="0" shrinkToFit="false"/>
      <protection locked="false" hidden="false"/>
    </xf>
    <xf numFmtId="168" fontId="22" fillId="11" borderId="36" xfId="0" applyFont="true" applyBorder="true" applyAlignment="true" applyProtection="true">
      <alignment horizontal="center" vertical="center" textRotation="0" wrapText="true" indent="0" shrinkToFit="false"/>
      <protection locked="true" hidden="true"/>
    </xf>
    <xf numFmtId="164" fontId="25" fillId="11" borderId="15" xfId="0" applyFont="true" applyBorder="true" applyAlignment="true" applyProtection="true">
      <alignment horizontal="center" vertical="center" textRotation="0" wrapText="false" indent="0" shrinkToFit="false"/>
      <protection locked="false" hidden="false"/>
    </xf>
    <xf numFmtId="164" fontId="22" fillId="11" borderId="38" xfId="0" applyFont="true" applyBorder="true" applyAlignment="true" applyProtection="true">
      <alignment horizontal="left" vertical="center" textRotation="0" wrapText="true" indent="0" shrinkToFit="false"/>
      <protection locked="false" hidden="false"/>
    </xf>
    <xf numFmtId="164" fontId="22" fillId="11" borderId="0" xfId="0" applyFont="true" applyBorder="true" applyAlignment="false" applyProtection="true">
      <alignment horizontal="general" vertical="bottom" textRotation="0" wrapText="false" indent="0" shrinkToFit="false"/>
      <protection locked="false" hidden="false"/>
    </xf>
    <xf numFmtId="164" fontId="22" fillId="11" borderId="15" xfId="0" applyFont="true" applyBorder="true" applyAlignment="true" applyProtection="true">
      <alignment horizontal="justify" vertical="center" textRotation="0" wrapText="true" indent="0" shrinkToFit="false"/>
      <protection locked="false" hidden="false"/>
    </xf>
    <xf numFmtId="164" fontId="22" fillId="11" borderId="39" xfId="0" applyFont="true" applyBorder="true" applyAlignment="true" applyProtection="true">
      <alignment horizontal="center" vertical="center" textRotation="0" wrapText="false" indent="0" shrinkToFit="false"/>
      <protection locked="false" hidden="false"/>
    </xf>
    <xf numFmtId="164" fontId="25" fillId="11" borderId="40" xfId="0" applyFont="true" applyBorder="true" applyAlignment="true" applyProtection="true">
      <alignment horizontal="center" vertical="center" textRotation="0" wrapText="false" indent="0" shrinkToFit="false"/>
      <protection locked="false" hidden="false"/>
    </xf>
    <xf numFmtId="168" fontId="22" fillId="0" borderId="41" xfId="0" applyFont="true" applyBorder="true" applyAlignment="true" applyProtection="true">
      <alignment horizontal="left" vertical="top" textRotation="0" wrapText="true" indent="0" shrinkToFit="false"/>
      <protection locked="true" hidden="false"/>
    </xf>
    <xf numFmtId="164" fontId="22" fillId="11" borderId="41" xfId="0" applyFont="true" applyBorder="true" applyAlignment="true" applyProtection="false">
      <alignment horizontal="left" vertical="top" textRotation="0" wrapText="true" indent="0" shrinkToFit="false"/>
      <protection locked="true" hidden="false"/>
    </xf>
    <xf numFmtId="164" fontId="22" fillId="11" borderId="42" xfId="0" applyFont="true" applyBorder="true" applyAlignment="true" applyProtection="false">
      <alignment horizontal="left" vertical="top" textRotation="0" wrapText="true" indent="0" shrinkToFit="false"/>
      <protection locked="true" hidden="false"/>
    </xf>
    <xf numFmtId="164" fontId="22" fillId="12" borderId="42" xfId="0" applyFont="true" applyBorder="true" applyAlignment="true" applyProtection="true">
      <alignment horizontal="center" vertical="center" textRotation="0" wrapText="false" indent="0" shrinkToFit="false"/>
      <protection locked="false" hidden="false"/>
    </xf>
    <xf numFmtId="164" fontId="22" fillId="11" borderId="36" xfId="0" applyFont="true" applyBorder="true" applyAlignment="true" applyProtection="true">
      <alignment horizontal="justify" vertical="top" textRotation="0" wrapText="true" indent="0" shrinkToFit="false"/>
      <protection locked="false" hidden="false"/>
    </xf>
    <xf numFmtId="164" fontId="22" fillId="12" borderId="43" xfId="0" applyFont="true" applyBorder="true" applyAlignment="true" applyProtection="true">
      <alignment horizontal="center" vertical="center" textRotation="0" wrapText="false" indent="0" shrinkToFit="false"/>
      <protection locked="false" hidden="false"/>
    </xf>
    <xf numFmtId="168" fontId="22" fillId="11" borderId="44" xfId="0" applyFont="true" applyBorder="true" applyAlignment="true" applyProtection="true">
      <alignment horizontal="center" vertical="center" textRotation="0" wrapText="true" indent="0" shrinkToFit="false"/>
      <protection locked="true" hidden="true"/>
    </xf>
    <xf numFmtId="164" fontId="22" fillId="11" borderId="15" xfId="0" applyFont="true" applyBorder="true" applyAlignment="true" applyProtection="true">
      <alignment horizontal="center" vertical="center" textRotation="0" wrapText="false" indent="0" shrinkToFit="false"/>
      <protection locked="false" hidden="false"/>
    </xf>
    <xf numFmtId="164" fontId="25" fillId="11" borderId="45" xfId="0" applyFont="true" applyBorder="true" applyAlignment="true" applyProtection="true">
      <alignment horizontal="center" vertical="center" textRotation="0" wrapText="false" indent="0" shrinkToFit="false"/>
      <protection locked="false" hidden="false"/>
    </xf>
    <xf numFmtId="164" fontId="22" fillId="11" borderId="45" xfId="0" applyFont="true" applyBorder="true" applyAlignment="true" applyProtection="true">
      <alignment horizontal="center" vertical="center" textRotation="0" wrapText="false" indent="0" shrinkToFit="false"/>
      <protection locked="fals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8" fontId="17" fillId="0" borderId="41" xfId="0" applyFont="true" applyBorder="true" applyAlignment="true" applyProtection="true">
      <alignment horizontal="left" vertical="top" textRotation="0" wrapText="true" indent="0" shrinkToFit="false"/>
      <protection locked="true" hidden="false"/>
    </xf>
    <xf numFmtId="164" fontId="17" fillId="11" borderId="41" xfId="0" applyFont="true" applyBorder="true" applyAlignment="true" applyProtection="false">
      <alignment horizontal="left" vertical="top" textRotation="0" wrapText="true" indent="0" shrinkToFit="false"/>
      <protection locked="true" hidden="false"/>
    </xf>
    <xf numFmtId="164" fontId="17" fillId="11" borderId="42" xfId="0" applyFont="true" applyBorder="true" applyAlignment="true" applyProtection="false">
      <alignment horizontal="left" vertical="top" textRotation="0" wrapText="true" indent="0" shrinkToFit="false"/>
      <protection locked="true" hidden="false"/>
    </xf>
    <xf numFmtId="164" fontId="17" fillId="11" borderId="42" xfId="0" applyFont="true" applyBorder="true" applyAlignment="true" applyProtection="true">
      <alignment horizontal="justify" vertical="center" textRotation="0" wrapText="true" indent="0" shrinkToFit="false"/>
      <protection locked="false" hidden="false"/>
    </xf>
    <xf numFmtId="164" fontId="17" fillId="12" borderId="42" xfId="0" applyFont="true" applyBorder="true" applyAlignment="true" applyProtection="true">
      <alignment horizontal="center" vertical="center" textRotation="0" wrapText="false" indent="0" shrinkToFit="false"/>
      <protection locked="false" hidden="false"/>
    </xf>
    <xf numFmtId="164" fontId="12" fillId="11" borderId="38" xfId="0" applyFont="true" applyBorder="true" applyAlignment="true" applyProtection="true">
      <alignment horizontal="center" vertical="center" textRotation="0" wrapText="false" indent="0" shrinkToFit="false"/>
      <protection locked="false" hidden="false"/>
    </xf>
    <xf numFmtId="164" fontId="34" fillId="12" borderId="43" xfId="0" applyFont="true" applyBorder="true" applyAlignment="true" applyProtection="true">
      <alignment horizontal="center" vertical="center" textRotation="0" wrapText="false" indent="0" shrinkToFit="false"/>
      <protection locked="false" hidden="false"/>
    </xf>
    <xf numFmtId="168" fontId="17" fillId="11" borderId="44" xfId="0" applyFont="true" applyBorder="true" applyAlignment="true" applyProtection="true">
      <alignment horizontal="center" vertical="center" textRotation="0" wrapText="true" indent="0" shrinkToFit="false"/>
      <protection locked="true" hidden="true"/>
    </xf>
    <xf numFmtId="168" fontId="17" fillId="5" borderId="0" xfId="0" applyFont="true" applyBorder="true" applyAlignment="true" applyProtection="true">
      <alignment horizontal="center" vertical="center" textRotation="0" wrapText="true" indent="0" shrinkToFit="false"/>
      <protection locked="true" hidden="true"/>
    </xf>
    <xf numFmtId="169" fontId="17" fillId="5" borderId="0" xfId="0" applyFont="true" applyBorder="true" applyAlignment="true" applyProtection="true">
      <alignment horizontal="center" vertical="center" textRotation="0" wrapText="true" indent="0" shrinkToFit="false"/>
      <protection locked="true" hidden="true"/>
    </xf>
    <xf numFmtId="169" fontId="17" fillId="5" borderId="0" xfId="0" applyFont="true" applyBorder="true" applyAlignment="true" applyProtection="false">
      <alignment horizontal="center" vertical="center" textRotation="0" wrapText="true" indent="0" shrinkToFit="false"/>
      <protection locked="true" hidden="false"/>
    </xf>
    <xf numFmtId="164" fontId="12" fillId="11" borderId="15" xfId="0" applyFont="true" applyBorder="true" applyAlignment="true" applyProtection="true">
      <alignment horizontal="center" vertical="center" textRotation="0" wrapText="false" indent="0" shrinkToFit="false"/>
      <protection locked="false" hidden="false"/>
    </xf>
    <xf numFmtId="164" fontId="17" fillId="11" borderId="37" xfId="0" applyFont="true" applyBorder="true" applyAlignment="true" applyProtection="true">
      <alignment horizontal="left" vertical="center" textRotation="0" wrapText="true" indent="0" shrinkToFit="false"/>
      <protection locked="false" hidden="false"/>
    </xf>
    <xf numFmtId="164" fontId="17" fillId="11" borderId="15" xfId="0" applyFont="true" applyBorder="true" applyAlignment="true" applyProtection="true">
      <alignment horizontal="center" vertical="center" textRotation="0" wrapText="false" indent="0" shrinkToFit="false"/>
      <protection locked="false" hidden="false"/>
    </xf>
    <xf numFmtId="164" fontId="12" fillId="11" borderId="45" xfId="0" applyFont="true" applyBorder="true" applyAlignment="true" applyProtection="true">
      <alignment horizontal="center" vertical="center" textRotation="0" wrapText="false" indent="0" shrinkToFit="false"/>
      <protection locked="false" hidden="false"/>
    </xf>
    <xf numFmtId="164" fontId="17" fillId="11" borderId="45" xfId="0" applyFont="true" applyBorder="true" applyAlignment="true" applyProtection="true">
      <alignment horizontal="center" vertical="center" textRotation="0" wrapText="false" indent="0" shrinkToFit="false"/>
      <protection locked="false" hidden="false"/>
    </xf>
    <xf numFmtId="164" fontId="22" fillId="11" borderId="42" xfId="0" applyFont="true" applyBorder="true" applyAlignment="true" applyProtection="true">
      <alignment horizontal="justify" vertical="center" textRotation="0" wrapText="true" indent="0" shrinkToFit="false"/>
      <protection locked="false" hidden="false"/>
    </xf>
    <xf numFmtId="164" fontId="25" fillId="11" borderId="38" xfId="0" applyFont="true" applyBorder="true" applyAlignment="true" applyProtection="true">
      <alignment horizontal="center" vertical="center" textRotation="0" wrapText="false" indent="0" shrinkToFit="false"/>
      <protection locked="false" hidden="false"/>
    </xf>
    <xf numFmtId="164" fontId="22" fillId="11" borderId="15" xfId="0" applyFont="true" applyBorder="true" applyAlignment="true" applyProtection="true">
      <alignment horizontal="left" vertical="center" textRotation="0" wrapText="true" indent="0" shrinkToFit="false"/>
      <protection locked="false" hidden="false"/>
    </xf>
    <xf numFmtId="164" fontId="34" fillId="12" borderId="42" xfId="0" applyFont="true" applyBorder="true" applyAlignment="true" applyProtection="true">
      <alignment horizontal="center" vertical="center" textRotation="0" wrapText="false" indent="0" shrinkToFit="false"/>
      <protection locked="false" hidden="false"/>
    </xf>
    <xf numFmtId="170" fontId="26" fillId="5" borderId="0" xfId="0" applyFont="true" applyBorder="true" applyAlignment="true" applyProtection="true">
      <alignment horizontal="center" vertical="center" textRotation="0" wrapText="true" indent="0" shrinkToFit="false"/>
      <protection locked="true" hidden="true"/>
    </xf>
    <xf numFmtId="170" fontId="27" fillId="5" borderId="0" xfId="0" applyFont="true" applyBorder="true" applyAlignment="true" applyProtection="false">
      <alignment horizontal="center" vertical="center" textRotation="0" wrapText="true" indent="0" shrinkToFit="false"/>
      <protection locked="true" hidden="false"/>
    </xf>
    <xf numFmtId="164" fontId="22" fillId="11" borderId="43" xfId="0" applyFont="true" applyBorder="true" applyAlignment="true" applyProtection="true">
      <alignment horizontal="center" vertical="center" textRotation="0" wrapText="false" indent="0" shrinkToFit="false"/>
      <protection locked="false" hidden="false"/>
    </xf>
    <xf numFmtId="164" fontId="26" fillId="3" borderId="31" xfId="0" applyFont="true" applyBorder="true" applyAlignment="true" applyProtection="true">
      <alignment horizontal="left" vertical="center" textRotation="0" wrapText="true" indent="0" shrinkToFit="false"/>
      <protection locked="true" hidden="false"/>
    </xf>
    <xf numFmtId="164" fontId="30" fillId="3" borderId="31" xfId="0" applyFont="true" applyBorder="true" applyAlignment="true" applyProtection="false">
      <alignment horizontal="left" vertical="center" textRotation="0" wrapText="true" indent="0" shrinkToFit="false"/>
      <protection locked="true" hidden="false"/>
    </xf>
    <xf numFmtId="164" fontId="24" fillId="3" borderId="46" xfId="0" applyFont="true" applyBorder="true" applyAlignment="true" applyProtection="false">
      <alignment horizontal="center" vertical="center" textRotation="0" wrapText="true" indent="0" shrinkToFit="false"/>
      <protection locked="true" hidden="false"/>
    </xf>
    <xf numFmtId="164" fontId="24" fillId="3" borderId="32" xfId="0" applyFont="true" applyBorder="true" applyAlignment="true" applyProtection="true">
      <alignment horizontal="center" vertical="center" textRotation="0" wrapText="true" indent="0" shrinkToFit="false"/>
      <protection locked="false" hidden="false"/>
    </xf>
    <xf numFmtId="164" fontId="24" fillId="3" borderId="31" xfId="0" applyFont="true" applyBorder="true" applyAlignment="true" applyProtection="true">
      <alignment horizontal="center" vertical="center" textRotation="90" wrapText="true" indent="0" shrinkToFit="false"/>
      <protection locked="false" hidden="false"/>
    </xf>
    <xf numFmtId="164" fontId="24" fillId="3" borderId="47" xfId="0" applyFont="true" applyBorder="true" applyAlignment="true" applyProtection="true">
      <alignment horizontal="center" vertical="center" textRotation="0" wrapText="false" indent="0" shrinkToFit="false"/>
      <protection locked="false" hidden="false"/>
    </xf>
    <xf numFmtId="164" fontId="24" fillId="3" borderId="31" xfId="0" applyFont="true" applyBorder="true" applyAlignment="true" applyProtection="true">
      <alignment horizontal="center" vertical="center" textRotation="90" wrapText="true" indent="0" shrinkToFit="false"/>
      <protection locked="true" hidden="true"/>
    </xf>
    <xf numFmtId="164" fontId="24" fillId="5" borderId="0" xfId="0" applyFont="true" applyBorder="true" applyAlignment="true" applyProtection="true">
      <alignment horizontal="center" vertical="center" textRotation="90" wrapText="true" indent="0" shrinkToFit="false"/>
      <protection locked="true" hidden="true"/>
    </xf>
    <xf numFmtId="165" fontId="24" fillId="5" borderId="0" xfId="0" applyFont="true" applyBorder="true" applyAlignment="true" applyProtection="true">
      <alignment horizontal="center" vertical="center" textRotation="90" wrapText="true" indent="0" shrinkToFit="false"/>
      <protection locked="true" hidden="true"/>
    </xf>
    <xf numFmtId="164" fontId="24" fillId="3" borderId="31" xfId="0" applyFont="true" applyBorder="true" applyAlignment="true" applyProtection="true">
      <alignment horizontal="center" vertical="center" textRotation="0" wrapText="false" indent="0" shrinkToFit="false"/>
      <protection locked="false" hidden="false"/>
    </xf>
    <xf numFmtId="164" fontId="24" fillId="3" borderId="31" xfId="0" applyFont="true" applyBorder="true" applyAlignment="true" applyProtection="true">
      <alignment horizontal="center" vertical="center" textRotation="0" wrapText="true" indent="0" shrinkToFit="false"/>
      <protection locked="false" hidden="false"/>
    </xf>
    <xf numFmtId="164" fontId="24" fillId="3" borderId="46" xfId="0" applyFont="true" applyBorder="true" applyAlignment="true" applyProtection="true">
      <alignment horizontal="center" vertical="center" textRotation="0" wrapText="true" indent="0" shrinkToFit="false"/>
      <protection locked="false" hidden="false"/>
    </xf>
    <xf numFmtId="164" fontId="22" fillId="0" borderId="41" xfId="0" applyFont="true" applyBorder="true" applyAlignment="true" applyProtection="false">
      <alignment horizontal="left" vertical="top" textRotation="0" wrapText="true" indent="0" shrinkToFit="false"/>
      <protection locked="true" hidden="false"/>
    </xf>
    <xf numFmtId="164" fontId="17" fillId="0" borderId="42" xfId="0" applyFont="true" applyBorder="true" applyAlignment="true" applyProtection="false">
      <alignment horizontal="left" vertical="top" textRotation="0" wrapText="true" indent="0" shrinkToFit="false"/>
      <protection locked="true" hidden="false"/>
    </xf>
    <xf numFmtId="164" fontId="22" fillId="5" borderId="42" xfId="0" applyFont="true" applyBorder="true" applyAlignment="true" applyProtection="true">
      <alignment horizontal="justify" vertical="center" textRotation="0" wrapText="true" indent="0" shrinkToFit="false"/>
      <protection locked="false" hidden="false"/>
    </xf>
    <xf numFmtId="164" fontId="25" fillId="5" borderId="38" xfId="0" applyFont="true" applyBorder="true" applyAlignment="true" applyProtection="true">
      <alignment horizontal="center" vertical="center" textRotation="0" wrapText="false" indent="0" shrinkToFit="false"/>
      <protection locked="false" hidden="false"/>
    </xf>
    <xf numFmtId="164" fontId="22" fillId="5" borderId="15" xfId="0" applyFont="true" applyBorder="true" applyAlignment="true" applyProtection="true">
      <alignment horizontal="justify" vertical="center" textRotation="0" wrapText="true" indent="0" shrinkToFit="false"/>
      <protection locked="false" hidden="false"/>
    </xf>
    <xf numFmtId="168" fontId="22" fillId="5" borderId="44" xfId="0" applyFont="true" applyBorder="true" applyAlignment="true" applyProtection="true">
      <alignment horizontal="center" vertical="center" textRotation="0" wrapText="true" indent="0" shrinkToFit="false"/>
      <protection locked="true" hidden="true"/>
    </xf>
    <xf numFmtId="164" fontId="25" fillId="5" borderId="15" xfId="0" applyFont="true" applyBorder="true" applyAlignment="true" applyProtection="true">
      <alignment horizontal="center" vertical="center" textRotation="0" wrapText="false" indent="0" shrinkToFit="false"/>
      <protection locked="false" hidden="false"/>
    </xf>
    <xf numFmtId="164" fontId="22" fillId="5" borderId="15" xfId="0" applyFont="true" applyBorder="true" applyAlignment="true" applyProtection="true">
      <alignment horizontal="center" vertical="center" textRotation="0" wrapText="false" indent="0" shrinkToFit="false"/>
      <protection locked="false" hidden="false"/>
    </xf>
    <xf numFmtId="164" fontId="25" fillId="5" borderId="45" xfId="0" applyFont="true" applyBorder="true" applyAlignment="true" applyProtection="true">
      <alignment horizontal="center" vertical="center" textRotation="0" wrapText="false" indent="0" shrinkToFit="false"/>
      <protection locked="false" hidden="false"/>
    </xf>
    <xf numFmtId="164" fontId="22" fillId="5" borderId="45" xfId="0" applyFont="true" applyBorder="true" applyAlignment="true" applyProtection="true">
      <alignment horizontal="center" vertical="center" textRotation="0" wrapText="false" indent="0" shrinkToFit="false"/>
      <protection locked="false" hidden="false"/>
    </xf>
    <xf numFmtId="164" fontId="22" fillId="0" borderId="41" xfId="0" applyFont="true" applyBorder="true" applyAlignment="true" applyProtection="false">
      <alignment horizontal="general" vertical="top" textRotation="0" wrapText="true" indent="0" shrinkToFit="false"/>
      <protection locked="true" hidden="false"/>
    </xf>
    <xf numFmtId="164" fontId="22" fillId="5" borderId="39" xfId="0" applyFont="true" applyBorder="true" applyAlignment="true" applyProtection="true">
      <alignment horizontal="justify" vertical="center" textRotation="0" wrapText="false" indent="0" shrinkToFit="false"/>
      <protection locked="false" hidden="false"/>
    </xf>
    <xf numFmtId="164" fontId="17" fillId="3" borderId="31" xfId="0" applyFont="true" applyBorder="true" applyAlignment="true" applyProtection="true">
      <alignment horizontal="left" vertical="center" textRotation="0" wrapText="true" indent="0" shrinkToFit="false"/>
      <protection locked="true" hidden="false"/>
    </xf>
    <xf numFmtId="164" fontId="24" fillId="3" borderId="48" xfId="0" applyFont="true" applyBorder="true" applyAlignment="true" applyProtection="true">
      <alignment horizontal="center" vertical="center" textRotation="0" wrapText="true" indent="0" shrinkToFit="false"/>
      <protection locked="false" hidden="false"/>
    </xf>
    <xf numFmtId="164" fontId="22" fillId="0" borderId="41" xfId="0" applyFont="true" applyBorder="true" applyAlignment="true" applyProtection="true">
      <alignment horizontal="left" vertical="top" textRotation="0" wrapText="true" indent="0" shrinkToFit="false"/>
      <protection locked="false" hidden="false"/>
    </xf>
    <xf numFmtId="164" fontId="22" fillId="5" borderId="39" xfId="0" applyFont="true" applyBorder="true" applyAlignment="true" applyProtection="true">
      <alignment horizontal="left" vertical="center" textRotation="0" wrapText="true" indent="0" shrinkToFit="false"/>
      <protection locked="false" hidden="false"/>
    </xf>
    <xf numFmtId="164" fontId="22" fillId="5" borderId="39" xfId="0" applyFont="true" applyBorder="true" applyAlignment="true" applyProtection="true">
      <alignment horizontal="left" vertical="center" textRotation="0" wrapText="false" indent="0" shrinkToFit="false"/>
      <protection locked="false" hidden="false"/>
    </xf>
    <xf numFmtId="164" fontId="22" fillId="5" borderId="15" xfId="0" applyFont="true" applyBorder="true" applyAlignment="true" applyProtection="true">
      <alignment horizontal="left" vertical="center" textRotation="0" wrapText="true" indent="0" shrinkToFit="false"/>
      <protection locked="false" hidden="false"/>
    </xf>
    <xf numFmtId="164" fontId="17" fillId="0" borderId="42" xfId="0" applyFont="true" applyBorder="true" applyAlignment="true" applyProtection="true">
      <alignment horizontal="left" vertical="top" textRotation="0" wrapText="true" indent="0" shrinkToFit="false"/>
      <protection locked="false" hidden="false"/>
    </xf>
    <xf numFmtId="164" fontId="22" fillId="5" borderId="43" xfId="0" applyFont="true" applyBorder="true" applyAlignment="true" applyProtection="true">
      <alignment horizontal="center" vertical="center" textRotation="0" wrapText="false" indent="0" shrinkToFit="false"/>
      <protection locked="false" hidden="false"/>
    </xf>
    <xf numFmtId="164" fontId="35" fillId="5" borderId="15" xfId="0" applyFont="true" applyBorder="true" applyAlignment="true" applyProtection="true">
      <alignment horizontal="left" vertical="center" textRotation="0" wrapText="true" indent="0" shrinkToFit="false"/>
      <protection locked="false" hidden="false"/>
    </xf>
    <xf numFmtId="164" fontId="17" fillId="3" borderId="49" xfId="0" applyFont="true" applyBorder="true" applyAlignment="true" applyProtection="true">
      <alignment horizontal="left" vertical="center" textRotation="0" wrapText="true" indent="0" shrinkToFit="false"/>
      <protection locked="true" hidden="false"/>
    </xf>
    <xf numFmtId="164" fontId="30" fillId="3" borderId="49" xfId="0" applyFont="true" applyBorder="true" applyAlignment="true" applyProtection="false">
      <alignment horizontal="left" vertical="center" textRotation="0" wrapText="true" indent="0" shrinkToFit="false"/>
      <protection locked="true" hidden="false"/>
    </xf>
    <xf numFmtId="164" fontId="24" fillId="3" borderId="50" xfId="0" applyFont="true" applyBorder="true" applyAlignment="true" applyProtection="true">
      <alignment horizontal="center" vertical="center" textRotation="90" wrapText="true" indent="0" shrinkToFit="false"/>
      <protection locked="true" hidden="true"/>
    </xf>
    <xf numFmtId="164" fontId="12" fillId="11" borderId="42" xfId="0" applyFont="true" applyBorder="true" applyAlignment="true" applyProtection="true">
      <alignment horizontal="justify" vertical="center" textRotation="0" wrapText="true" indent="0" shrinkToFit="false"/>
      <protection locked="false" hidden="false"/>
    </xf>
    <xf numFmtId="164" fontId="22" fillId="11" borderId="42" xfId="0" applyFont="true" applyBorder="true" applyAlignment="true" applyProtection="true">
      <alignment horizontal="center" vertical="center" textRotation="0" wrapText="false" indent="0" shrinkToFit="false"/>
      <protection locked="false" hidden="false"/>
    </xf>
    <xf numFmtId="164" fontId="22" fillId="11" borderId="39" xfId="0" applyFont="true" applyBorder="true" applyAlignment="true" applyProtection="true">
      <alignment horizontal="left" vertical="top" textRotation="0" wrapText="true" indent="0" shrinkToFit="false"/>
      <protection locked="false" hidden="false"/>
    </xf>
    <xf numFmtId="168" fontId="22" fillId="11" borderId="18" xfId="0" applyFont="true" applyBorder="true" applyAlignment="true" applyProtection="true">
      <alignment horizontal="center" vertical="center" textRotation="0" wrapText="true" indent="0" shrinkToFit="false"/>
      <protection locked="true" hidden="true"/>
    </xf>
    <xf numFmtId="164" fontId="22" fillId="11" borderId="39" xfId="0" applyFont="true" applyBorder="true" applyAlignment="true" applyProtection="true">
      <alignment horizontal="justify" vertical="center" textRotation="0" wrapText="false" indent="0" shrinkToFit="false"/>
      <protection locked="false" hidden="false"/>
    </xf>
    <xf numFmtId="164" fontId="17" fillId="11" borderId="42" xfId="0" applyFont="true" applyBorder="true" applyAlignment="true" applyProtection="true">
      <alignment horizontal="justify" vertical="top" textRotation="0" wrapText="true" indent="0" shrinkToFit="false"/>
      <protection locked="false" hidden="false"/>
    </xf>
    <xf numFmtId="164" fontId="22" fillId="11" borderId="39" xfId="0" applyFont="true" applyBorder="true" applyAlignment="true" applyProtection="true">
      <alignment horizontal="left" vertical="center" textRotation="0" wrapText="true" indent="0" shrinkToFit="false"/>
      <protection locked="false" hidden="false"/>
    </xf>
    <xf numFmtId="164" fontId="22" fillId="11" borderId="42" xfId="0" applyFont="true" applyBorder="true" applyAlignment="true" applyProtection="true">
      <alignment horizontal="left" vertical="center" textRotation="0" wrapText="true" indent="0" shrinkToFit="false"/>
      <protection locked="false" hidden="false"/>
    </xf>
    <xf numFmtId="164" fontId="27" fillId="11" borderId="42" xfId="0" applyFont="true" applyBorder="true" applyAlignment="true" applyProtection="true">
      <alignment horizontal="left" vertical="center" textRotation="0" wrapText="true" indent="0" shrinkToFit="false"/>
      <protection locked="false" hidden="false"/>
    </xf>
    <xf numFmtId="169" fontId="26" fillId="5" borderId="0" xfId="0" applyFont="true" applyBorder="true" applyAlignment="true" applyProtection="true">
      <alignment horizontal="center" vertical="center" textRotation="0" wrapText="true" indent="0" shrinkToFit="false"/>
      <protection locked="true" hidden="true"/>
    </xf>
    <xf numFmtId="169" fontId="27" fillId="5" borderId="0" xfId="0" applyFont="true" applyBorder="true" applyAlignment="true" applyProtection="false">
      <alignment horizontal="center" vertical="center" textRotation="0" wrapText="true" indent="0" shrinkToFit="false"/>
      <protection locked="true" hidden="false"/>
    </xf>
    <xf numFmtId="164" fontId="22" fillId="11" borderId="42" xfId="0" applyFont="true" applyBorder="true" applyAlignment="true" applyProtection="true">
      <alignment horizontal="left" vertical="top" textRotation="0" wrapText="true" indent="0" shrinkToFit="false"/>
      <protection locked="false" hidden="false"/>
    </xf>
    <xf numFmtId="168" fontId="22" fillId="11" borderId="46" xfId="0" applyFont="true" applyBorder="true" applyAlignment="true" applyProtection="true">
      <alignment horizontal="center" vertical="center" textRotation="0" wrapText="true" indent="0" shrinkToFit="false"/>
      <protection locked="true" hidden="true"/>
    </xf>
    <xf numFmtId="164" fontId="22" fillId="11" borderId="15" xfId="0" applyFont="true" applyBorder="true" applyAlignment="true" applyProtection="true">
      <alignment horizontal="left" vertical="center" textRotation="0" wrapText="false" indent="0" shrinkToFit="false"/>
      <protection locked="false" hidden="false"/>
    </xf>
    <xf numFmtId="164" fontId="22" fillId="11" borderId="41" xfId="0" applyFont="true" applyBorder="true" applyAlignment="true" applyProtection="true">
      <alignment horizontal="left" vertical="top" textRotation="0" wrapText="true" indent="0" shrinkToFit="false"/>
      <protection locked="false" hidden="false"/>
    </xf>
    <xf numFmtId="164" fontId="22" fillId="11" borderId="39" xfId="0" applyFont="true" applyBorder="true" applyAlignment="true" applyProtection="true">
      <alignment horizontal="left" vertical="center" textRotation="0" wrapText="false" indent="0" shrinkToFit="false"/>
      <protection locked="false" hidden="false"/>
    </xf>
    <xf numFmtId="168" fontId="22" fillId="11" borderId="51" xfId="0" applyFont="true" applyBorder="true" applyAlignment="true" applyProtection="true">
      <alignment horizontal="center" vertical="center" textRotation="0" wrapText="true" indent="0" shrinkToFit="false"/>
      <protection locked="true" hidden="true"/>
    </xf>
    <xf numFmtId="164" fontId="22" fillId="5" borderId="41" xfId="0" applyFont="true" applyBorder="true" applyAlignment="true" applyProtection="true">
      <alignment horizontal="left" vertical="top" textRotation="0" wrapText="true" indent="0" shrinkToFit="false"/>
      <protection locked="false" hidden="false"/>
    </xf>
    <xf numFmtId="164" fontId="22" fillId="5" borderId="42" xfId="0" applyFont="true" applyBorder="true" applyAlignment="true" applyProtection="true">
      <alignment horizontal="center" vertical="center" textRotation="0" wrapText="false" indent="0" shrinkToFit="false"/>
      <protection locked="false" hidden="false"/>
    </xf>
    <xf numFmtId="164" fontId="27" fillId="13" borderId="15" xfId="0" applyFont="true" applyBorder="true" applyAlignment="true" applyProtection="true">
      <alignment horizontal="left" vertical="center" textRotation="0" wrapText="true" indent="0" shrinkToFit="false"/>
      <protection locked="false" hidden="false"/>
    </xf>
    <xf numFmtId="168" fontId="22" fillId="5" borderId="18" xfId="0" applyFont="true" applyBorder="true" applyAlignment="true" applyProtection="true">
      <alignment horizontal="center" vertical="center" textRotation="0" wrapText="true" indent="0" shrinkToFit="false"/>
      <protection locked="true" hidden="true"/>
    </xf>
    <xf numFmtId="164" fontId="22" fillId="13" borderId="15" xfId="0" applyFont="true" applyBorder="true" applyAlignment="true" applyProtection="true">
      <alignment horizontal="left" vertical="center" textRotation="0" wrapText="true" indent="0" shrinkToFit="false"/>
      <protection locked="false" hidden="false"/>
    </xf>
    <xf numFmtId="164" fontId="22" fillId="13" borderId="39" xfId="0" applyFont="true" applyBorder="true" applyAlignment="true" applyProtection="true">
      <alignment horizontal="left" vertical="center" textRotation="0" wrapText="true" indent="0" shrinkToFit="false"/>
      <protection locked="false" hidden="false"/>
    </xf>
    <xf numFmtId="164" fontId="22" fillId="13" borderId="39" xfId="0" applyFont="true" applyBorder="true" applyAlignment="true" applyProtection="true">
      <alignment horizontal="justify" vertical="center" textRotation="0" wrapText="true" indent="0" shrinkToFit="false"/>
      <protection locked="false" hidden="false"/>
    </xf>
    <xf numFmtId="164" fontId="22" fillId="13" borderId="15" xfId="0" applyFont="true" applyBorder="true" applyAlignment="true" applyProtection="true">
      <alignment horizontal="justify" vertical="center" textRotation="0" wrapText="true" indent="0" shrinkToFit="false"/>
      <protection locked="false" hidden="false"/>
    </xf>
    <xf numFmtId="164" fontId="22" fillId="13" borderId="45" xfId="0" applyFont="true" applyBorder="true" applyAlignment="true" applyProtection="true">
      <alignment horizontal="center" vertical="center" textRotation="0" wrapText="false" indent="0" shrinkToFit="false"/>
      <protection locked="false" hidden="false"/>
    </xf>
    <xf numFmtId="164" fontId="22" fillId="13" borderId="15" xfId="0" applyFont="true" applyBorder="true" applyAlignment="true" applyProtection="true">
      <alignment horizontal="center" vertical="center" textRotation="0" wrapText="false" indent="0" shrinkToFit="false"/>
      <protection locked="false" hidden="false"/>
    </xf>
    <xf numFmtId="164" fontId="27" fillId="0" borderId="41" xfId="0" applyFont="true" applyBorder="true" applyAlignment="true" applyProtection="true">
      <alignment horizontal="left" vertical="top" textRotation="0" wrapText="true" indent="0" shrinkToFit="false"/>
      <protection locked="false" hidden="false"/>
    </xf>
    <xf numFmtId="164" fontId="22" fillId="5" borderId="0" xfId="0" applyFont="true" applyBorder="true" applyAlignment="false" applyProtection="true">
      <alignment horizontal="general"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5" fontId="26" fillId="0" borderId="0" xfId="0" applyFont="true" applyBorder="true" applyAlignment="false" applyProtection="false">
      <alignment horizontal="general" vertical="bottom" textRotation="0" wrapText="false" indent="0" shrinkToFit="false"/>
      <protection locked="true" hidden="false"/>
    </xf>
    <xf numFmtId="165" fontId="27" fillId="0" borderId="0" xfId="0" applyFont="true" applyBorder="true" applyAlignment="false" applyProtection="false">
      <alignment horizontal="general" vertical="bottom" textRotation="0" wrapText="false" indent="0" shrinkToFit="false"/>
      <protection locked="true" hidden="false"/>
    </xf>
    <xf numFmtId="164" fontId="27" fillId="5" borderId="0" xfId="0" applyFont="true" applyBorder="false" applyAlignment="false" applyProtection="false">
      <alignment horizontal="general" vertical="bottom" textRotation="0" wrapText="false" indent="0" shrinkToFit="false"/>
      <protection locked="true" hidden="false"/>
    </xf>
    <xf numFmtId="164" fontId="37" fillId="5" borderId="0" xfId="20" applyFont="true" applyBorder="true" applyAlignment="true" applyProtection="true">
      <alignment horizontal="center" vertical="center" textRotation="0" wrapText="false" indent="0" shrinkToFit="false"/>
      <protection locked="true" hidden="false"/>
    </xf>
    <xf numFmtId="164" fontId="24" fillId="14" borderId="0" xfId="0" applyFont="true" applyBorder="true" applyAlignment="true" applyProtection="false">
      <alignment horizontal="center" vertical="center" textRotation="0" wrapText="false" indent="0" shrinkToFit="false"/>
      <protection locked="true" hidden="false"/>
    </xf>
    <xf numFmtId="164" fontId="30" fillId="14" borderId="31" xfId="0" applyFont="true" applyBorder="true" applyAlignment="true" applyProtection="false">
      <alignment horizontal="left" vertical="top" textRotation="0" wrapText="true" indent="0" shrinkToFit="false"/>
      <protection locked="true" hidden="false"/>
    </xf>
    <xf numFmtId="164" fontId="24" fillId="14" borderId="46" xfId="0" applyFont="true" applyBorder="true" applyAlignment="true" applyProtection="false">
      <alignment horizontal="center" vertical="center" textRotation="0" wrapText="true" indent="0" shrinkToFit="false"/>
      <protection locked="true" hidden="false"/>
    </xf>
    <xf numFmtId="164" fontId="24" fillId="14" borderId="31" xfId="0" applyFont="true" applyBorder="true" applyAlignment="true" applyProtection="false">
      <alignment horizontal="center" vertical="center" textRotation="90" wrapText="true" indent="0" shrinkToFit="false"/>
      <protection locked="true" hidden="false"/>
    </xf>
    <xf numFmtId="164" fontId="24" fillId="14" borderId="52"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center" textRotation="90" wrapText="true" indent="0" shrinkToFit="false"/>
      <protection locked="true" hidden="false"/>
    </xf>
    <xf numFmtId="165" fontId="24" fillId="0" borderId="0" xfId="0" applyFont="true" applyBorder="true" applyAlignment="true" applyProtection="false">
      <alignment horizontal="center" vertical="center" textRotation="90" wrapText="true" indent="0" shrinkToFit="false"/>
      <protection locked="true" hidden="false"/>
    </xf>
    <xf numFmtId="165" fontId="32" fillId="0" borderId="0" xfId="0" applyFont="true" applyBorder="true" applyAlignment="true" applyProtection="false">
      <alignment horizontal="center" vertical="center" textRotation="90" wrapText="true" indent="0" shrinkToFit="false"/>
      <protection locked="true" hidden="false"/>
    </xf>
    <xf numFmtId="164" fontId="32" fillId="0" borderId="0" xfId="0" applyFont="true" applyBorder="true" applyAlignment="true" applyProtection="false">
      <alignment horizontal="center" vertical="center" textRotation="90" wrapText="true" indent="0" shrinkToFit="false"/>
      <protection locked="true" hidden="false"/>
    </xf>
    <xf numFmtId="164" fontId="24" fillId="14" borderId="31" xfId="0" applyFont="true" applyBorder="true" applyAlignment="true" applyProtection="false">
      <alignment horizontal="center" vertical="center" textRotation="0" wrapText="false" indent="0" shrinkToFit="false"/>
      <protection locked="true" hidden="false"/>
    </xf>
    <xf numFmtId="164" fontId="17" fillId="15" borderId="41" xfId="0" applyFont="true" applyBorder="true" applyAlignment="true" applyProtection="false">
      <alignment horizontal="left" vertical="top" textRotation="0" wrapText="true" indent="0" shrinkToFit="false"/>
      <protection locked="true" hidden="false"/>
    </xf>
    <xf numFmtId="164" fontId="22" fillId="0" borderId="42" xfId="0" applyFont="true" applyBorder="true" applyAlignment="true" applyProtection="true">
      <alignment horizontal="left" vertical="top" textRotation="0" wrapText="true" indent="0" shrinkToFit="false"/>
      <protection locked="false" hidden="false"/>
    </xf>
    <xf numFmtId="164" fontId="22" fillId="5" borderId="38" xfId="0" applyFont="true" applyBorder="true" applyAlignment="true" applyProtection="true">
      <alignment horizontal="left" vertical="center" textRotation="0" wrapText="fals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true" hidden="true"/>
    </xf>
    <xf numFmtId="165" fontId="26" fillId="0" borderId="0" xfId="0" applyFont="true" applyBorder="true" applyAlignment="true" applyProtection="true">
      <alignment horizontal="center" vertical="center" textRotation="0" wrapText="true" indent="0" shrinkToFit="false"/>
      <protection locked="true" hidden="true"/>
    </xf>
    <xf numFmtId="164" fontId="27" fillId="0" borderId="0" xfId="0" applyFont="true" applyBorder="true" applyAlignment="true" applyProtection="false">
      <alignment horizontal="center" vertical="center" textRotation="0" wrapText="true" indent="0" shrinkToFit="false"/>
      <protection locked="true" hidden="false"/>
    </xf>
    <xf numFmtId="168" fontId="22" fillId="15" borderId="53" xfId="0" applyFont="true" applyBorder="true" applyAlignment="true" applyProtection="false">
      <alignment horizontal="left" vertical="top" textRotation="0" wrapText="true" indent="0" shrinkToFit="false"/>
      <protection locked="true" hidden="false"/>
    </xf>
    <xf numFmtId="164" fontId="22" fillId="15" borderId="41" xfId="0" applyFont="true" applyBorder="true" applyAlignment="true" applyProtection="false">
      <alignment horizontal="left" vertical="top" textRotation="0" wrapText="true" indent="0" shrinkToFit="false"/>
      <protection locked="true" hidden="false"/>
    </xf>
    <xf numFmtId="165" fontId="27" fillId="0" borderId="0" xfId="0" applyFont="true" applyBorder="true" applyAlignment="true" applyProtection="false">
      <alignment horizontal="center" vertical="center" textRotation="0" wrapText="true" indent="0" shrinkToFit="false"/>
      <protection locked="true" hidden="false"/>
    </xf>
    <xf numFmtId="164" fontId="22" fillId="5" borderId="41" xfId="0" applyFont="true" applyBorder="true" applyAlignment="true" applyProtection="false">
      <alignment horizontal="left" vertical="top" textRotation="0" wrapText="true" indent="0" shrinkToFit="false"/>
      <protection locked="true" hidden="false"/>
    </xf>
    <xf numFmtId="164" fontId="17" fillId="5" borderId="42" xfId="0" applyFont="true" applyBorder="true" applyAlignment="true" applyProtection="false">
      <alignment horizontal="left" vertical="top" textRotation="0" wrapText="true" indent="0" shrinkToFit="false"/>
      <protection locked="true" hidden="false"/>
    </xf>
    <xf numFmtId="164" fontId="22" fillId="5" borderId="42" xfId="0" applyFont="true" applyBorder="true" applyAlignment="true" applyProtection="true">
      <alignment horizontal="left" vertical="top" textRotation="0" wrapText="true" indent="0" shrinkToFit="false"/>
      <protection locked="false" hidden="false"/>
    </xf>
    <xf numFmtId="164" fontId="24" fillId="14" borderId="46" xfId="0" applyFont="true" applyBorder="true" applyAlignment="true" applyProtection="true">
      <alignment horizontal="center" vertical="center" textRotation="0" wrapText="true" indent="0" shrinkToFit="false"/>
      <protection locked="false" hidden="false"/>
    </xf>
    <xf numFmtId="164" fontId="24" fillId="14" borderId="31" xfId="0" applyFont="true" applyBorder="true" applyAlignment="true" applyProtection="true">
      <alignment horizontal="center" vertical="center" textRotation="90" wrapText="true" indent="0" shrinkToFit="false"/>
      <protection locked="false" hidden="false"/>
    </xf>
    <xf numFmtId="164" fontId="24" fillId="14" borderId="52" xfId="0" applyFont="true" applyBorder="true" applyAlignment="true" applyProtection="true">
      <alignment horizontal="center" vertical="center" textRotation="0" wrapText="false" indent="0" shrinkToFit="false"/>
      <protection locked="false" hidden="false"/>
    </xf>
    <xf numFmtId="164" fontId="24" fillId="14" borderId="31" xfId="0" applyFont="true" applyBorder="true" applyAlignment="true" applyProtection="true">
      <alignment horizontal="center" vertical="center" textRotation="90" wrapText="true" indent="0" shrinkToFit="false"/>
      <protection locked="true" hidden="true"/>
    </xf>
    <xf numFmtId="164" fontId="24" fillId="0" borderId="0" xfId="0" applyFont="true" applyBorder="true" applyAlignment="true" applyProtection="true">
      <alignment horizontal="center" vertical="center" textRotation="90" wrapText="true" indent="0" shrinkToFit="false"/>
      <protection locked="true" hidden="true"/>
    </xf>
    <xf numFmtId="165" fontId="24" fillId="0" borderId="0" xfId="0" applyFont="true" applyBorder="true" applyAlignment="true" applyProtection="true">
      <alignment horizontal="center" vertical="center" textRotation="90" wrapText="true" indent="0" shrinkToFit="false"/>
      <protection locked="true" hidden="true"/>
    </xf>
    <xf numFmtId="164" fontId="24" fillId="14" borderId="31" xfId="0" applyFont="true" applyBorder="true" applyAlignment="true" applyProtection="true">
      <alignment horizontal="center" vertical="center" textRotation="0" wrapText="false" indent="0" shrinkToFit="false"/>
      <protection locked="false" hidden="false"/>
    </xf>
    <xf numFmtId="164" fontId="22" fillId="16" borderId="38" xfId="0" applyFont="true" applyBorder="true" applyAlignment="true" applyProtection="true">
      <alignment horizontal="left" vertical="center" textRotation="0" wrapText="true" indent="0" shrinkToFit="false"/>
      <protection locked="false" hidden="false"/>
    </xf>
    <xf numFmtId="164" fontId="22" fillId="16" borderId="42" xfId="0" applyFont="true" applyBorder="true" applyAlignment="true" applyProtection="true">
      <alignment horizontal="left" vertical="top" textRotation="0" wrapText="true" indent="0" shrinkToFit="false"/>
      <protection locked="false" hidden="false"/>
    </xf>
    <xf numFmtId="164" fontId="25" fillId="16" borderId="15" xfId="0" applyFont="true" applyBorder="true" applyAlignment="true" applyProtection="true">
      <alignment horizontal="center" vertical="center" textRotation="0" wrapText="false" indent="0" shrinkToFit="false"/>
      <protection locked="false" hidden="false"/>
    </xf>
    <xf numFmtId="164" fontId="25" fillId="16" borderId="45" xfId="0" applyFont="true" applyBorder="true" applyAlignment="true" applyProtection="true">
      <alignment horizontal="center" vertical="center" textRotation="0" wrapText="false" indent="0" shrinkToFit="false"/>
      <protection locked="false" hidden="false"/>
    </xf>
    <xf numFmtId="164" fontId="22" fillId="16" borderId="38" xfId="0" applyFont="true" applyBorder="true" applyAlignment="true" applyProtection="true">
      <alignment horizontal="left" vertical="top" textRotation="0" wrapText="true" indent="0" shrinkToFit="false"/>
      <protection locked="false" hidden="false"/>
    </xf>
    <xf numFmtId="164" fontId="0" fillId="16" borderId="0" xfId="0" applyFont="false" applyBorder="false" applyAlignment="false" applyProtection="true">
      <alignment horizontal="general" vertical="bottom" textRotation="0" wrapText="false" indent="0" shrinkToFit="false"/>
      <protection locked="false" hidden="false"/>
    </xf>
    <xf numFmtId="164" fontId="24" fillId="14" borderId="31" xfId="0" applyFont="true" applyBorder="true" applyAlignment="true" applyProtection="false">
      <alignment horizontal="left" vertical="center" textRotation="0" wrapText="true" indent="0" shrinkToFit="false"/>
      <protection locked="true" hidden="false"/>
    </xf>
    <xf numFmtId="164" fontId="30" fillId="14" borderId="31" xfId="0" applyFont="true" applyBorder="true" applyAlignment="true" applyProtection="false">
      <alignment horizontal="left" vertical="center" textRotation="0" wrapText="true" indent="0" shrinkToFit="false"/>
      <protection locked="true" hidden="false"/>
    </xf>
    <xf numFmtId="164" fontId="22" fillId="17" borderId="42" xfId="0" applyFont="true" applyBorder="true" applyAlignment="true" applyProtection="true">
      <alignment horizontal="center" vertical="center" textRotation="0" wrapText="false" indent="0" shrinkToFit="false"/>
      <protection locked="false" hidden="false"/>
    </xf>
    <xf numFmtId="164" fontId="26" fillId="14" borderId="31" xfId="0" applyFont="true" applyBorder="true" applyAlignment="true" applyProtection="false">
      <alignment horizontal="left" vertical="top" textRotation="0" wrapText="true" indent="0" shrinkToFit="false"/>
      <protection locked="true" hidden="false"/>
    </xf>
    <xf numFmtId="164" fontId="0" fillId="16" borderId="0" xfId="0" applyFont="false" applyBorder="false" applyAlignment="true" applyProtection="true">
      <alignment horizontal="general" vertical="bottom" textRotation="0" wrapText="true" indent="0" shrinkToFit="false"/>
      <protection locked="false" hidden="false"/>
    </xf>
    <xf numFmtId="164" fontId="17" fillId="5" borderId="41" xfId="0" applyFont="true" applyBorder="true" applyAlignment="true" applyProtection="false">
      <alignment horizontal="left" vertical="top" textRotation="0" wrapText="true" indent="0" shrinkToFit="false"/>
      <protection locked="true" hidden="false"/>
    </xf>
    <xf numFmtId="164" fontId="22" fillId="16" borderId="41" xfId="0" applyFont="true" applyBorder="true" applyAlignment="true" applyProtection="true">
      <alignment horizontal="left" vertical="top" textRotation="0" wrapText="true" indent="0" shrinkToFit="false"/>
      <protection locked="false" hidden="false"/>
    </xf>
    <xf numFmtId="164" fontId="27" fillId="5" borderId="41" xfId="0" applyFont="true" applyBorder="true" applyAlignment="true" applyProtection="false">
      <alignment horizontal="left" vertical="top" textRotation="0" wrapText="true" indent="0" shrinkToFit="false"/>
      <protection locked="true" hidden="false"/>
    </xf>
    <xf numFmtId="164" fontId="26" fillId="5" borderId="0" xfId="0" applyFont="true" applyBorder="false" applyAlignment="false" applyProtection="false">
      <alignment horizontal="general" vertical="bottom" textRotation="0" wrapText="false" indent="0" shrinkToFit="false"/>
      <protection locked="true" hidden="false"/>
    </xf>
    <xf numFmtId="164" fontId="24" fillId="18" borderId="0" xfId="0" applyFont="true" applyBorder="true" applyAlignment="true" applyProtection="false">
      <alignment horizontal="center" vertical="center" textRotation="0" wrapText="false" indent="0" shrinkToFit="false"/>
      <protection locked="true" hidden="false"/>
    </xf>
    <xf numFmtId="164" fontId="24" fillId="18" borderId="54" xfId="0" applyFont="true" applyBorder="true" applyAlignment="true" applyProtection="false">
      <alignment horizontal="center" vertical="center" textRotation="0" wrapText="true" indent="0" shrinkToFit="false"/>
      <protection locked="true" hidden="false"/>
    </xf>
    <xf numFmtId="164" fontId="30" fillId="18" borderId="55" xfId="0" applyFont="true" applyBorder="true" applyAlignment="true" applyProtection="false">
      <alignment horizontal="left" vertical="top" textRotation="0" wrapText="true" indent="0" shrinkToFit="false"/>
      <protection locked="true" hidden="false"/>
    </xf>
    <xf numFmtId="164" fontId="24" fillId="18" borderId="48" xfId="0" applyFont="true" applyBorder="true" applyAlignment="true" applyProtection="false">
      <alignment horizontal="center" vertical="center" textRotation="0" wrapText="true" indent="0" shrinkToFit="false"/>
      <protection locked="true" hidden="false"/>
    </xf>
    <xf numFmtId="164" fontId="24" fillId="18" borderId="48" xfId="0" applyFont="true" applyBorder="true" applyAlignment="true" applyProtection="false">
      <alignment horizontal="center" vertical="center" textRotation="90" wrapText="true" indent="0" shrinkToFit="false"/>
      <protection locked="true" hidden="false"/>
    </xf>
    <xf numFmtId="164" fontId="24" fillId="18" borderId="47" xfId="0" applyFont="true" applyBorder="true" applyAlignment="true" applyProtection="false">
      <alignment horizontal="center" vertical="center" textRotation="0" wrapText="false" indent="0" shrinkToFit="false"/>
      <protection locked="true" hidden="false"/>
    </xf>
    <xf numFmtId="164" fontId="24" fillId="18" borderId="56" xfId="0" applyFont="true" applyBorder="true" applyAlignment="true" applyProtection="false">
      <alignment horizontal="center" vertical="center" textRotation="90" wrapText="true" indent="0" shrinkToFit="false"/>
      <protection locked="true" hidden="false"/>
    </xf>
    <xf numFmtId="164" fontId="24" fillId="18" borderId="46" xfId="0" applyFont="true" applyBorder="true" applyAlignment="true" applyProtection="false">
      <alignment horizontal="center" vertical="center" textRotation="0" wrapText="false" indent="0" shrinkToFit="false"/>
      <protection locked="true" hidden="false"/>
    </xf>
    <xf numFmtId="164" fontId="24" fillId="18" borderId="46" xfId="0" applyFont="true" applyBorder="true" applyAlignment="true" applyProtection="false">
      <alignment horizontal="center" vertical="center" textRotation="0" wrapText="true" indent="0" shrinkToFit="false"/>
      <protection locked="true" hidden="false"/>
    </xf>
    <xf numFmtId="164" fontId="17" fillId="0" borderId="33" xfId="0" applyFont="true" applyBorder="true" applyAlignment="true" applyProtection="false">
      <alignment horizontal="left" vertical="top" textRotation="0" wrapText="true" indent="0" shrinkToFit="false"/>
      <protection locked="true" hidden="false"/>
    </xf>
    <xf numFmtId="164" fontId="17" fillId="0" borderId="34" xfId="0" applyFont="true" applyBorder="true" applyAlignment="true" applyProtection="false">
      <alignment horizontal="left" vertical="top" textRotation="0" wrapText="true" indent="0" shrinkToFit="false"/>
      <protection locked="true" hidden="false"/>
    </xf>
    <xf numFmtId="164" fontId="22" fillId="0" borderId="33" xfId="0" applyFont="true" applyBorder="true" applyAlignment="true" applyProtection="true">
      <alignment horizontal="left" vertical="top" textRotation="0" wrapText="true" indent="0" shrinkToFit="false"/>
      <protection locked="false" hidden="false"/>
    </xf>
    <xf numFmtId="164" fontId="22" fillId="5" borderId="34" xfId="0" applyFont="true" applyBorder="true" applyAlignment="true" applyProtection="true">
      <alignment horizontal="center" vertical="center" textRotation="0" wrapText="false" indent="0" shrinkToFit="false"/>
      <protection locked="false" hidden="false"/>
    </xf>
    <xf numFmtId="164" fontId="25" fillId="5" borderId="37" xfId="0" applyFont="true" applyBorder="true" applyAlignment="true" applyProtection="true">
      <alignment horizontal="center" vertical="center" textRotation="0" wrapText="false" indent="0" shrinkToFit="false"/>
      <protection locked="false" hidden="false"/>
    </xf>
    <xf numFmtId="164" fontId="21" fillId="5" borderId="15" xfId="0" applyFont="true" applyBorder="true" applyAlignment="true" applyProtection="true">
      <alignment horizontal="left" vertical="center" textRotation="0" wrapText="true" indent="0" shrinkToFit="false"/>
      <protection locked="false" hidden="false"/>
    </xf>
    <xf numFmtId="164" fontId="21" fillId="0" borderId="33" xfId="0" applyFont="true" applyBorder="true" applyAlignment="true" applyProtection="true">
      <alignment horizontal="left" vertical="top" textRotation="0" wrapText="true" indent="0" shrinkToFit="false"/>
      <protection locked="false" hidden="false"/>
    </xf>
    <xf numFmtId="164" fontId="22" fillId="5" borderId="57" xfId="0" applyFont="true" applyBorder="true" applyAlignment="true" applyProtection="true">
      <alignment horizontal="center" vertical="center" textRotation="0" wrapText="false" indent="0" shrinkToFit="false"/>
      <protection locked="false" hidden="false"/>
    </xf>
    <xf numFmtId="168" fontId="22" fillId="5" borderId="36" xfId="0" applyFont="true" applyBorder="true" applyAlignment="true" applyProtection="true">
      <alignment horizontal="center" vertical="center" textRotation="0" wrapText="true" indent="0" shrinkToFit="false"/>
      <protection locked="true" hidden="true"/>
    </xf>
    <xf numFmtId="164" fontId="17" fillId="0" borderId="41" xfId="0" applyFont="true" applyBorder="true" applyAlignment="true" applyProtection="false">
      <alignment horizontal="left" vertical="top" textRotation="0" wrapText="true" indent="0" shrinkToFit="false"/>
      <protection locked="true" hidden="false"/>
    </xf>
    <xf numFmtId="164" fontId="21" fillId="5" borderId="58" xfId="0" applyFont="true" applyBorder="true" applyAlignment="true" applyProtection="true">
      <alignment horizontal="general" vertical="top" textRotation="0" wrapText="true" indent="0" shrinkToFit="false"/>
      <protection locked="false" hidden="false"/>
    </xf>
    <xf numFmtId="164" fontId="22" fillId="5" borderId="37" xfId="0" applyFont="true" applyBorder="true" applyAlignment="true" applyProtection="true">
      <alignment horizontal="left" vertical="center" textRotation="0" wrapText="true" indent="0" shrinkToFit="false"/>
      <protection locked="false" hidden="false"/>
    </xf>
    <xf numFmtId="164" fontId="24" fillId="18" borderId="54" xfId="0" applyFont="true" applyBorder="true" applyAlignment="true" applyProtection="false">
      <alignment horizontal="general" vertical="center" textRotation="0" wrapText="true" indent="0" shrinkToFit="false"/>
      <protection locked="true" hidden="false"/>
    </xf>
    <xf numFmtId="164" fontId="24" fillId="18" borderId="48" xfId="0" applyFont="true" applyBorder="true" applyAlignment="true" applyProtection="true">
      <alignment horizontal="center" vertical="center" textRotation="0" wrapText="true" indent="0" shrinkToFit="false"/>
      <protection locked="false" hidden="false"/>
    </xf>
    <xf numFmtId="164" fontId="24" fillId="18" borderId="48" xfId="0" applyFont="true" applyBorder="true" applyAlignment="true" applyProtection="true">
      <alignment horizontal="center" vertical="center" textRotation="90" wrapText="true" indent="0" shrinkToFit="false"/>
      <protection locked="false" hidden="false"/>
    </xf>
    <xf numFmtId="164" fontId="24" fillId="18" borderId="59" xfId="0" applyFont="true" applyBorder="true" applyAlignment="true" applyProtection="true">
      <alignment horizontal="center" vertical="center" textRotation="0" wrapText="false" indent="0" shrinkToFit="false"/>
      <protection locked="false" hidden="false"/>
    </xf>
    <xf numFmtId="164" fontId="24" fillId="18" borderId="56" xfId="0" applyFont="true" applyBorder="true" applyAlignment="true" applyProtection="true">
      <alignment horizontal="center" vertical="center" textRotation="90" wrapText="true" indent="0" shrinkToFit="false"/>
      <protection locked="true" hidden="true"/>
    </xf>
    <xf numFmtId="164" fontId="24" fillId="18" borderId="46" xfId="0" applyFont="true" applyBorder="true" applyAlignment="true" applyProtection="true">
      <alignment horizontal="center" vertical="center" textRotation="0" wrapText="false" indent="0" shrinkToFit="false"/>
      <protection locked="false" hidden="false"/>
    </xf>
    <xf numFmtId="164" fontId="24" fillId="18" borderId="46" xfId="0" applyFont="true" applyBorder="true" applyAlignment="true" applyProtection="true">
      <alignment horizontal="center" vertical="center" textRotation="0" wrapText="true" indent="0" shrinkToFit="false"/>
      <protection locked="false" hidden="false"/>
    </xf>
    <xf numFmtId="164" fontId="21" fillId="16" borderId="41" xfId="0" applyFont="true" applyBorder="true" applyAlignment="true" applyProtection="true">
      <alignment horizontal="left" vertical="top" textRotation="0" wrapText="true" indent="0" shrinkToFit="false"/>
      <protection locked="false" hidden="false"/>
    </xf>
    <xf numFmtId="164" fontId="21" fillId="16" borderId="37" xfId="0" applyFont="true" applyBorder="true" applyAlignment="true" applyProtection="true">
      <alignment horizontal="left" vertical="center" textRotation="0" wrapText="true" indent="0" shrinkToFit="false"/>
      <protection locked="false" hidden="false"/>
    </xf>
    <xf numFmtId="164" fontId="21" fillId="16" borderId="15" xfId="0" applyFont="true" applyBorder="true" applyAlignment="true" applyProtection="true">
      <alignment horizontal="left" vertical="center" textRotation="0" wrapText="true" indent="0" shrinkToFit="false"/>
      <protection locked="false" hidden="false"/>
    </xf>
    <xf numFmtId="164" fontId="25" fillId="16" borderId="15" xfId="0" applyFont="true" applyBorder="true" applyAlignment="true" applyProtection="true">
      <alignment horizontal="center" vertical="center" textRotation="0" wrapText="true" indent="0" shrinkToFit="false"/>
      <protection locked="false" hidden="false"/>
    </xf>
    <xf numFmtId="164" fontId="9" fillId="16" borderId="15" xfId="0" applyFont="true" applyBorder="true" applyAlignment="true" applyProtection="true">
      <alignment horizontal="left" vertical="center" textRotation="0" wrapText="true" indent="0" shrinkToFit="false"/>
      <protection locked="false" hidden="false"/>
    </xf>
    <xf numFmtId="164" fontId="12" fillId="16" borderId="15" xfId="0" applyFont="true" applyBorder="true" applyAlignment="true" applyProtection="true">
      <alignment horizontal="center" vertical="center" textRotation="0" wrapText="false" indent="0" shrinkToFit="false"/>
      <protection locked="false" hidden="false"/>
    </xf>
    <xf numFmtId="164" fontId="12" fillId="16" borderId="45" xfId="0" applyFont="true" applyBorder="true" applyAlignment="true" applyProtection="true">
      <alignment horizontal="center" vertical="center" textRotation="0" wrapText="false" indent="0" shrinkToFit="false"/>
      <protection locked="false" hidden="false"/>
    </xf>
    <xf numFmtId="164" fontId="22" fillId="16" borderId="37" xfId="0" applyFont="true" applyBorder="true" applyAlignment="true" applyProtection="true">
      <alignment horizontal="left" vertical="center" textRotation="0" wrapText="true" indent="0" shrinkToFit="false"/>
      <protection locked="false" hidden="false"/>
    </xf>
    <xf numFmtId="164" fontId="24" fillId="18" borderId="31" xfId="0" applyFont="true" applyBorder="true" applyAlignment="true" applyProtection="false">
      <alignment horizontal="left" vertical="center" textRotation="0" wrapText="true" indent="0" shrinkToFit="false"/>
      <protection locked="true" hidden="false"/>
    </xf>
    <xf numFmtId="164" fontId="30" fillId="18" borderId="31" xfId="0" applyFont="true" applyBorder="true" applyAlignment="true" applyProtection="false">
      <alignment horizontal="left" vertical="center" textRotation="0" wrapText="true" indent="0" shrinkToFit="false"/>
      <protection locked="true" hidden="false"/>
    </xf>
    <xf numFmtId="164" fontId="24" fillId="18" borderId="31" xfId="0" applyFont="true" applyBorder="true" applyAlignment="true" applyProtection="true">
      <alignment horizontal="center" vertical="center" textRotation="90" wrapText="true" indent="0" shrinkToFit="false"/>
      <protection locked="false" hidden="false"/>
    </xf>
    <xf numFmtId="164" fontId="24" fillId="18" borderId="52" xfId="0" applyFont="true" applyBorder="true" applyAlignment="true" applyProtection="true">
      <alignment horizontal="center" vertical="center" textRotation="0" wrapText="false" indent="0" shrinkToFit="false"/>
      <protection locked="false" hidden="false"/>
    </xf>
    <xf numFmtId="164" fontId="24" fillId="18" borderId="31" xfId="0" applyFont="true" applyBorder="true" applyAlignment="true" applyProtection="true">
      <alignment horizontal="center" vertical="center" textRotation="90" wrapText="true" indent="0" shrinkToFit="false"/>
      <protection locked="true" hidden="true"/>
    </xf>
    <xf numFmtId="164" fontId="24" fillId="18" borderId="31" xfId="0" applyFont="true" applyBorder="true" applyAlignment="true" applyProtection="true">
      <alignment horizontal="center" vertical="center" textRotation="0" wrapText="false" indent="0" shrinkToFit="false"/>
      <protection locked="false" hidden="false"/>
    </xf>
    <xf numFmtId="164" fontId="39" fillId="11" borderId="41" xfId="0" applyFont="true" applyBorder="true" applyAlignment="true" applyProtection="true">
      <alignment horizontal="left" vertical="top" textRotation="0" wrapText="true" indent="0" shrinkToFit="false"/>
      <protection locked="false" hidden="false"/>
    </xf>
    <xf numFmtId="164" fontId="21" fillId="11" borderId="38" xfId="0" applyFont="true" applyBorder="true" applyAlignment="true" applyProtection="true">
      <alignment horizontal="left" vertical="center" textRotation="0" wrapText="true" indent="0" shrinkToFit="false"/>
      <protection locked="false" hidden="false"/>
    </xf>
    <xf numFmtId="164" fontId="21" fillId="11" borderId="41" xfId="0" applyFont="true" applyBorder="true" applyAlignment="true" applyProtection="true">
      <alignment horizontal="left" vertical="top" textRotation="0" wrapText="true" indent="0" shrinkToFit="false"/>
      <protection locked="false" hidden="false"/>
    </xf>
    <xf numFmtId="171" fontId="26" fillId="0" borderId="0" xfId="0" applyFont="true" applyBorder="true" applyAlignment="true" applyProtection="true">
      <alignment horizontal="center" vertical="center" textRotation="0" wrapText="true" indent="0" shrinkToFit="false"/>
      <protection locked="true" hidden="true"/>
    </xf>
    <xf numFmtId="164" fontId="40" fillId="11" borderId="41" xfId="0" applyFont="true" applyBorder="true" applyAlignment="true" applyProtection="true">
      <alignment horizontal="left" vertical="top" textRotation="0" wrapText="true" indent="0" shrinkToFit="false"/>
      <protection locked="false" hidden="false"/>
    </xf>
    <xf numFmtId="164" fontId="21" fillId="11" borderId="37" xfId="0" applyFont="true" applyBorder="true" applyAlignment="true" applyProtection="true">
      <alignment horizontal="left" vertical="center" textRotation="0" wrapText="true" indent="0" shrinkToFit="false"/>
      <protection locked="false" hidden="false"/>
    </xf>
    <xf numFmtId="164" fontId="21" fillId="11" borderId="15" xfId="0" applyFont="true" applyBorder="true" applyAlignment="true" applyProtection="true">
      <alignment horizontal="left" vertical="center" textRotation="0" wrapText="true" indent="0" shrinkToFit="false"/>
      <protection locked="false" hidden="false"/>
    </xf>
    <xf numFmtId="164" fontId="17" fillId="5" borderId="0" xfId="0" applyFont="true" applyBorder="false" applyAlignment="false" applyProtection="false">
      <alignment horizontal="general" vertical="bottom" textRotation="0" wrapText="false" indent="0" shrinkToFit="false"/>
      <protection locked="true" hidden="false"/>
    </xf>
    <xf numFmtId="164" fontId="24" fillId="5" borderId="0" xfId="0" applyFont="true" applyBorder="false" applyAlignment="true" applyProtection="false">
      <alignment horizontal="center" vertical="center" textRotation="0" wrapText="false" indent="0" shrinkToFit="false"/>
      <protection locked="true" hidden="false"/>
    </xf>
    <xf numFmtId="164" fontId="24" fillId="19" borderId="0" xfId="0" applyFont="true" applyBorder="true" applyAlignment="true" applyProtection="false">
      <alignment horizontal="center" vertical="center" textRotation="0" wrapText="false" indent="0" shrinkToFit="false"/>
      <protection locked="true" hidden="false"/>
    </xf>
    <xf numFmtId="164" fontId="30" fillId="19" borderId="60" xfId="0" applyFont="true" applyBorder="true" applyAlignment="true" applyProtection="false">
      <alignment horizontal="left" vertical="top" textRotation="0" wrapText="true" indent="0" shrinkToFit="false"/>
      <protection locked="true" hidden="false"/>
    </xf>
    <xf numFmtId="164" fontId="24" fillId="19" borderId="60" xfId="0" applyFont="true" applyBorder="true" applyAlignment="true" applyProtection="false">
      <alignment horizontal="center" vertical="center" textRotation="0" wrapText="true" indent="0" shrinkToFit="false"/>
      <protection locked="true" hidden="false"/>
    </xf>
    <xf numFmtId="164" fontId="24" fillId="19" borderId="61" xfId="0" applyFont="true" applyBorder="true" applyAlignment="true" applyProtection="false">
      <alignment horizontal="center" vertical="center" textRotation="0" wrapText="true" indent="0" shrinkToFit="false"/>
      <protection locked="true" hidden="false"/>
    </xf>
    <xf numFmtId="164" fontId="24" fillId="19" borderId="60" xfId="0" applyFont="true" applyBorder="true" applyAlignment="true" applyProtection="false">
      <alignment horizontal="center" vertical="center" textRotation="90" wrapText="true" indent="0" shrinkToFit="false"/>
      <protection locked="true" hidden="false"/>
    </xf>
    <xf numFmtId="164" fontId="24" fillId="19" borderId="60" xfId="0" applyFont="true" applyBorder="true" applyAlignment="true" applyProtection="false">
      <alignment horizontal="center" vertical="center" textRotation="0" wrapText="false" indent="0" shrinkToFit="false"/>
      <protection locked="true" hidden="false"/>
    </xf>
    <xf numFmtId="164" fontId="24" fillId="19" borderId="62" xfId="0" applyFont="true" applyBorder="true" applyAlignment="true" applyProtection="false">
      <alignment horizontal="center" vertical="center" textRotation="90" wrapText="true" indent="0" shrinkToFit="false"/>
      <protection locked="true" hidden="false"/>
    </xf>
    <xf numFmtId="164" fontId="22" fillId="0" borderId="63" xfId="0" applyFont="true" applyBorder="true" applyAlignment="true" applyProtection="false">
      <alignment horizontal="justify" vertical="top" textRotation="0" wrapText="true" indent="0" shrinkToFit="false"/>
      <protection locked="true" hidden="false"/>
    </xf>
    <xf numFmtId="164" fontId="22" fillId="16" borderId="63" xfId="0" applyFont="true" applyBorder="true" applyAlignment="true" applyProtection="true">
      <alignment horizontal="left" vertical="top" textRotation="0" wrapText="true" indent="0" shrinkToFit="false"/>
      <protection locked="false" hidden="false"/>
    </xf>
    <xf numFmtId="164" fontId="17" fillId="16" borderId="15" xfId="0" applyFont="true" applyBorder="true" applyAlignment="true" applyProtection="true">
      <alignment horizontal="left" vertical="center" textRotation="0" wrapText="true" indent="0" shrinkToFit="false"/>
      <protection locked="false" hidden="false"/>
    </xf>
    <xf numFmtId="164" fontId="17" fillId="16" borderId="63" xfId="0" applyFont="true" applyBorder="true" applyAlignment="true" applyProtection="true">
      <alignment horizontal="left" vertical="top" textRotation="0" wrapText="true" indent="0" shrinkToFit="false"/>
      <protection locked="false" hidden="false"/>
    </xf>
    <xf numFmtId="164" fontId="22" fillId="5" borderId="64" xfId="0" applyFont="true" applyBorder="true" applyAlignment="true" applyProtection="true">
      <alignment horizontal="center" vertical="center" textRotation="0" wrapText="false" indent="0" shrinkToFit="false"/>
      <protection locked="false" hidden="false"/>
    </xf>
    <xf numFmtId="164" fontId="22" fillId="16" borderId="0" xfId="0" applyFont="true" applyBorder="true" applyAlignment="false" applyProtection="true">
      <alignment horizontal="general" vertical="bottom" textRotation="0" wrapText="false" indent="0" shrinkToFit="false"/>
      <protection locked="false" hidden="false"/>
    </xf>
    <xf numFmtId="164" fontId="22" fillId="5" borderId="48" xfId="0" applyFont="true" applyBorder="true" applyAlignment="true" applyProtection="false">
      <alignment horizontal="justify" vertical="top" textRotation="0" wrapText="true" indent="0" shrinkToFit="false"/>
      <protection locked="true" hidden="false"/>
    </xf>
    <xf numFmtId="164" fontId="17" fillId="16" borderId="48" xfId="0" applyFont="true" applyBorder="true" applyAlignment="true" applyProtection="true">
      <alignment horizontal="left" vertical="top" textRotation="0" wrapText="true" indent="0" shrinkToFit="false"/>
      <protection locked="false" hidden="false"/>
    </xf>
    <xf numFmtId="164" fontId="17" fillId="16" borderId="38" xfId="0" applyFont="true" applyBorder="true" applyAlignment="true" applyProtection="true">
      <alignment horizontal="left" vertical="center" textRotation="0" wrapText="true" indent="0" shrinkToFit="false"/>
      <protection locked="false" hidden="false"/>
    </xf>
    <xf numFmtId="164" fontId="22" fillId="16" borderId="42" xfId="0" applyFont="true" applyBorder="true" applyAlignment="true" applyProtection="true">
      <alignment horizontal="left" vertical="center" textRotation="0" wrapText="true" indent="0" shrinkToFit="false"/>
      <protection locked="fals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22" fillId="0" borderId="48" xfId="0" applyFont="true" applyBorder="true" applyAlignment="true" applyProtection="false">
      <alignment horizontal="justify" vertical="top" textRotation="0" wrapText="true" indent="0" shrinkToFit="false"/>
      <protection locked="true" hidden="false"/>
    </xf>
    <xf numFmtId="164" fontId="22" fillId="16" borderId="48" xfId="0" applyFont="true" applyBorder="true" applyAlignment="true" applyProtection="true">
      <alignment horizontal="left" vertical="top" textRotation="0" wrapText="true" indent="0" shrinkToFit="false"/>
      <protection locked="false" hidden="false"/>
    </xf>
    <xf numFmtId="164" fontId="41" fillId="5" borderId="42" xfId="0" applyFont="true" applyBorder="true" applyAlignment="true" applyProtection="true">
      <alignment horizontal="center" vertical="center" textRotation="0" wrapText="false" indent="0" shrinkToFit="false"/>
      <protection locked="false" hidden="false"/>
    </xf>
    <xf numFmtId="164" fontId="17" fillId="16" borderId="15" xfId="0" applyFont="true" applyBorder="true" applyAlignment="true" applyProtection="true">
      <alignment horizontal="center" vertical="center" textRotation="0" wrapText="false" indent="0" shrinkToFit="false"/>
      <protection locked="false" hidden="false"/>
    </xf>
    <xf numFmtId="164" fontId="17" fillId="16" borderId="15" xfId="0" applyFont="true" applyBorder="true" applyAlignment="true" applyProtection="true">
      <alignment horizontal="center" vertical="center" textRotation="0" wrapText="true" indent="0" shrinkToFit="false"/>
      <protection locked="false" hidden="false"/>
    </xf>
    <xf numFmtId="164" fontId="30" fillId="19" borderId="65" xfId="0" applyFont="true" applyBorder="true" applyAlignment="true" applyProtection="false">
      <alignment horizontal="left" vertical="top" textRotation="0" wrapText="true" indent="0" shrinkToFit="false"/>
      <protection locked="true" hidden="false"/>
    </xf>
    <xf numFmtId="164" fontId="24" fillId="19" borderId="61" xfId="0" applyFont="true" applyBorder="true" applyAlignment="true" applyProtection="true">
      <alignment horizontal="center" vertical="center" textRotation="0" wrapText="true" indent="0" shrinkToFit="false"/>
      <protection locked="false" hidden="false"/>
    </xf>
    <xf numFmtId="164" fontId="24" fillId="19" borderId="60" xfId="0" applyFont="true" applyBorder="true" applyAlignment="true" applyProtection="true">
      <alignment horizontal="center" vertical="center" textRotation="90" wrapText="true" indent="0" shrinkToFit="false"/>
      <protection locked="false" hidden="false"/>
    </xf>
    <xf numFmtId="164" fontId="24" fillId="19" borderId="60" xfId="0" applyFont="true" applyBorder="true" applyAlignment="true" applyProtection="true">
      <alignment horizontal="center" vertical="center" textRotation="0" wrapText="false" indent="0" shrinkToFit="false"/>
      <protection locked="false" hidden="false"/>
    </xf>
    <xf numFmtId="164" fontId="24" fillId="19" borderId="62" xfId="0" applyFont="true" applyBorder="true" applyAlignment="true" applyProtection="true">
      <alignment horizontal="center" vertical="center" textRotation="90" wrapText="true" indent="0" shrinkToFit="false"/>
      <protection locked="true" hidden="true"/>
    </xf>
    <xf numFmtId="164" fontId="24" fillId="19" borderId="60" xfId="0" applyFont="true" applyBorder="true" applyAlignment="true" applyProtection="true">
      <alignment horizontal="center" vertical="center" textRotation="0" wrapText="true" indent="0" shrinkToFit="false"/>
      <protection locked="false" hidden="false"/>
    </xf>
    <xf numFmtId="164" fontId="22" fillId="0" borderId="46" xfId="0" applyFont="true" applyBorder="true" applyAlignment="true" applyProtection="false">
      <alignment horizontal="left" vertical="top" textRotation="0" wrapText="true" indent="0" shrinkToFit="false"/>
      <protection locked="true" hidden="false"/>
    </xf>
    <xf numFmtId="172" fontId="22" fillId="16" borderId="48" xfId="0" applyFont="true" applyBorder="true" applyAlignment="true" applyProtection="true">
      <alignment horizontal="left" vertical="top" textRotation="0" wrapText="true" indent="0" shrinkToFit="false"/>
      <protection locked="false" hidden="false"/>
    </xf>
    <xf numFmtId="164" fontId="22" fillId="16" borderId="15" xfId="0" applyFont="true" applyBorder="true" applyAlignment="true" applyProtection="true">
      <alignment horizontal="left" vertical="center" textRotation="0" wrapText="true" indent="0" shrinkToFit="false"/>
      <protection locked="false" hidden="false"/>
    </xf>
    <xf numFmtId="164" fontId="0" fillId="16" borderId="0" xfId="0" applyFont="true" applyBorder="false" applyAlignment="false" applyProtection="true">
      <alignment horizontal="general" vertical="bottom" textRotation="0" wrapText="false" indent="0" shrinkToFit="false"/>
      <protection locked="false" hidden="false"/>
    </xf>
    <xf numFmtId="164" fontId="17" fillId="5" borderId="48" xfId="0" applyFont="true" applyBorder="true" applyAlignment="true" applyProtection="false">
      <alignment horizontal="justify" vertical="top" textRotation="0" wrapText="true" indent="0" shrinkToFit="false"/>
      <protection locked="true" hidden="false"/>
    </xf>
    <xf numFmtId="164" fontId="22" fillId="16" borderId="15" xfId="0" applyFont="true" applyBorder="true" applyAlignment="true" applyProtection="true">
      <alignment horizontal="left" vertical="bottom" textRotation="0" wrapText="true" indent="0" shrinkToFit="false"/>
      <protection locked="false" hidden="false"/>
    </xf>
    <xf numFmtId="164" fontId="22" fillId="5" borderId="38" xfId="0" applyFont="true" applyBorder="true" applyAlignment="true" applyProtection="true">
      <alignment horizontal="center" vertical="center" textRotation="0" wrapText="false" indent="0" shrinkToFit="false"/>
      <protection locked="false" hidden="false"/>
    </xf>
    <xf numFmtId="164" fontId="22" fillId="16" borderId="15" xfId="0" applyFont="true" applyBorder="true" applyAlignment="true" applyProtection="true">
      <alignment horizontal="center" vertical="center" textRotation="0" wrapText="true" indent="0" shrinkToFit="false"/>
      <protection locked="false" hidden="false"/>
    </xf>
    <xf numFmtId="164" fontId="17" fillId="16" borderId="45" xfId="0" applyFont="true" applyBorder="true" applyAlignment="true" applyProtection="true">
      <alignment horizontal="center" vertical="center" textRotation="0" wrapText="false" indent="0" shrinkToFit="false"/>
      <protection locked="false" hidden="false"/>
    </xf>
    <xf numFmtId="164" fontId="22" fillId="0" borderId="46" xfId="0" applyFont="true" applyBorder="true" applyAlignment="true" applyProtection="false">
      <alignment horizontal="justify" vertical="top" textRotation="0" wrapText="true" indent="0" shrinkToFit="false"/>
      <protection locked="true" hidden="false"/>
    </xf>
    <xf numFmtId="164" fontId="22" fillId="16" borderId="46" xfId="0" applyFont="true" applyBorder="true" applyAlignment="true" applyProtection="true">
      <alignment horizontal="left" vertical="top" textRotation="0" wrapText="true" indent="0" shrinkToFit="false"/>
      <protection locked="false" hidden="false"/>
    </xf>
    <xf numFmtId="164" fontId="22" fillId="0" borderId="18" xfId="0" applyFont="true" applyBorder="true" applyAlignment="true" applyProtection="false">
      <alignment horizontal="justify" vertical="top" textRotation="0" wrapText="true" indent="0" shrinkToFit="false"/>
      <protection locked="true" hidden="false"/>
    </xf>
    <xf numFmtId="164" fontId="17" fillId="16" borderId="46" xfId="0" applyFont="true" applyBorder="true" applyAlignment="true" applyProtection="true">
      <alignment horizontal="left" vertical="top" textRotation="0" wrapText="true" indent="0" shrinkToFit="false"/>
      <protection locked="false" hidden="false"/>
    </xf>
    <xf numFmtId="164" fontId="5" fillId="16" borderId="0" xfId="0" applyFont="true" applyBorder="false" applyAlignment="true" applyProtection="true">
      <alignment horizontal="general" vertical="bottom" textRotation="0" wrapText="true" indent="0" shrinkToFit="false"/>
      <protection locked="false" hidden="false"/>
    </xf>
    <xf numFmtId="164" fontId="17" fillId="16" borderId="15" xfId="0" applyFont="true" applyBorder="true" applyAlignment="true" applyProtection="true">
      <alignment horizontal="left" vertical="center" textRotation="0" wrapText="false" indent="0" shrinkToFit="false"/>
      <protection locked="false" hidden="false"/>
    </xf>
    <xf numFmtId="164" fontId="22" fillId="5" borderId="51" xfId="0" applyFont="true" applyBorder="true" applyAlignment="true" applyProtection="false">
      <alignment horizontal="justify" vertical="top" textRotation="0" wrapText="true" indent="0" shrinkToFit="false"/>
      <protection locked="true" hidden="false"/>
    </xf>
    <xf numFmtId="164" fontId="22" fillId="5" borderId="18" xfId="0" applyFont="true" applyBorder="true" applyAlignment="true" applyProtection="false">
      <alignment horizontal="justify" vertical="top" textRotation="0" wrapText="true" indent="0" shrinkToFit="false"/>
      <protection locked="true" hidden="false"/>
    </xf>
    <xf numFmtId="164" fontId="17" fillId="5" borderId="64" xfId="0" applyFont="true" applyBorder="true" applyAlignment="true" applyProtection="false">
      <alignment horizontal="left" vertical="top" textRotation="0" wrapText="true" indent="0" shrinkToFit="false"/>
      <protection locked="true" hidden="false"/>
    </xf>
    <xf numFmtId="173" fontId="26" fillId="0" borderId="0" xfId="0" applyFont="true" applyBorder="true" applyAlignment="false" applyProtection="false">
      <alignment horizontal="general" vertical="bottom" textRotation="0" wrapText="false" indent="0" shrinkToFit="false"/>
      <protection locked="true" hidden="false"/>
    </xf>
    <xf numFmtId="164" fontId="24" fillId="20" borderId="0" xfId="0" applyFont="true" applyBorder="true" applyAlignment="true" applyProtection="false">
      <alignment horizontal="center" vertical="center" textRotation="0" wrapText="false" indent="0" shrinkToFit="false"/>
      <protection locked="true" hidden="false"/>
    </xf>
    <xf numFmtId="164" fontId="24" fillId="20" borderId="60" xfId="0" applyFont="true" applyBorder="true" applyAlignment="true" applyProtection="false">
      <alignment horizontal="left" vertical="center" textRotation="0" wrapText="true" indent="0" shrinkToFit="false"/>
      <protection locked="true" hidden="false"/>
    </xf>
    <xf numFmtId="164" fontId="30" fillId="20" borderId="60" xfId="0" applyFont="true" applyBorder="true" applyAlignment="true" applyProtection="false">
      <alignment horizontal="left" vertical="center" textRotation="0" wrapText="true" indent="0" shrinkToFit="false"/>
      <protection locked="true" hidden="false"/>
    </xf>
    <xf numFmtId="164" fontId="24" fillId="20" borderId="60" xfId="0" applyFont="true" applyBorder="true" applyAlignment="true" applyProtection="false">
      <alignment horizontal="center" vertical="center" textRotation="0" wrapText="true" indent="0" shrinkToFit="false"/>
      <protection locked="true" hidden="false"/>
    </xf>
    <xf numFmtId="164" fontId="24" fillId="20" borderId="61" xfId="0" applyFont="true" applyBorder="true" applyAlignment="true" applyProtection="false">
      <alignment horizontal="center" vertical="center" textRotation="0" wrapText="true" indent="0" shrinkToFit="false"/>
      <protection locked="true" hidden="false"/>
    </xf>
    <xf numFmtId="164" fontId="24" fillId="20" borderId="60" xfId="0" applyFont="true" applyBorder="true" applyAlignment="true" applyProtection="false">
      <alignment horizontal="center" vertical="center" textRotation="90" wrapText="true" indent="0" shrinkToFit="false"/>
      <protection locked="true" hidden="false"/>
    </xf>
    <xf numFmtId="164" fontId="24" fillId="20" borderId="60" xfId="0" applyFont="true" applyBorder="true" applyAlignment="true" applyProtection="false">
      <alignment horizontal="center" vertical="center" textRotation="0" wrapText="false" indent="0" shrinkToFit="false"/>
      <protection locked="true" hidden="false"/>
    </xf>
    <xf numFmtId="164" fontId="24" fillId="20" borderId="62" xfId="0" applyFont="true" applyBorder="true" applyAlignment="true" applyProtection="false">
      <alignment horizontal="center" vertical="center" textRotation="90" wrapText="true" indent="0" shrinkToFit="false"/>
      <protection locked="true" hidden="false"/>
    </xf>
    <xf numFmtId="173" fontId="24" fillId="0" borderId="0" xfId="0" applyFont="true" applyBorder="true" applyAlignment="true" applyProtection="false">
      <alignment horizontal="center" vertical="center" textRotation="90" wrapText="true" indent="0" shrinkToFit="false"/>
      <protection locked="true" hidden="false"/>
    </xf>
    <xf numFmtId="164" fontId="17" fillId="11" borderId="33" xfId="0" applyFont="true" applyBorder="true" applyAlignment="true" applyProtection="false">
      <alignment horizontal="left" vertical="top" textRotation="0" wrapText="true" indent="0" shrinkToFit="false"/>
      <protection locked="true" hidden="false"/>
    </xf>
    <xf numFmtId="164" fontId="22" fillId="11" borderId="38" xfId="0" applyFont="true" applyBorder="true" applyAlignment="true" applyProtection="true">
      <alignment horizontal="left" vertical="center" textRotation="0" wrapText="false" indent="0" shrinkToFit="false"/>
      <protection locked="false" hidden="false"/>
    </xf>
    <xf numFmtId="164" fontId="22" fillId="11" borderId="33" xfId="0" applyFont="true" applyBorder="true" applyAlignment="true" applyProtection="true">
      <alignment horizontal="left" vertical="top" textRotation="0" wrapText="true" indent="0" shrinkToFit="false"/>
      <protection locked="false" hidden="false"/>
    </xf>
    <xf numFmtId="173" fontId="26" fillId="0" borderId="0" xfId="0" applyFont="true" applyBorder="true" applyAlignment="true" applyProtection="true">
      <alignment horizontal="center" vertical="center" textRotation="0" wrapText="true" indent="0" shrinkToFit="false"/>
      <protection locked="true" hidden="true"/>
    </xf>
    <xf numFmtId="164" fontId="22" fillId="11" borderId="38" xfId="0" applyFont="true" applyBorder="true" applyAlignment="true" applyProtection="true">
      <alignment horizontal="left" vertical="bottom" textRotation="0" wrapText="true" indent="0" shrinkToFit="false"/>
      <protection locked="false" hidden="false"/>
    </xf>
    <xf numFmtId="164" fontId="40" fillId="11" borderId="15" xfId="0" applyFont="true" applyBorder="true" applyAlignment="true" applyProtection="true">
      <alignment horizontal="left" vertical="center" textRotation="0" wrapText="true" indent="0" shrinkToFit="false"/>
      <protection locked="false" hidden="false"/>
    </xf>
    <xf numFmtId="164" fontId="24" fillId="20" borderId="61" xfId="0" applyFont="true" applyBorder="true" applyAlignment="true" applyProtection="true">
      <alignment horizontal="center" vertical="center" textRotation="0" wrapText="true" indent="0" shrinkToFit="false"/>
      <protection locked="false" hidden="false"/>
    </xf>
    <xf numFmtId="164" fontId="24" fillId="20" borderId="60" xfId="0" applyFont="true" applyBorder="true" applyAlignment="true" applyProtection="true">
      <alignment horizontal="center" vertical="center" textRotation="90" wrapText="true" indent="0" shrinkToFit="false"/>
      <protection locked="false" hidden="false"/>
    </xf>
    <xf numFmtId="164" fontId="24" fillId="20" borderId="60" xfId="0" applyFont="true" applyBorder="true" applyAlignment="true" applyProtection="true">
      <alignment horizontal="center" vertical="center" textRotation="0" wrapText="false" indent="0" shrinkToFit="false"/>
      <protection locked="false" hidden="false"/>
    </xf>
    <xf numFmtId="164" fontId="24" fillId="20" borderId="62" xfId="0" applyFont="true" applyBorder="true" applyAlignment="true" applyProtection="true">
      <alignment horizontal="center" vertical="center" textRotation="90" wrapText="true" indent="0" shrinkToFit="false"/>
      <protection locked="true" hidden="true"/>
    </xf>
    <xf numFmtId="173" fontId="24" fillId="0" borderId="0" xfId="0" applyFont="true" applyBorder="true" applyAlignment="true" applyProtection="true">
      <alignment horizontal="center" vertical="center" textRotation="90" wrapText="true" indent="0" shrinkToFit="false"/>
      <protection locked="true" hidden="true"/>
    </xf>
    <xf numFmtId="164" fontId="17" fillId="0" borderId="41" xfId="0" applyFont="true" applyBorder="true" applyAlignment="true" applyProtection="false">
      <alignment horizontal="general" vertical="top" textRotation="0" wrapText="true" indent="0" shrinkToFit="false"/>
      <protection locked="true" hidden="false"/>
    </xf>
    <xf numFmtId="164" fontId="22" fillId="5" borderId="38" xfId="0" applyFont="true" applyBorder="true" applyAlignment="true" applyProtection="true">
      <alignment horizontal="left" vertical="center" textRotation="0" wrapText="true" indent="0" shrinkToFit="false"/>
      <protection locked="false" hidden="false"/>
    </xf>
    <xf numFmtId="164" fontId="22" fillId="9" borderId="41" xfId="0" applyFont="true" applyBorder="true" applyAlignment="true" applyProtection="false">
      <alignment horizontal="left" vertical="top" textRotation="0" wrapText="true" indent="0" shrinkToFit="false"/>
      <protection locked="true" hidden="false"/>
    </xf>
    <xf numFmtId="164" fontId="22" fillId="0" borderId="42" xfId="0" applyFont="true" applyBorder="true" applyAlignment="true" applyProtection="false">
      <alignment horizontal="left" vertical="top" textRotation="0" wrapText="true" indent="0" shrinkToFit="false"/>
      <protection locked="true" hidden="false"/>
    </xf>
    <xf numFmtId="164" fontId="17" fillId="9" borderId="41" xfId="0" applyFont="true" applyBorder="true" applyAlignment="true" applyProtection="false">
      <alignment horizontal="left" vertical="top" textRotation="0" wrapText="tru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5" borderId="66" xfId="0" applyFont="false" applyBorder="true" applyAlignment="false" applyProtection="false">
      <alignment horizontal="general" vertical="bottom" textRotation="0" wrapText="false" indent="0" shrinkToFit="false"/>
      <protection locked="true" hidden="false"/>
    </xf>
    <xf numFmtId="164" fontId="0" fillId="5" borderId="67" xfId="0" applyFont="false" applyBorder="true" applyAlignment="false" applyProtection="false">
      <alignment horizontal="general" vertical="bottom" textRotation="0" wrapText="false" indent="0" shrinkToFit="false"/>
      <protection locked="true" hidden="false"/>
    </xf>
    <xf numFmtId="164" fontId="0" fillId="5" borderId="68" xfId="0" applyFont="false" applyBorder="true" applyAlignment="false" applyProtection="false">
      <alignment horizontal="general" vertical="bottom" textRotation="0" wrapText="false" indent="0" shrinkToFit="false"/>
      <protection locked="true" hidden="false"/>
    </xf>
    <xf numFmtId="164" fontId="0" fillId="5" borderId="69" xfId="0" applyFont="fals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2" fillId="18" borderId="18" xfId="0" applyFont="true" applyBorder="true" applyAlignment="true" applyProtection="false">
      <alignment horizontal="center" vertical="center" textRotation="0" wrapText="true" indent="0" shrinkToFit="false"/>
      <protection locked="true" hidden="false"/>
    </xf>
    <xf numFmtId="164" fontId="43" fillId="5" borderId="18" xfId="0" applyFont="true" applyBorder="true" applyAlignment="true" applyProtection="true">
      <alignment horizontal="center" vertical="bottom" textRotation="0" wrapText="false" indent="0" shrinkToFit="false"/>
      <protection locked="false" hidden="false"/>
    </xf>
    <xf numFmtId="164" fontId="0" fillId="5" borderId="70" xfId="0" applyFont="false" applyBorder="true" applyAlignment="false" applyProtection="false">
      <alignment horizontal="general" vertical="bottom" textRotation="0" wrapText="false" indent="0" shrinkToFit="false"/>
      <protection locked="true" hidden="false"/>
    </xf>
    <xf numFmtId="164" fontId="42" fillId="18" borderId="18" xfId="0" applyFont="true" applyBorder="true" applyAlignment="true" applyProtection="false">
      <alignment horizontal="center" vertical="center" textRotation="0" wrapText="false" indent="0" shrinkToFit="false"/>
      <protection locked="true" hidden="false"/>
    </xf>
    <xf numFmtId="166" fontId="43" fillId="5" borderId="18" xfId="0" applyFont="true" applyBorder="true" applyAlignment="true" applyProtection="true">
      <alignment horizontal="center" vertical="bottom" textRotation="0" wrapText="false" indent="0" shrinkToFit="false"/>
      <protection locked="false" hidden="false"/>
    </xf>
    <xf numFmtId="164" fontId="26" fillId="5" borderId="0" xfId="0" applyFont="true" applyBorder="true" applyAlignment="true" applyProtection="false">
      <alignment horizontal="general" vertical="center" textRotation="0" wrapText="false" indent="0" shrinkToFit="false"/>
      <protection locked="true" hidden="false"/>
    </xf>
    <xf numFmtId="164" fontId="44" fillId="18" borderId="53" xfId="0" applyFont="true" applyBorder="true" applyAlignment="true" applyProtection="false">
      <alignment horizontal="center" vertical="center" textRotation="0" wrapText="true" indent="0" shrinkToFit="false"/>
      <protection locked="true" hidden="false"/>
    </xf>
    <xf numFmtId="174" fontId="45" fillId="18" borderId="53" xfId="0" applyFont="true" applyBorder="true" applyAlignment="true" applyProtection="true">
      <alignment horizontal="center" vertical="bottom" textRotation="0" wrapText="false" indent="0" shrinkToFit="false"/>
      <protection locked="true" hidden="true"/>
    </xf>
    <xf numFmtId="164" fontId="46" fillId="5" borderId="0" xfId="0" applyFont="true" applyBorder="true" applyAlignment="true" applyProtection="false">
      <alignment horizontal="center" vertical="center" textRotation="0" wrapText="false" indent="0" shrinkToFit="false"/>
      <protection locked="true" hidden="false"/>
    </xf>
    <xf numFmtId="164" fontId="47"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true" applyProtection="false">
      <alignment horizontal="general" vertical="center" textRotation="0" wrapText="false" indent="0" shrinkToFit="false"/>
      <protection locked="true" hidden="false"/>
    </xf>
    <xf numFmtId="164" fontId="44" fillId="18" borderId="71" xfId="0" applyFont="true" applyBorder="true" applyAlignment="true" applyProtection="false">
      <alignment horizontal="center" vertical="center" textRotation="0" wrapText="false" indent="0" shrinkToFit="false"/>
      <protection locked="true" hidden="false"/>
    </xf>
    <xf numFmtId="164" fontId="44" fillId="5" borderId="0" xfId="0" applyFont="true" applyBorder="true" applyAlignment="true" applyProtection="false">
      <alignment horizontal="center" vertical="center" textRotation="0" wrapText="false" indent="0" shrinkToFit="false"/>
      <protection locked="true" hidden="false"/>
    </xf>
    <xf numFmtId="164" fontId="48" fillId="5" borderId="5" xfId="0" applyFont="true" applyBorder="true" applyAlignment="true" applyProtection="false">
      <alignment horizontal="center" vertical="center" textRotation="0" wrapText="false" indent="0" shrinkToFit="false"/>
      <protection locked="true" hidden="false"/>
    </xf>
    <xf numFmtId="164" fontId="48" fillId="5" borderId="0" xfId="0" applyFont="true" applyBorder="true" applyAlignment="true" applyProtection="false">
      <alignment horizontal="center" vertical="center" textRotation="0" wrapText="false" indent="0" shrinkToFit="false"/>
      <protection locked="true" hidden="false"/>
    </xf>
    <xf numFmtId="175" fontId="49" fillId="5" borderId="72" xfId="0" applyFont="true" applyBorder="true" applyAlignment="true" applyProtection="false">
      <alignment horizontal="left" vertical="center" textRotation="0" wrapText="true" indent="0" shrinkToFit="false"/>
      <protection locked="true" hidden="false"/>
    </xf>
    <xf numFmtId="175" fontId="50" fillId="5" borderId="73" xfId="0" applyFont="true" applyBorder="true" applyAlignment="true" applyProtection="true">
      <alignment horizontal="center" vertical="center" textRotation="0" wrapText="true" indent="0" shrinkToFit="false"/>
      <protection locked="false" hidden="false"/>
    </xf>
    <xf numFmtId="164" fontId="51" fillId="5" borderId="74" xfId="0" applyFont="true" applyBorder="true" applyAlignment="true" applyProtection="true">
      <alignment horizontal="general" vertical="top" textRotation="0" wrapText="true" indent="0" shrinkToFit="false"/>
      <protection locked="false" hidden="false"/>
    </xf>
    <xf numFmtId="175" fontId="0" fillId="5" borderId="0" xfId="0" applyFont="false" applyBorder="true" applyAlignment="true" applyProtection="false">
      <alignment horizontal="left" vertical="top" textRotation="0" wrapText="true" indent="0" shrinkToFit="false"/>
      <protection locked="true" hidden="false"/>
    </xf>
    <xf numFmtId="175" fontId="51" fillId="5" borderId="74" xfId="0" applyFont="true" applyBorder="true" applyAlignment="true" applyProtection="true">
      <alignment horizontal="left" vertical="top" textRotation="0" wrapText="true" indent="0" shrinkToFit="false"/>
      <protection locked="false" hidden="false"/>
    </xf>
    <xf numFmtId="175" fontId="49" fillId="5" borderId="75" xfId="0" applyFont="true" applyBorder="true" applyAlignment="true" applyProtection="false">
      <alignment horizontal="left" vertical="center" textRotation="0" wrapText="true" indent="0" shrinkToFit="false"/>
      <protection locked="true" hidden="false"/>
    </xf>
    <xf numFmtId="164" fontId="54" fillId="5" borderId="0" xfId="0" applyFont="true" applyBorder="true" applyAlignment="true" applyProtection="false">
      <alignment horizontal="general" vertical="bottom" textRotation="0" wrapText="true" indent="0" shrinkToFit="false"/>
      <protection locked="true" hidden="false"/>
    </xf>
    <xf numFmtId="164" fontId="44" fillId="21" borderId="76" xfId="0" applyFont="true" applyBorder="true" applyAlignment="true" applyProtection="false">
      <alignment horizontal="center" vertical="center" textRotation="0" wrapText="true" indent="0" shrinkToFit="false"/>
      <protection locked="true" hidden="false"/>
    </xf>
    <xf numFmtId="164" fontId="48" fillId="0" borderId="0" xfId="0" applyFont="true" applyBorder="true" applyAlignment="true" applyProtection="false">
      <alignment horizontal="center" vertical="center" textRotation="0" wrapText="true" indent="0" shrinkToFit="false"/>
      <protection locked="true" hidden="false"/>
    </xf>
    <xf numFmtId="164" fontId="55" fillId="21" borderId="76" xfId="0" applyFont="true" applyBorder="true" applyAlignment="true" applyProtection="false">
      <alignment horizontal="center" vertical="center" textRotation="0" wrapText="true" indent="0" shrinkToFit="false"/>
      <protection locked="true" hidden="false"/>
    </xf>
    <xf numFmtId="164" fontId="56" fillId="21" borderId="53" xfId="0" applyFont="true" applyBorder="true" applyAlignment="true" applyProtection="false">
      <alignment horizontal="center" vertical="center" textRotation="0" wrapText="true" indent="0" shrinkToFit="false"/>
      <protection locked="true" hidden="false"/>
    </xf>
    <xf numFmtId="164" fontId="47" fillId="5" borderId="0" xfId="0" applyFont="true" applyBorder="true" applyAlignment="true" applyProtection="false">
      <alignment horizontal="center" vertical="center" textRotation="0" wrapText="true" indent="0" shrinkToFit="false"/>
      <protection locked="true" hidden="false"/>
    </xf>
    <xf numFmtId="164" fontId="55" fillId="18" borderId="77" xfId="0" applyFont="true" applyBorder="true" applyAlignment="true" applyProtection="false">
      <alignment horizontal="center" vertical="center" textRotation="0" wrapText="true" indent="0" shrinkToFit="false"/>
      <protection locked="true" hidden="false"/>
    </xf>
    <xf numFmtId="164" fontId="55" fillId="18" borderId="53" xfId="0" applyFont="true" applyBorder="true" applyAlignment="true" applyProtection="false">
      <alignment horizontal="center" vertical="center" textRotation="0" wrapText="true" indent="0" shrinkToFit="false"/>
      <protection locked="true" hidden="false"/>
    </xf>
    <xf numFmtId="164" fontId="55" fillId="18" borderId="0" xfId="0" applyFont="true" applyBorder="true" applyAlignment="true" applyProtection="false">
      <alignment horizontal="center" vertical="center" textRotation="0" wrapText="true" indent="0" shrinkToFit="false"/>
      <protection locked="true" hidden="false"/>
    </xf>
    <xf numFmtId="164" fontId="57" fillId="5" borderId="0" xfId="0" applyFont="true" applyBorder="false" applyAlignment="true" applyProtection="false">
      <alignment horizontal="general" vertical="bottom" textRotation="0" wrapText="true" indent="0" shrinkToFit="false"/>
      <protection locked="true" hidden="false"/>
    </xf>
    <xf numFmtId="164" fontId="58"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44" fillId="3" borderId="18" xfId="0" applyFont="true" applyBorder="true" applyAlignment="true" applyProtection="false">
      <alignment horizontal="center" vertical="center" textRotation="0" wrapText="true" indent="0" shrinkToFit="false"/>
      <protection locked="true" hidden="false"/>
    </xf>
    <xf numFmtId="164" fontId="55" fillId="0" borderId="0" xfId="0" applyFont="true" applyBorder="true" applyAlignment="true" applyProtection="false">
      <alignment horizontal="general" vertical="center" textRotation="0" wrapText="false" indent="0" shrinkToFit="false"/>
      <protection locked="true" hidden="false"/>
    </xf>
    <xf numFmtId="168" fontId="48" fillId="0" borderId="18" xfId="0" applyFont="true" applyBorder="true" applyAlignment="true" applyProtection="true">
      <alignment horizontal="center" vertical="center" textRotation="0" wrapText="false" indent="0" shrinkToFit="false"/>
      <protection locked="true" hidden="true"/>
    </xf>
    <xf numFmtId="176" fontId="48" fillId="0" borderId="0" xfId="0" applyFont="true" applyBorder="true" applyAlignment="true" applyProtection="false">
      <alignment horizontal="general" vertical="center" textRotation="0" wrapText="false" indent="0" shrinkToFit="false"/>
      <protection locked="true" hidden="false"/>
    </xf>
    <xf numFmtId="176" fontId="59" fillId="7" borderId="18" xfId="0" applyFont="true" applyBorder="true" applyAlignment="true" applyProtection="true">
      <alignment horizontal="center" vertical="center" textRotation="0" wrapText="false" indent="0" shrinkToFit="false"/>
      <protection locked="true" hidden="true"/>
    </xf>
    <xf numFmtId="164" fontId="48" fillId="0" borderId="78" xfId="0" applyFont="true" applyBorder="true" applyAlignment="true" applyProtection="true">
      <alignment horizontal="general" vertical="center" textRotation="0" wrapText="true" indent="0" shrinkToFit="false"/>
      <protection locked="false" hidden="false"/>
    </xf>
    <xf numFmtId="164" fontId="48" fillId="0" borderId="0" xfId="0" applyFont="true" applyBorder="true" applyAlignment="true" applyProtection="false">
      <alignment horizontal="general" vertical="center" textRotation="0" wrapText="false" indent="0" shrinkToFit="false"/>
      <protection locked="true" hidden="false"/>
    </xf>
    <xf numFmtId="176" fontId="59" fillId="7" borderId="18" xfId="0" applyFont="true" applyBorder="true" applyAlignment="true" applyProtection="true">
      <alignment horizontal="center" vertical="center" textRotation="0" wrapText="false" indent="0" shrinkToFit="false"/>
      <protection locked="false" hidden="false"/>
    </xf>
    <xf numFmtId="164" fontId="48" fillId="0" borderId="79" xfId="0" applyFont="true" applyBorder="true" applyAlignment="true" applyProtection="false">
      <alignment horizontal="general" vertical="center" textRotation="0" wrapText="false" indent="0" shrinkToFit="false"/>
      <protection locked="true" hidden="false"/>
    </xf>
    <xf numFmtId="164" fontId="61" fillId="0" borderId="79" xfId="0" applyFont="true" applyBorder="true" applyAlignment="true" applyProtection="true">
      <alignment horizontal="left" vertical="center" textRotation="0" wrapText="true" indent="0" shrinkToFit="false"/>
      <protection locked="false" hidden="false"/>
    </xf>
    <xf numFmtId="164" fontId="48" fillId="0" borderId="0" xfId="0" applyFont="true" applyBorder="true" applyAlignment="true" applyProtection="false">
      <alignment horizontal="left" vertical="center" textRotation="0" wrapText="false" indent="0" shrinkToFit="false"/>
      <protection locked="true" hidden="false"/>
    </xf>
    <xf numFmtId="176" fontId="48" fillId="0" borderId="18" xfId="0" applyFont="true" applyBorder="true" applyAlignment="true" applyProtection="true">
      <alignment horizontal="center" vertical="center" textRotation="0" wrapText="false" indent="0" shrinkToFit="false"/>
      <protection locked="false" hidden="false"/>
    </xf>
    <xf numFmtId="164" fontId="48" fillId="5" borderId="70" xfId="0" applyFont="true" applyBorder="true" applyAlignment="true" applyProtection="false">
      <alignment horizontal="general" vertical="center" textRotation="0" wrapText="false" indent="0" shrinkToFit="false"/>
      <protection locked="true" hidden="false"/>
    </xf>
    <xf numFmtId="164" fontId="48" fillId="5"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76" fontId="0" fillId="0" borderId="18" xfId="0" applyFont="false" applyBorder="true" applyAlignment="false" applyProtection="false">
      <alignment horizontal="general" vertical="bottom" textRotation="0" wrapText="false" indent="0" shrinkToFit="false"/>
      <protection locked="true" hidden="false"/>
    </xf>
    <xf numFmtId="164" fontId="0" fillId="0" borderId="78" xfId="0" applyFont="false" applyBorder="true" applyAlignment="false" applyProtection="false">
      <alignment horizontal="general" vertical="bottom" textRotation="0" wrapText="false" indent="0" shrinkToFit="false"/>
      <protection locked="true" hidden="false"/>
    </xf>
    <xf numFmtId="176" fontId="0" fillId="0" borderId="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18" xfId="0" applyFont="false" applyBorder="true" applyAlignment="true" applyProtection="false">
      <alignment horizontal="left" vertical="bottom" textRotation="0" wrapText="false" indent="0" shrinkToFit="false"/>
      <protection locked="true" hidden="false"/>
    </xf>
    <xf numFmtId="164" fontId="44" fillId="14" borderId="18" xfId="0" applyFont="true" applyBorder="true" applyAlignment="true" applyProtection="false">
      <alignment horizontal="center" vertical="center" textRotation="0" wrapText="true" indent="0" shrinkToFit="false"/>
      <protection locked="true" hidden="false"/>
    </xf>
    <xf numFmtId="164" fontId="0" fillId="0" borderId="79" xfId="0" applyFont="false" applyBorder="true" applyAlignment="false" applyProtection="false">
      <alignment horizontal="general" vertical="bottom" textRotation="0" wrapText="false" indent="0" shrinkToFit="false"/>
      <protection locked="true" hidden="false"/>
    </xf>
    <xf numFmtId="164" fontId="44" fillId="18" borderId="18" xfId="0" applyFont="true" applyBorder="true" applyAlignment="true" applyProtection="false">
      <alignment horizontal="center" vertical="center" textRotation="0" wrapText="true" indent="0" shrinkToFit="false"/>
      <protection locked="true" hidden="false"/>
    </xf>
    <xf numFmtId="164" fontId="44" fillId="19" borderId="18" xfId="0" applyFont="true" applyBorder="true" applyAlignment="true" applyProtection="false">
      <alignment horizontal="center" vertical="center" textRotation="0" wrapText="true" indent="0" shrinkToFit="false"/>
      <protection locked="true" hidden="false"/>
    </xf>
    <xf numFmtId="164" fontId="44" fillId="22" borderId="18" xfId="0" applyFont="true" applyBorder="true" applyAlignment="true" applyProtection="false">
      <alignment horizontal="center" vertical="center" textRotation="0" wrapText="true" indent="0" shrinkToFit="false"/>
      <protection locked="true" hidden="false"/>
    </xf>
    <xf numFmtId="164" fontId="55" fillId="5" borderId="0" xfId="0" applyFont="true" applyBorder="true" applyAlignment="true" applyProtection="false">
      <alignment horizontal="general" vertical="center" textRotation="0" wrapText="false" indent="0" shrinkToFit="false"/>
      <protection locked="true" hidden="false"/>
    </xf>
    <xf numFmtId="164" fontId="48" fillId="5" borderId="0" xfId="0" applyFont="true" applyBorder="true" applyAlignment="true" applyProtection="false">
      <alignment horizontal="left" vertical="center" textRotation="0" wrapText="false" indent="0" shrinkToFit="false"/>
      <protection locked="true" hidden="false"/>
    </xf>
    <xf numFmtId="164" fontId="62" fillId="5" borderId="0" xfId="0" applyFont="true" applyBorder="true" applyAlignment="true" applyProtection="false">
      <alignment horizontal="general" vertical="center" textRotation="0" wrapText="false" indent="0" shrinkToFit="false"/>
      <protection locked="true" hidden="false"/>
    </xf>
    <xf numFmtId="164" fontId="63" fillId="5" borderId="0" xfId="0" applyFont="true" applyBorder="true" applyAlignment="false" applyProtection="false">
      <alignment horizontal="general" vertical="bottom" textRotation="0" wrapText="false" indent="0" shrinkToFit="false"/>
      <protection locked="true" hidden="false"/>
    </xf>
    <xf numFmtId="164" fontId="0" fillId="5" borderId="80" xfId="0" applyFont="false" applyBorder="true" applyAlignment="false" applyProtection="false">
      <alignment horizontal="general" vertical="bottom" textRotation="0" wrapText="false" indent="0" shrinkToFit="false"/>
      <protection locked="true" hidden="false"/>
    </xf>
    <xf numFmtId="164" fontId="0" fillId="5" borderId="81" xfId="0" applyFont="false" applyBorder="true" applyAlignment="false" applyProtection="false">
      <alignment horizontal="general" vertical="bottom" textRotation="0" wrapText="false" indent="0" shrinkToFit="false"/>
      <protection locked="true" hidden="false"/>
    </xf>
    <xf numFmtId="164" fontId="0" fillId="5" borderId="82" xfId="0" applyFont="false" applyBorder="tru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18" xfId="0" applyFont="true" applyBorder="true" applyAlignment="true" applyProtection="false">
      <alignment horizontal="center" vertical="center" textRotation="0" wrapText="true" indent="0" shrinkToFit="false"/>
      <protection locked="true" hidden="false"/>
    </xf>
    <xf numFmtId="164" fontId="57" fillId="0" borderId="0" xfId="0" applyFont="true" applyBorder="false" applyAlignment="true" applyProtection="false">
      <alignment horizontal="center" vertical="center"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76" fontId="0" fillId="0" borderId="18" xfId="0" applyFont="false" applyBorder="true" applyAlignment="true" applyProtection="false">
      <alignment horizontal="center" vertical="bottom" textRotation="0" wrapText="false" indent="0" shrinkToFit="false"/>
      <protection locked="true" hidden="false"/>
    </xf>
    <xf numFmtId="176" fontId="57" fillId="0" borderId="18" xfId="0" applyFont="true" applyBorder="true" applyAlignment="true" applyProtection="false">
      <alignment horizontal="center" vertical="bottom" textRotation="0" wrapText="false" indent="0" shrinkToFit="false"/>
      <protection locked="true" hidden="false"/>
    </xf>
    <xf numFmtId="177" fontId="57" fillId="0" borderId="18" xfId="19" applyFont="true" applyBorder="true" applyAlignment="true" applyProtection="true">
      <alignment horizontal="center" vertical="bottom" textRotation="0" wrapText="false" indent="0" shrinkToFit="false"/>
      <protection locked="true" hidden="false"/>
    </xf>
    <xf numFmtId="177" fontId="57" fillId="0" borderId="18" xfId="0" applyFont="true" applyBorder="true" applyAlignment="true" applyProtection="false">
      <alignment horizontal="center" vertical="bottom" textRotation="0" wrapText="false" indent="0" shrinkToFit="false"/>
      <protection locked="true" hidden="false"/>
    </xf>
    <xf numFmtId="164" fontId="25" fillId="5" borderId="0" xfId="0" applyFont="true" applyBorder="fals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5" fillId="5" borderId="0" xfId="0" applyFont="true" applyBorder="false" applyAlignment="true" applyProtection="false">
      <alignment horizontal="center" vertical="bottom" textRotation="0" wrapText="false" indent="0" shrinkToFit="false"/>
      <protection locked="true" hidden="false"/>
    </xf>
    <xf numFmtId="164" fontId="25" fillId="5" borderId="0" xfId="0" applyFont="true" applyBorder="false" applyAlignment="false" applyProtection="false">
      <alignment horizontal="general" vertical="bottom" textRotation="0" wrapText="false" indent="0" shrinkToFit="false"/>
      <protection locked="true" hidden="false"/>
    </xf>
    <xf numFmtId="164" fontId="22" fillId="23" borderId="0" xfId="0" applyFont="true" applyBorder="false" applyAlignment="false" applyProtection="true">
      <alignment horizontal="general" vertical="bottom" textRotation="0" wrapText="false" indent="0" shrinkToFit="false"/>
      <protection locked="true" hidden="false"/>
    </xf>
    <xf numFmtId="164" fontId="22" fillId="23" borderId="0" xfId="0" applyFont="true" applyBorder="false" applyAlignment="false" applyProtection="false">
      <alignment horizontal="general" vertical="bottom" textRotation="0" wrapText="false" indent="0" shrinkToFit="false"/>
      <protection locked="true" hidden="false"/>
    </xf>
    <xf numFmtId="164" fontId="22" fillId="23"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true" applyAlignment="true" applyProtection="false">
      <alignment horizontal="center" vertical="center" textRotation="0" wrapText="false" indent="0" shrinkToFit="false"/>
      <protection locked="true" hidden="false"/>
    </xf>
    <xf numFmtId="164" fontId="26" fillId="23" borderId="0" xfId="0" applyFont="true" applyBorder="false" applyAlignment="false" applyProtection="true">
      <alignment horizontal="general" vertical="bottom" textRotation="0" wrapText="false" indent="0" shrinkToFit="false"/>
      <protection locked="true" hidden="false"/>
    </xf>
    <xf numFmtId="164" fontId="64" fillId="23" borderId="0" xfId="0" applyFont="true" applyBorder="false" applyAlignment="false" applyProtection="false">
      <alignment horizontal="general" vertical="bottom" textRotation="0" wrapText="false" indent="0" shrinkToFit="false"/>
      <protection locked="true" hidden="false"/>
    </xf>
    <xf numFmtId="164" fontId="22" fillId="24" borderId="0" xfId="0" applyFont="true" applyBorder="false" applyAlignment="false" applyProtection="true">
      <alignment horizontal="general" vertical="bottom" textRotation="0" wrapText="false" indent="0" shrinkToFit="false"/>
      <protection locked="true" hidden="false"/>
    </xf>
    <xf numFmtId="164" fontId="22" fillId="24" borderId="0" xfId="0" applyFont="true" applyBorder="false" applyAlignment="false" applyProtection="false">
      <alignment horizontal="general" vertical="bottom" textRotation="0" wrapText="false" indent="0" shrinkToFit="false"/>
      <protection locked="true" hidden="false"/>
    </xf>
    <xf numFmtId="164" fontId="22" fillId="24" borderId="0" xfId="0" applyFont="true" applyBorder="false" applyAlignment="true" applyProtection="false">
      <alignment horizontal="center" vertical="bottom" textRotation="0" wrapText="false" indent="0" shrinkToFit="false"/>
      <protection locked="true" hidden="false"/>
    </xf>
    <xf numFmtId="168" fontId="0" fillId="0" borderId="0" xfId="0" applyFont="true" applyBorder="true" applyAlignment="true" applyProtection="false">
      <alignment horizontal="center" vertical="center" textRotation="0" wrapText="false" indent="0" shrinkToFit="false"/>
      <protection locked="true" hidden="false"/>
    </xf>
    <xf numFmtId="164" fontId="22" fillId="25" borderId="0" xfId="0" applyFont="true" applyBorder="false" applyAlignment="false" applyProtection="true">
      <alignment horizontal="general" vertical="bottom" textRotation="0" wrapText="false" indent="0" shrinkToFit="false"/>
      <protection locked="true" hidden="false"/>
    </xf>
    <xf numFmtId="164" fontId="22" fillId="25" borderId="0" xfId="0" applyFont="true" applyBorder="false" applyAlignment="false" applyProtection="false">
      <alignment horizontal="general" vertical="bottom" textRotation="0" wrapText="false" indent="0" shrinkToFit="false"/>
      <protection locked="true" hidden="false"/>
    </xf>
    <xf numFmtId="164" fontId="22" fillId="25" borderId="0" xfId="0" applyFont="true" applyBorder="false" applyAlignment="true" applyProtection="false">
      <alignment horizontal="center" vertical="bottom" textRotation="0" wrapText="false" indent="0" shrinkToFit="false"/>
      <protection locked="true" hidden="false"/>
    </xf>
    <xf numFmtId="164" fontId="22" fillId="26" borderId="0" xfId="0" applyFont="true" applyBorder="false" applyAlignment="false" applyProtection="true">
      <alignment horizontal="general" vertical="bottom" textRotation="0" wrapText="false" indent="0" shrinkToFit="false"/>
      <protection locked="true" hidden="false"/>
    </xf>
    <xf numFmtId="164" fontId="22" fillId="26" borderId="0" xfId="0" applyFont="true" applyBorder="false" applyAlignment="false" applyProtection="false">
      <alignment horizontal="general" vertical="bottom" textRotation="0" wrapText="false" indent="0" shrinkToFit="false"/>
      <protection locked="true" hidden="false"/>
    </xf>
    <xf numFmtId="164" fontId="22" fillId="26" borderId="0" xfId="0" applyFont="true" applyBorder="false" applyAlignment="true" applyProtection="false">
      <alignment horizontal="center" vertical="bottom" textRotation="0" wrapText="false" indent="0" shrinkToFit="false"/>
      <protection locked="true" hidden="false"/>
    </xf>
    <xf numFmtId="164" fontId="22" fillId="27" borderId="0" xfId="0" applyFont="true" applyBorder="false" applyAlignment="false" applyProtection="true">
      <alignment horizontal="general" vertical="bottom" textRotation="0" wrapText="false" indent="0" shrinkToFit="false"/>
      <protection locked="true" hidden="false"/>
    </xf>
    <xf numFmtId="164" fontId="22" fillId="27" borderId="0" xfId="0" applyFont="true" applyBorder="false" applyAlignment="false" applyProtection="false">
      <alignment horizontal="general" vertical="bottom" textRotation="0" wrapText="false" indent="0" shrinkToFit="false"/>
      <protection locked="true" hidden="false"/>
    </xf>
    <xf numFmtId="164" fontId="22" fillId="27" borderId="0" xfId="0" applyFont="true" applyBorder="false" applyAlignment="true" applyProtection="false">
      <alignment horizontal="center" vertical="bottom" textRotation="0" wrapText="false" indent="0" shrinkToFit="false"/>
      <protection locked="true" hidden="false"/>
    </xf>
    <xf numFmtId="164" fontId="26" fillId="27" borderId="0" xfId="0" applyFont="true" applyBorder="false" applyAlignment="false" applyProtection="true">
      <alignment horizontal="general" vertical="bottom" textRotation="0" wrapText="false" indent="0" shrinkToFit="false"/>
      <protection locked="true" hidden="false"/>
    </xf>
    <xf numFmtId="164" fontId="25" fillId="5" borderId="0" xfId="0" applyFont="true" applyBorder="false" applyAlignment="false" applyProtection="true">
      <alignment horizontal="general" vertical="bottom" textRotation="0" wrapText="false" indent="0" shrinkToFit="false"/>
      <protection locked="true" hidden="false"/>
    </xf>
    <xf numFmtId="164" fontId="21" fillId="5" borderId="0" xfId="59" applyFont="true" applyBorder="false" applyAlignment="true" applyProtection="true">
      <alignment horizontal="general" vertical="center" textRotation="0" wrapText="false" indent="0" shrinkToFit="false"/>
      <protection locked="false" hidden="false"/>
    </xf>
    <xf numFmtId="167" fontId="21" fillId="5" borderId="0" xfId="59" applyFont="true" applyBorder="false" applyAlignment="true" applyProtection="true">
      <alignment horizontal="general" vertical="center" textRotation="0" wrapText="false" indent="0" shrinkToFit="false"/>
      <protection locked="false" hidden="false"/>
    </xf>
    <xf numFmtId="175" fontId="21" fillId="5" borderId="0" xfId="59" applyFont="true" applyBorder="false" applyAlignment="true" applyProtection="true">
      <alignment horizontal="general" vertical="center" textRotation="0" wrapText="false" indent="0" shrinkToFit="false"/>
      <protection locked="false" hidden="false"/>
    </xf>
    <xf numFmtId="164" fontId="65" fillId="0" borderId="0" xfId="59" applyFont="true" applyBorder="false" applyAlignment="true" applyProtection="true">
      <alignment horizontal="general" vertical="center" textRotation="0" wrapText="false" indent="0" shrinkToFit="false"/>
      <protection locked="false" hidden="false"/>
    </xf>
    <xf numFmtId="167" fontId="66" fillId="5" borderId="0" xfId="59" applyFont="true" applyBorder="false" applyAlignment="true" applyProtection="true">
      <alignment horizontal="general" vertical="center" textRotation="0" wrapText="false" indent="0" shrinkToFit="false"/>
      <protection locked="false" hidden="false"/>
    </xf>
    <xf numFmtId="175" fontId="66" fillId="5" borderId="0" xfId="59" applyFont="true" applyBorder="false" applyAlignment="true" applyProtection="true">
      <alignment horizontal="general" vertical="center" textRotation="0" wrapText="false" indent="0" shrinkToFit="false"/>
      <protection locked="false" hidden="false"/>
    </xf>
    <xf numFmtId="164" fontId="66" fillId="5" borderId="0" xfId="59" applyFont="true" applyBorder="false" applyAlignment="true" applyProtection="true">
      <alignment horizontal="general" vertical="center" textRotation="0" wrapText="false" indent="0" shrinkToFit="false"/>
      <protection locked="false" hidden="false"/>
    </xf>
    <xf numFmtId="164" fontId="67" fillId="0" borderId="0" xfId="59" applyFont="true" applyBorder="false" applyAlignment="true" applyProtection="true">
      <alignment horizontal="general" vertical="center" textRotation="0" wrapText="false" indent="0" shrinkToFit="false"/>
      <protection locked="false" hidden="false"/>
    </xf>
    <xf numFmtId="164" fontId="42" fillId="18" borderId="53" xfId="0" applyFont="true" applyBorder="true" applyAlignment="true" applyProtection="false">
      <alignment horizontal="center" vertical="center" textRotation="0" wrapText="false" indent="0" shrinkToFit="false"/>
      <protection locked="true" hidden="false"/>
    </xf>
    <xf numFmtId="164" fontId="68" fillId="18" borderId="83" xfId="59" applyFont="true" applyBorder="true" applyAlignment="true" applyProtection="true">
      <alignment horizontal="center" vertical="center" textRotation="0" wrapText="true" indent="0" shrinkToFit="false"/>
      <protection locked="true" hidden="false"/>
    </xf>
    <xf numFmtId="164" fontId="68" fillId="18" borderId="84" xfId="59" applyFont="true" applyBorder="true" applyAlignment="true" applyProtection="true">
      <alignment horizontal="center" vertical="center" textRotation="0" wrapText="true" indent="0" shrinkToFit="false"/>
      <protection locked="true" hidden="false"/>
    </xf>
    <xf numFmtId="164" fontId="68" fillId="18" borderId="85" xfId="59" applyFont="true" applyBorder="true" applyAlignment="true" applyProtection="true">
      <alignment horizontal="center" vertical="center" textRotation="0" wrapText="true" indent="0" shrinkToFit="false"/>
      <protection locked="true" hidden="false"/>
    </xf>
    <xf numFmtId="164" fontId="21" fillId="5" borderId="0" xfId="59" applyFont="true" applyBorder="false" applyAlignment="true" applyProtection="true">
      <alignment horizontal="general" vertical="center" textRotation="0" wrapText="false" indent="0" shrinkToFit="false"/>
      <protection locked="true" hidden="true"/>
    </xf>
    <xf numFmtId="164" fontId="12" fillId="7" borderId="86" xfId="59" applyFont="true" applyBorder="true" applyAlignment="true" applyProtection="true">
      <alignment horizontal="center" vertical="center" textRotation="0" wrapText="false" indent="0" shrinkToFit="false"/>
      <protection locked="true" hidden="false"/>
    </xf>
    <xf numFmtId="164" fontId="9" fillId="0" borderId="87" xfId="59" applyFont="true" applyBorder="true" applyAlignment="true" applyProtection="true">
      <alignment horizontal="justify" vertical="center" textRotation="0" wrapText="true" indent="0" shrinkToFit="false"/>
      <protection locked="true" hidden="false"/>
    </xf>
    <xf numFmtId="164" fontId="9" fillId="0" borderId="88" xfId="59" applyFont="true" applyBorder="true" applyAlignment="true" applyProtection="true">
      <alignment horizontal="justify" vertical="center" textRotation="0" wrapText="true" indent="0" shrinkToFit="false"/>
      <protection locked="true" hidden="false"/>
    </xf>
    <xf numFmtId="176" fontId="9" fillId="5" borderId="0" xfId="59" applyFont="true" applyBorder="false" applyAlignment="true" applyProtection="true">
      <alignment horizontal="general" vertical="center" textRotation="0" wrapText="false" indent="0" shrinkToFit="false"/>
      <protection locked="true" hidden="true"/>
    </xf>
    <xf numFmtId="176" fontId="65" fillId="5" borderId="0" xfId="19" applyFont="true" applyBorder="true" applyAlignment="true" applyProtection="true">
      <alignment horizontal="general" vertical="center" textRotation="0" wrapText="false" indent="0" shrinkToFit="false"/>
      <protection locked="true" hidden="true"/>
    </xf>
    <xf numFmtId="164" fontId="12" fillId="8" borderId="89" xfId="59" applyFont="true" applyBorder="true" applyAlignment="true" applyProtection="true">
      <alignment horizontal="center" vertical="center" textRotation="0" wrapText="false" indent="0" shrinkToFit="false"/>
      <protection locked="true" hidden="false"/>
    </xf>
    <xf numFmtId="164" fontId="9" fillId="0" borderId="90" xfId="59" applyFont="true" applyBorder="true" applyAlignment="true" applyProtection="true">
      <alignment horizontal="justify" vertical="center" textRotation="0" wrapText="true" indent="0" shrinkToFit="false"/>
      <protection locked="true" hidden="false"/>
    </xf>
    <xf numFmtId="164" fontId="9" fillId="0" borderId="91" xfId="59" applyFont="true" applyBorder="true" applyAlignment="true" applyProtection="true">
      <alignment horizontal="justify" vertical="center" textRotation="0" wrapText="true" indent="0" shrinkToFit="false"/>
      <protection locked="true" hidden="false"/>
    </xf>
    <xf numFmtId="176" fontId="65" fillId="5" borderId="0" xfId="59" applyFont="true" applyBorder="false" applyAlignment="true" applyProtection="true">
      <alignment horizontal="general" vertical="center" textRotation="0" wrapText="false" indent="0" shrinkToFit="false"/>
      <protection locked="true" hidden="true"/>
    </xf>
    <xf numFmtId="164" fontId="12" fillId="9" borderId="89" xfId="59" applyFont="true" applyBorder="true" applyAlignment="true" applyProtection="true">
      <alignment horizontal="center" vertical="center" textRotation="0" wrapText="true" indent="0" shrinkToFit="false"/>
      <protection locked="true" hidden="false"/>
    </xf>
    <xf numFmtId="164" fontId="9" fillId="5" borderId="0" xfId="59" applyFont="true" applyBorder="false" applyAlignment="true" applyProtection="true">
      <alignment horizontal="general" vertical="center" textRotation="0" wrapText="false" indent="0" shrinkToFit="false"/>
      <protection locked="true" hidden="true"/>
    </xf>
    <xf numFmtId="164" fontId="12" fillId="2" borderId="92" xfId="59" applyFont="true" applyBorder="true" applyAlignment="true" applyProtection="true">
      <alignment horizontal="center" vertical="center" textRotation="0" wrapText="true" indent="0" shrinkToFit="false"/>
      <protection locked="true" hidden="false"/>
    </xf>
    <xf numFmtId="164" fontId="9" fillId="0" borderId="93" xfId="59" applyFont="true" applyBorder="true" applyAlignment="true" applyProtection="true">
      <alignment horizontal="justify" vertical="center" textRotation="0" wrapText="true" indent="0" shrinkToFit="false"/>
      <protection locked="true" hidden="false"/>
    </xf>
    <xf numFmtId="164" fontId="9" fillId="0" borderId="94" xfId="59" applyFont="true" applyBorder="true" applyAlignment="true" applyProtection="true">
      <alignment horizontal="justify" vertical="center" textRotation="0" wrapText="true" indent="0" shrinkToFit="false"/>
      <protection locked="true" hidden="false"/>
    </xf>
    <xf numFmtId="164" fontId="69" fillId="5" borderId="0" xfId="0" applyFont="true" applyBorder="true" applyAlignment="true" applyProtection="true">
      <alignment horizontal="left" vertical="center" textRotation="0" wrapText="true" indent="0" shrinkToFit="false"/>
      <protection locked="false" hidden="false"/>
    </xf>
    <xf numFmtId="164" fontId="69" fillId="0" borderId="0" xfId="0" applyFont="true" applyBorder="false" applyAlignment="true" applyProtection="true">
      <alignment horizontal="general" vertical="center" textRotation="0" wrapText="true" indent="0" shrinkToFit="false"/>
      <protection locked="false" hidden="false"/>
    </xf>
    <xf numFmtId="164" fontId="69" fillId="5" borderId="0" xfId="0" applyFont="true" applyBorder="false" applyAlignment="true" applyProtection="true">
      <alignment horizontal="general" vertical="center" textRotation="0" wrapText="true" indent="0" shrinkToFit="false"/>
      <protection locked="false" hidden="false"/>
    </xf>
    <xf numFmtId="164" fontId="70" fillId="18" borderId="41" xfId="59" applyFont="true" applyBorder="true" applyAlignment="true" applyProtection="true">
      <alignment horizontal="center" vertical="center" textRotation="0" wrapText="true" indent="0" shrinkToFit="false"/>
      <protection locked="true" hidden="false"/>
    </xf>
    <xf numFmtId="164" fontId="70" fillId="18" borderId="38" xfId="59" applyFont="true" applyBorder="true" applyAlignment="true" applyProtection="true">
      <alignment horizontal="center" vertical="center" textRotation="0" wrapText="true" indent="0" shrinkToFit="false"/>
      <protection locked="true" hidden="false"/>
    </xf>
    <xf numFmtId="164" fontId="70" fillId="18" borderId="42" xfId="59" applyFont="true" applyBorder="true" applyAlignment="true" applyProtection="true">
      <alignment horizontal="center" vertical="center" textRotation="0" wrapText="true" indent="0" shrinkToFit="false"/>
      <protection locked="true" hidden="false"/>
    </xf>
    <xf numFmtId="164" fontId="70" fillId="18" borderId="95" xfId="59" applyFont="true" applyBorder="true" applyAlignment="true" applyProtection="true">
      <alignment horizontal="center" vertical="center" textRotation="0" wrapText="true" indent="0" shrinkToFit="false"/>
      <protection locked="true" hidden="false"/>
    </xf>
    <xf numFmtId="164" fontId="70" fillId="28" borderId="53" xfId="59" applyFont="true" applyBorder="true" applyAlignment="true" applyProtection="true">
      <alignment horizontal="center" vertical="center" textRotation="0" wrapText="true" indent="0" shrinkToFit="false"/>
      <protection locked="true" hidden="false"/>
    </xf>
    <xf numFmtId="164" fontId="70" fillId="28" borderId="96" xfId="59" applyFont="true" applyBorder="true" applyAlignment="true" applyProtection="true">
      <alignment horizontal="center" vertical="center" textRotation="0" wrapText="true" indent="0" shrinkToFit="false"/>
      <protection locked="true" hidden="false"/>
    </xf>
    <xf numFmtId="164" fontId="68" fillId="28" borderId="97" xfId="59" applyFont="true" applyBorder="true" applyAlignment="true" applyProtection="true">
      <alignment horizontal="center" vertical="center" textRotation="0" wrapText="false" indent="0" shrinkToFit="false"/>
      <protection locked="true" hidden="false"/>
    </xf>
    <xf numFmtId="164" fontId="70" fillId="18" borderId="45" xfId="59" applyFont="true" applyBorder="true" applyAlignment="true" applyProtection="true">
      <alignment horizontal="center" vertical="center" textRotation="0" wrapText="false" indent="0" shrinkToFit="false"/>
      <protection locked="true" hidden="false"/>
    </xf>
    <xf numFmtId="164" fontId="70" fillId="18" borderId="15" xfId="59" applyFont="true" applyBorder="true" applyAlignment="true" applyProtection="true">
      <alignment horizontal="center" vertical="center" textRotation="0" wrapText="true" indent="0" shrinkToFit="false"/>
      <protection locked="true" hidden="false"/>
    </xf>
    <xf numFmtId="164" fontId="68" fillId="28" borderId="46" xfId="59" applyFont="true" applyBorder="true" applyAlignment="true" applyProtection="true">
      <alignment horizontal="center" vertical="center" textRotation="0" wrapText="false" indent="0" shrinkToFit="false"/>
      <protection locked="true" hidden="false"/>
    </xf>
    <xf numFmtId="164" fontId="68" fillId="28" borderId="98" xfId="59" applyFont="true" applyBorder="true" applyAlignment="true" applyProtection="true">
      <alignment horizontal="center" vertical="center" textRotation="0" wrapText="false" indent="0" shrinkToFit="false"/>
      <protection locked="true" hidden="false"/>
    </xf>
    <xf numFmtId="168" fontId="22" fillId="5" borderId="99" xfId="59" applyFont="true" applyBorder="true" applyAlignment="true" applyProtection="true">
      <alignment horizontal="center" vertical="center" textRotation="0" wrapText="true" indent="0" shrinkToFit="false"/>
      <protection locked="true" hidden="true"/>
    </xf>
    <xf numFmtId="168" fontId="71" fillId="5" borderId="100" xfId="59" applyFont="true" applyBorder="true" applyAlignment="true" applyProtection="true">
      <alignment horizontal="center" vertical="center" textRotation="0" wrapText="true" indent="0" shrinkToFit="false"/>
      <protection locked="true" hidden="true"/>
    </xf>
    <xf numFmtId="168" fontId="71" fillId="5" borderId="100" xfId="59" applyFont="true" applyBorder="true" applyAlignment="true" applyProtection="true">
      <alignment horizontal="left" vertical="top" textRotation="0" wrapText="true" indent="0" shrinkToFit="false"/>
      <protection locked="true" hidden="true"/>
    </xf>
    <xf numFmtId="167" fontId="71" fillId="5" borderId="100" xfId="59" applyFont="true" applyBorder="true" applyAlignment="true" applyProtection="true">
      <alignment horizontal="center" vertical="center" textRotation="0" wrapText="true" indent="0" shrinkToFit="false"/>
      <protection locked="true" hidden="true"/>
    </xf>
    <xf numFmtId="168" fontId="71" fillId="5" borderId="101" xfId="59" applyFont="true" applyBorder="true" applyAlignment="true" applyProtection="true">
      <alignment horizontal="center" vertical="center" textRotation="0" wrapText="true" indent="0" shrinkToFit="false"/>
      <protection locked="true" hidden="true"/>
    </xf>
    <xf numFmtId="168" fontId="71" fillId="5" borderId="102" xfId="59" applyFont="true" applyBorder="true" applyAlignment="true" applyProtection="true">
      <alignment horizontal="center" vertical="center" textRotation="0" wrapText="true" indent="0" shrinkToFit="false"/>
      <protection locked="true" hidden="true"/>
    </xf>
    <xf numFmtId="176" fontId="25" fillId="0" borderId="51" xfId="19" applyFont="true" applyBorder="true" applyAlignment="true" applyProtection="true">
      <alignment horizontal="center" vertical="center" textRotation="0" wrapText="false" indent="0" shrinkToFit="false"/>
      <protection locked="true" hidden="true"/>
    </xf>
    <xf numFmtId="176" fontId="72" fillId="5" borderId="47" xfId="59" applyFont="true" applyBorder="true" applyAlignment="true" applyProtection="true">
      <alignment horizontal="center" vertical="center" textRotation="0" wrapText="false" indent="0" shrinkToFit="false"/>
      <protection locked="true" hidden="true"/>
    </xf>
    <xf numFmtId="164" fontId="73" fillId="5" borderId="100" xfId="59" applyFont="true" applyBorder="true" applyAlignment="true" applyProtection="true">
      <alignment horizontal="justify" vertical="center" textRotation="0" wrapText="true" indent="0" shrinkToFit="false"/>
      <protection locked="false" hidden="true"/>
    </xf>
    <xf numFmtId="164" fontId="21" fillId="5" borderId="51" xfId="59" applyFont="true" applyBorder="true" applyAlignment="true" applyProtection="true">
      <alignment horizontal="general" vertical="center" textRotation="0" wrapText="false" indent="0" shrinkToFit="false"/>
      <protection locked="false" hidden="false"/>
    </xf>
    <xf numFmtId="167" fontId="22" fillId="5" borderId="103" xfId="59" applyFont="true" applyBorder="true" applyAlignment="true" applyProtection="true">
      <alignment horizontal="center" vertical="center" textRotation="0" wrapText="true" indent="0" shrinkToFit="false"/>
      <protection locked="true" hidden="true"/>
    </xf>
    <xf numFmtId="168" fontId="71" fillId="5" borderId="104" xfId="59" applyFont="true" applyBorder="true" applyAlignment="true" applyProtection="true">
      <alignment horizontal="center" vertical="center" textRotation="0" wrapText="true" indent="0" shrinkToFit="false"/>
      <protection locked="true" hidden="true"/>
    </xf>
    <xf numFmtId="168" fontId="71" fillId="5" borderId="104" xfId="59" applyFont="true" applyBorder="true" applyAlignment="true" applyProtection="true">
      <alignment horizontal="left" vertical="top" textRotation="0" wrapText="true" indent="0" shrinkToFit="false"/>
      <protection locked="true" hidden="true"/>
    </xf>
    <xf numFmtId="168" fontId="71" fillId="5" borderId="105" xfId="59" applyFont="true" applyBorder="true" applyAlignment="true" applyProtection="true">
      <alignment horizontal="center" vertical="center" textRotation="0" wrapText="true" indent="0" shrinkToFit="false"/>
      <protection locked="true" hidden="true"/>
    </xf>
    <xf numFmtId="164" fontId="21" fillId="5" borderId="18" xfId="59" applyFont="true" applyBorder="true" applyAlignment="true" applyProtection="true">
      <alignment horizontal="general" vertical="center" textRotation="0" wrapText="false" indent="0" shrinkToFit="false"/>
      <protection locked="false" hidden="false"/>
    </xf>
    <xf numFmtId="168" fontId="22" fillId="5" borderId="103" xfId="59" applyFont="true" applyBorder="true" applyAlignment="true" applyProtection="true">
      <alignment horizontal="center" vertical="center" textRotation="0" wrapText="true" indent="0" shrinkToFit="false"/>
      <protection locked="true" hidden="true"/>
    </xf>
    <xf numFmtId="164" fontId="71" fillId="5" borderId="100" xfId="59" applyFont="true" applyBorder="true" applyAlignment="true" applyProtection="true">
      <alignment horizontal="justify" vertical="center" textRotation="0" wrapText="true" indent="0" shrinkToFit="false"/>
      <protection locked="false" hidden="true"/>
    </xf>
    <xf numFmtId="164" fontId="21" fillId="5" borderId="52" xfId="59" applyFont="true" applyBorder="true" applyAlignment="true" applyProtection="true">
      <alignment horizontal="general" vertical="center" textRotation="0" wrapText="false" indent="0" shrinkToFit="false"/>
      <protection locked="false" hidden="false"/>
    </xf>
    <xf numFmtId="164" fontId="73" fillId="0" borderId="100" xfId="59" applyFont="true" applyBorder="true" applyAlignment="true" applyProtection="true">
      <alignment horizontal="justify" vertical="center" textRotation="0" wrapText="true" indent="0" shrinkToFit="false"/>
      <protection locked="false" hidden="true"/>
    </xf>
    <xf numFmtId="176" fontId="72" fillId="5" borderId="31" xfId="59" applyFont="true" applyBorder="true" applyAlignment="true" applyProtection="true">
      <alignment horizontal="center" vertical="center" textRotation="0" wrapText="false" indent="0" shrinkToFit="false"/>
      <protection locked="true" hidden="true"/>
    </xf>
    <xf numFmtId="164" fontId="73" fillId="5" borderId="100" xfId="59" applyFont="true" applyBorder="true" applyAlignment="true" applyProtection="true">
      <alignment horizontal="justify" vertical="center" textRotation="0" wrapText="true" indent="0" shrinkToFit="false"/>
      <protection locked="false" hidden="false"/>
    </xf>
    <xf numFmtId="164" fontId="74" fillId="0" borderId="0" xfId="0" applyFont="true" applyBorder="false" applyAlignment="true" applyProtection="false">
      <alignment horizontal="justify" vertical="center" textRotation="0" wrapText="false" indent="0" shrinkToFit="false"/>
      <protection locked="true" hidden="false"/>
    </xf>
    <xf numFmtId="176" fontId="72" fillId="5" borderId="50" xfId="59" applyFont="true" applyBorder="true" applyAlignment="true" applyProtection="true">
      <alignment horizontal="center" vertical="center" textRotation="0" wrapText="false" indent="0" shrinkToFit="false"/>
      <protection locked="true" hidden="true"/>
    </xf>
    <xf numFmtId="164" fontId="74" fillId="0" borderId="0" xfId="0" applyFont="true" applyBorder="false" applyAlignment="true" applyProtection="true">
      <alignment horizontal="justify" vertical="center" textRotation="0" wrapText="false" indent="0" shrinkToFit="false"/>
      <protection locked="true" hidden="false"/>
    </xf>
    <xf numFmtId="164" fontId="71" fillId="5" borderId="104" xfId="59" applyFont="true" applyBorder="true" applyAlignment="true" applyProtection="true">
      <alignment horizontal="left" vertical="top" textRotation="0" wrapText="true" indent="0" shrinkToFit="false"/>
      <protection locked="false" hidden="true"/>
    </xf>
    <xf numFmtId="164" fontId="73" fillId="5" borderId="104" xfId="59" applyFont="true" applyBorder="true" applyAlignment="true" applyProtection="true">
      <alignment horizontal="left" vertical="top" textRotation="0" wrapText="true" indent="0" shrinkToFit="false"/>
      <protection locked="false" hidden="true"/>
    </xf>
    <xf numFmtId="164" fontId="73" fillId="5" borderId="104" xfId="59" applyFont="true" applyBorder="true" applyAlignment="true" applyProtection="true">
      <alignment horizontal="left" vertical="top" textRotation="0" wrapText="true" indent="0" shrinkToFit="false"/>
      <protection locked="false" hidden="false"/>
    </xf>
    <xf numFmtId="176" fontId="72" fillId="5" borderId="51" xfId="59" applyFont="true" applyBorder="true" applyAlignment="true" applyProtection="true">
      <alignment horizontal="center" vertical="center" textRotation="0" wrapText="false" indent="0" shrinkToFit="false"/>
      <protection locked="true" hidden="true"/>
    </xf>
    <xf numFmtId="176" fontId="25" fillId="0" borderId="18" xfId="19" applyFont="true" applyBorder="true" applyAlignment="true" applyProtection="true">
      <alignment horizontal="center" vertical="center" textRotation="0" wrapText="false" indent="0" shrinkToFit="false"/>
      <protection locked="true" hidden="true"/>
    </xf>
    <xf numFmtId="164" fontId="71" fillId="5" borderId="104" xfId="59" applyFont="true" applyBorder="true" applyAlignment="true" applyProtection="true">
      <alignment horizontal="center" vertical="center" textRotation="0" wrapText="true" indent="0" shrinkToFit="false"/>
      <protection locked="true" hidden="false"/>
    </xf>
    <xf numFmtId="164" fontId="21" fillId="0" borderId="18" xfId="59" applyFont="true" applyBorder="true" applyAlignment="true" applyProtection="true">
      <alignment horizontal="general" vertical="center" textRotation="0" wrapText="false" indent="0" shrinkToFit="false"/>
      <protection locked="false" hidden="false"/>
    </xf>
    <xf numFmtId="164" fontId="21" fillId="0" borderId="51" xfId="59" applyFont="true" applyBorder="true" applyAlignment="true" applyProtection="true">
      <alignment horizontal="general" vertical="center" textRotation="0" wrapText="false" indent="0" shrinkToFit="false"/>
      <protection locked="false" hidden="false"/>
    </xf>
    <xf numFmtId="167" fontId="22" fillId="5" borderId="106" xfId="59" applyFont="true" applyBorder="true" applyAlignment="true" applyProtection="true">
      <alignment horizontal="center" vertical="center" textRotation="0" wrapText="true" indent="0" shrinkToFit="false"/>
      <protection locked="true" hidden="true"/>
    </xf>
    <xf numFmtId="168" fontId="71" fillId="5" borderId="107" xfId="59" applyFont="true" applyBorder="true" applyAlignment="true" applyProtection="true">
      <alignment horizontal="center" vertical="center" textRotation="0" wrapText="true" indent="0" shrinkToFit="false"/>
      <protection locked="true" hidden="true"/>
    </xf>
    <xf numFmtId="168" fontId="71" fillId="5" borderId="107" xfId="59" applyFont="true" applyBorder="true" applyAlignment="true" applyProtection="true">
      <alignment horizontal="left" vertical="top" textRotation="0" wrapText="true" indent="0" shrinkToFit="false"/>
      <protection locked="true" hidden="true"/>
    </xf>
    <xf numFmtId="168" fontId="71" fillId="5" borderId="108" xfId="59" applyFont="true" applyBorder="true" applyAlignment="true" applyProtection="true">
      <alignment horizontal="center" vertical="center" textRotation="0" wrapText="true" indent="0" shrinkToFit="false"/>
      <protection locked="true" hidden="true"/>
    </xf>
    <xf numFmtId="164" fontId="71" fillId="5" borderId="107" xfId="59" applyFont="true" applyBorder="true" applyAlignment="true" applyProtection="true">
      <alignment horizontal="center" vertical="center" textRotation="0" wrapText="true" indent="0" shrinkToFit="false"/>
      <protection locked="true" hidden="false"/>
    </xf>
    <xf numFmtId="164" fontId="24" fillId="18" borderId="18" xfId="0" applyFont="true" applyBorder="true" applyAlignment="true" applyProtection="false">
      <alignment horizontal="center" vertical="center" textRotation="0" wrapText="true" indent="0" shrinkToFit="false"/>
      <protection locked="true" hidden="false"/>
    </xf>
    <xf numFmtId="164" fontId="24" fillId="18" borderId="31" xfId="0" applyFont="true" applyBorder="true" applyAlignment="true" applyProtection="false">
      <alignment horizontal="center" vertical="center" textRotation="0" wrapText="true" indent="0" shrinkToFit="false"/>
      <protection locked="true" hidden="false"/>
    </xf>
    <xf numFmtId="164" fontId="24" fillId="18" borderId="50" xfId="0" applyFont="true" applyBorder="true" applyAlignment="true" applyProtection="false">
      <alignment horizontal="center" vertical="center" textRotation="0" wrapText="true" indent="0" shrinkToFit="false"/>
      <protection locked="true" hidden="false"/>
    </xf>
    <xf numFmtId="164" fontId="24" fillId="18"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true"/>
    </xf>
    <xf numFmtId="168" fontId="76" fillId="0" borderId="0" xfId="0" applyFont="true" applyBorder="false" applyAlignment="false" applyProtection="true">
      <alignment horizontal="general" vertical="bottom" textRotation="0" wrapText="false" indent="0" shrinkToFit="false"/>
      <protection locked="true" hidden="true"/>
    </xf>
    <xf numFmtId="164" fontId="12" fillId="0" borderId="0" xfId="59" applyFont="true" applyBorder="true" applyAlignment="true" applyProtection="true">
      <alignment horizontal="general" vertical="center" textRotation="0" wrapText="false" indent="0" shrinkToFit="false"/>
      <protection locked="true" hidden="true"/>
    </xf>
    <xf numFmtId="164" fontId="17" fillId="0" borderId="0" xfId="59" applyFont="true" applyBorder="true" applyAlignment="true" applyProtection="true">
      <alignment horizontal="general" vertical="center" textRotation="0" wrapText="true" indent="0" shrinkToFit="false"/>
      <protection locked="true" hidden="true"/>
    </xf>
    <xf numFmtId="164" fontId="12" fillId="0" borderId="0" xfId="59"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true">
      <alignment horizontal="general" vertical="bottom" textRotation="0" wrapText="true" indent="0" shrinkToFit="false"/>
      <protection locked="true" hidden="true"/>
    </xf>
  </cellXfs>
  <cellStyles count="54">
    <cellStyle name="Normal" xfId="0" builtinId="0"/>
    <cellStyle name="Comma" xfId="15" builtinId="3"/>
    <cellStyle name="Comma [0]" xfId="16" builtinId="6"/>
    <cellStyle name="Currency" xfId="17" builtinId="4"/>
    <cellStyle name="Currency [0]" xfId="18" builtinId="7"/>
    <cellStyle name="Percent" xfId="19" builtinId="5"/>
    <cellStyle name="ExtConditionalStyle_1 7" xfId="21"/>
    <cellStyle name="ExtConditionalStyle_1 1" xfId="22"/>
    <cellStyle name="ExtConditionalStyle_1 2" xfId="23"/>
    <cellStyle name="ExtConditionalStyle_1 3" xfId="24"/>
    <cellStyle name="ExtConditionalStyle_1 4" xfId="25"/>
    <cellStyle name="ExtConditionalStyle_1 5" xfId="26"/>
    <cellStyle name="ExtConditionalStyle_1 6" xfId="27"/>
    <cellStyle name="ExtConditionalStyle_2 6" xfId="28"/>
    <cellStyle name="ExtConditionalStyle_2 1" xfId="29"/>
    <cellStyle name="ExtConditionalStyle_2 2" xfId="30"/>
    <cellStyle name="ExtConditionalStyle_2 3" xfId="31"/>
    <cellStyle name="ExtConditionalStyle_2 4" xfId="32"/>
    <cellStyle name="ExtConditionalStyle_2 5" xfId="33"/>
    <cellStyle name="ExtConditionalStyle_3 6" xfId="34"/>
    <cellStyle name="ExtConditionalStyle_3 1" xfId="35"/>
    <cellStyle name="ExtConditionalStyle_3 2" xfId="36"/>
    <cellStyle name="ExtConditionalStyle_3 3" xfId="37"/>
    <cellStyle name="ExtConditionalStyle_3 4" xfId="38"/>
    <cellStyle name="ExtConditionalStyle_3 5" xfId="39"/>
    <cellStyle name="ExtConditionalStyle_4 6" xfId="40"/>
    <cellStyle name="ExtConditionalStyle_4 1" xfId="41"/>
    <cellStyle name="ExtConditionalStyle_4 2" xfId="42"/>
    <cellStyle name="ExtConditionalStyle_4 3" xfId="43"/>
    <cellStyle name="ExtConditionalStyle_4 4" xfId="44"/>
    <cellStyle name="ExtConditionalStyle_4 5" xfId="45"/>
    <cellStyle name="ExtConditionalStyle_5 6" xfId="46"/>
    <cellStyle name="ExtConditionalStyle_5 1" xfId="47"/>
    <cellStyle name="ExtConditionalStyle_5 2" xfId="48"/>
    <cellStyle name="ExtConditionalStyle_5 3" xfId="49"/>
    <cellStyle name="ExtConditionalStyle_5 4" xfId="50"/>
    <cellStyle name="ExtConditionalStyle_5 5" xfId="51"/>
    <cellStyle name="ExtConditionalStyle_6 6" xfId="52"/>
    <cellStyle name="ExtConditionalStyle_6 1" xfId="53"/>
    <cellStyle name="ExtConditionalStyle_6 2" xfId="54"/>
    <cellStyle name="ExtConditionalStyle_6 3" xfId="55"/>
    <cellStyle name="ExtConditionalStyle_6 4" xfId="56"/>
    <cellStyle name="ExtConditionalStyle_6 5" xfId="57"/>
    <cellStyle name="Normal - Style1 2" xfId="58"/>
    <cellStyle name="Normal 2" xfId="59"/>
    <cellStyle name="Normal 2 2" xfId="60"/>
    <cellStyle name="table_head1" xfId="61"/>
    <cellStyle name="ExtConditionalStyle_1" xfId="62"/>
    <cellStyle name="ExtConditionalStyle_2" xfId="63"/>
    <cellStyle name="ExtConditionalStyle_3" xfId="64"/>
    <cellStyle name="ExtConditionalStyle_4" xfId="65"/>
    <cellStyle name="ExtConditionalStyle_5" xfId="66"/>
    <cellStyle name="ExtConditionalStyle_6" xfId="67"/>
    <cellStyle name="*unknown*" xfId="20" builtinId="8"/>
  </cellStyles>
  <dxfs count="42">
    <dxf>
      <fill>
        <patternFill>
          <bgColor rgb="FF00B050"/>
        </patternFill>
      </fill>
    </dxf>
    <dxf>
      <fill>
        <patternFill>
          <bgColor rgb="FF92D050"/>
        </patternFill>
      </fill>
    </dxf>
    <dxf>
      <fill>
        <patternFill>
          <bgColor rgb="FFFFFF00"/>
        </patternFill>
      </fill>
    </dxf>
    <dxf>
      <font>
        <name val="Arial"/>
        <charset val="1"/>
        <family val="0"/>
        <color rgb="FF000000"/>
      </font>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0000"/>
        </patternFill>
      </fill>
    </dxf>
    <dxf>
      <font>
        <name val="Arial"/>
        <charset val="1"/>
        <family val="0"/>
        <color rgb="FF000000"/>
      </font>
    </dxf>
    <dxf>
      <font>
        <name val="Arial"/>
        <charset val="1"/>
        <family val="0"/>
        <color rgb="FF000000"/>
      </font>
    </dxf>
    <dxf>
      <font>
        <name val="Arial"/>
        <charset val="1"/>
        <family val="0"/>
        <color rgb="FF000000"/>
      </font>
    </dxf>
    <dxf>
      <font>
        <name val="Arial"/>
        <charset val="1"/>
        <family val="0"/>
        <color rgb="FF000000"/>
      </font>
    </dxf>
    <dxf>
      <font>
        <name val="Arial"/>
        <charset val="1"/>
        <family val="0"/>
        <color rgb="FF000000"/>
      </font>
    </dxf>
    <dxf>
      <font>
        <color rgb="FF9C6500"/>
      </font>
      <fill>
        <patternFill>
          <bgColor rgb="FFFFEB9C"/>
        </patternFill>
      </fill>
    </dxf>
    <dxf>
      <font>
        <color rgb="FF9C0006"/>
      </font>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9C0006"/>
      <rgbColor rgb="FF4F6228"/>
      <rgbColor rgb="FF000080"/>
      <rgbColor rgb="FF9C6500"/>
      <rgbColor rgb="FF800080"/>
      <rgbColor rgb="FF158466"/>
      <rgbColor rgb="FFCCCCCC"/>
      <rgbColor rgb="FF81829A"/>
      <rgbColor rgb="FFC5E0B4"/>
      <rgbColor rgb="FF595959"/>
      <rgbColor rgb="FFFFFFD7"/>
      <rgbColor rgb="FFDCE6F2"/>
      <rgbColor rgb="FF660066"/>
      <rgbColor rgb="FFFBE5D6"/>
      <rgbColor rgb="FF0066CC"/>
      <rgbColor rgb="FFBDD7EE"/>
      <rgbColor rgb="FF000080"/>
      <rgbColor rgb="FFFF00FF"/>
      <rgbColor rgb="FFFFF5CE"/>
      <rgbColor rgb="FF00FFFF"/>
      <rgbColor rgb="FF800080"/>
      <rgbColor rgb="FF800000"/>
      <rgbColor rgb="FF008080"/>
      <rgbColor rgb="FF0000FF"/>
      <rgbColor rgb="FF00CCFF"/>
      <rgbColor rgb="FFDAE3F3"/>
      <rgbColor rgb="FFDEE7E5"/>
      <rgbColor rgb="FFFFEB9C"/>
      <rgbColor rgb="FF8EB4E3"/>
      <rgbColor rgb="FFF7D1D5"/>
      <rgbColor rgb="FFC4BD97"/>
      <rgbColor rgb="FFFAC090"/>
      <rgbColor rgb="FF558ED5"/>
      <rgbColor rgb="FF33CCCC"/>
      <rgbColor rgb="FF92D050"/>
      <rgbColor rgb="FFFFCC00"/>
      <rgbColor rgb="FFF1F1F1"/>
      <rgbColor rgb="FFED7D31"/>
      <rgbColor rgb="FF604A7B"/>
      <rgbColor rgb="FF83A343"/>
      <rgbColor rgb="FF003366"/>
      <rgbColor rgb="FF00B050"/>
      <rgbColor rgb="FF003300"/>
      <rgbColor rgb="FF2E3917"/>
      <rgbColor rgb="FFC9211E"/>
      <rgbColor rgb="FF993366"/>
      <rgbColor rgb="FF376092"/>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7.png"/>
</Relationships>
</file>

<file path=xl/drawings/_rels/drawing2.xml.rels><?xml version="1.0" encoding="UTF-8"?>
<Relationships xmlns="http://schemas.openxmlformats.org/package/2006/relationships"><Relationship Id="rId1" Type="http://schemas.openxmlformats.org/officeDocument/2006/relationships/image" Target="../media/image38.png"/>
</Relationships>
</file>

<file path=xl/drawings/_rels/drawing3.xml.rels><?xml version="1.0" encoding="UTF-8"?>
<Relationships xmlns="http://schemas.openxmlformats.org/package/2006/relationships"><Relationship Id="rId1" Type="http://schemas.openxmlformats.org/officeDocument/2006/relationships/image" Target="../media/image39.png"/>
</Relationships>
</file>

<file path=xl/drawings/_rels/drawing4.xml.rels><?xml version="1.0" encoding="UTF-8"?>
<Relationships xmlns="http://schemas.openxmlformats.org/package/2006/relationships"><Relationship Id="rId1" Type="http://schemas.openxmlformats.org/officeDocument/2006/relationships/image" Target="../media/image40.png"/>
</Relationships>
</file>

<file path=xl/drawings/_rels/drawing5.xml.rels><?xml version="1.0" encoding="UTF-8"?>
<Relationships xmlns="http://schemas.openxmlformats.org/package/2006/relationships"><Relationship Id="rId1" Type="http://schemas.openxmlformats.org/officeDocument/2006/relationships/image" Target="../media/image41.png"/>
</Relationships>
</file>

<file path=xl/drawings/_rels/drawing6.xml.rels><?xml version="1.0" encoding="UTF-8"?>
<Relationships xmlns="http://schemas.openxmlformats.org/package/2006/relationships"><Relationship Id="rId1" Type="http://schemas.openxmlformats.org/officeDocument/2006/relationships/image" Target="../media/image4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1765440</xdr:colOff>
      <xdr:row>3</xdr:row>
      <xdr:rowOff>0</xdr:rowOff>
    </xdr:from>
    <xdr:to>
      <xdr:col>7</xdr:col>
      <xdr:colOff>1076760</xdr:colOff>
      <xdr:row>15</xdr:row>
      <xdr:rowOff>1440</xdr:rowOff>
    </xdr:to>
    <xdr:pic>
      <xdr:nvPicPr>
        <xdr:cNvPr id="0" name="Imagen 1" descr=""/>
        <xdr:cNvPicPr/>
      </xdr:nvPicPr>
      <xdr:blipFill>
        <a:blip r:embed="rId1"/>
        <a:stretch/>
      </xdr:blipFill>
      <xdr:spPr>
        <a:xfrm>
          <a:off x="4951080" y="571320"/>
          <a:ext cx="4230000" cy="22874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1685880</xdr:colOff>
      <xdr:row>12</xdr:row>
      <xdr:rowOff>0</xdr:rowOff>
    </xdr:from>
    <xdr:to>
      <xdr:col>7</xdr:col>
      <xdr:colOff>1202760</xdr:colOff>
      <xdr:row>17</xdr:row>
      <xdr:rowOff>66600</xdr:rowOff>
    </xdr:to>
    <xdr:pic>
      <xdr:nvPicPr>
        <xdr:cNvPr id="1" name="Imagen 8" descr=""/>
        <xdr:cNvPicPr/>
      </xdr:nvPicPr>
      <xdr:blipFill>
        <a:blip r:embed="rId1"/>
        <a:stretch/>
      </xdr:blipFill>
      <xdr:spPr>
        <a:xfrm>
          <a:off x="5827680" y="0"/>
          <a:ext cx="4212720" cy="17416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1126440</xdr:colOff>
      <xdr:row>17</xdr:row>
      <xdr:rowOff>47520</xdr:rowOff>
    </xdr:from>
    <xdr:to>
      <xdr:col>4</xdr:col>
      <xdr:colOff>4022280</xdr:colOff>
      <xdr:row>27</xdr:row>
      <xdr:rowOff>90000</xdr:rowOff>
    </xdr:to>
    <xdr:pic>
      <xdr:nvPicPr>
        <xdr:cNvPr id="2" name="Imagen 6" descr=""/>
        <xdr:cNvPicPr/>
      </xdr:nvPicPr>
      <xdr:blipFill>
        <a:blip r:embed="rId1"/>
        <a:stretch/>
      </xdr:blipFill>
      <xdr:spPr>
        <a:xfrm>
          <a:off x="5996160" y="47520"/>
          <a:ext cx="2895840" cy="209340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640800</xdr:colOff>
      <xdr:row>14</xdr:row>
      <xdr:rowOff>43200</xdr:rowOff>
    </xdr:from>
    <xdr:to>
      <xdr:col>7</xdr:col>
      <xdr:colOff>364680</xdr:colOff>
      <xdr:row>22</xdr:row>
      <xdr:rowOff>30960</xdr:rowOff>
    </xdr:to>
    <xdr:pic>
      <xdr:nvPicPr>
        <xdr:cNvPr id="3" name="Imagen 6" descr=""/>
        <xdr:cNvPicPr/>
      </xdr:nvPicPr>
      <xdr:blipFill>
        <a:blip r:embed="rId1"/>
        <a:stretch/>
      </xdr:blipFill>
      <xdr:spPr>
        <a:xfrm>
          <a:off x="5691240" y="43200"/>
          <a:ext cx="4209120" cy="169632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152280</xdr:colOff>
      <xdr:row>16</xdr:row>
      <xdr:rowOff>0</xdr:rowOff>
    </xdr:from>
    <xdr:to>
      <xdr:col>6</xdr:col>
      <xdr:colOff>210960</xdr:colOff>
      <xdr:row>25</xdr:row>
      <xdr:rowOff>37080</xdr:rowOff>
    </xdr:to>
    <xdr:pic>
      <xdr:nvPicPr>
        <xdr:cNvPr id="4" name="Imagen 2" descr=""/>
        <xdr:cNvPicPr/>
      </xdr:nvPicPr>
      <xdr:blipFill>
        <a:blip r:embed="rId1"/>
        <a:stretch/>
      </xdr:blipFill>
      <xdr:spPr>
        <a:xfrm>
          <a:off x="4627440" y="0"/>
          <a:ext cx="4179960" cy="209628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2177280</xdr:colOff>
      <xdr:row>6</xdr:row>
      <xdr:rowOff>93240</xdr:rowOff>
    </xdr:from>
    <xdr:to>
      <xdr:col>6</xdr:col>
      <xdr:colOff>718560</xdr:colOff>
      <xdr:row>14</xdr:row>
      <xdr:rowOff>31680</xdr:rowOff>
    </xdr:to>
    <xdr:pic>
      <xdr:nvPicPr>
        <xdr:cNvPr id="5" name="Imagen 2" descr=""/>
        <xdr:cNvPicPr/>
      </xdr:nvPicPr>
      <xdr:blipFill>
        <a:blip r:embed="rId1"/>
        <a:stretch/>
      </xdr:blipFill>
      <xdr:spPr>
        <a:xfrm>
          <a:off x="2639880" y="1693440"/>
          <a:ext cx="4730040" cy="2386080"/>
        </a:xfrm>
        <a:prstGeom prst="rect">
          <a:avLst/>
        </a:prstGeom>
        <a:ln>
          <a:noFill/>
        </a:ln>
      </xdr:spPr>
    </xdr:pic>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8.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56"/>
  <sheetViews>
    <sheetView showFormulas="false" showGridLines="false" showRowColHeaders="true" showZeros="true" rightToLeft="false" tabSelected="false" showOutlineSymbols="true" defaultGridColor="true" view="normal" topLeftCell="A28" colorId="64" zoomScale="95" zoomScaleNormal="95" zoomScalePageLayoutView="100" workbookViewId="0">
      <selection pane="topLeft" activeCell="D37" activeCellId="0" sqref="D37"/>
    </sheetView>
  </sheetViews>
  <sheetFormatPr defaultColWidth="11.43359375" defaultRowHeight="12.75" zeroHeight="true" outlineLevelRow="0" outlineLevelCol="0"/>
  <cols>
    <col collapsed="false" customWidth="true" hidden="false" outlineLevel="0" max="1" min="1" style="1" width="3.86"/>
    <col collapsed="false" customWidth="true" hidden="false" outlineLevel="0" max="2" min="2" style="1" width="15.29"/>
    <col collapsed="false" customWidth="true" hidden="false" outlineLevel="0" max="3" min="3" style="1" width="17.29"/>
    <col collapsed="false" customWidth="true" hidden="false" outlineLevel="0" max="4" min="4" style="1" width="28.57"/>
    <col collapsed="false" customWidth="true" hidden="false" outlineLevel="0" max="5" min="5" style="1" width="12.86"/>
    <col collapsed="false" customWidth="true" hidden="false" outlineLevel="0" max="6" min="6" style="1" width="47.14"/>
    <col collapsed="false" customWidth="true" hidden="false" outlineLevel="0" max="7" min="7" style="1" width="21.43"/>
    <col collapsed="false" customWidth="true" hidden="false" outlineLevel="0" max="8" min="8" style="1" width="6.57"/>
    <col collapsed="false" customWidth="true" hidden="false" outlineLevel="0" max="9" min="9" style="1" width="2.57"/>
    <col collapsed="false" customWidth="false" hidden="true" outlineLevel="0" max="1024" min="10" style="1" width="11.42"/>
  </cols>
  <sheetData>
    <row r="1" customFormat="false" ht="12.75" hidden="false" customHeight="false" outlineLevel="0" collapsed="false"/>
    <row r="2" customFormat="false" ht="73.5" hidden="false" customHeight="true" outlineLevel="0" collapsed="false">
      <c r="A2" s="1" t="e">
        <f aca="false">+A2:h15e15a2:h13a2:h19e15a2:h13a2:h26e15a2:h13a2a2:H35</f>
        <v>#NAME?</v>
      </c>
      <c r="B2" s="2" t="s">
        <v>0</v>
      </c>
      <c r="C2" s="2"/>
      <c r="D2" s="2"/>
      <c r="E2" s="2"/>
      <c r="F2" s="2"/>
      <c r="G2" s="2"/>
      <c r="H2" s="2"/>
    </row>
    <row r="3" customFormat="false" ht="12.75" hidden="false" customHeight="false" outlineLevel="0" collapsed="false">
      <c r="B3" s="3"/>
      <c r="C3" s="4"/>
      <c r="D3" s="4"/>
      <c r="E3" s="4"/>
      <c r="F3" s="4"/>
      <c r="G3" s="4"/>
      <c r="H3" s="5"/>
    </row>
    <row r="4" customFormat="false" ht="12.75" hidden="false" customHeight="false" outlineLevel="0" collapsed="false">
      <c r="B4" s="3"/>
      <c r="C4" s="4"/>
      <c r="D4" s="4"/>
      <c r="E4" s="4"/>
      <c r="F4" s="4"/>
      <c r="G4" s="4"/>
      <c r="H4" s="5"/>
    </row>
    <row r="5" customFormat="false" ht="12.75" hidden="false" customHeight="false" outlineLevel="0" collapsed="false">
      <c r="B5" s="6"/>
      <c r="C5" s="7"/>
      <c r="D5" s="7"/>
      <c r="E5" s="7"/>
      <c r="F5" s="7"/>
      <c r="G5" s="7"/>
      <c r="H5" s="8"/>
    </row>
    <row r="6" customFormat="false" ht="65.25" hidden="false" customHeight="true" outlineLevel="0" collapsed="false">
      <c r="B6" s="9" t="s">
        <v>1</v>
      </c>
      <c r="C6" s="9"/>
      <c r="D6" s="9"/>
      <c r="E6" s="9"/>
      <c r="F6" s="9"/>
      <c r="G6" s="9"/>
      <c r="H6" s="9"/>
    </row>
    <row r="7" customFormat="false" ht="74.25" hidden="false" customHeight="true" outlineLevel="0" collapsed="false">
      <c r="B7" s="9"/>
      <c r="C7" s="9"/>
      <c r="D7" s="9"/>
      <c r="E7" s="9"/>
      <c r="F7" s="9"/>
      <c r="G7" s="9"/>
      <c r="H7" s="9"/>
    </row>
    <row r="8" customFormat="false" ht="21.75" hidden="false" customHeight="true" outlineLevel="0" collapsed="false">
      <c r="B8" s="10" t="s">
        <v>2</v>
      </c>
      <c r="C8" s="10"/>
      <c r="D8" s="10"/>
      <c r="E8" s="10"/>
      <c r="F8" s="10"/>
      <c r="G8" s="10"/>
      <c r="H8" s="10"/>
    </row>
    <row r="9" customFormat="false" ht="42" hidden="false" customHeight="true" outlineLevel="0" collapsed="false">
      <c r="B9" s="11" t="s">
        <v>3</v>
      </c>
      <c r="C9" s="11"/>
      <c r="D9" s="11"/>
      <c r="E9" s="11"/>
      <c r="F9" s="11"/>
      <c r="G9" s="11"/>
      <c r="H9" s="11"/>
    </row>
    <row r="10" customFormat="false" ht="43.5" hidden="false" customHeight="true" outlineLevel="0" collapsed="false">
      <c r="B10" s="11"/>
      <c r="C10" s="11"/>
      <c r="D10" s="11"/>
      <c r="E10" s="11"/>
      <c r="F10" s="11"/>
      <c r="G10" s="11"/>
      <c r="H10" s="11"/>
    </row>
    <row r="11" customFormat="false" ht="12.75" hidden="false" customHeight="true" outlineLevel="0" collapsed="false">
      <c r="B11" s="3"/>
      <c r="C11" s="4"/>
      <c r="D11" s="12"/>
      <c r="E11" s="13"/>
      <c r="F11" s="13"/>
      <c r="G11" s="13"/>
      <c r="H11" s="14"/>
    </row>
    <row r="12" customFormat="false" ht="21" hidden="false" customHeight="true" outlineLevel="0" collapsed="false">
      <c r="B12" s="3"/>
      <c r="C12" s="15" t="s">
        <v>4</v>
      </c>
      <c r="D12" s="15"/>
      <c r="E12" s="16" t="s">
        <v>5</v>
      </c>
      <c r="F12" s="16"/>
      <c r="G12" s="4"/>
      <c r="H12" s="5"/>
    </row>
    <row r="13" customFormat="false" ht="37.5" hidden="false" customHeight="true" outlineLevel="0" collapsed="false">
      <c r="B13" s="3"/>
      <c r="C13" s="17" t="s">
        <v>6</v>
      </c>
      <c r="D13" s="17"/>
      <c r="E13" s="18" t="s">
        <v>7</v>
      </c>
      <c r="F13" s="18"/>
      <c r="G13" s="4"/>
      <c r="H13" s="5"/>
    </row>
    <row r="14" customFormat="false" ht="39.75" hidden="false" customHeight="true" outlineLevel="0" collapsed="false">
      <c r="B14" s="3"/>
      <c r="C14" s="19" t="s">
        <v>8</v>
      </c>
      <c r="D14" s="19"/>
      <c r="E14" s="20" t="s">
        <v>9</v>
      </c>
      <c r="F14" s="20"/>
      <c r="G14" s="4"/>
      <c r="H14" s="5"/>
    </row>
    <row r="15" customFormat="false" ht="230.25" hidden="false" customHeight="true" outlineLevel="0" collapsed="false">
      <c r="B15" s="3"/>
      <c r="C15" s="19" t="s">
        <v>10</v>
      </c>
      <c r="D15" s="19"/>
      <c r="E15" s="20" t="s">
        <v>11</v>
      </c>
      <c r="F15" s="20"/>
      <c r="G15" s="4"/>
      <c r="H15" s="5"/>
    </row>
    <row r="16" customFormat="false" ht="15.75" hidden="false" customHeight="true" outlineLevel="0" collapsed="false">
      <c r="B16" s="3"/>
      <c r="C16" s="21" t="s">
        <v>12</v>
      </c>
      <c r="D16" s="22" t="s">
        <v>13</v>
      </c>
      <c r="E16" s="20" t="s">
        <v>14</v>
      </c>
      <c r="F16" s="20"/>
      <c r="G16" s="4"/>
      <c r="H16" s="5"/>
    </row>
    <row r="17" customFormat="false" ht="54" hidden="false" customHeight="true" outlineLevel="0" collapsed="false">
      <c r="B17" s="3"/>
      <c r="C17" s="21"/>
      <c r="D17" s="23" t="s">
        <v>15</v>
      </c>
      <c r="E17" s="24" t="s">
        <v>16</v>
      </c>
      <c r="F17" s="24"/>
      <c r="G17" s="4"/>
      <c r="H17" s="5"/>
    </row>
    <row r="18" customFormat="false" ht="98.25" hidden="false" customHeight="true" outlineLevel="0" collapsed="false">
      <c r="B18" s="3"/>
      <c r="C18" s="21"/>
      <c r="D18" s="23" t="s">
        <v>17</v>
      </c>
      <c r="E18" s="24" t="s">
        <v>18</v>
      </c>
      <c r="F18" s="24"/>
      <c r="G18" s="4"/>
      <c r="H18" s="5"/>
    </row>
    <row r="19" customFormat="false" ht="83.25" hidden="false" customHeight="true" outlineLevel="0" collapsed="false">
      <c r="B19" s="3"/>
      <c r="C19" s="25" t="s">
        <v>19</v>
      </c>
      <c r="D19" s="25"/>
      <c r="E19" s="26" t="s">
        <v>20</v>
      </c>
      <c r="F19" s="26"/>
      <c r="G19" s="4"/>
      <c r="H19" s="5"/>
    </row>
    <row r="20" customFormat="false" ht="19.5" hidden="false" customHeight="true" outlineLevel="0" collapsed="false">
      <c r="B20" s="3"/>
      <c r="C20" s="27"/>
      <c r="D20" s="27"/>
      <c r="E20" s="28"/>
      <c r="F20" s="28"/>
      <c r="G20" s="4"/>
      <c r="H20" s="5"/>
    </row>
    <row r="21" customFormat="false" ht="37.5" hidden="false" customHeight="true" outlineLevel="0" collapsed="false">
      <c r="B21" s="11" t="s">
        <v>21</v>
      </c>
      <c r="C21" s="11"/>
      <c r="D21" s="11"/>
      <c r="E21" s="11"/>
      <c r="F21" s="11"/>
      <c r="G21" s="11"/>
      <c r="H21" s="11"/>
    </row>
    <row r="22" customFormat="false" ht="27.75" hidden="false" customHeight="true" outlineLevel="0" collapsed="false">
      <c r="B22" s="3"/>
      <c r="C22" s="4"/>
      <c r="D22" s="4"/>
      <c r="E22" s="4"/>
      <c r="F22" s="4"/>
      <c r="G22" s="4"/>
      <c r="H22" s="5"/>
    </row>
    <row r="23" customFormat="false" ht="27.75" hidden="false" customHeight="true" outlineLevel="0" collapsed="false">
      <c r="B23" s="3"/>
      <c r="C23" s="29" t="s">
        <v>22</v>
      </c>
      <c r="D23" s="29" t="s">
        <v>5</v>
      </c>
      <c r="E23" s="29"/>
      <c r="F23" s="29" t="s">
        <v>23</v>
      </c>
      <c r="G23" s="29"/>
      <c r="H23" s="5"/>
    </row>
    <row r="24" customFormat="false" ht="59.25" hidden="false" customHeight="true" outlineLevel="0" collapsed="false">
      <c r="B24" s="3"/>
      <c r="C24" s="30" t="s">
        <v>24</v>
      </c>
      <c r="D24" s="31" t="s">
        <v>25</v>
      </c>
      <c r="E24" s="31"/>
      <c r="F24" s="31" t="s">
        <v>26</v>
      </c>
      <c r="G24" s="31"/>
      <c r="H24" s="5"/>
    </row>
    <row r="25" customFormat="false" ht="53.25" hidden="false" customHeight="true" outlineLevel="0" collapsed="false">
      <c r="B25" s="3"/>
      <c r="C25" s="32" t="s">
        <v>27</v>
      </c>
      <c r="D25" s="31" t="s">
        <v>28</v>
      </c>
      <c r="E25" s="31"/>
      <c r="F25" s="31" t="s">
        <v>29</v>
      </c>
      <c r="G25" s="31"/>
      <c r="H25" s="5"/>
    </row>
    <row r="26" customFormat="false" ht="62.25" hidden="false" customHeight="true" outlineLevel="0" collapsed="false">
      <c r="B26" s="3"/>
      <c r="C26" s="33" t="s">
        <v>30</v>
      </c>
      <c r="D26" s="31" t="s">
        <v>31</v>
      </c>
      <c r="E26" s="31"/>
      <c r="F26" s="31" t="s">
        <v>32</v>
      </c>
      <c r="G26" s="31"/>
      <c r="H26" s="5"/>
    </row>
    <row r="27" customFormat="false" ht="70.5" hidden="false" customHeight="true" outlineLevel="0" collapsed="false">
      <c r="B27" s="3"/>
      <c r="C27" s="34" t="s">
        <v>33</v>
      </c>
      <c r="D27" s="31" t="s">
        <v>34</v>
      </c>
      <c r="E27" s="31"/>
      <c r="F27" s="31" t="s">
        <v>35</v>
      </c>
      <c r="G27" s="31"/>
      <c r="H27" s="5"/>
    </row>
    <row r="28" customFormat="false" ht="11.25" hidden="false" customHeight="true" outlineLevel="0" collapsed="false">
      <c r="B28" s="35"/>
      <c r="C28" s="36"/>
      <c r="D28" s="36"/>
      <c r="E28" s="36"/>
      <c r="F28" s="36"/>
      <c r="G28" s="36"/>
      <c r="H28" s="37"/>
    </row>
    <row r="29" customFormat="false" ht="14.25" hidden="false" customHeight="true" outlineLevel="0" collapsed="false">
      <c r="B29" s="38"/>
      <c r="C29" s="39"/>
      <c r="D29" s="39"/>
      <c r="E29" s="40"/>
      <c r="F29" s="40"/>
      <c r="G29" s="40"/>
      <c r="H29" s="41"/>
    </row>
    <row r="30" customFormat="false" ht="27.75" hidden="false" customHeight="true" outlineLevel="0" collapsed="false">
      <c r="B30" s="11" t="s">
        <v>36</v>
      </c>
      <c r="C30" s="11"/>
      <c r="D30" s="11"/>
      <c r="E30" s="11"/>
      <c r="F30" s="11"/>
      <c r="G30" s="11"/>
      <c r="H30" s="11"/>
    </row>
    <row r="31" customFormat="false" ht="13.5" hidden="false" customHeight="false" outlineLevel="0" collapsed="false">
      <c r="B31" s="3"/>
      <c r="C31" s="42"/>
      <c r="D31" s="42"/>
      <c r="E31" s="43"/>
      <c r="F31" s="43"/>
      <c r="G31" s="4"/>
      <c r="H31" s="5"/>
    </row>
    <row r="32" customFormat="false" ht="16.5" hidden="false" customHeight="false" outlineLevel="0" collapsed="false">
      <c r="B32" s="44" t="s">
        <v>37</v>
      </c>
      <c r="C32" s="44"/>
      <c r="D32" s="44"/>
      <c r="E32" s="44"/>
      <c r="F32" s="44"/>
      <c r="G32" s="44"/>
      <c r="H32" s="44"/>
    </row>
    <row r="33" customFormat="false" ht="12.75" hidden="false" customHeight="false" outlineLevel="0" collapsed="false">
      <c r="B33" s="45"/>
      <c r="C33" s="46"/>
      <c r="D33" s="46"/>
      <c r="E33" s="46"/>
      <c r="F33" s="46"/>
      <c r="G33" s="46"/>
      <c r="H33" s="47"/>
    </row>
    <row r="34" customFormat="false" ht="12.75" hidden="false" customHeight="false" outlineLevel="0" collapsed="false"/>
    <row r="35" customFormat="false" ht="29.25" hidden="false" customHeight="true" outlineLevel="0" collapsed="false"/>
    <row r="36" customFormat="false" ht="26.25" hidden="false" customHeight="true" outlineLevel="0" collapsed="false"/>
    <row r="37" customFormat="false" ht="43.5" hidden="false" customHeight="true" outlineLevel="0" collapsed="false"/>
    <row r="38" customFormat="false" ht="53.25" hidden="false" customHeight="true" outlineLevel="0" collapsed="false"/>
    <row r="39" customFormat="false" ht="12.75" hidden="false" customHeight="false" outlineLevel="0" collapsed="false"/>
    <row r="40" customFormat="false" ht="12.75" hidden="false" customHeight="false" outlineLevel="0" collapsed="false"/>
    <row r="41" customFormat="false" ht="12.75" hidden="false" customHeight="false" outlineLevel="0" collapsed="false"/>
    <row r="42" customFormat="false" ht="12.75" hidden="false" customHeight="false" outlineLevel="0" collapsed="false"/>
    <row r="43" customFormat="false" ht="12.75" hidden="false" customHeight="false" outlineLevel="0" collapsed="false"/>
    <row r="44" customFormat="false" ht="12.75" hidden="false" customHeight="fals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sheetData>
  <mergeCells count="34">
    <mergeCell ref="B2:H2"/>
    <mergeCell ref="B6:H7"/>
    <mergeCell ref="B8:H8"/>
    <mergeCell ref="B9:H10"/>
    <mergeCell ref="C12:D12"/>
    <mergeCell ref="E12:F12"/>
    <mergeCell ref="C13:D13"/>
    <mergeCell ref="E13:F13"/>
    <mergeCell ref="C14:D14"/>
    <mergeCell ref="E14:F14"/>
    <mergeCell ref="C15:D15"/>
    <mergeCell ref="E15:F15"/>
    <mergeCell ref="C16:C18"/>
    <mergeCell ref="E16:F16"/>
    <mergeCell ref="E17:F17"/>
    <mergeCell ref="E18:F18"/>
    <mergeCell ref="C19:D19"/>
    <mergeCell ref="E19:F19"/>
    <mergeCell ref="B21:H21"/>
    <mergeCell ref="D23:E23"/>
    <mergeCell ref="F23:G23"/>
    <mergeCell ref="D24:E24"/>
    <mergeCell ref="F24:G24"/>
    <mergeCell ref="D25:E25"/>
    <mergeCell ref="F25:G25"/>
    <mergeCell ref="D26:E26"/>
    <mergeCell ref="F26:G26"/>
    <mergeCell ref="D27:E27"/>
    <mergeCell ref="F27:G27"/>
    <mergeCell ref="C29:D29"/>
    <mergeCell ref="E29:G29"/>
    <mergeCell ref="B30:H30"/>
    <mergeCell ref="E31:F31"/>
    <mergeCell ref="B32:H3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164"/>
  <sheetViews>
    <sheetView showFormulas="false" showGridLines="true" showRowColHeaders="true" showZeros="true" rightToLeft="false" tabSelected="false" showOutlineSymbols="true" defaultGridColor="true" view="normal" topLeftCell="I98" colorId="64" zoomScale="95" zoomScaleNormal="95" zoomScalePageLayoutView="100" workbookViewId="0">
      <selection pane="topLeft" activeCell="M99" activeCellId="0" sqref="M99"/>
    </sheetView>
  </sheetViews>
  <sheetFormatPr defaultColWidth="11.43359375" defaultRowHeight="12.75" zeroHeight="false" outlineLevelRow="0" outlineLevelCol="0"/>
  <cols>
    <col collapsed="false" customWidth="true" hidden="false" outlineLevel="0" max="1" min="1" style="490" width="2.42"/>
    <col collapsed="false" customWidth="true" hidden="false" outlineLevel="0" max="2" min="2" style="491" width="25.14"/>
    <col collapsed="false" customWidth="true" hidden="false" outlineLevel="0" max="3" min="3" style="492" width="24.15"/>
    <col collapsed="false" customWidth="true" hidden="false" outlineLevel="0" max="4" min="4" style="490" width="24.29"/>
    <col collapsed="false" customWidth="true" hidden="false" outlineLevel="0" max="5" min="5" style="490" width="34.86"/>
    <col collapsed="false" customWidth="true" hidden="false" outlineLevel="0" max="6" min="6" style="490" width="37.3"/>
    <col collapsed="false" customWidth="true" hidden="false" outlineLevel="0" max="7" min="7" style="490" width="22.86"/>
    <col collapsed="false" customWidth="true" hidden="false" outlineLevel="0" max="8" min="8" style="490" width="31.15"/>
    <col collapsed="false" customWidth="true" hidden="false" outlineLevel="0" max="9" min="9" style="490" width="44.58"/>
    <col collapsed="false" customWidth="true" hidden="false" outlineLevel="0" max="10" min="10" style="493" width="2"/>
    <col collapsed="false" customWidth="true" hidden="false" outlineLevel="0" max="11" min="11" style="490" width="26.42"/>
    <col collapsed="false" customWidth="true" hidden="false" outlineLevel="0" max="12" min="12" style="490" width="28.71"/>
    <col collapsed="false" customWidth="true" hidden="false" outlineLevel="0" max="13" min="13" style="490" width="37.57"/>
    <col collapsed="false" customWidth="true" hidden="false" outlineLevel="0" max="14" min="14" style="490" width="50"/>
    <col collapsed="false" customWidth="true" hidden="false" outlineLevel="0" max="15" min="15" style="490" width="32.42"/>
    <col collapsed="false" customWidth="true" hidden="false" outlineLevel="0" max="16" min="16" style="490" width="28.57"/>
    <col collapsed="false" customWidth="true" hidden="false" outlineLevel="0" max="17" min="17" style="490" width="23.28"/>
    <col collapsed="false" customWidth="true" hidden="false" outlineLevel="0" max="18" min="18" style="490" width="22.14"/>
    <col collapsed="false" customWidth="true" hidden="false" outlineLevel="0" max="19" min="19" style="490" width="18.29"/>
    <col collapsed="false" customWidth="false" hidden="false" outlineLevel="0" max="1024" min="20" style="490" width="11.42"/>
  </cols>
  <sheetData>
    <row r="1" customFormat="false" ht="6.75" hidden="false" customHeight="true" outlineLevel="0" collapsed="false"/>
    <row r="2" customFormat="false" ht="6.75" hidden="false" customHeight="true" outlineLevel="0" collapsed="false"/>
    <row r="3" customFormat="false" ht="6.75" hidden="false" customHeight="true" outlineLevel="0" collapsed="false">
      <c r="B3" s="494"/>
      <c r="C3" s="495"/>
      <c r="D3" s="496"/>
      <c r="E3" s="496"/>
      <c r="F3" s="496"/>
      <c r="G3" s="496"/>
      <c r="H3" s="496"/>
      <c r="I3" s="496"/>
      <c r="J3" s="497"/>
      <c r="K3" s="496"/>
      <c r="L3" s="496"/>
    </row>
    <row r="4" customFormat="false" ht="27.75" hidden="false" customHeight="true" outlineLevel="0" collapsed="false">
      <c r="B4" s="498" t="s">
        <v>555</v>
      </c>
      <c r="C4" s="498"/>
      <c r="D4" s="498"/>
      <c r="E4" s="498"/>
      <c r="F4" s="498"/>
      <c r="G4" s="498"/>
      <c r="H4" s="498"/>
      <c r="I4" s="498"/>
      <c r="J4" s="498"/>
      <c r="K4" s="498"/>
      <c r="L4" s="498"/>
    </row>
    <row r="5" customFormat="false" ht="12.95" hidden="true" customHeight="true" outlineLevel="0" collapsed="false">
      <c r="B5" s="492"/>
    </row>
    <row r="6" customFormat="false" ht="36.6" hidden="false" customHeight="true" outlineLevel="0" collapsed="false">
      <c r="B6" s="499" t="s">
        <v>22</v>
      </c>
      <c r="C6" s="499"/>
      <c r="D6" s="500" t="s">
        <v>5</v>
      </c>
      <c r="E6" s="500"/>
      <c r="F6" s="501" t="s">
        <v>23</v>
      </c>
      <c r="G6" s="501"/>
      <c r="H6" s="502"/>
      <c r="I6" s="502"/>
    </row>
    <row r="7" customFormat="false" ht="75.75" hidden="false" customHeight="true" outlineLevel="0" collapsed="false">
      <c r="B7" s="503" t="s">
        <v>24</v>
      </c>
      <c r="C7" s="503"/>
      <c r="D7" s="504" t="s">
        <v>25</v>
      </c>
      <c r="E7" s="504"/>
      <c r="F7" s="505" t="s">
        <v>26</v>
      </c>
      <c r="G7" s="505"/>
      <c r="H7" s="506"/>
      <c r="I7" s="507" t="n">
        <v>1</v>
      </c>
    </row>
    <row r="8" customFormat="false" ht="57" hidden="false" customHeight="true" outlineLevel="0" collapsed="false">
      <c r="B8" s="508" t="s">
        <v>27</v>
      </c>
      <c r="C8" s="508"/>
      <c r="D8" s="509" t="s">
        <v>28</v>
      </c>
      <c r="E8" s="509"/>
      <c r="F8" s="510" t="s">
        <v>556</v>
      </c>
      <c r="G8" s="510"/>
      <c r="H8" s="511" t="s">
        <v>557</v>
      </c>
      <c r="I8" s="507" t="n">
        <v>0.75</v>
      </c>
    </row>
    <row r="9" customFormat="false" ht="71.25" hidden="false" customHeight="true" outlineLevel="0" collapsed="false">
      <c r="B9" s="512" t="s">
        <v>30</v>
      </c>
      <c r="C9" s="512"/>
      <c r="D9" s="509" t="s">
        <v>558</v>
      </c>
      <c r="E9" s="509"/>
      <c r="F9" s="510" t="s">
        <v>32</v>
      </c>
      <c r="G9" s="510"/>
      <c r="H9" s="513"/>
      <c r="I9" s="507" t="n">
        <v>0.5</v>
      </c>
    </row>
    <row r="10" customFormat="false" ht="97.5" hidden="false" customHeight="true" outlineLevel="0" collapsed="false">
      <c r="B10" s="514" t="s">
        <v>33</v>
      </c>
      <c r="C10" s="514"/>
      <c r="D10" s="515" t="s">
        <v>559</v>
      </c>
      <c r="E10" s="515"/>
      <c r="F10" s="516" t="s">
        <v>35</v>
      </c>
      <c r="G10" s="516"/>
      <c r="H10" s="513"/>
      <c r="I10" s="507" t="n">
        <v>0.25</v>
      </c>
    </row>
    <row r="11" customFormat="false" ht="7.45" hidden="false" customHeight="true" outlineLevel="0" collapsed="false">
      <c r="B11" s="517" t="s">
        <v>560</v>
      </c>
      <c r="C11" s="517"/>
      <c r="D11" s="517"/>
      <c r="E11" s="517"/>
      <c r="F11" s="517"/>
      <c r="G11" s="517"/>
      <c r="H11" s="517"/>
      <c r="I11" s="517"/>
      <c r="J11" s="518"/>
      <c r="K11" s="519"/>
      <c r="L11" s="519"/>
      <c r="M11" s="519"/>
      <c r="N11" s="519"/>
    </row>
    <row r="12" customFormat="false" ht="7.45" hidden="false" customHeight="true" outlineLevel="0" collapsed="false">
      <c r="B12" s="492"/>
    </row>
    <row r="13" customFormat="false" ht="42.75" hidden="false" customHeight="true" outlineLevel="0" collapsed="false">
      <c r="B13" s="520" t="s">
        <v>561</v>
      </c>
      <c r="C13" s="521" t="s">
        <v>562</v>
      </c>
      <c r="D13" s="521"/>
      <c r="E13" s="521"/>
      <c r="F13" s="521"/>
      <c r="G13" s="522" t="s">
        <v>563</v>
      </c>
      <c r="H13" s="522" t="s">
        <v>564</v>
      </c>
      <c r="I13" s="523" t="s">
        <v>565</v>
      </c>
      <c r="K13" s="524" t="s">
        <v>566</v>
      </c>
      <c r="L13" s="524" t="s">
        <v>567</v>
      </c>
      <c r="M13" s="525" t="s">
        <v>568</v>
      </c>
      <c r="N13" s="526" t="s">
        <v>569</v>
      </c>
      <c r="O13" s="526"/>
      <c r="P13" s="526"/>
      <c r="Q13" s="526"/>
      <c r="R13" s="526"/>
      <c r="S13" s="526"/>
    </row>
    <row r="14" customFormat="false" ht="48.75" hidden="false" customHeight="true" outlineLevel="0" collapsed="false">
      <c r="B14" s="520"/>
      <c r="C14" s="527" t="s">
        <v>570</v>
      </c>
      <c r="D14" s="527" t="s">
        <v>50</v>
      </c>
      <c r="E14" s="527" t="s">
        <v>571</v>
      </c>
      <c r="F14" s="528" t="s">
        <v>572</v>
      </c>
      <c r="G14" s="522"/>
      <c r="H14" s="522"/>
      <c r="I14" s="523"/>
      <c r="K14" s="524"/>
      <c r="L14" s="524"/>
      <c r="M14" s="525"/>
      <c r="N14" s="529" t="s">
        <v>573</v>
      </c>
      <c r="O14" s="529" t="s">
        <v>574</v>
      </c>
      <c r="P14" s="529" t="s">
        <v>575</v>
      </c>
      <c r="Q14" s="529" t="s">
        <v>576</v>
      </c>
      <c r="R14" s="529" t="s">
        <v>577</v>
      </c>
      <c r="S14" s="530" t="s">
        <v>578</v>
      </c>
    </row>
    <row r="15" customFormat="false" ht="132" hidden="false" customHeight="true" outlineLevel="0" collapsed="false">
      <c r="A15" s="490" t="n">
        <v>2</v>
      </c>
      <c r="B15" s="531" t="n">
        <f aca="false">+IF(ISTEXT(D15),J15,"")</f>
        <v>1</v>
      </c>
      <c r="C15" s="532" t="str">
        <f aca="false">+IFERROR(INDEX(Hoja1!$A$2:$A$82,MATCH(J15,Hoja1!$H$2:$H$82,0)),"")</f>
        <v>1.2</v>
      </c>
      <c r="D15" s="533" t="str">
        <f aca="false">IFERROR(VLOOKUP(C15,Hoja1!$A$2:$H$82,4,0),"")</f>
        <v>Ambiente de Control</v>
      </c>
      <c r="E15" s="533" t="str">
        <f aca="false">+IFERROR(VLOOKUP(C15,Hoja1!$A$1:$J$82,10,0),"")</f>
        <v>La entidad demuestra el compromiso con la integridad (valores) y principios del servicio público</v>
      </c>
      <c r="F15" s="533" t="str">
        <f aca="false">+IFERROR(VLOOKUP(C15,Hoja1!$A$1:$I$82,3,0),"")</f>
        <v>Mecanismos para el manejo de conflictos de interés.</v>
      </c>
      <c r="G15" s="534" t="n">
        <f aca="false">+IFERROR(VLOOKUP(C15,Hoja1!$A$1:$K$82,11,0),"")</f>
        <v>3</v>
      </c>
      <c r="H15" s="535" t="n">
        <f aca="false">+IFERROR(VLOOKUP(C15,Hoja1!$A$1:$L$82,12,0),"")</f>
        <v>2</v>
      </c>
      <c r="I15" s="536" t="str">
        <f aca="false">+IF(OR(AND(G15=1,H15=1),AND(G15=1,H15=2),AND(G15=1,H15=3),G15="",H15=""),"No se encuentra presente  por lo tanto no esta funcionando, lo que hace que se requieran acciones dirigidas a fortalecer su diseño y puesta en marcha",IF(OR(AND(G15=2,H15=2),AND(G15=3,H15=1),AND(G15=3,H15=2),AND(G15=2,H15=1)),"Se encuentra presente y funcionando, pero requiere acciones dirigidas a fortalecer  o mejorar su diseño y/o ejecucion.",IF(AND(G15=2,H15=3),"Se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5" s="493" t="n">
        <v>1</v>
      </c>
      <c r="K15" s="537" t="n">
        <f aca="false">+VLOOKUP(C15,Hoja1!$A$1:$M$82,13,0)</f>
        <v>0.5</v>
      </c>
      <c r="L15" s="538" t="n">
        <f aca="false">+AVERAGE(K15:K38)</f>
        <v>0.9375</v>
      </c>
      <c r="M15" s="539" t="s">
        <v>579</v>
      </c>
      <c r="N15" s="540"/>
      <c r="O15" s="540"/>
      <c r="P15" s="540"/>
      <c r="Q15" s="540"/>
      <c r="R15" s="540"/>
      <c r="S15" s="540"/>
    </row>
    <row r="16" customFormat="false" ht="99.75" hidden="false" customHeight="true" outlineLevel="0" collapsed="false">
      <c r="A16" s="490" t="n">
        <v>5</v>
      </c>
      <c r="B16" s="541" t="n">
        <f aca="false">+IF(ISTEXT(D16),J16,"")</f>
        <v>2</v>
      </c>
      <c r="C16" s="542" t="str">
        <f aca="false">+IFERROR(INDEX(Hoja1!$A$2:$A$82,MATCH(J16,Hoja1!$H$2:$H$82,0)),"")</f>
        <v>1.5</v>
      </c>
      <c r="D16" s="543" t="str">
        <f aca="false">IFERROR(VLOOKUP(C16,Hoja1!$A$2:$H$82,4,0),"")</f>
        <v>Ambiente de Control</v>
      </c>
      <c r="E16" s="543" t="str">
        <f aca="false">+IFERROR(VLOOKUP(C16,Hoja1!$A$1:$J$82,10,0),"")</f>
        <v>La entidad demuestra el compromiso con la integridad (valores) y principios del servicio público</v>
      </c>
      <c r="F16" s="543" t="str">
        <f aca="false">+IFERROR(VLOOKUP(C16,Hoja1!$A$1:$I$82,3,0),"")</f>
        <v>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G16" s="542" t="n">
        <f aca="false">+IFERROR(VLOOKUP(C16,Hoja1!$A$1:$K$82,11,0),"")</f>
        <v>3</v>
      </c>
      <c r="H16" s="544" t="n">
        <f aca="false">+IFERROR(VLOOKUP(C16,Hoja1!$A$1:$L$82,12,0),"")</f>
        <v>2</v>
      </c>
      <c r="I16" s="536" t="str">
        <f aca="false">+IF(OR(AND(G16=1,H16=1),AND(G16=1,H16=2),AND(G16=1,H16=3),G16="",H16=""),"No se encuentra presente  por lo tanto no esta funcionando, lo que hace que se requieran acciones dirigidas a fortalecer su diseño y puesta en marcha",IF(OR(AND(G16=2,H16=2),AND(G16=3,H16=1),AND(G16=3,H16=2),AND(G16=2,H16=1)),"Se encuentra presente y funcionando, pero requiere acciones dirigidas a fortalecer  o mejorar su diseño y/o ejecucion.",IF(AND(G16=2,H16=3),"Se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6" s="493" t="n">
        <v>2</v>
      </c>
      <c r="K16" s="537" t="n">
        <f aca="false">+VLOOKUP(C16,Hoja1!$A$1:$M$82,13,0)</f>
        <v>0.5</v>
      </c>
      <c r="L16" s="538"/>
      <c r="M16" s="539" t="s">
        <v>580</v>
      </c>
      <c r="N16" s="545"/>
      <c r="O16" s="545"/>
      <c r="P16" s="545"/>
      <c r="Q16" s="545"/>
      <c r="R16" s="545"/>
      <c r="S16" s="545"/>
    </row>
    <row r="17" customFormat="false" ht="99.75" hidden="false" customHeight="true" outlineLevel="0" collapsed="false">
      <c r="B17" s="541" t="n">
        <f aca="false">+IF(ISTEXT(D17),J17,"")</f>
        <v>3</v>
      </c>
      <c r="C17" s="542" t="str">
        <f aca="false">+IFERROR(INDEX(Hoja1!$A$2:$A$82,MATCH(J17,Hoja1!$H$2:$H$82,0)),"")</f>
        <v>4.6</v>
      </c>
      <c r="D17" s="543" t="str">
        <f aca="false">IFERROR(VLOOKUP(C17,Hoja1!$A$2:$H$82,4,0),"")</f>
        <v>Ambiente de Control</v>
      </c>
      <c r="E17" s="543" t="str">
        <f aca="false">+IFERROR(VLOOKUP(C17,Hoja1!$A$1:$J$82,10,0),"")</f>
        <v>Compromiso con la competencia de todo el personal, por lo que la gestión del talento humano tiene un carácter estratégico con el despliegue de actividades clave para todo el ciclo de vida del servidor público –ingreso, permanencia y retiro.</v>
      </c>
      <c r="F17" s="543" t="str">
        <f aca="false">+IFERROR(VLOOKUP(C17,Hoja1!$A$1:$I$82,3,0),"")</f>
        <v>Evaluar el impacto del Plan Institucional de Capacitación - PI</v>
      </c>
      <c r="G17" s="542" t="n">
        <f aca="false">+IFERROR(VLOOKUP(C17,Hoja1!$A$1:$K$82,11,0),"")</f>
        <v>3</v>
      </c>
      <c r="H17" s="544" t="n">
        <f aca="false">+IFERROR(VLOOKUP(C17,Hoja1!$A$1:$L$82,12,0),"")</f>
        <v>2</v>
      </c>
      <c r="I17" s="536" t="str">
        <f aca="false">+IF(OR(AND(G17=1,H17=1),AND(G17=1,H17=2),AND(G17=1,H17=3),G17="",H17=""),"No se encuentra presente  por lo tanto no esta funcionando, lo que hace que se requieran acciones dirigidas a fortalecer su diseño y puesta en marcha",IF(OR(AND(G17=2,H17=2),AND(G17=3,H17=1),AND(G17=3,H17=2),AND(G17=2,H17=1)),"Se encuentra presente y funcionando, pero requiere acciones dirigidas a fortalecer  o mejorar su diseño y/o ejecucion.",IF(AND(G17=2,H17=3),"Se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7" s="493" t="n">
        <v>3</v>
      </c>
      <c r="K17" s="537" t="n">
        <f aca="false">+VLOOKUP(C17,Hoja1!$A$1:$M$82,13,0)</f>
        <v>0.5</v>
      </c>
      <c r="L17" s="538"/>
      <c r="M17" s="539" t="s">
        <v>581</v>
      </c>
      <c r="N17" s="545"/>
      <c r="O17" s="545"/>
      <c r="P17" s="545"/>
      <c r="Q17" s="545"/>
      <c r="R17" s="545"/>
      <c r="S17" s="545"/>
    </row>
    <row r="18" customFormat="false" ht="99.75" hidden="false" customHeight="true" outlineLevel="0" collapsed="false">
      <c r="B18" s="546" t="n">
        <f aca="false">+IF(ISTEXT(D18),J18,"")</f>
        <v>4</v>
      </c>
      <c r="C18" s="542" t="str">
        <f aca="false">+IFERROR(INDEX(Hoja1!$A$2:$A$82,MATCH(J18,Hoja1!$H$2:$H$82,0)),"")</f>
        <v>1.1</v>
      </c>
      <c r="D18" s="543" t="str">
        <f aca="false">IFERROR(VLOOKUP(C18,Hoja1!$A$2:$H$82,4,0),"")</f>
        <v>Ambiente de Control</v>
      </c>
      <c r="E18" s="543" t="str">
        <f aca="false">+IFERROR(VLOOKUP(C18,Hoja1!$A$1:$J$82,10,0),"")</f>
        <v>La entidad demuestra el compromiso con la integridad (valores) y principios del servicio público</v>
      </c>
      <c r="F18" s="543" t="str">
        <f aca="false">+IFERROR(VLOOKUP(C18,Hoja1!$A$1:$I$82,3,0),"")</f>
        <v>Aplicación del Código de Integridad. (incluye análisis de desviaciones, convivencia laboral, temas disciplinarios internos, quejas o denuncias sobres los servidores de la entidad, u otros temas relacionados)</v>
      </c>
      <c r="G18" s="542" t="n">
        <f aca="false">+IFERROR(VLOOKUP(C18,Hoja1!$A$1:$K$82,11,0),"")</f>
        <v>3</v>
      </c>
      <c r="H18" s="544" t="n">
        <f aca="false">+IFERROR(VLOOKUP(C18,Hoja1!$A$1:$L$82,12,0),"")</f>
        <v>3</v>
      </c>
      <c r="I18" s="536" t="str">
        <f aca="false">+IF(OR(AND(G18=1,H18=1),AND(G18=1,H18=2),AND(G18=1,H18=3),G18="",H18=""),"No se encuentra presente  por lo tanto no esta funcionando, lo que hace que se requieran acciones dirigidas a fortalecer su diseño y puesta en marcha",IF(OR(AND(G18=2,H18=2),AND(G18=3,H18=1),AND(G18=3,H18=2),AND(G18=2,H18=1)),"Se encuentra presente y funcionando, pero requiere acciones dirigidas a fortalecer  o mejorar su diseño y/o ejecucion.",IF(AND(G18=2,H18=3),"Se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18" s="493" t="n">
        <v>4</v>
      </c>
      <c r="K18" s="537" t="n">
        <f aca="false">+VLOOKUP(C18,Hoja1!$A$1:$M$82,13,0)</f>
        <v>1</v>
      </c>
      <c r="L18" s="538"/>
      <c r="M18" s="547"/>
      <c r="N18" s="545"/>
      <c r="O18" s="545"/>
      <c r="P18" s="545"/>
      <c r="Q18" s="545"/>
      <c r="R18" s="545"/>
      <c r="S18" s="545"/>
    </row>
    <row r="19" customFormat="false" ht="99.75" hidden="false" customHeight="true" outlineLevel="0" collapsed="false">
      <c r="A19" s="490" t="n">
        <v>1</v>
      </c>
      <c r="B19" s="541" t="n">
        <f aca="false">+IF(ISTEXT(D19),J19,"")</f>
        <v>5</v>
      </c>
      <c r="C19" s="542" t="str">
        <f aca="false">+IFERROR(INDEX(Hoja1!$A$2:$A$82,MATCH(J19,Hoja1!$H$2:$H$82,0)),"")</f>
        <v>1.3</v>
      </c>
      <c r="D19" s="543" t="str">
        <f aca="false">IFERROR(VLOOKUP(C19,Hoja1!$A$2:$H$82,4,0),"")</f>
        <v>Ambiente de Control</v>
      </c>
      <c r="E19" s="543" t="str">
        <f aca="false">+IFERROR(VLOOKUP(C19,Hoja1!$A$1:$J$82,10,0),"")</f>
        <v>La entidad demuestra el compromiso con la integridad (valores) y principios del servicio público</v>
      </c>
      <c r="F19" s="543" t="str">
        <f aca="false">+IFERROR(VLOOKUP(C19,Hoja1!$A$1:$I$82,3,0),"")</f>
        <v>Mecanismos frente a la detección y prevención del uso inadecuado de información privilegiada u otras situaciones que puedan implicar riesgos para la entidad</v>
      </c>
      <c r="G19" s="542" t="n">
        <f aca="false">+IFERROR(VLOOKUP(C19,Hoja1!$A$1:$K$82,11,0),"")</f>
        <v>3</v>
      </c>
      <c r="H19" s="544" t="n">
        <f aca="false">+IFERROR(VLOOKUP(C19,Hoja1!$A$1:$L$82,12,0),"")</f>
        <v>3</v>
      </c>
      <c r="I19" s="536" t="str">
        <f aca="false">+IF(OR(AND(G19=1,H19=1),AND(G19=1,H19=2),AND(G19=1,H19=3),G19="",H19=""),"No se encuentra presente  por lo tanto no esta funcionando, lo que hace que se requieran acciones dirigidas a fortalecer su diseño y puesta en marcha",IF(OR(AND(G19=2,H19=2),AND(G19=3,H19=1),AND(G19=3,H19=2),AND(G19=2,H19=1)),"Se encuentra presente y funcionando, pero requiere acciones dirigidas a fortalecer  o mejorar su diseño y/o ejecucion.",IF(AND(G19=2,H19=3),"Se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19" s="493" t="n">
        <v>5</v>
      </c>
      <c r="K19" s="537" t="n">
        <f aca="false">+VLOOKUP(C19,Hoja1!$A$1:$M$82,13,0)</f>
        <v>1</v>
      </c>
      <c r="L19" s="538"/>
      <c r="M19" s="547"/>
      <c r="N19" s="545"/>
      <c r="O19" s="545"/>
      <c r="P19" s="545"/>
      <c r="Q19" s="545"/>
      <c r="R19" s="545"/>
      <c r="S19" s="545"/>
    </row>
    <row r="20" customFormat="false" ht="99.75" hidden="false" customHeight="true" outlineLevel="0" collapsed="false">
      <c r="A20" s="490" t="n">
        <v>3</v>
      </c>
      <c r="B20" s="546" t="n">
        <f aca="false">+IF(ISTEXT(D20),J20,"")</f>
        <v>6</v>
      </c>
      <c r="C20" s="542" t="str">
        <f aca="false">+IFERROR(INDEX(Hoja1!$A$2:$A$82,MATCH(J20,Hoja1!$H$2:$H$82,0)),"")</f>
        <v>1.4</v>
      </c>
      <c r="D20" s="543" t="str">
        <f aca="false">IFERROR(VLOOKUP(C20,Hoja1!$A$2:$H$82,4,0),"")</f>
        <v>Ambiente de Control</v>
      </c>
      <c r="E20" s="543" t="str">
        <f aca="false">+IFERROR(VLOOKUP(C20,Hoja1!$A$1:$J$82,10,0),"")</f>
        <v>La entidad demuestra el compromiso con la integridad (valores) y principios del servicio público</v>
      </c>
      <c r="F20" s="543" t="str">
        <f aca="false">+IFERROR(VLOOKUP(C20,Hoja1!$A$1:$I$82,3,0),"")</f>
        <v>La evaluación de las acciones transversales de integridad, mediante el monitoreo permanente de los riesgos de corrupción.</v>
      </c>
      <c r="G20" s="542" t="n">
        <f aca="false">+IFERROR(VLOOKUP(C20,Hoja1!$A$1:$K$82,11,0),"")</f>
        <v>3</v>
      </c>
      <c r="H20" s="544" t="n">
        <f aca="false">+IFERROR(VLOOKUP(C20,Hoja1!$A$1:$L$82,12,0),"")</f>
        <v>3</v>
      </c>
      <c r="I20" s="536" t="str">
        <f aca="false">+IF(OR(AND(G20=1,H20=1),AND(G20=1,H20=2),AND(G20=1,H20=3),G20="",H20=""),"No se encuentra presente  por lo tanto no esta funcionando, lo que hace que se requieran acciones dirigidas a fortalecer su diseño y puesta en marcha",IF(OR(AND(G20=2,H20=2),AND(G20=3,H20=1),AND(G20=3,H20=2),AND(G20=2,H20=1)),"Se encuentra presente y funcionando, pero requiere acciones dirigidas a fortalecer  o mejorar su diseño y/o ejecucion.",IF(AND(G20=2,H20=3),"Se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0" s="493" t="n">
        <v>6</v>
      </c>
      <c r="K20" s="537" t="n">
        <f aca="false">+VLOOKUP(C20,Hoja1!$A$1:$M$82,13,0)</f>
        <v>1</v>
      </c>
      <c r="L20" s="538"/>
      <c r="M20" s="539" t="s">
        <v>582</v>
      </c>
      <c r="N20" s="545"/>
      <c r="O20" s="545"/>
      <c r="P20" s="545"/>
      <c r="Q20" s="545"/>
      <c r="R20" s="545"/>
      <c r="S20" s="545"/>
    </row>
    <row r="21" customFormat="false" ht="99.75" hidden="false" customHeight="true" outlineLevel="0" collapsed="false">
      <c r="A21" s="490" t="n">
        <v>4</v>
      </c>
      <c r="B21" s="541" t="n">
        <f aca="false">+IF(ISTEXT(D21),J21,"")</f>
        <v>7</v>
      </c>
      <c r="C21" s="542" t="str">
        <f aca="false">+IFERROR(INDEX(Hoja1!$A$2:$A$82,MATCH(J21,Hoja1!$H$2:$H$82,0)),"")</f>
        <v>2.1</v>
      </c>
      <c r="D21" s="543" t="str">
        <f aca="false">IFERROR(VLOOKUP(C21,Hoja1!$A$2:$H$82,4,0),"")</f>
        <v>Ambiente de Control</v>
      </c>
      <c r="E21" s="543" t="str">
        <f aca="false">+IFERROR(VLOOKUP(C21,Hoja1!$A$1:$J$82,10,0),"")</f>
        <v>Aplicación de mecanismos para ejercer una adecuada supervisión del Sistema de Control Interno</v>
      </c>
      <c r="F21" s="543" t="str">
        <f aca="false">+IFERROR(VLOOKUP(C21,Hoja1!$A$1:$I$82,3,0),"")</f>
        <v>Creación o actualización del Comité Institucional de Coordinación de Control Interno (incluye ajustes en periodicidad para reunión, articulación con el Comité Institucioanl de Gestión y Desempeño)</v>
      </c>
      <c r="G21" s="542" t="n">
        <f aca="false">+IFERROR(VLOOKUP(C21,Hoja1!$A$1:$K$82,11,0),"")</f>
        <v>3</v>
      </c>
      <c r="H21" s="544" t="n">
        <f aca="false">+IFERROR(VLOOKUP(C21,Hoja1!$A$1:$L$82,12,0),"")</f>
        <v>3</v>
      </c>
      <c r="I21" s="536" t="str">
        <f aca="false">+IF(OR(AND(G21=1,H21=1),AND(G21=1,H21=2),AND(G21=1,H21=3),G21="",H21=""),"No se encuentra presente  por lo tanto no esta funcionando, lo que hace que se requieran acciones dirigidas a fortalecer su diseño y puesta en marcha",IF(OR(AND(G21=2,H21=2),AND(G21=3,H21=1),AND(G21=3,H21=2),AND(G21=2,H21=1)),"Se encuentra presente y funcionando, pero requiere acciones dirigidas a fortalecer  o mejorar su diseño y/o ejecucion.",IF(AND(G21=2,H21=3),"Se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1" s="493" t="n">
        <v>7</v>
      </c>
      <c r="K21" s="537" t="n">
        <f aca="false">+VLOOKUP(C21,Hoja1!$A$1:$M$82,13,0)</f>
        <v>1</v>
      </c>
      <c r="L21" s="538"/>
      <c r="M21" s="548"/>
      <c r="N21" s="545"/>
      <c r="O21" s="545"/>
      <c r="P21" s="545"/>
      <c r="Q21" s="545"/>
      <c r="R21" s="545"/>
      <c r="S21" s="545"/>
    </row>
    <row r="22" customFormat="false" ht="99.75" hidden="false" customHeight="true" outlineLevel="0" collapsed="false">
      <c r="A22" s="490" t="n">
        <v>6</v>
      </c>
      <c r="B22" s="541" t="n">
        <f aca="false">+IF(ISTEXT(D22),J22,"")</f>
        <v>8</v>
      </c>
      <c r="C22" s="542" t="str">
        <f aca="false">+IFERROR(INDEX(Hoja1!$A$2:$A$82,MATCH(J22,Hoja1!$H$2:$H$82,0)),"")</f>
        <v>2.2</v>
      </c>
      <c r="D22" s="543" t="str">
        <f aca="false">IFERROR(VLOOKUP(C22,Hoja1!$A$2:$H$82,4,0),"")</f>
        <v>Ambiente de Control</v>
      </c>
      <c r="E22" s="543" t="str">
        <f aca="false">+IFERROR(VLOOKUP(C22,Hoja1!$A$1:$J$82,10,0),"")</f>
        <v>Aplicación de mecanismos para ejercer una adecuada supervisión del Sistema de Control Interno</v>
      </c>
      <c r="F22" s="543" t="str">
        <f aca="false">+IFERROR(VLOOKUP(C22,Hoja1!$A$1:$I$82,3,0),"")</f>
        <v>Definición y documentación del Esquema de Líneas de Defens</v>
      </c>
      <c r="G22" s="542" t="n">
        <f aca="false">+IFERROR(VLOOKUP(C22,Hoja1!$A$1:$K$82,11,0),"")</f>
        <v>3</v>
      </c>
      <c r="H22" s="544" t="n">
        <f aca="false">+IFERROR(VLOOKUP(C22,Hoja1!$A$1:$L$82,12,0),"")</f>
        <v>3</v>
      </c>
      <c r="I22" s="536" t="str">
        <f aca="false">+IF(OR(AND(G22=1,H22=1),AND(G22=1,H22=2),AND(G22=1,H22=3),G22="",H22=""),"No se encuentra presente  por lo tanto no esta funcionando, lo que hace que se requieran acciones dirigidas a fortalecer su diseño y puesta en marcha",IF(OR(AND(G22=2,H22=2),AND(G22=3,H22=1),AND(G22=3,H22=2),AND(G22=2,H22=1)),"Se encuentra presente y funcionando, pero requiere acciones dirigidas a fortalecer  o mejorar su diseño y/o ejecucion.",IF(AND(G22=2,H22=3),"Se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2" s="493" t="n">
        <v>8</v>
      </c>
      <c r="K22" s="537" t="n">
        <f aca="false">+VLOOKUP(C22,Hoja1!$A$1:$M$82,13,0)</f>
        <v>1</v>
      </c>
      <c r="L22" s="538"/>
      <c r="M22" s="548"/>
      <c r="N22" s="545"/>
      <c r="O22" s="545"/>
      <c r="P22" s="545"/>
      <c r="Q22" s="545"/>
      <c r="R22" s="545"/>
      <c r="S22" s="545"/>
    </row>
    <row r="23" customFormat="false" ht="99.75" hidden="false" customHeight="true" outlineLevel="0" collapsed="false">
      <c r="A23" s="490" t="n">
        <v>7</v>
      </c>
      <c r="B23" s="541" t="n">
        <f aca="false">+IF(ISTEXT(D23),J23,"")</f>
        <v>9</v>
      </c>
      <c r="C23" s="542" t="str">
        <f aca="false">+IFERROR(INDEX(Hoja1!$A$2:$A$82,MATCH(J23,Hoja1!$H$2:$H$82,0)),"")</f>
        <v>2.3</v>
      </c>
      <c r="D23" s="543" t="str">
        <f aca="false">IFERROR(VLOOKUP(C23,Hoja1!$A$2:$H$82,4,0),"")</f>
        <v>Ambiente de Control</v>
      </c>
      <c r="E23" s="543" t="str">
        <f aca="false">+IFERROR(VLOOKUP(C23,Hoja1!$A$1:$J$82,10,0),"")</f>
        <v>Aplicación de mecanismos para ejercer una adecuada supervisión del Sistema de Control Interno</v>
      </c>
      <c r="F23" s="543" t="str">
        <f aca="false">+IFERROR(VLOOKUP(C23,Hoja1!$A$1:$I$82,3,0),"")</f>
        <v>Definición de líneas de reporte en temas clave para la toma de decisiones, atendiendo el Esquema de Líneas de Defens</v>
      </c>
      <c r="G23" s="542" t="n">
        <f aca="false">+IFERROR(VLOOKUP(C23,Hoja1!$A$1:$K$82,11,0),"")</f>
        <v>3</v>
      </c>
      <c r="H23" s="544" t="n">
        <f aca="false">+IFERROR(VLOOKUP(C23,Hoja1!$A$1:$L$82,12,0),"")</f>
        <v>3</v>
      </c>
      <c r="I23" s="536" t="str">
        <f aca="false">+IF(OR(AND(G23=1,H23=1),AND(G23=1,H23=2),AND(G23=1,H23=3),G23="",H23=""),"No se encuentra presente  por lo tanto no esta funcionando, lo que hace que se requieran acciones dirigidas a fortalecer su diseño y puesta en marcha",IF(OR(AND(G23=2,H23=2),AND(G23=3,H23=1),AND(G23=3,H23=2),AND(G23=2,H23=1)),"Se encuentra presente y funcionando, pero requiere acciones dirigidas a fortalecer  o mejorar su diseño y/o ejecucion.",IF(AND(G23=2,H23=3),"Se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3" s="493" t="n">
        <v>9</v>
      </c>
      <c r="K23" s="537" t="n">
        <f aca="false">+VLOOKUP(C23,Hoja1!$A$1:$M$82,13,0)</f>
        <v>1</v>
      </c>
      <c r="L23" s="538"/>
      <c r="M23" s="548"/>
      <c r="N23" s="545"/>
      <c r="O23" s="545"/>
      <c r="P23" s="545"/>
      <c r="Q23" s="545"/>
      <c r="R23" s="545"/>
      <c r="S23" s="545"/>
    </row>
    <row r="24" customFormat="false" ht="99.75" hidden="false" customHeight="true" outlineLevel="0" collapsed="false">
      <c r="A24" s="490" t="n">
        <v>8</v>
      </c>
      <c r="B24" s="546" t="n">
        <f aca="false">+IF(ISTEXT(D24),J24,"")</f>
        <v>10</v>
      </c>
      <c r="C24" s="542" t="str">
        <f aca="false">+IFERROR(INDEX(Hoja1!$A$2:$A$82,MATCH(J24,Hoja1!$H$2:$H$82,0)),"")</f>
        <v>3.1</v>
      </c>
      <c r="D24" s="543" t="str">
        <f aca="false">IFERROR(VLOOKUP(C24,Hoja1!$A$2:$H$82,4,0),"")</f>
        <v>Ambiente de Control</v>
      </c>
      <c r="E24" s="543" t="str">
        <f aca="false">+IFERROR(VLOOKUP(C24,Hoja1!$A$1:$J$82,10,0),"")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4" s="543" t="str">
        <f aca="false">+IFERROR(VLOOKUP(C24,Hoja1!$A$1:$I$82,3,0),"")</f>
        <v>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G24" s="542" t="n">
        <f aca="false">+IFERROR(VLOOKUP(C24,Hoja1!$A$1:$K$82,11,0),"")</f>
        <v>3</v>
      </c>
      <c r="H24" s="544" t="n">
        <f aca="false">+IFERROR(VLOOKUP(C24,Hoja1!$A$1:$L$82,12,0),"")</f>
        <v>3</v>
      </c>
      <c r="I24" s="536" t="str">
        <f aca="false">+IF(OR(AND(G24=1,H24=1),AND(G24=1,H24=2),AND(G24=1,H24=3),G24="",H24=""),"No se encuentra presente  por lo tanto no esta funcionando, lo que hace que se requieran acciones dirigidas a fortalecer su diseño y puesta en marcha",IF(OR(AND(G24=2,H24=2),AND(G24=3,H24=1),AND(G24=3,H24=2),AND(G24=2,H24=1)),"Se encuentra presente y funcionando, pero requiere acciones dirigidas a fortalecer  o mejorar su diseño y/o ejecucion.",IF(AND(G24=2,H24=3),"Se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4" s="493" t="n">
        <v>10</v>
      </c>
      <c r="K24" s="537" t="n">
        <f aca="false">+VLOOKUP(C24,Hoja1!$A$1:$M$82,13,0)</f>
        <v>1</v>
      </c>
      <c r="L24" s="538"/>
      <c r="M24" s="549" t="s">
        <v>581</v>
      </c>
      <c r="N24" s="545"/>
      <c r="O24" s="545"/>
      <c r="P24" s="545"/>
      <c r="Q24" s="545"/>
      <c r="R24" s="545"/>
      <c r="S24" s="545"/>
    </row>
    <row r="25" customFormat="false" ht="99.75" hidden="false" customHeight="true" outlineLevel="0" collapsed="false">
      <c r="B25" s="541" t="n">
        <f aca="false">+IF(ISTEXT(D25),J25,"")</f>
        <v>11</v>
      </c>
      <c r="C25" s="542" t="str">
        <f aca="false">+IFERROR(INDEX(Hoja1!$A$2:$A$82,MATCH(J25,Hoja1!$H$2:$H$82,0)),"")</f>
        <v>3.2</v>
      </c>
      <c r="D25" s="543" t="str">
        <f aca="false">IFERROR(VLOOKUP(C25,Hoja1!$A$2:$H$82,4,0),"")</f>
        <v>Ambiente de Control</v>
      </c>
      <c r="E25" s="543" t="str">
        <f aca="false">+IFERROR(VLOOKUP(C25,Hoja1!$A$1:$J$82,10,0),"")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5" s="543" t="str">
        <f aca="false">+IFERROR(VLOOKUP(C25,Hoja1!$A$1:$I$82,3,0),"")</f>
        <v>La Alta Dirección frente a la política de Administración del Riesgo definen los niveles de aceptación del riesgo, teniendo en cuenta cada uno de los objetivos establecidos.</v>
      </c>
      <c r="G25" s="542" t="n">
        <f aca="false">+IFERROR(VLOOKUP(C25,Hoja1!$A$1:$K$82,11,0),"")</f>
        <v>3</v>
      </c>
      <c r="H25" s="544" t="n">
        <f aca="false">+IFERROR(VLOOKUP(C25,Hoja1!$A$1:$L$82,12,0),"")</f>
        <v>3</v>
      </c>
      <c r="I25" s="536" t="str">
        <f aca="false">+IF(OR(AND(G25=1,H25=1),AND(G25=1,H25=2),AND(G25=1,H25=3),G25="",H25=""),"No se encuentra presente  por lo tanto no esta funcionando, lo que hace que se requieran acciones dirigidas a fortalecer su diseño y puesta en marcha",IF(OR(AND(G25=2,H25=2),AND(G25=3,H25=1),AND(G25=3,H25=2),AND(G25=2,H25=1)),"Se encuentra presente y funcionando, pero requiere acciones dirigidas a fortalecer  o mejorar su diseño y/o ejecucion.",IF(AND(G25=2,H25=3),"Se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5" s="493" t="n">
        <v>11</v>
      </c>
      <c r="K25" s="537" t="n">
        <f aca="false">+VLOOKUP(C25,Hoja1!$A$1:$M$82,13,0)</f>
        <v>1</v>
      </c>
      <c r="L25" s="538"/>
      <c r="M25" s="547"/>
      <c r="N25" s="545"/>
      <c r="O25" s="545"/>
      <c r="P25" s="545"/>
      <c r="Q25" s="545"/>
      <c r="R25" s="545"/>
      <c r="S25" s="545"/>
    </row>
    <row r="26" customFormat="false" ht="99.75" hidden="false" customHeight="true" outlineLevel="0" collapsed="false">
      <c r="B26" s="546" t="n">
        <f aca="false">+IF(ISTEXT(D26),J26,"")</f>
        <v>12</v>
      </c>
      <c r="C26" s="542" t="str">
        <f aca="false">+IFERROR(INDEX(Hoja1!$A$2:$A$82,MATCH(J26,Hoja1!$H$2:$H$82,0)),"")</f>
        <v>3.3</v>
      </c>
      <c r="D26" s="543" t="str">
        <f aca="false">IFERROR(VLOOKUP(C26,Hoja1!$A$2:$H$82,4,0),"")</f>
        <v>Ambiente de Control</v>
      </c>
      <c r="E26" s="543" t="str">
        <f aca="false">+IFERROR(VLOOKUP(C26,Hoja1!$A$1:$J$82,10,0),"")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6" s="543" t="str">
        <f aca="false">+IFERROR(VLOOKUP(C26,Hoja1!$A$1:$I$82,3,0),"")</f>
        <v>Evaluación de la planeación estratégica, considerando alertas frente a posibles incumplimientos, necesidades de recursos, cambios en el entorno que puedan afectar su desarrollo, entre otros aspectos que garanticen de forma razonable su cumplimiento</v>
      </c>
      <c r="G26" s="542" t="n">
        <f aca="false">+IFERROR(VLOOKUP(C26,Hoja1!$A$1:$K$82,11,0),"")</f>
        <v>3</v>
      </c>
      <c r="H26" s="544" t="n">
        <f aca="false">+IFERROR(VLOOKUP(C26,Hoja1!$A$1:$L$82,12,0),"")</f>
        <v>3</v>
      </c>
      <c r="I26" s="536" t="str">
        <f aca="false">+IF(OR(AND(G26=1,H26=1),AND(G26=1,H26=2),AND(G26=1,H26=3),G26="",H26=""),"No se encuentra presente  por lo tanto no esta funcionando, lo que hace que se requieran acciones dirigidas a fortalecer su diseño y puesta en marcha",IF(OR(AND(G26=2,H26=2),AND(G26=3,H26=1),AND(G26=3,H26=2),AND(G26=2,H26=1)),"Se encuentra presente y funcionando, pero requiere acciones dirigidas a fortalecer  o mejorar su diseño y/o ejecucion.",IF(AND(G26=2,H26=3),"Se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6" s="493" t="n">
        <v>12</v>
      </c>
      <c r="K26" s="537" t="n">
        <f aca="false">+VLOOKUP(C26,Hoja1!$A$1:$M$82,13,0)</f>
        <v>1</v>
      </c>
      <c r="L26" s="538"/>
      <c r="M26" s="547"/>
      <c r="N26" s="545"/>
      <c r="O26" s="545"/>
      <c r="P26" s="545"/>
      <c r="Q26" s="545"/>
      <c r="R26" s="545"/>
      <c r="S26" s="545"/>
    </row>
    <row r="27" customFormat="false" ht="99.75" hidden="false" customHeight="true" outlineLevel="0" collapsed="false">
      <c r="B27" s="541" t="n">
        <f aca="false">+IF(ISTEXT(D27),J27,"")</f>
        <v>13</v>
      </c>
      <c r="C27" s="542" t="str">
        <f aca="false">+IFERROR(INDEX(Hoja1!$A$2:$A$82,MATCH(J27,Hoja1!$H$2:$H$82,0)),"")</f>
        <v>4.1</v>
      </c>
      <c r="D27" s="543" t="str">
        <f aca="false">IFERROR(VLOOKUP(C27,Hoja1!$A$2:$H$82,4,0),"")</f>
        <v>Ambiente de Control</v>
      </c>
      <c r="E27" s="543" t="str">
        <f aca="false">+IFERROR(VLOOKUP(C27,Hoja1!$A$1:$J$82,10,0),"")</f>
        <v>Compromiso con la competencia de todo el personal, por lo que la gestión del talento humano tiene un carácter estratégico con el despliegue de actividades clave para todo el ciclo de vida del servidor público –ingreso, permanencia y retiro.</v>
      </c>
      <c r="F27" s="543" t="str">
        <f aca="false">+IFERROR(VLOOKUP(C27,Hoja1!$A$1:$I$82,3,0),"")</f>
        <v>Evaluación de la Planeación Estratégica del Talento Humano</v>
      </c>
      <c r="G27" s="542" t="n">
        <f aca="false">+IFERROR(VLOOKUP(C27,Hoja1!$A$1:$K$82,11,0),"")</f>
        <v>3</v>
      </c>
      <c r="H27" s="544" t="n">
        <f aca="false">+IFERROR(VLOOKUP(C27,Hoja1!$A$1:$L$82,12,0),"")</f>
        <v>3</v>
      </c>
      <c r="I27" s="536" t="str">
        <f aca="false">+IF(OR(AND(G27=1,H27=1),AND(G27=1,H27=2),AND(G27=1,H27=3),G27="",H27=""),"No se encuentra presente  por lo tanto no esta funcionando, lo que hace que se requieran acciones dirigidas a fortalecer su diseño y puesta en marcha",IF(OR(AND(G27=2,H27=2),AND(G27=3,H27=1),AND(G27=3,H27=2),AND(G27=2,H27=1)),"Se encuentra presente y funcionando, pero requiere acciones dirigidas a fortalecer  o mejorar su diseño y/o ejecucion.",IF(AND(G27=2,H27=3),"Se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7" s="493" t="n">
        <v>13</v>
      </c>
      <c r="K27" s="537" t="n">
        <f aca="false">+VLOOKUP(C27,Hoja1!$A$1:$M$82,13,0)</f>
        <v>1</v>
      </c>
      <c r="L27" s="538"/>
      <c r="M27" s="548"/>
      <c r="N27" s="545"/>
      <c r="O27" s="545"/>
      <c r="P27" s="545"/>
      <c r="Q27" s="545"/>
      <c r="R27" s="545"/>
      <c r="S27" s="545"/>
    </row>
    <row r="28" customFormat="false" ht="99.75" hidden="false" customHeight="true" outlineLevel="0" collapsed="false">
      <c r="B28" s="541" t="n">
        <f aca="false">+IF(ISTEXT(D28),J28,"")</f>
        <v>14</v>
      </c>
      <c r="C28" s="542" t="str">
        <f aca="false">+IFERROR(INDEX(Hoja1!$A$2:$A$82,MATCH(J28,Hoja1!$H$2:$H$82,0)),"")</f>
        <v>4.2</v>
      </c>
      <c r="D28" s="543" t="str">
        <f aca="false">IFERROR(VLOOKUP(C28,Hoja1!$A$2:$H$82,4,0),"")</f>
        <v>Ambiente de Control</v>
      </c>
      <c r="E28" s="543" t="str">
        <f aca="false">+IFERROR(VLOOKUP(C28,Hoja1!$A$1:$J$82,10,0),"")</f>
        <v>Compromiso con la competencia de todo el personal, por lo que la gestión del talento humano tiene un carácter estratégico con el despliegue de actividades clave para todo el ciclo de vida del servidor público –ingreso, permanencia y retiro.</v>
      </c>
      <c r="F28" s="543" t="str">
        <f aca="false">+IFERROR(VLOOKUP(C28,Hoja1!$A$1:$I$82,3,0),"")</f>
        <v>Evaluación de las actividades relacionadas con el Ingreso del personal</v>
      </c>
      <c r="G28" s="542" t="n">
        <f aca="false">+IFERROR(VLOOKUP(C28,Hoja1!$A$1:$K$82,11,0),"")</f>
        <v>3</v>
      </c>
      <c r="H28" s="544" t="n">
        <f aca="false">+IFERROR(VLOOKUP(C28,Hoja1!$A$1:$L$82,12,0),"")</f>
        <v>3</v>
      </c>
      <c r="I28" s="536" t="str">
        <f aca="false">+IF(OR(AND(G28=1,H28=1),AND(G28=1,H28=2),AND(G28=1,H28=3),G28="",H28=""),"No se encuentra presente  por lo tanto no esta funcionando, lo que hace que se requieran acciones dirigidas a fortalecer su diseño y puesta en marcha",IF(OR(AND(G28=2,H28=2),AND(G28=3,H28=1),AND(G28=3,H28=2),AND(G28=2,H28=1)),"Se encuentra presente y funcionando, pero requiere acciones dirigidas a fortalecer  o mejorar su diseño y/o ejecucion.",IF(AND(G28=2,H28=3),"Se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8" s="493" t="n">
        <v>14</v>
      </c>
      <c r="K28" s="537" t="n">
        <f aca="false">+VLOOKUP(C28,Hoja1!$A$1:$M$82,13,0)</f>
        <v>1</v>
      </c>
      <c r="L28" s="538"/>
      <c r="M28" s="548"/>
      <c r="N28" s="545"/>
      <c r="O28" s="545"/>
      <c r="P28" s="545"/>
      <c r="Q28" s="545"/>
      <c r="R28" s="545"/>
      <c r="S28" s="545"/>
    </row>
    <row r="29" customFormat="false" ht="99.75" hidden="false" customHeight="true" outlineLevel="0" collapsed="false">
      <c r="B29" s="541" t="n">
        <f aca="false">+IF(ISTEXT(D29),J29,"")</f>
        <v>15</v>
      </c>
      <c r="C29" s="542" t="str">
        <f aca="false">+IFERROR(INDEX(Hoja1!$A$2:$A$82,MATCH(J29,Hoja1!$H$2:$H$82,0)),"")</f>
        <v>4.3</v>
      </c>
      <c r="D29" s="543" t="str">
        <f aca="false">IFERROR(VLOOKUP(C29,Hoja1!$A$2:$H$82,4,0),"")</f>
        <v>Ambiente de Control</v>
      </c>
      <c r="E29" s="543" t="str">
        <f aca="false">+IFERROR(VLOOKUP(C29,Hoja1!$A$1:$J$82,10,0),"")</f>
        <v>Compromiso con la competencia de todo el personal, por lo que la gestión del talento humano tiene un carácter estratégico con el despliegue de actividades clave para todo el ciclo de vida del servidor público –ingreso, permanencia y retiro.</v>
      </c>
      <c r="F29" s="543" t="str">
        <f aca="false">+IFERROR(VLOOKUP(C29,Hoja1!$A$1:$I$82,3,0),"")</f>
        <v>Evaluación de las actividades relacionadas con la permanencia del personal</v>
      </c>
      <c r="G29" s="542" t="n">
        <f aca="false">+IFERROR(VLOOKUP(C29,Hoja1!$A$1:$K$82,11,0),"")</f>
        <v>3</v>
      </c>
      <c r="H29" s="544" t="n">
        <f aca="false">+IFERROR(VLOOKUP(C29,Hoja1!$A$1:$L$82,12,0),"")</f>
        <v>3</v>
      </c>
      <c r="I29" s="536" t="str">
        <f aca="false">+IF(OR(AND(G29=1,H29=1),AND(G29=1,H29=2),AND(G29=1,H29=3),G29="",H29=""),"No se encuentra presente  por lo tanto no esta funcionando, lo que hace que se requieran acciones dirigidas a fortalecer su diseño y puesta en marcha",IF(OR(AND(G29=2,H29=2),AND(G29=3,H29=1),AND(G29=3,H29=2),AND(G29=2,H29=1)),"Se encuentra presente y funcionando, pero requiere acciones dirigidas a fortalecer  o mejorar su diseño y/o ejecucion.",IF(AND(G29=2,H29=3),"Se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29" s="493" t="n">
        <v>15</v>
      </c>
      <c r="K29" s="537" t="n">
        <f aca="false">+VLOOKUP(C29,Hoja1!$A$1:$M$82,13,0)</f>
        <v>1</v>
      </c>
      <c r="L29" s="538"/>
      <c r="M29" s="548"/>
      <c r="N29" s="545"/>
      <c r="O29" s="545"/>
      <c r="P29" s="545"/>
      <c r="Q29" s="545"/>
      <c r="R29" s="545"/>
      <c r="S29" s="545"/>
    </row>
    <row r="30" customFormat="false" ht="99.75" hidden="false" customHeight="true" outlineLevel="0" collapsed="false">
      <c r="B30" s="546" t="n">
        <f aca="false">+IF(ISTEXT(D30),J30,"")</f>
        <v>16</v>
      </c>
      <c r="C30" s="542" t="str">
        <f aca="false">+IFERROR(INDEX(Hoja1!$A$2:$A$82,MATCH(J30,Hoja1!$H$2:$H$82,0)),"")</f>
        <v>4.4</v>
      </c>
      <c r="D30" s="543" t="str">
        <f aca="false">IFERROR(VLOOKUP(C30,Hoja1!$A$2:$H$82,4,0),"")</f>
        <v>Ambiente de Control</v>
      </c>
      <c r="E30" s="543" t="str">
        <f aca="false">+IFERROR(VLOOKUP(C30,Hoja1!$A$1:$J$82,10,0),"")</f>
        <v>Compromiso con la competencia de todo el personal, por lo que la gestión del talento humano tiene un carácter estratégico con el despliegue de actividades clave para todo el ciclo de vida del servidor público –ingreso, permanencia y retiro.</v>
      </c>
      <c r="F30" s="543" t="str">
        <f aca="false">+IFERROR(VLOOKUP(C30,Hoja1!$A$1:$I$82,3,0),"")</f>
        <v>Analizar si se cuenta con políticas claras y comunicadas relacionadas con la responsabilidad de cada servidor sobre el desarrollo y mantenimiento del control interno (1a línea de defensa</v>
      </c>
      <c r="G30" s="542" t="n">
        <f aca="false">+IFERROR(VLOOKUP(C30,Hoja1!$A$1:$K$82,11,0),"")</f>
        <v>3</v>
      </c>
      <c r="H30" s="544" t="n">
        <f aca="false">+IFERROR(VLOOKUP(C30,Hoja1!$A$1:$L$82,12,0),"")</f>
        <v>3</v>
      </c>
      <c r="I30" s="536" t="str">
        <f aca="false">+IF(OR(AND(G30=1,H30=1),AND(G30=1,H30=2),AND(G30=1,H30=3),G30="",H30=""),"No se encuentra presente  por lo tanto no esta funcionando, lo que hace que se requieran acciones dirigidas a fortalecer su diseño y puesta en marcha",IF(OR(AND(G30=2,H30=2),AND(G30=3,H30=1),AND(G30=3,H30=2),AND(G30=2,H30=1)),"Se encuentra presente y funcionando, pero requiere acciones dirigidas a fortalecer  o mejorar su diseño y/o ejecucion.",IF(AND(G30=2,H30=3),"Se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0" s="493" t="n">
        <v>16</v>
      </c>
      <c r="K30" s="537" t="n">
        <f aca="false">+VLOOKUP(C30,Hoja1!$A$1:$M$82,13,0)</f>
        <v>1</v>
      </c>
      <c r="L30" s="538"/>
      <c r="M30" s="548"/>
      <c r="N30" s="545"/>
      <c r="O30" s="545"/>
      <c r="P30" s="545"/>
      <c r="Q30" s="545"/>
      <c r="R30" s="545"/>
      <c r="S30" s="545"/>
    </row>
    <row r="31" customFormat="false" ht="99.75" hidden="false" customHeight="true" outlineLevel="0" collapsed="false">
      <c r="B31" s="541" t="n">
        <f aca="false">+IF(ISTEXT(D31),J31,"")</f>
        <v>17</v>
      </c>
      <c r="C31" s="542" t="str">
        <f aca="false">+IFERROR(INDEX(Hoja1!$A$2:$A$82,MATCH(J31,Hoja1!$H$2:$H$82,0)),"")</f>
        <v>4.5</v>
      </c>
      <c r="D31" s="543" t="str">
        <f aca="false">IFERROR(VLOOKUP(C31,Hoja1!$A$2:$H$82,4,0),"")</f>
        <v>Ambiente de Control</v>
      </c>
      <c r="E31" s="543" t="str">
        <f aca="false">+IFERROR(VLOOKUP(C31,Hoja1!$A$1:$J$82,10,0),"")</f>
        <v>Compromiso con la competencia de todo el personal, por lo que la gestión del talento humano tiene un carácter estratégico con el despliegue de actividades clave para todo el ciclo de vida del servidor público –ingreso, permanencia y retiro.</v>
      </c>
      <c r="F31" s="543" t="str">
        <f aca="false">+IFERROR(VLOOKUP(C31,Hoja1!$A$1:$I$82,3,0),"")</f>
        <v>Evaluación de las actividades relacionadas con el retiro del personal</v>
      </c>
      <c r="G31" s="542" t="n">
        <f aca="false">+IFERROR(VLOOKUP(C31,Hoja1!$A$1:$K$82,11,0),"")</f>
        <v>3</v>
      </c>
      <c r="H31" s="544" t="n">
        <f aca="false">+IFERROR(VLOOKUP(C31,Hoja1!$A$1:$L$82,12,0),"")</f>
        <v>3</v>
      </c>
      <c r="I31" s="536" t="str">
        <f aca="false">+IF(OR(AND(G31=1,H31=1),AND(G31=1,H31=2),AND(G31=1,H31=3),G31="",H31=""),"No se encuentra presente  por lo tanto no esta funcionando, lo que hace que se requieran acciones dirigidas a fortalecer su diseño y puesta en marcha",IF(OR(AND(G31=2,H31=2),AND(G31=3,H31=1),AND(G31=3,H31=2),AND(G31=2,H31=1)),"Se encuentra presente y funcionando, pero requiere acciones dirigidas a fortalecer  o mejorar su diseño y/o ejecucion.",IF(AND(G31=2,H31=3),"Se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1" s="493" t="n">
        <v>17</v>
      </c>
      <c r="K31" s="537" t="n">
        <f aca="false">+VLOOKUP(C31,Hoja1!$A$1:$M$82,13,0)</f>
        <v>1</v>
      </c>
      <c r="L31" s="538"/>
      <c r="M31" s="548"/>
      <c r="N31" s="545"/>
      <c r="O31" s="545"/>
      <c r="P31" s="545"/>
      <c r="Q31" s="545"/>
      <c r="R31" s="545"/>
      <c r="S31" s="545"/>
    </row>
    <row r="32" customFormat="false" ht="99.75" hidden="false" customHeight="true" outlineLevel="0" collapsed="false">
      <c r="B32" s="546" t="n">
        <f aca="false">+IF(ISTEXT(D32),J32,"")</f>
        <v>18</v>
      </c>
      <c r="C32" s="542" t="str">
        <f aca="false">+IFERROR(INDEX(Hoja1!$A$2:$A$82,MATCH(J32,Hoja1!$H$2:$H$82,0)),"")</f>
        <v>5.1</v>
      </c>
      <c r="D32" s="543" t="str">
        <f aca="false">IFERROR(VLOOKUP(C32,Hoja1!$A$2:$H$82,4,0),"")</f>
        <v>Ambiente de Control</v>
      </c>
      <c r="E32" s="543" t="str">
        <f aca="false">+IFERROR(VLOOKUP(C32,Hoja1!$A$1:$J$82,10,0),"")</f>
        <v>La entidad establece líneas de reporte dentro de la entidad para evaluar el funcionamiento del Sistema de Control Interno.</v>
      </c>
      <c r="F32" s="543" t="str">
        <f aca="false">+IFERROR(VLOOKUP(C32,Hoja1!$A$1:$I$82,3,0),"")</f>
        <v>Acorde con la estructura del Esquema de Líneas de Defensa se han definido estándares de reporte, periodicidad y responsables frente a diferentes temas críticos de la entidad</v>
      </c>
      <c r="G32" s="542" t="n">
        <f aca="false">+IFERROR(VLOOKUP(C32,Hoja1!$A$1:$K$82,11,0),"")</f>
        <v>3</v>
      </c>
      <c r="H32" s="544" t="n">
        <f aca="false">+IFERROR(VLOOKUP(C32,Hoja1!$A$1:$L$82,12,0),"")</f>
        <v>3</v>
      </c>
      <c r="I32" s="536" t="str">
        <f aca="false">+IF(OR(AND(G32=1,H32=1),AND(G32=1,H32=2),AND(G32=1,H32=3),G32="",H32=""),"No se encuentra presente  por lo tanto no esta funcionando, lo que hace que se requieran acciones dirigidas a fortalecer su diseño y puesta en marcha",IF(OR(AND(G32=2,H32=2),AND(G32=3,H32=1),AND(G32=3,H32=2),AND(G32=2,H32=1)),"Se encuentra presente y funcionando, pero requiere acciones dirigidas a fortalecer  o mejorar su diseño y/o ejecucion.",IF(AND(G32=2,H32=3),"Se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2" s="493" t="n">
        <v>18</v>
      </c>
      <c r="K32" s="537" t="n">
        <f aca="false">+VLOOKUP(C32,Hoja1!$A$1:$M$82,13,0)</f>
        <v>1</v>
      </c>
      <c r="L32" s="538"/>
      <c r="M32" s="548"/>
      <c r="N32" s="545"/>
      <c r="O32" s="545"/>
      <c r="P32" s="545"/>
      <c r="Q32" s="545"/>
      <c r="R32" s="545"/>
      <c r="S32" s="545"/>
    </row>
    <row r="33" customFormat="false" ht="99.75" hidden="false" customHeight="true" outlineLevel="0" collapsed="false">
      <c r="B33" s="541" t="n">
        <f aca="false">+IF(ISTEXT(D33),J33,"")</f>
        <v>19</v>
      </c>
      <c r="C33" s="542" t="str">
        <f aca="false">+IFERROR(INDEX(Hoja1!$A$2:$A$82,MATCH(J33,Hoja1!$H$2:$H$82,0)),"")</f>
        <v>5.2</v>
      </c>
      <c r="D33" s="543" t="str">
        <f aca="false">IFERROR(VLOOKUP(C33,Hoja1!$A$2:$H$82,4,0),"")</f>
        <v>Ambiente de Control</v>
      </c>
      <c r="E33" s="543" t="str">
        <f aca="false">+IFERROR(VLOOKUP(C33,Hoja1!$A$1:$J$82,10,0),"")</f>
        <v>La entidad establece líneas de reporte dentro de la entidad para evaluar el funcionamiento del Sistema de Control Interno.</v>
      </c>
      <c r="F33" s="543" t="str">
        <f aca="false">+IFERROR(VLOOKUP(C33,Hoja1!$A$1:$I$82,3,0),"")</f>
        <v>La Alta Dirección analiza la información asociada con la generación de reportes financieros</v>
      </c>
      <c r="G33" s="542" t="n">
        <f aca="false">+IFERROR(VLOOKUP(C33,Hoja1!$A$1:$K$82,11,0),"")</f>
        <v>3</v>
      </c>
      <c r="H33" s="544" t="n">
        <f aca="false">+IFERROR(VLOOKUP(C33,Hoja1!$A$1:$L$82,12,0),"")</f>
        <v>3</v>
      </c>
      <c r="I33" s="536" t="str">
        <f aca="false">+IF(OR(AND(G33=1,H33=1),AND(G33=1,H33=2),AND(G33=1,H33=3),G33="",H33=""),"No se encuentra presente  por lo tanto no esta funcionando, lo que hace que se requieran acciones dirigidas a fortalecer su diseño y puesta en marcha",IF(OR(AND(G33=2,H33=2),AND(G33=3,H33=1),AND(G33=3,H33=2),AND(G33=2,H33=1)),"Se encuentra presente y funcionando, pero requiere acciones dirigidas a fortalecer  o mejorar su diseño y/o ejecucion.",IF(AND(G33=2,H33=3),"Se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3" s="493" t="n">
        <v>19</v>
      </c>
      <c r="K33" s="537" t="n">
        <f aca="false">+VLOOKUP(C33,Hoja1!$A$1:$M$82,13,0)</f>
        <v>1</v>
      </c>
      <c r="L33" s="538"/>
      <c r="M33" s="548"/>
      <c r="N33" s="545"/>
      <c r="O33" s="545"/>
      <c r="P33" s="545"/>
      <c r="Q33" s="545"/>
      <c r="R33" s="545"/>
      <c r="S33" s="545"/>
    </row>
    <row r="34" customFormat="false" ht="99.75" hidden="false" customHeight="true" outlineLevel="0" collapsed="false">
      <c r="B34" s="541" t="n">
        <f aca="false">+IF(ISTEXT(D34),J34,"")</f>
        <v>20</v>
      </c>
      <c r="C34" s="542" t="str">
        <f aca="false">+IFERROR(INDEX(Hoja1!$A$2:$A$82,MATCH(J34,Hoja1!$H$2:$H$82,0)),"")</f>
        <v>5.3</v>
      </c>
      <c r="D34" s="543" t="str">
        <f aca="false">IFERROR(VLOOKUP(C34,Hoja1!$A$2:$H$82,4,0),"")</f>
        <v>Ambiente de Control</v>
      </c>
      <c r="E34" s="543" t="str">
        <f aca="false">+IFERROR(VLOOKUP(C34,Hoja1!$A$1:$J$82,10,0),"")</f>
        <v>La entidad establece líneas de reporte dentro de la entidad para evaluar el funcionamiento del Sistema de Control Interno.</v>
      </c>
      <c r="F34" s="543" t="str">
        <f aca="false">+IFERROR(VLOOKUP(C34,Hoja1!$A$1:$I$82,3,0),"")</f>
        <v>Teniendo en cuenta la información suministrada por la 2a y 3a línea de defensa se toman decisiones a tiempo para garantizar el cumplimiento de las metas y objetivos</v>
      </c>
      <c r="G34" s="542" t="n">
        <f aca="false">+IFERROR(VLOOKUP(C34,Hoja1!$A$1:$K$82,11,0),"")</f>
        <v>3</v>
      </c>
      <c r="H34" s="544" t="n">
        <f aca="false">+IFERROR(VLOOKUP(C34,Hoja1!$A$1:$L$82,12,0),"")</f>
        <v>3</v>
      </c>
      <c r="I34" s="536" t="str">
        <f aca="false">+IF(OR(AND(G34=1,H34=1),AND(G34=1,H34=2),AND(G34=1,H34=3),G34="",H34=""),"No se encuentra presente  por lo tanto no esta funcionando, lo que hace que se requieran acciones dirigidas a fortalecer su diseño y puesta en marcha",IF(OR(AND(G34=2,H34=2),AND(G34=3,H34=1),AND(G34=3,H34=2),AND(G34=2,H34=1)),"Se encuentra presente y funcionando, pero requiere acciones dirigidas a fortalecer  o mejorar su diseño y/o ejecucion.",IF(AND(G34=2,H34=3),"Se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4" s="493" t="n">
        <v>20</v>
      </c>
      <c r="K34" s="537" t="n">
        <f aca="false">+VLOOKUP(C34,Hoja1!$A$1:$M$82,13,0)</f>
        <v>1</v>
      </c>
      <c r="L34" s="538"/>
      <c r="M34" s="548"/>
      <c r="N34" s="545"/>
      <c r="O34" s="545"/>
      <c r="P34" s="545"/>
      <c r="Q34" s="545"/>
      <c r="R34" s="545"/>
      <c r="S34" s="545"/>
    </row>
    <row r="35" customFormat="false" ht="99.75" hidden="false" customHeight="true" outlineLevel="0" collapsed="false">
      <c r="B35" s="541" t="n">
        <f aca="false">+IF(ISTEXT(D35),J35,"")</f>
        <v>21</v>
      </c>
      <c r="C35" s="542" t="str">
        <f aca="false">+IFERROR(INDEX(Hoja1!$A$2:$A$82,MATCH(J35,Hoja1!$H$2:$H$82,0)),"")</f>
        <v>5.4</v>
      </c>
      <c r="D35" s="543" t="str">
        <f aca="false">IFERROR(VLOOKUP(C35,Hoja1!$A$2:$H$82,4,0),"")</f>
        <v>Ambiente de Control</v>
      </c>
      <c r="E35" s="543" t="str">
        <f aca="false">+IFERROR(VLOOKUP(C35,Hoja1!$A$1:$J$82,10,0),"")</f>
        <v>La entidad establece líneas de reporte dentro de la entidad para evaluar el funcionamiento del Sistema de Control Interno.</v>
      </c>
      <c r="F35" s="543" t="str">
        <f aca="false">+IFERROR(VLOOKUP(C35,Hoja1!$A$1:$I$82,3,0),"")</f>
        <v>Se evalúa la estructura de control a partir de los cambios en procesos, procedimientos, u otras herramientas, a fin de garantizar su adecuada formulación y afectación frente a la gestión del riesgo</v>
      </c>
      <c r="G35" s="542" t="n">
        <f aca="false">+IFERROR(VLOOKUP(C35,Hoja1!$A$1:$K$82,11,0),"")</f>
        <v>3</v>
      </c>
      <c r="H35" s="544" t="n">
        <f aca="false">+IFERROR(VLOOKUP(C35,Hoja1!$A$1:$L$82,12,0),"")</f>
        <v>3</v>
      </c>
      <c r="I35" s="536" t="str">
        <f aca="false">+IF(OR(AND(G35=1,H35=1),AND(G35=1,H35=2),AND(G35=1,H35=3),G35="",H35=""),"No se encuentra presente  por lo tanto no esta funcionando, lo que hace que se requieran acciones dirigidas a fortalecer su diseño y puesta en marcha",IF(OR(AND(G35=2,H35=2),AND(G35=3,H35=1),AND(G35=3,H35=2),AND(G35=2,H35=1)),"Se encuentra presente y funcionando, pero requiere acciones dirigidas a fortalecer  o mejorar su diseño y/o ejecucion.",IF(AND(G35=2,H35=3),"Se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5" s="493" t="n">
        <v>21</v>
      </c>
      <c r="K35" s="537" t="n">
        <f aca="false">+VLOOKUP(C35,Hoja1!$A$1:$M$82,13,0)</f>
        <v>1</v>
      </c>
      <c r="L35" s="538"/>
      <c r="M35" s="548"/>
      <c r="N35" s="545"/>
      <c r="O35" s="545"/>
      <c r="P35" s="545"/>
      <c r="Q35" s="545"/>
      <c r="R35" s="545"/>
      <c r="S35" s="545"/>
    </row>
    <row r="36" customFormat="false" ht="99.75" hidden="false" customHeight="true" outlineLevel="0" collapsed="false">
      <c r="B36" s="546" t="n">
        <f aca="false">+IF(ISTEXT(D36),J36,"")</f>
        <v>22</v>
      </c>
      <c r="C36" s="542" t="str">
        <f aca="false">+IFERROR(INDEX(Hoja1!$A$2:$A$82,MATCH(J36,Hoja1!$H$2:$H$82,0)),"")</f>
        <v>5.5</v>
      </c>
      <c r="D36" s="543" t="str">
        <f aca="false">IFERROR(VLOOKUP(C36,Hoja1!$A$2:$H$82,4,0),"")</f>
        <v>Ambiente de Control</v>
      </c>
      <c r="E36" s="543" t="str">
        <f aca="false">+IFERROR(VLOOKUP(C36,Hoja1!$A$1:$J$82,10,0),"")</f>
        <v>La entidad establece líneas de reporte dentro de la entidad para evaluar el funcionamiento del Sistema de Control Interno.</v>
      </c>
      <c r="F36" s="543" t="str">
        <f aca="false">+IFERROR(VLOOKUP(C36,Hoja1!$A$1:$I$82,3,0),"")</f>
        <v>La entidad aprueba y hace seguimiento al Plan Anual de Auditoría presentado y ejecutado por parte de la Oficina de Control Interno</v>
      </c>
      <c r="G36" s="542" t="n">
        <f aca="false">+IFERROR(VLOOKUP(C36,Hoja1!$A$1:$K$82,11,0),"")</f>
        <v>3</v>
      </c>
      <c r="H36" s="544" t="n">
        <f aca="false">+IFERROR(VLOOKUP(C36,Hoja1!$A$1:$L$82,12,0),"")</f>
        <v>3</v>
      </c>
      <c r="I36" s="536" t="str">
        <f aca="false">+IF(OR(AND(G36=1,H36=1),AND(G36=1,H36=2),AND(G36=1,H36=3),G36="",H36=""),"No se encuentra presente  por lo tanto no esta funcionando, lo que hace que se requieran acciones dirigidas a fortalecer su diseño y puesta en marcha",IF(OR(AND(G36=2,H36=2),AND(G36=3,H36=1),AND(G36=3,H36=2),AND(G36=2,H36=1)),"Se encuentra presente y funcionando, pero requiere acciones dirigidas a fortalecer  o mejorar su diseño y/o ejecucion.",IF(AND(G36=2,H36=3),"Se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6" s="493" t="n">
        <v>22</v>
      </c>
      <c r="K36" s="537" t="n">
        <f aca="false">+VLOOKUP(C36,Hoja1!$A$1:$M$82,13,0)</f>
        <v>1</v>
      </c>
      <c r="L36" s="538"/>
      <c r="M36" s="548"/>
      <c r="N36" s="545"/>
      <c r="O36" s="545"/>
      <c r="P36" s="545"/>
      <c r="Q36" s="545"/>
      <c r="R36" s="545"/>
      <c r="S36" s="545"/>
    </row>
    <row r="37" customFormat="false" ht="99.75" hidden="false" customHeight="true" outlineLevel="0" collapsed="false">
      <c r="B37" s="541" t="n">
        <f aca="false">+IF(ISTEXT(D37),J37,"")</f>
        <v>23</v>
      </c>
      <c r="C37" s="542" t="str">
        <f aca="false">+IFERROR(INDEX(Hoja1!$A$2:$A$82,MATCH(J37,Hoja1!$H$2:$H$82,0)),"")</f>
        <v>5.6</v>
      </c>
      <c r="D37" s="543" t="str">
        <f aca="false">IFERROR(VLOOKUP(C37,Hoja1!$A$2:$H$82,4,0),"")</f>
        <v>Ambiente de Control</v>
      </c>
      <c r="E37" s="543" t="str">
        <f aca="false">+IFERROR(VLOOKUP(C37,Hoja1!$A$1:$J$82,10,0),"")</f>
        <v>La entidad establece líneas de reporte dentro de la entidad para evaluar el funcionamiento del Sistema de Control Interno.</v>
      </c>
      <c r="F37" s="543" t="str">
        <f aca="false">+IFERROR(VLOOKUP(C37,Hoja1!$A$1:$I$82,3,0),"")</f>
        <v>La entidad analiza los informes presentados por la Oficina de Control Interno y evalúa su impacto en relación con la mejora institucional</v>
      </c>
      <c r="G37" s="542" t="n">
        <f aca="false">+IFERROR(VLOOKUP(C37,Hoja1!$A$1:$K$82,11,0),"")</f>
        <v>3</v>
      </c>
      <c r="H37" s="544" t="n">
        <f aca="false">+IFERROR(VLOOKUP(C37,Hoja1!$A$1:$L$82,12,0),"")</f>
        <v>3</v>
      </c>
      <c r="I37" s="536" t="str">
        <f aca="false">+IF(OR(AND(G37=1,H37=1),AND(G37=1,H37=2),AND(G37=1,H37=3),G37="",H37=""),"No se encuentra presente  por lo tanto no esta funcionando, lo que hace que se requieran acciones dirigidas a fortalecer su diseño y puesta en marcha",IF(OR(AND(G37=2,H37=2),AND(G37=3,H37=1),AND(G37=3,H37=2),AND(G37=2,H37=1)),"Se encuentra presente y funcionando, pero requiere acciones dirigidas a fortalecer  o mejorar su diseño y/o ejecucion.",IF(AND(G37=2,H37=3),"Se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7" s="493" t="n">
        <v>23</v>
      </c>
      <c r="K37" s="537" t="n">
        <f aca="false">+VLOOKUP(C37,Hoja1!$A$1:$M$82,13,0)</f>
        <v>1</v>
      </c>
      <c r="L37" s="538"/>
      <c r="M37" s="548"/>
      <c r="N37" s="545"/>
      <c r="O37" s="545"/>
      <c r="P37" s="545"/>
      <c r="Q37" s="545"/>
      <c r="R37" s="545"/>
      <c r="S37" s="545"/>
    </row>
    <row r="38" customFormat="false" ht="99.75" hidden="false" customHeight="true" outlineLevel="0" collapsed="false">
      <c r="B38" s="546" t="n">
        <f aca="false">+IF(ISTEXT(D38),J38,"")</f>
        <v>24</v>
      </c>
      <c r="C38" s="542" t="str">
        <f aca="false">+IFERROR(INDEX(Hoja1!$A$2:$A$82,MATCH(J38,Hoja1!$H$2:$H$82,0)),"")</f>
        <v>4.7</v>
      </c>
      <c r="D38" s="543" t="str">
        <f aca="false">IFERROR(VLOOKUP(C38,Hoja1!$A$2:$H$82,4,0),"")</f>
        <v>Ambiente de Control</v>
      </c>
      <c r="E38" s="543" t="str">
        <f aca="false">+IFERROR(VLOOKUP(C38,Hoja1!$A$1:$J$82,10,0),"")</f>
        <v>Compromiso con la competencia de todo el personal, por lo que la gestión del talento humano tiene un carácter estratégico con el despliegue de actividades clave para todo el ciclo de vida del servidor público –ingreso, permanencia y retiro.</v>
      </c>
      <c r="F38" s="543" t="str">
        <f aca="false">+IFERROR(VLOOKUP(C38,Hoja1!$A$1:$I$82,3,0),"")</f>
        <v>Evaluación frente a los productos y servicios en los cuales participan los contratistas de apoyo</v>
      </c>
      <c r="G38" s="542" t="n">
        <f aca="false">+IFERROR(VLOOKUP(C38,Hoja1!$A$1:$K$82,11,0),"")</f>
        <v>3</v>
      </c>
      <c r="H38" s="544" t="n">
        <f aca="false">+IFERROR(VLOOKUP(C38,Hoja1!$A$1:$L$82,12,0),"")</f>
        <v>3</v>
      </c>
      <c r="I38" s="536" t="str">
        <f aca="false">+IF(OR(AND(G38=1,H38=1),AND(G38=1,H38=2),AND(G38=1,H38=3),G38="",H38=""),"No se encuentra presente  por lo tanto no esta funcionando, lo que hace que se requieran acciones dirigidas a fortalecer su diseño y puesta en marcha",IF(OR(AND(G38=2,H38=2),AND(G38=3,H38=1),AND(G38=3,H38=2),AND(G38=2,H38=1)),"Se encuentra presente y funcionando, pero requiere acciones dirigidas a fortalecer  o mejorar su diseño y/o ejecucion.",IF(AND(G38=2,H38=3),"Se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38" s="493" t="n">
        <v>24</v>
      </c>
      <c r="K38" s="537" t="n">
        <f aca="false">+VLOOKUP(C38,Hoja1!$A$1:$M$82,13,0)</f>
        <v>1</v>
      </c>
      <c r="L38" s="538"/>
      <c r="M38" s="548"/>
      <c r="N38" s="545"/>
      <c r="O38" s="545"/>
      <c r="P38" s="545"/>
      <c r="Q38" s="545"/>
      <c r="R38" s="545"/>
      <c r="S38" s="545"/>
    </row>
    <row r="39" customFormat="false" ht="99.75" hidden="false" customHeight="true" outlineLevel="0" collapsed="false">
      <c r="B39" s="541" t="n">
        <f aca="false">+IF(ISTEXT(D39),J39,"")</f>
        <v>25</v>
      </c>
      <c r="C39" s="542" t="str">
        <f aca="false">+IFERROR(INDEX(Hoja1!$A$2:$A$82,MATCH(J39,Hoja1!$H$2:$H$82,0)),"")</f>
        <v>9.2</v>
      </c>
      <c r="D39" s="543" t="str">
        <f aca="false">IFERROR(VLOOKUP(C39,Hoja1!$A$2:$H$82,4,0),"")</f>
        <v>Evaluación de riesgos</v>
      </c>
      <c r="E39" s="543" t="str">
        <f aca="false">+IFERROR(VLOOKUP(C39,Hoja1!$A$1:$J$82,10,0),"")</f>
        <v>Identificación y análisis de cambios significativos</v>
      </c>
      <c r="F39" s="543" t="str">
        <f aca="false">+IFERROR(VLOOKUP(C39,Hoja1!$A$1:$I$82,3,0),"")</f>
        <v>La Alta Dirección analiza los riesgos asociados a actividades tercerizadas, regionales u otras figuras externas que afecten la prestación del servicio a los usuarios, basados en los informes de la segunda y tercera linea de defensa</v>
      </c>
      <c r="G39" s="542" t="n">
        <f aca="false">+IFERROR(VLOOKUP(C39,Hoja1!$A$1:$K$82,11,0),"")</f>
        <v>3</v>
      </c>
      <c r="H39" s="544" t="n">
        <f aca="false">+IFERROR(VLOOKUP(C39,Hoja1!$A$1:$L$82,12,0),"")</f>
        <v>2</v>
      </c>
      <c r="I39" s="536" t="str">
        <f aca="false">+IF(OR(AND(G39=1,H39=1),AND(G39=1,H39=2),AND(G39=1,H39=3),G39="",H39=""),"No se encuentra presente  por lo tanto no esta funcionando, lo que hace que se requieran acciones dirigidas a fortalecer su diseño y puesta en marcha",IF(OR(AND(G39=2,H39=2),AND(G39=3,H39=1),AND(G39=3,H39=2),AND(G39=2,H39=1)),"Se encuentra presente y funcionando, pero requiere acciones dirigidas a fortalecer  o mejorar su diseño y/o ejecucion.",IF(AND(G39=2,H39=3),"Se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39" s="493" t="n">
        <v>25</v>
      </c>
      <c r="K39" s="537" t="n">
        <f aca="false">+VLOOKUP(C39,Hoja1!$A$1:$M$82,13,0)</f>
        <v>0.5</v>
      </c>
      <c r="L39" s="550" t="n">
        <f aca="false">+AVERAGE(K39:K55)</f>
        <v>0.941176470588235</v>
      </c>
      <c r="M39" s="539" t="s">
        <v>583</v>
      </c>
      <c r="N39" s="545"/>
      <c r="O39" s="545"/>
      <c r="P39" s="545"/>
      <c r="Q39" s="545"/>
      <c r="R39" s="545"/>
      <c r="S39" s="545"/>
    </row>
    <row r="40" customFormat="false" ht="99.75" hidden="false" customHeight="true" outlineLevel="0" collapsed="false">
      <c r="B40" s="541" t="n">
        <f aca="false">+IF(ISTEXT(D40),J40,"")</f>
        <v>26</v>
      </c>
      <c r="C40" s="542" t="str">
        <f aca="false">+IFERROR(INDEX(Hoja1!$A$2:$A$82,MATCH(J40,Hoja1!$H$2:$H$82,0)),"")</f>
        <v>9.3</v>
      </c>
      <c r="D40" s="543" t="str">
        <f aca="false">IFERROR(VLOOKUP(C40,Hoja1!$A$2:$H$82,4,0),"")</f>
        <v>Evaluación de riesgos</v>
      </c>
      <c r="E40" s="543" t="str">
        <f aca="false">+IFERROR(VLOOKUP(C40,Hoja1!$A$1:$J$82,10,0),"")</f>
        <v>Identificación y análisis de cambios significativos</v>
      </c>
      <c r="F40" s="543" t="str">
        <f aca="false">+IFERROR(VLOOKUP(C40,Hoja1!$A$1:$I$82,3,0),"")</f>
        <v>La Alta Dirección monitorea los riesgos aceptados revisando que sus condiciones no hayan cambiado y definir su pertinencia para sostenerlos o ajustarlos</v>
      </c>
      <c r="G40" s="542" t="n">
        <f aca="false">+IFERROR(VLOOKUP(C40,Hoja1!$A$1:$K$82,11,0),"")</f>
        <v>3</v>
      </c>
      <c r="H40" s="544" t="n">
        <f aca="false">+IFERROR(VLOOKUP(C40,Hoja1!$A$1:$L$82,12,0),"")</f>
        <v>2</v>
      </c>
      <c r="I40" s="536" t="str">
        <f aca="false">+IF(OR(AND(G40=1,H40=1),AND(G40=1,H40=2),AND(G40=1,H40=3),G40="",H40=""),"No se encuentra presente  por lo tanto no esta funcionando, lo que hace que se requieran acciones dirigidas a fortalecer su diseño y puesta en marcha",IF(OR(AND(G40=2,H40=2),AND(G40=3,H40=1),AND(G40=3,H40=2),AND(G40=2,H40=1)),"Se encuentra presente y funcionando, pero requiere acciones dirigidas a fortalecer  o mejorar su diseño y/o ejecucion.",IF(AND(G40=2,H40=3),"Se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40" s="493" t="n">
        <v>26</v>
      </c>
      <c r="K40" s="537" t="n">
        <f aca="false">+VLOOKUP(C40,Hoja1!$A$1:$M$82,13,0)</f>
        <v>0.5</v>
      </c>
      <c r="L40" s="550"/>
      <c r="M40" s="551" t="s">
        <v>584</v>
      </c>
      <c r="N40" s="545"/>
      <c r="O40" s="545"/>
      <c r="P40" s="545"/>
      <c r="Q40" s="545"/>
      <c r="R40" s="545"/>
      <c r="S40" s="545"/>
    </row>
    <row r="41" customFormat="false" ht="121.5" hidden="false" customHeight="true" outlineLevel="0" collapsed="false">
      <c r="B41" s="541" t="n">
        <f aca="false">+IF(ISTEXT(D41),J41,"")</f>
        <v>27</v>
      </c>
      <c r="C41" s="542" t="str">
        <f aca="false">+IFERROR(INDEX(Hoja1!$A$2:$A$82,MATCH(J41,Hoja1!$H$2:$H$82,0)),"")</f>
        <v>6.1</v>
      </c>
      <c r="D41" s="543" t="str">
        <f aca="false">IFERROR(VLOOKUP(C41,Hoja1!$A$2:$H$82,4,0),"")</f>
        <v>Evaluación de riesgos</v>
      </c>
      <c r="E41" s="543" t="str">
        <f aca="false">+IFERROR(VLOOKUP(C41,Hoja1!$A$1:$J$82,10,0),"")</f>
        <v>Definición de objetivos con suficiente claridad para identificar y evaluar los riesgos relacionados: i)Estratégicos; ii)Operativos; iii)Legales y Presupuestales; iv)De Información Financiera y no Financiera.</v>
      </c>
      <c r="F41" s="543" t="str">
        <f aca="false">+IFERROR(VLOOKUP(C41,Hoja1!$A$1:$I$82,3,0),"")</f>
        <v>La Entidad cuenta con mecanismos para vincular o relacionar el plan estratégico con los objetivos estratégicos y estos a su vez con los objetivos operativos</v>
      </c>
      <c r="G41" s="542" t="n">
        <f aca="false">+IFERROR(VLOOKUP(C41,Hoja1!$A$1:$K$82,11,0),"")</f>
        <v>3</v>
      </c>
      <c r="H41" s="544" t="n">
        <f aca="false">+IFERROR(VLOOKUP(C41,Hoja1!$A$1:$L$82,12,0),"")</f>
        <v>3</v>
      </c>
      <c r="I41" s="536" t="str">
        <f aca="false">+IF(OR(AND(G41=1,H41=1),AND(G41=1,H41=2),AND(G41=1,H41=3),G41="",H41=""),"No se encuentra presente  por lo tanto no esta funcionando, lo que hace que se requieran acciones dirigidas a fortalecer su diseño y puesta en marcha",IF(OR(AND(G41=2,H41=2),AND(G41=3,H41=1),AND(G41=3,H41=2),AND(G41=2,H41=1)),"Se encuentra presente y funcionando, pero requiere acciones dirigidas a fortalecer  o mejorar su diseño y/o ejecucion.",IF(AND(G41=2,H41=3),"Se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1" s="493" t="n">
        <v>27</v>
      </c>
      <c r="K41" s="537" t="n">
        <f aca="false">+VLOOKUP(C41,Hoja1!$A$1:$M$82,13,0)</f>
        <v>1</v>
      </c>
      <c r="L41" s="550"/>
      <c r="M41" s="547"/>
      <c r="N41" s="545"/>
      <c r="O41" s="545"/>
      <c r="P41" s="545"/>
      <c r="Q41" s="545"/>
      <c r="R41" s="545"/>
      <c r="S41" s="545"/>
    </row>
    <row r="42" customFormat="false" ht="99.75" hidden="false" customHeight="true" outlineLevel="0" collapsed="false">
      <c r="B42" s="546" t="n">
        <f aca="false">+IF(ISTEXT(D42),J42,"")</f>
        <v>28</v>
      </c>
      <c r="C42" s="542" t="str">
        <f aca="false">+IFERROR(INDEX(Hoja1!$A$2:$A$82,MATCH(J42,Hoja1!$H$2:$H$82,0)),"")</f>
        <v>6.2</v>
      </c>
      <c r="D42" s="543" t="str">
        <f aca="false">IFERROR(VLOOKUP(C42,Hoja1!$A$2:$H$82,4,0),"")</f>
        <v>Evaluación de riesgos</v>
      </c>
      <c r="E42" s="543" t="str">
        <f aca="false">+IFERROR(VLOOKUP(C42,Hoja1!$A$1:$J$82,10,0),"")</f>
        <v>Definición de objetivos con suficiente claridad para identificar y evaluar los riesgos relacionados: i)Estratégicos; ii)Operativos; iii)Legales y Presupuestales; iv)De Información Financiera y no Financiera.</v>
      </c>
      <c r="F42" s="543" t="str">
        <f aca="false">+IFERROR(VLOOKUP(C42,Hoja1!$A$1:$I$82,3,0),"")</f>
        <v>Los objetivos de los procesos, programas o proyectos (según aplique) que están definidos, son específicos, medibles, alcanzables, relevantes, delimitados en el tiempo</v>
      </c>
      <c r="G42" s="542" t="n">
        <f aca="false">+IFERROR(VLOOKUP(C42,Hoja1!$A$1:$K$82,11,0),"")</f>
        <v>3</v>
      </c>
      <c r="H42" s="544" t="n">
        <f aca="false">+IFERROR(VLOOKUP(C42,Hoja1!$A$1:$L$82,12,0),"")</f>
        <v>3</v>
      </c>
      <c r="I42" s="536" t="str">
        <f aca="false">+IF(OR(AND(G42=1,H42=1),AND(G42=1,H42=2),AND(G42=1,H42=3),G42="",H42=""),"No se encuentra presente  por lo tanto no esta funcionando, lo que hace que se requieran acciones dirigidas a fortalecer su diseño y puesta en marcha",IF(OR(AND(G42=2,H42=2),AND(G42=3,H42=1),AND(G42=3,H42=2),AND(G42=2,H42=1)),"Se encuentra presente y funcionando, pero requiere acciones dirigidas a fortalecer  o mejorar su diseño y/o ejecucion.",IF(AND(G42=2,H42=3),"Se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2" s="493" t="n">
        <v>28</v>
      </c>
      <c r="K42" s="537" t="n">
        <f aca="false">+VLOOKUP(C42,Hoja1!$A$1:$M$82,13,0)</f>
        <v>1</v>
      </c>
      <c r="L42" s="550"/>
      <c r="M42" s="547"/>
      <c r="N42" s="545"/>
      <c r="O42" s="545"/>
      <c r="P42" s="545"/>
      <c r="Q42" s="545"/>
      <c r="R42" s="545"/>
      <c r="S42" s="545"/>
    </row>
    <row r="43" customFormat="false" ht="99.75" hidden="false" customHeight="true" outlineLevel="0" collapsed="false">
      <c r="B43" s="541" t="n">
        <f aca="false">+IF(ISTEXT(D43),J43,"")</f>
        <v>29</v>
      </c>
      <c r="C43" s="542" t="str">
        <f aca="false">+IFERROR(INDEX(Hoja1!$A$2:$A$82,MATCH(J43,Hoja1!$H$2:$H$82,0)),"")</f>
        <v>6.3</v>
      </c>
      <c r="D43" s="543" t="str">
        <f aca="false">IFERROR(VLOOKUP(C43,Hoja1!$A$2:$H$82,4,0),"")</f>
        <v>Evaluación de riesgos</v>
      </c>
      <c r="E43" s="543" t="str">
        <f aca="false">+IFERROR(VLOOKUP(C43,Hoja1!$A$1:$J$82,10,0),"")</f>
        <v>Definición de objetivos con suficiente claridad para identificar y evaluar los riesgos relacionados: i)Estratégicos; ii)Operativos; iii)Legales y Presupuestales; iv)De Información Financiera y no Financiera.</v>
      </c>
      <c r="F43" s="543" t="str">
        <f aca="false">+IFERROR(VLOOKUP(C43,Hoja1!$A$1:$I$82,3,0),"")</f>
        <v>La Alta Dirección evalúa periódicamente los objetivos establecidos para asegurar que estos continúan siendo consistentes y apropiados para la Entidad</v>
      </c>
      <c r="G43" s="542" t="n">
        <f aca="false">+IFERROR(VLOOKUP(C43,Hoja1!$A$1:$K$82,11,0),"")</f>
        <v>3</v>
      </c>
      <c r="H43" s="544" t="n">
        <f aca="false">+IFERROR(VLOOKUP(C43,Hoja1!$A$1:$L$82,12,0),"")</f>
        <v>3</v>
      </c>
      <c r="I43" s="536" t="str">
        <f aca="false">+IF(OR(AND(G43=1,H43=1),AND(G43=1,H43=2),AND(G43=1,H43=3),G43="",H43=""),"No se encuentra presente  por lo tanto no esta funcionando, lo que hace que se requieran acciones dirigidas a fortalecer su diseño y puesta en marcha",IF(OR(AND(G43=2,H43=2),AND(G43=3,H43=1),AND(G43=3,H43=2),AND(G43=2,H43=1)),"Se encuentra presente y funcionando, pero requiere acciones dirigidas a fortalecer  o mejorar su diseño y/o ejecucion.",IF(AND(G43=2,H43=3),"Se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3" s="493" t="n">
        <v>29</v>
      </c>
      <c r="K43" s="537" t="n">
        <f aca="false">+VLOOKUP(C43,Hoja1!$A$1:$M$82,13,0)</f>
        <v>1</v>
      </c>
      <c r="L43" s="550"/>
      <c r="M43" s="548"/>
      <c r="N43" s="545"/>
      <c r="O43" s="545"/>
      <c r="P43" s="545"/>
      <c r="Q43" s="545"/>
      <c r="R43" s="545"/>
      <c r="S43" s="545"/>
    </row>
    <row r="44" customFormat="false" ht="99.75" hidden="false" customHeight="true" outlineLevel="0" collapsed="false">
      <c r="B44" s="546" t="n">
        <f aca="false">+IF(ISTEXT(D44),J44,"")</f>
        <v>30</v>
      </c>
      <c r="C44" s="542" t="str">
        <f aca="false">+IFERROR(INDEX(Hoja1!$A$2:$A$82,MATCH(J44,Hoja1!$H$2:$H$82,0)),"")</f>
        <v>7.1</v>
      </c>
      <c r="D44" s="543" t="str">
        <f aca="false">IFERROR(VLOOKUP(C44,Hoja1!$A$2:$H$82,4,0),"")</f>
        <v>Evaluación de riesgos</v>
      </c>
      <c r="E44" s="543" t="str">
        <f aca="false">+IFERROR(VLOOKUP(C44,Hoja1!$A$1:$J$82,10,0),"")</f>
        <v>Identificación y análisis de riesgos (Analiza factores internos y externos; Implica a los niveles apropiados de la dirección; Determina cómo responder a los riesgos; Determina la importancia de los riesgos).</v>
      </c>
      <c r="F44" s="543" t="str">
        <f aca="false">+IFERROR(VLOOKUP(C44,Hoja1!$A$1:$I$82,3,0),"")</f>
        <v>Teniendo en cuenta la estructura de la política de Administración del Riesgo, su alcance define lineamientos para toda la entidad, incluyendo regionales, áreas tercerizadas u otras instancias que afectan la prestación del servicio</v>
      </c>
      <c r="G44" s="542" t="n">
        <f aca="false">+IFERROR(VLOOKUP(C44,Hoja1!$A$1:$K$82,11,0),"")</f>
        <v>3</v>
      </c>
      <c r="H44" s="544" t="n">
        <f aca="false">+IFERROR(VLOOKUP(C44,Hoja1!$A$1:$L$82,12,0),"")</f>
        <v>3</v>
      </c>
      <c r="I44" s="536" t="str">
        <f aca="false">+IF(OR(AND(G44=1,H44=1),AND(G44=1,H44=2),AND(G44=1,H44=3),G44="",H44=""),"No se encuentra presente  por lo tanto no esta funcionando, lo que hace que se requieran acciones dirigidas a fortalecer su diseño y puesta en marcha",IF(OR(AND(G44=2,H44=2),AND(G44=3,H44=1),AND(G44=3,H44=2),AND(G44=2,H44=1)),"Se encuentra presente y funcionando, pero requiere acciones dirigidas a fortalecer  o mejorar su diseño y/o ejecucion.",IF(AND(G44=2,H44=3),"Se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4" s="493" t="n">
        <v>30</v>
      </c>
      <c r="K44" s="537" t="n">
        <f aca="false">+VLOOKUP(C44,Hoja1!$A$1:$M$82,13,0)</f>
        <v>1</v>
      </c>
      <c r="L44" s="550"/>
      <c r="M44" s="547"/>
      <c r="N44" s="545"/>
      <c r="O44" s="545"/>
      <c r="P44" s="545"/>
      <c r="Q44" s="545"/>
      <c r="R44" s="545"/>
      <c r="S44" s="545"/>
    </row>
    <row r="45" customFormat="false" ht="99.75" hidden="false" customHeight="true" outlineLevel="0" collapsed="false">
      <c r="B45" s="541" t="n">
        <f aca="false">+IF(ISTEXT(D45),J45,"")</f>
        <v>31</v>
      </c>
      <c r="C45" s="542" t="str">
        <f aca="false">+IFERROR(INDEX(Hoja1!$A$2:$A$82,MATCH(J45,Hoja1!$H$2:$H$82,0)),"")</f>
        <v>7.2</v>
      </c>
      <c r="D45" s="543" t="str">
        <f aca="false">IFERROR(VLOOKUP(C45,Hoja1!$A$2:$H$82,4,0),"")</f>
        <v>Evaluación de riesgos</v>
      </c>
      <c r="E45" s="543" t="str">
        <f aca="false">+IFERROR(VLOOKUP(C45,Hoja1!$A$1:$J$82,10,0),"")</f>
        <v>Identificación y análisis de riesgos (Analiza factores internos y externos; Implica a los niveles apropiados de la dirección; Determina cómo responder a los riesgos; Determina la importancia de los riesgos).</v>
      </c>
      <c r="F45" s="543" t="str">
        <f aca="false">+IFERROR(VLOOKUP(C45,Hoja1!$A$1:$I$82,3,0),"")</f>
        <v>La Oficina de Planeación, Gerencia de Riesgos (donde existan), como 2a línea de defensa, consolidan información clave frente a la gestión del riesgo</v>
      </c>
      <c r="G45" s="542" t="n">
        <f aca="false">+IFERROR(VLOOKUP(C45,Hoja1!$A$1:$K$82,11,0),"")</f>
        <v>3</v>
      </c>
      <c r="H45" s="544" t="n">
        <f aca="false">+IFERROR(VLOOKUP(C45,Hoja1!$A$1:$L$82,12,0),"")</f>
        <v>3</v>
      </c>
      <c r="I45" s="536" t="str">
        <f aca="false">+IF(OR(AND(G45=1,H45=1),AND(G45=1,H45=2),AND(G45=1,H45=3),G45="",H45=""),"No se encuentra presente  por lo tanto no esta funcionando, lo que hace que se requieran acciones dirigidas a fortalecer su diseño y puesta en marcha",IF(OR(AND(G45=2,H45=2),AND(G45=3,H45=1),AND(G45=3,H45=2),AND(G45=2,H45=1)),"Se encuentra presente y funcionando, pero requiere acciones dirigidas a fortalecer  o mejorar su diseño y/o ejecucion.",IF(AND(G45=2,H45=3),"Se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5" s="493" t="n">
        <v>31</v>
      </c>
      <c r="K45" s="537" t="n">
        <f aca="false">+VLOOKUP(C45,Hoja1!$A$1:$M$82,13,0)</f>
        <v>1</v>
      </c>
      <c r="L45" s="550"/>
      <c r="M45" s="547"/>
      <c r="N45" s="545"/>
      <c r="O45" s="545"/>
      <c r="P45" s="545"/>
      <c r="Q45" s="545"/>
      <c r="R45" s="545"/>
      <c r="S45" s="545"/>
    </row>
    <row r="46" customFormat="false" ht="99.75" hidden="false" customHeight="true" outlineLevel="0" collapsed="false">
      <c r="B46" s="541" t="n">
        <f aca="false">+IF(ISTEXT(D46),J46,"")</f>
        <v>32</v>
      </c>
      <c r="C46" s="542" t="str">
        <f aca="false">+IFERROR(INDEX(Hoja1!$A$2:$A$82,MATCH(J46,Hoja1!$H$2:$H$82,0)),"")</f>
        <v>7.3</v>
      </c>
      <c r="D46" s="543" t="str">
        <f aca="false">IFERROR(VLOOKUP(C46,Hoja1!$A$2:$H$82,4,0),"")</f>
        <v>Evaluación de riesgos</v>
      </c>
      <c r="E46" s="543" t="str">
        <f aca="false">+IFERROR(VLOOKUP(C46,Hoja1!$A$1:$J$82,10,0),"")</f>
        <v>Identificación y análisis de riesgos (Analiza factores internos y externos; Implica a los niveles apropiados de la dirección; Determina cómo responder a los riesgos; Determina la importancia de los riesgos).</v>
      </c>
      <c r="F46" s="543" t="str">
        <f aca="false">+IFERROR(VLOOKUP(C46,Hoja1!$A$1:$I$82,3,0),"")</f>
        <v>A partir de la información consolidada y reportada por la 2a línea de defensa (7.2), la Alta Dirección analiza sus resultados y en especial considera si se han presentado materializaciones de riesgo</v>
      </c>
      <c r="G46" s="542" t="n">
        <f aca="false">+IFERROR(VLOOKUP(C46,Hoja1!$A$1:$K$82,11,0),"")</f>
        <v>3</v>
      </c>
      <c r="H46" s="544" t="n">
        <f aca="false">+IFERROR(VLOOKUP(C46,Hoja1!$A$1:$L$82,12,0),"")</f>
        <v>3</v>
      </c>
      <c r="I46" s="536" t="str">
        <f aca="false">+IF(OR(AND(G46=1,H46=1),AND(G46=1,H46=2),AND(G46=1,H46=3),G46="",H46=""),"No se encuentra presente  por lo tanto no esta funcionando, lo que hace que se requieran acciones dirigidas a fortalecer su diseño y puesta en marcha",IF(OR(AND(G46=2,H46=2),AND(G46=3,H46=1),AND(G46=3,H46=2),AND(G46=2,H46=1)),"Se encuentra presente y funcionando, pero requiere acciones dirigidas a fortalecer  o mejorar su diseño y/o ejecucion.",IF(AND(G46=2,H46=3),"Se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6" s="493" t="n">
        <v>32</v>
      </c>
      <c r="K46" s="537" t="n">
        <f aca="false">+VLOOKUP(C46,Hoja1!$A$1:$M$82,13,0)</f>
        <v>1</v>
      </c>
      <c r="L46" s="550"/>
      <c r="M46" s="547"/>
      <c r="N46" s="545"/>
      <c r="O46" s="545"/>
      <c r="P46" s="545"/>
      <c r="Q46" s="545"/>
      <c r="R46" s="545"/>
      <c r="S46" s="545"/>
    </row>
    <row r="47" customFormat="false" ht="99.75" hidden="false" customHeight="true" outlineLevel="0" collapsed="false">
      <c r="B47" s="541" t="n">
        <f aca="false">+IF(ISTEXT(D47),J47,"")</f>
        <v>33</v>
      </c>
      <c r="C47" s="542" t="str">
        <f aca="false">+IFERROR(INDEX(Hoja1!$A$2:$A$82,MATCH(J47,Hoja1!$H$2:$H$82,0)),"")</f>
        <v>7.4</v>
      </c>
      <c r="D47" s="543" t="str">
        <f aca="false">IFERROR(VLOOKUP(C47,Hoja1!$A$2:$H$82,4,0),"")</f>
        <v>Evaluación de riesgos</v>
      </c>
      <c r="E47" s="543" t="str">
        <f aca="false">+IFERROR(VLOOKUP(C47,Hoja1!$A$1:$J$82,10,0),"")</f>
        <v>Identificación y análisis de riesgos (Analiza factores internos y externos; Implica a los niveles apropiados de la dirección; Determina cómo responder a los riesgos; Determina la importancia de los riesgos).</v>
      </c>
      <c r="F47" s="543" t="str">
        <f aca="false">+IFERROR(VLOOKUP(C47,Hoja1!$A$1:$I$82,3,0),"")</f>
        <v>Cuando se detectan materializaciones de riesgo, se definen los cursos de acción en relación con la revisión y actualización del mapa de riesgos correspondiente</v>
      </c>
      <c r="G47" s="542" t="n">
        <f aca="false">+IFERROR(VLOOKUP(C47,Hoja1!$A$1:$K$82,11,0),"")</f>
        <v>3</v>
      </c>
      <c r="H47" s="544" t="n">
        <f aca="false">+IFERROR(VLOOKUP(C47,Hoja1!$A$1:$L$82,12,0),"")</f>
        <v>3</v>
      </c>
      <c r="I47" s="536" t="str">
        <f aca="false">+IF(OR(AND(G47=1,H47=1),AND(G47=1,H47=2),AND(G47=1,H47=3),G47="",H47=""),"No se encuentra presente  por lo tanto no esta funcionando, lo que hace que se requieran acciones dirigidas a fortalecer su diseño y puesta en marcha",IF(OR(AND(G47=2,H47=2),AND(G47=3,H47=1),AND(G47=3,H47=2),AND(G47=2,H47=1)),"Se encuentra presente y funcionando, pero requiere acciones dirigidas a fortalecer  o mejorar su diseño y/o ejecucion.",IF(AND(G47=2,H47=3),"Se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7" s="493" t="n">
        <v>33</v>
      </c>
      <c r="K47" s="537" t="n">
        <f aca="false">+VLOOKUP(C47,Hoja1!$A$1:$M$82,13,0)</f>
        <v>1</v>
      </c>
      <c r="L47" s="550"/>
      <c r="M47" s="552" t="s">
        <v>585</v>
      </c>
      <c r="N47" s="545"/>
      <c r="O47" s="545"/>
      <c r="P47" s="545"/>
      <c r="Q47" s="545"/>
      <c r="R47" s="545"/>
      <c r="S47" s="545"/>
    </row>
    <row r="48" customFormat="false" ht="99.75" hidden="false" customHeight="true" outlineLevel="0" collapsed="false">
      <c r="B48" s="546" t="n">
        <f aca="false">+IF(ISTEXT(D48),J48,"")</f>
        <v>34</v>
      </c>
      <c r="C48" s="542" t="str">
        <f aca="false">+IFERROR(INDEX(Hoja1!$A$2:$A$82,MATCH(J48,Hoja1!$H$2:$H$82,0)),"")</f>
        <v>7.5</v>
      </c>
      <c r="D48" s="543" t="str">
        <f aca="false">IFERROR(VLOOKUP(C48,Hoja1!$A$2:$H$82,4,0),"")</f>
        <v>Evaluación de riesgos</v>
      </c>
      <c r="E48" s="543" t="str">
        <f aca="false">+IFERROR(VLOOKUP(C48,Hoja1!$A$1:$J$82,10,0),"")</f>
        <v>Identificación y análisis de riesgos (Analiza factores internos y externos; Implica a los niveles apropiados de la dirección; Determina cómo responder a los riesgos; Determina la importancia de los riesgos).</v>
      </c>
      <c r="F48" s="543" t="str">
        <f aca="false">+IFERROR(VLOOKUP(C48,Hoja1!$A$1:$I$82,3,0),"")</f>
        <v>Se llevan a cabo seguimientos a las acciones definidas para resolver materializaciones de riesgo detectadas</v>
      </c>
      <c r="G48" s="542" t="n">
        <f aca="false">+IFERROR(VLOOKUP(C48,Hoja1!$A$1:$K$82,11,0),"")</f>
        <v>3</v>
      </c>
      <c r="H48" s="544" t="n">
        <f aca="false">+IFERROR(VLOOKUP(C48,Hoja1!$A$1:$L$82,12,0),"")</f>
        <v>3</v>
      </c>
      <c r="I48" s="536" t="str">
        <f aca="false">+IF(OR(AND(G48=1,H48=1),AND(G48=1,H48=2),AND(G48=1,H48=3),G48="",H48=""),"No se encuentra presente  por lo tanto no esta funcionando, lo que hace que se requieran acciones dirigidas a fortalecer su diseño y puesta en marcha",IF(OR(AND(G48=2,H48=2),AND(G48=3,H48=1),AND(G48=3,H48=2),AND(G48=2,H48=1)),"Se encuentra presente y funcionando, pero requiere acciones dirigidas a fortalecer  o mejorar su diseño y/o ejecucion.",IF(AND(G48=2,H48=3),"Se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8" s="493" t="n">
        <v>34</v>
      </c>
      <c r="K48" s="537" t="n">
        <f aca="false">+VLOOKUP(C48,Hoja1!$A$1:$M$82,13,0)</f>
        <v>1</v>
      </c>
      <c r="L48" s="550"/>
      <c r="M48" s="548"/>
      <c r="N48" s="545"/>
      <c r="O48" s="545"/>
      <c r="P48" s="545"/>
      <c r="Q48" s="545"/>
      <c r="R48" s="545"/>
      <c r="S48" s="545"/>
    </row>
    <row r="49" customFormat="false" ht="99.75" hidden="false" customHeight="true" outlineLevel="0" collapsed="false">
      <c r="B49" s="541" t="n">
        <f aca="false">+IF(ISTEXT(D49),J49,"")</f>
        <v>35</v>
      </c>
      <c r="C49" s="542" t="str">
        <f aca="false">+IFERROR(INDEX(Hoja1!$A$2:$A$82,MATCH(J49,Hoja1!$H$2:$H$82,0)),"")</f>
        <v>8.1</v>
      </c>
      <c r="D49" s="543" t="str">
        <f aca="false">IFERROR(VLOOKUP(C49,Hoja1!$A$2:$H$82,4,0),"")</f>
        <v>Evaluación de riesgos</v>
      </c>
      <c r="E49" s="543" t="str">
        <f aca="false">+IFERROR(VLOOKUP(C49,Hoja1!$A$1:$J$82,10,0),"")</f>
        <v>Evaluación del riesgo de fraude o corrupción. 
Cumplimiento artículo 73 de la Ley 1474 de 2011, relacionado con la prevención de los riesgos de corrupción.</v>
      </c>
      <c r="F49" s="543" t="str">
        <f aca="false">+IFERROR(VLOOKUP(C49,Hoja1!$A$1:$I$82,3,0),"")</f>
        <v>La Alta Dirección acorde con el análisis del entorno interno y externo, define los procesos, programas o proyectos (según aplique), susceptibles de posibles actos de corrupción</v>
      </c>
      <c r="G49" s="542" t="n">
        <f aca="false">+IFERROR(VLOOKUP(C49,Hoja1!$A$1:$K$82,11,0),"")</f>
        <v>3</v>
      </c>
      <c r="H49" s="544" t="n">
        <f aca="false">+IFERROR(VLOOKUP(C49,Hoja1!$A$1:$L$82,12,0),"")</f>
        <v>3</v>
      </c>
      <c r="I49" s="536" t="str">
        <f aca="false">+IF(OR(AND(G49=1,H49=1),AND(G49=1,H49=2),AND(G49=1,H49=3),G49="",H49=""),"No se encuentra presente  por lo tanto no esta funcionando, lo que hace que se requieran acciones dirigidas a fortalecer su diseño y puesta en marcha",IF(OR(AND(G49=2,H49=2),AND(G49=3,H49=1),AND(G49=3,H49=2),AND(G49=2,H49=1)),"Se encuentra presente y funcionando, pero requiere acciones dirigidas a fortalecer  o mejorar su diseño y/o ejecucion.",IF(AND(G49=2,H49=3),"Se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9" s="493" t="n">
        <v>35</v>
      </c>
      <c r="K49" s="537" t="n">
        <f aca="false">+VLOOKUP(C49,Hoja1!$A$1:$M$82,13,0)</f>
        <v>1</v>
      </c>
      <c r="L49" s="550"/>
      <c r="M49" s="548"/>
      <c r="N49" s="545"/>
      <c r="O49" s="545"/>
      <c r="P49" s="545"/>
      <c r="Q49" s="545"/>
      <c r="R49" s="545"/>
      <c r="S49" s="545"/>
    </row>
    <row r="50" customFormat="false" ht="99.75" hidden="false" customHeight="true" outlineLevel="0" collapsed="false">
      <c r="B50" s="546" t="n">
        <f aca="false">+IF(ISTEXT(D50),J50,"")</f>
        <v>36</v>
      </c>
      <c r="C50" s="542" t="str">
        <f aca="false">+IFERROR(INDEX(Hoja1!$A$2:$A$82,MATCH(J50,Hoja1!$H$2:$H$82,0)),"")</f>
        <v>8.2</v>
      </c>
      <c r="D50" s="543" t="str">
        <f aca="false">IFERROR(VLOOKUP(C50,Hoja1!$A$2:$H$82,4,0),"")</f>
        <v>Evaluación de riesgos</v>
      </c>
      <c r="E50" s="543" t="str">
        <f aca="false">+IFERROR(VLOOKUP(C50,Hoja1!$A$1:$J$82,10,0),"")</f>
        <v>Evaluación del riesgo de fraude o corrupción. 
Cumplimiento artículo 73 de la Ley 1474 de 2011, relacionado con la prevención de los riesgos de corrupción.</v>
      </c>
      <c r="F50" s="543" t="str">
        <f aca="false">+IFERROR(VLOOKUP(C50,Hoja1!$A$1:$I$82,3,0),"")</f>
        <v>La Alta Dirección monitorea los riesgos de corrupción con la periodicidad establecida en la Política de Administración del Riesgo</v>
      </c>
      <c r="G50" s="542" t="n">
        <f aca="false">+IFERROR(VLOOKUP(C50,Hoja1!$A$1:$K$82,11,0),"")</f>
        <v>3</v>
      </c>
      <c r="H50" s="544" t="n">
        <f aca="false">+IFERROR(VLOOKUP(C50,Hoja1!$A$1:$L$82,12,0),"")</f>
        <v>3</v>
      </c>
      <c r="I50" s="536" t="str">
        <f aca="false">+IF(OR(AND(G50=1,H50=1),AND(G50=1,H50=2),AND(G50=1,H50=3),G50="",H50=""),"No se encuentra presente  por lo tanto no esta funcionando, lo que hace que se requieran acciones dirigidas a fortalecer su diseño y puesta en marcha",IF(OR(AND(G50=2,H50=2),AND(G50=3,H50=1),AND(G50=3,H50=2),AND(G50=2,H50=1)),"Se encuentra presente y funcionando, pero requiere acciones dirigidas a fortalecer  o mejorar su diseño y/o ejecucion.",IF(AND(G50=2,H50=3),"Se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0" s="493" t="n">
        <v>36</v>
      </c>
      <c r="K50" s="537" t="n">
        <f aca="false">+VLOOKUP(C50,Hoja1!$A$1:$M$82,13,0)</f>
        <v>1</v>
      </c>
      <c r="L50" s="550"/>
      <c r="M50" s="547"/>
      <c r="N50" s="545"/>
      <c r="O50" s="545"/>
      <c r="P50" s="545"/>
      <c r="Q50" s="545"/>
      <c r="R50" s="545"/>
      <c r="S50" s="545"/>
    </row>
    <row r="51" customFormat="false" ht="99.75" hidden="false" customHeight="true" outlineLevel="0" collapsed="false">
      <c r="B51" s="541" t="n">
        <f aca="false">+IF(ISTEXT(D51),J51,"")</f>
        <v>37</v>
      </c>
      <c r="C51" s="542" t="str">
        <f aca="false">+IFERROR(INDEX(Hoja1!$A$2:$A$82,MATCH(J51,Hoja1!$H$2:$H$82,0)),"")</f>
        <v>8.3</v>
      </c>
      <c r="D51" s="543" t="str">
        <f aca="false">IFERROR(VLOOKUP(C51,Hoja1!$A$2:$H$82,4,0),"")</f>
        <v>Evaluación de riesgos</v>
      </c>
      <c r="E51" s="543" t="str">
        <f aca="false">+IFERROR(VLOOKUP(C51,Hoja1!$A$1:$J$82,10,0),"")</f>
        <v>Evaluación del riesgo de fraude o corrupción. 
Cumplimiento artículo 73 de la Ley 1474 de 2011, relacionado con la prevención de los riesgos de corrupción.</v>
      </c>
      <c r="F51" s="543" t="str">
        <f aca="false">+IFERROR(VLOOKUP(C51,Hoja1!$A$1:$I$82,3,0),"")</f>
        <v>Para el desarrollo de las actividades de control, la entidad considera la adecuada división de las funciones y que éstas se encuentren segregadas en diferentes personas para reducir el riesgo de acciones fraudulentas</v>
      </c>
      <c r="G51" s="542" t="n">
        <f aca="false">+IFERROR(VLOOKUP(C51,Hoja1!$A$1:$K$82,11,0),"")</f>
        <v>3</v>
      </c>
      <c r="H51" s="544" t="n">
        <f aca="false">+IFERROR(VLOOKUP(C51,Hoja1!$A$1:$L$82,12,0),"")</f>
        <v>3</v>
      </c>
      <c r="I51" s="536" t="str">
        <f aca="false">+IF(OR(AND(G51=1,H51=1),AND(G51=1,H51=2),AND(G51=1,H51=3),G51="",H51=""),"No se encuentra presente  por lo tanto no esta funcionando, lo que hace que se requieran acciones dirigidas a fortalecer su diseño y puesta en marcha",IF(OR(AND(G51=2,H51=2),AND(G51=3,H51=1),AND(G51=3,H51=2),AND(G51=2,H51=1)),"Se encuentra presente y funcionando, pero requiere acciones dirigidas a fortalecer  o mejorar su diseño y/o ejecucion.",IF(AND(G51=2,H51=3),"Se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1" s="493" t="n">
        <v>37</v>
      </c>
      <c r="K51" s="537" t="n">
        <f aca="false">+VLOOKUP(C51,Hoja1!$A$1:$M$82,13,0)</f>
        <v>1</v>
      </c>
      <c r="L51" s="550"/>
      <c r="M51" s="552" t="s">
        <v>586</v>
      </c>
      <c r="N51" s="545"/>
      <c r="O51" s="545"/>
      <c r="P51" s="545"/>
      <c r="Q51" s="545"/>
      <c r="R51" s="545"/>
      <c r="S51" s="545"/>
    </row>
    <row r="52" customFormat="false" ht="99.75" hidden="false" customHeight="true" outlineLevel="0" collapsed="false">
      <c r="B52" s="541" t="n">
        <f aca="false">+IF(ISTEXT(D52),J52,"")</f>
        <v>38</v>
      </c>
      <c r="C52" s="542" t="str">
        <f aca="false">+IFERROR(INDEX(Hoja1!$A$2:$A$82,MATCH(J52,Hoja1!$H$2:$H$82,0)),"")</f>
        <v>8.4</v>
      </c>
      <c r="D52" s="543" t="str">
        <f aca="false">IFERROR(VLOOKUP(C52,Hoja1!$A$2:$H$82,4,0),"")</f>
        <v>Evaluación de riesgos</v>
      </c>
      <c r="E52" s="543" t="str">
        <f aca="false">+IFERROR(VLOOKUP(C52,Hoja1!$A$1:$J$82,10,0),"")</f>
        <v>Evaluación del riesgo de fraude o corrupción. 
Cumplimiento artículo 73 de la Ley 1474 de 2011, relacionado con la prevención de los riesgos de corrupción.</v>
      </c>
      <c r="F52" s="543" t="str">
        <f aca="false">+IFERROR(VLOOKUP(C52,Hoja1!$A$1:$I$82,3,0),"")</f>
        <v>La Alta Dirección evalúa fallas en los controles (diseño y ejecución) para definir cursos de acción apropiados para su mejora</v>
      </c>
      <c r="G52" s="542" t="n">
        <f aca="false">+IFERROR(VLOOKUP(C52,Hoja1!$A$1:$K$82,11,0),"")</f>
        <v>3</v>
      </c>
      <c r="H52" s="544" t="n">
        <f aca="false">+IFERROR(VLOOKUP(C52,Hoja1!$A$1:$L$82,12,0),"")</f>
        <v>3</v>
      </c>
      <c r="I52" s="536" t="str">
        <f aca="false">+IF(OR(AND(G52=1,H52=1),AND(G52=1,H52=2),AND(G52=1,H52=3),G52="",H52=""),"No se encuentra presente  por lo tanto no esta funcionando, lo que hace que se requieran acciones dirigidas a fortalecer su diseño y puesta en marcha",IF(OR(AND(G52=2,H52=2),AND(G52=3,H52=1),AND(G52=3,H52=2),AND(G52=2,H52=1)),"Se encuentra presente y funcionando, pero requiere acciones dirigidas a fortalecer  o mejorar su diseño y/o ejecucion.",IF(AND(G52=2,H52=3),"Se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2" s="493" t="n">
        <v>38</v>
      </c>
      <c r="K52" s="537" t="n">
        <f aca="false">+VLOOKUP(C52,Hoja1!$A$1:$M$82,13,0)</f>
        <v>1</v>
      </c>
      <c r="L52" s="550"/>
      <c r="M52" s="548"/>
      <c r="N52" s="545"/>
      <c r="O52" s="545"/>
      <c r="P52" s="545"/>
      <c r="Q52" s="545"/>
      <c r="R52" s="545"/>
      <c r="S52" s="545"/>
    </row>
    <row r="53" customFormat="false" ht="99.75" hidden="false" customHeight="true" outlineLevel="0" collapsed="false">
      <c r="B53" s="541" t="n">
        <f aca="false">+IF(ISTEXT(D53),J53,"")</f>
        <v>39</v>
      </c>
      <c r="C53" s="542" t="str">
        <f aca="false">+IFERROR(INDEX(Hoja1!$A$2:$A$82,MATCH(J53,Hoja1!$H$2:$H$82,0)),"")</f>
        <v>9.1</v>
      </c>
      <c r="D53" s="543" t="str">
        <f aca="false">IFERROR(VLOOKUP(C53,Hoja1!$A$2:$H$82,4,0),"")</f>
        <v>Evaluación de riesgos</v>
      </c>
      <c r="E53" s="543" t="str">
        <f aca="false">+IFERROR(VLOOKUP(C53,Hoja1!$A$1:$J$82,10,0),"")</f>
        <v>Identificación y análisis de cambios significativos</v>
      </c>
      <c r="F53" s="543" t="str">
        <f aca="false">+IFERROR(VLOOKUP(C53,Hoja1!$A$1:$I$82,3,0),"")</f>
        <v>Acorde con lo establecido en la política de Administración del Riesgo, se monitorean los factores internos y externos definidos para la entidad, a fin de establecer cambios en el entorno que determinen nuevos riesgos o ajustes a los existentes</v>
      </c>
      <c r="G53" s="542" t="n">
        <f aca="false">+IFERROR(VLOOKUP(C53,Hoja1!$A$1:$K$82,11,0),"")</f>
        <v>3</v>
      </c>
      <c r="H53" s="544" t="n">
        <f aca="false">+IFERROR(VLOOKUP(C53,Hoja1!$A$1:$L$82,12,0),"")</f>
        <v>3</v>
      </c>
      <c r="I53" s="536" t="str">
        <f aca="false">+IF(OR(AND(G53=1,H53=1),AND(G53=1,H53=2),AND(G53=1,H53=3),G53="",H53=""),"No se encuentra presente  por lo tanto no esta funcionando, lo que hace que se requieran acciones dirigidas a fortalecer su diseño y puesta en marcha",IF(OR(AND(G53=2,H53=2),AND(G53=3,H53=1),AND(G53=3,H53=2),AND(G53=2,H53=1)),"Se encuentra presente y funcionando, pero requiere acciones dirigidas a fortalecer  o mejorar su diseño y/o ejecucion.",IF(AND(G53=2,H53=3),"Se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3" s="493" t="n">
        <v>39</v>
      </c>
      <c r="K53" s="537" t="n">
        <f aca="false">+VLOOKUP(C53,Hoja1!$A$1:$M$82,13,0)</f>
        <v>1</v>
      </c>
      <c r="L53" s="550"/>
      <c r="M53" s="548"/>
      <c r="N53" s="545"/>
      <c r="O53" s="545"/>
      <c r="P53" s="545"/>
      <c r="Q53" s="545"/>
      <c r="R53" s="545"/>
      <c r="S53" s="545"/>
    </row>
    <row r="54" customFormat="false" ht="99.75" hidden="false" customHeight="true" outlineLevel="0" collapsed="false">
      <c r="B54" s="546" t="n">
        <f aca="false">+IF(ISTEXT(D54),J54,"")</f>
        <v>40</v>
      </c>
      <c r="C54" s="542" t="str">
        <f aca="false">+IFERROR(INDEX(Hoja1!$A$2:$A$82,MATCH(J54,Hoja1!$H$2:$H$82,0)),"")</f>
        <v>9.4</v>
      </c>
      <c r="D54" s="543" t="str">
        <f aca="false">IFERROR(VLOOKUP(C54,Hoja1!$A$2:$H$82,4,0),"")</f>
        <v>Evaluación de riesgos</v>
      </c>
      <c r="E54" s="543" t="str">
        <f aca="false">+IFERROR(VLOOKUP(C54,Hoja1!$A$1:$J$82,10,0),"")</f>
        <v>Identificación y análisis de cambios significativos</v>
      </c>
      <c r="F54" s="543" t="str">
        <f aca="false">+IFERROR(VLOOKUP(C54,Hoja1!$A$1:$I$82,3,0),"")</f>
        <v>La Alta Dirección evalúa fallas en los controles (diseño y ejecución) para definir cursos de acción apropiados para su mejora, basados en los informes de la segunda y tercera linea de defensa</v>
      </c>
      <c r="G54" s="542" t="n">
        <f aca="false">+IFERROR(VLOOKUP(C54,Hoja1!$A$1:$K$82,11,0),"")</f>
        <v>3</v>
      </c>
      <c r="H54" s="544" t="n">
        <f aca="false">+IFERROR(VLOOKUP(C54,Hoja1!$A$1:$L$82,12,0),"")</f>
        <v>3</v>
      </c>
      <c r="I54" s="536" t="str">
        <f aca="false">+IF(OR(AND(G54=1,H54=1),AND(G54=1,H54=2),AND(G54=1,H54=3),G54="",H54=""),"No se encuentra presente  por lo tanto no esta funcionando, lo que hace que se requieran acciones dirigidas a fortalecer su diseño y puesta en marcha",IF(OR(AND(G54=2,H54=2),AND(G54=3,H54=1),AND(G54=3,H54=2),AND(G54=2,H54=1)),"Se encuentra presente y funcionando, pero requiere acciones dirigidas a fortalecer  o mejorar su diseño y/o ejecucion.",IF(AND(G54=2,H54=3),"Se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4" s="493" t="n">
        <v>40</v>
      </c>
      <c r="K54" s="537" t="n">
        <f aca="false">+VLOOKUP(C54,Hoja1!$A$1:$M$82,13,0)</f>
        <v>1</v>
      </c>
      <c r="L54" s="550"/>
      <c r="M54" s="548"/>
      <c r="N54" s="545"/>
      <c r="O54" s="545"/>
      <c r="P54" s="545"/>
      <c r="Q54" s="545"/>
      <c r="R54" s="545"/>
      <c r="S54" s="545"/>
    </row>
    <row r="55" customFormat="false" ht="99.75" hidden="false" customHeight="true" outlineLevel="0" collapsed="false">
      <c r="B55" s="541" t="n">
        <f aca="false">+IF(ISTEXT(D55),J55,"")</f>
        <v>41</v>
      </c>
      <c r="C55" s="542" t="str">
        <f aca="false">+IFERROR(INDEX(Hoja1!$A$2:$A$82,MATCH(J55,Hoja1!$H$2:$H$82,0)),"")</f>
        <v>9.5</v>
      </c>
      <c r="D55" s="543" t="str">
        <f aca="false">IFERROR(VLOOKUP(C55,Hoja1!$A$2:$H$82,4,0),"")</f>
        <v>Evaluación de riesgos</v>
      </c>
      <c r="E55" s="543" t="str">
        <f aca="false">+IFERROR(VLOOKUP(C55,Hoja1!$A$1:$J$82,10,0),"")</f>
        <v>Identificación y análisis de cambios significativos</v>
      </c>
      <c r="F55" s="543" t="str">
        <f aca="false">+IFERROR(VLOOKUP(C55,Hoja1!$A$1:$I$82,3,0),"")</f>
        <v>La entidad analiza el impacto sobre el control interno por cambios en los diferentes niveles organizacionales</v>
      </c>
      <c r="G55" s="542" t="n">
        <f aca="false">+IFERROR(VLOOKUP(C55,Hoja1!$A$1:$K$82,11,0),"")</f>
        <v>3</v>
      </c>
      <c r="H55" s="544" t="n">
        <f aca="false">+IFERROR(VLOOKUP(C55,Hoja1!$A$1:$L$82,12,0),"")</f>
        <v>3</v>
      </c>
      <c r="I55" s="536" t="str">
        <f aca="false">+IF(OR(AND(G55=1,H55=1),AND(G55=1,H55=2),AND(G55=1,H55=3),G55="",H55=""),"No se encuentra presente  por lo tanto no esta funcionando, lo que hace que se requieran acciones dirigidas a fortalecer su diseño y puesta en marcha",IF(OR(AND(G55=2,H55=2),AND(G55=3,H55=1),AND(G55=3,H55=2),AND(G55=2,H55=1)),"Se encuentra presente y funcionando, pero requiere acciones dirigidas a fortalecer  o mejorar su diseño y/o ejecucion.",IF(AND(G55=2,H55=3),"Se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5" s="493" t="n">
        <v>41</v>
      </c>
      <c r="K55" s="537" t="n">
        <f aca="false">+VLOOKUP(C55,Hoja1!$A$1:$M$82,13,0)</f>
        <v>1</v>
      </c>
      <c r="L55" s="550"/>
      <c r="M55" s="548"/>
      <c r="N55" s="545"/>
      <c r="O55" s="545"/>
      <c r="P55" s="545"/>
      <c r="Q55" s="545"/>
      <c r="R55" s="545"/>
      <c r="S55" s="545"/>
    </row>
    <row r="56" customFormat="false" ht="99.75" hidden="false" customHeight="true" outlineLevel="0" collapsed="false">
      <c r="B56" s="546" t="n">
        <f aca="false">+IF(ISTEXT(D56),J56,"")</f>
        <v>42</v>
      </c>
      <c r="C56" s="542" t="str">
        <f aca="false">+IFERROR(INDEX(Hoja1!$A$2:$A$82,MATCH(J56,Hoja1!$H$2:$H$82,0)),"")</f>
        <v>11.1</v>
      </c>
      <c r="D56" s="543" t="str">
        <f aca="false">IFERROR(VLOOKUP(C56,Hoja1!$A$2:$H$82,4,0),"")</f>
        <v>Actividades de control</v>
      </c>
      <c r="E56" s="543" t="str">
        <f aca="false">+IFERROR(VLOOKUP(C56,Hoja1!$A$1:$J$82,10,0),"")</f>
        <v>Seleccionar y Desarrolla controles generales sobre TI para apoyar la consecución de los objetivos .</v>
      </c>
      <c r="F56" s="543" t="str">
        <f aca="false">+IFERROR(VLOOKUP(C56,Hoja1!$A$1:$I$82,3,0),"")</f>
        <v>La entidad establece actividades de control relevantes sobre las infraestructuras tecnológicas; los procesos de gestión de la seguridad y sobre los procesos de adquisición, desarrollo y mantenimiento de tecnologías</v>
      </c>
      <c r="G56" s="542" t="n">
        <f aca="false">+IFERROR(VLOOKUP(C56,Hoja1!$A$1:$K$82,11,0),"")</f>
        <v>3</v>
      </c>
      <c r="H56" s="544" t="n">
        <f aca="false">+IFERROR(VLOOKUP(C56,Hoja1!$A$1:$L$82,12,0),"")</f>
        <v>2</v>
      </c>
      <c r="I56" s="536" t="str">
        <f aca="false">+IF(OR(AND(G56=1,H56=1),AND(G56=1,H56=2),AND(G56=1,H56=3),G56="",H56=""),"No se encuentra presente  por lo tanto no esta funcionando, lo que hace que se requieran acciones dirigidas a fortalecer su diseño y puesta en marcha",IF(OR(AND(G56=2,H56=2),AND(G56=3,H56=1),AND(G56=3,H56=2),AND(G56=2,H56=1)),"Se encuentra presente y funcionando, pero requiere acciones dirigidas a fortalecer  o mejorar su diseño y/o ejecucion.",IF(AND(G56=2,H56=3),"Se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56" s="493" t="n">
        <v>42</v>
      </c>
      <c r="K56" s="537" t="n">
        <f aca="false">+VLOOKUP(C56,Hoja1!$A$1:$M$82,13,0)</f>
        <v>0.5</v>
      </c>
      <c r="L56" s="553" t="n">
        <f aca="false">+AVERAGE(K56:K67)</f>
        <v>0.916666666666667</v>
      </c>
      <c r="M56" s="552" t="s">
        <v>587</v>
      </c>
      <c r="N56" s="545"/>
      <c r="O56" s="545"/>
      <c r="P56" s="545"/>
      <c r="Q56" s="545"/>
      <c r="R56" s="545"/>
      <c r="S56" s="545"/>
    </row>
    <row r="57" customFormat="false" ht="99.75" hidden="false" customHeight="true" outlineLevel="0" collapsed="false">
      <c r="B57" s="541" t="n">
        <f aca="false">+IF(ISTEXT(D57),J57,"")</f>
        <v>43</v>
      </c>
      <c r="C57" s="542" t="str">
        <f aca="false">+IFERROR(INDEX(Hoja1!$A$2:$A$82,MATCH(J57,Hoja1!$H$2:$H$82,0)),"")</f>
        <v>11.2</v>
      </c>
      <c r="D57" s="543" t="str">
        <f aca="false">IFERROR(VLOOKUP(C57,Hoja1!$A$2:$H$82,4,0),"")</f>
        <v>Actividades de control</v>
      </c>
      <c r="E57" s="543" t="str">
        <f aca="false">+IFERROR(VLOOKUP(C57,Hoja1!$A$1:$J$82,10,0),"")</f>
        <v>Seleccionar y Desarrolla controles generales sobre TI para apoyar la consecución de los objetivos .</v>
      </c>
      <c r="F57" s="543" t="str">
        <f aca="false">+IFERROR(VLOOKUP(C57,Hoja1!$A$1:$I$82,3,0),"")</f>
        <v>Para los proveedores de tecnología  selecciona y desarrolla actividades de control internas sobre las actividades realizadas por el proveedor de servicios</v>
      </c>
      <c r="G57" s="542" t="n">
        <f aca="false">+IFERROR(VLOOKUP(C57,Hoja1!$A$1:$K$82,11,0),"")</f>
        <v>3</v>
      </c>
      <c r="H57" s="544" t="n">
        <f aca="false">+IFERROR(VLOOKUP(C57,Hoja1!$A$1:$L$82,12,0),"")</f>
        <v>2</v>
      </c>
      <c r="I57" s="536" t="str">
        <f aca="false">+IF(OR(AND(G57=1,H57=1),AND(G57=1,H57=2),AND(G57=1,H57=3),G57="",H57=""),"No se encuentra presente  por lo tanto no esta funcionando, lo que hace que se requieran acciones dirigidas a fortalecer su diseño y puesta en marcha",IF(OR(AND(G57=2,H57=2),AND(G57=3,H57=1),AND(G57=3,H57=2),AND(G57=2,H57=1)),"Se encuentra presente y funcionando, pero requiere acciones dirigidas a fortalecer  o mejorar su diseño y/o ejecucion.",IF(AND(G57=2,H57=3),"Se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57" s="493" t="n">
        <v>43</v>
      </c>
      <c r="K57" s="537" t="n">
        <f aca="false">+VLOOKUP(C57,Hoja1!$A$1:$M$82,13,0)</f>
        <v>0.5</v>
      </c>
      <c r="L57" s="553"/>
      <c r="M57" s="554" t="s">
        <v>588</v>
      </c>
      <c r="N57" s="545"/>
      <c r="O57" s="545"/>
      <c r="P57" s="545"/>
      <c r="Q57" s="545"/>
      <c r="R57" s="545"/>
      <c r="S57" s="545"/>
    </row>
    <row r="58" customFormat="false" ht="99.75" hidden="false" customHeight="true" outlineLevel="0" collapsed="false">
      <c r="B58" s="541" t="n">
        <f aca="false">+IF(ISTEXT(D58),J58,"")</f>
        <v>44</v>
      </c>
      <c r="C58" s="542" t="str">
        <f aca="false">+IFERROR(INDEX(Hoja1!$A$2:$A$82,MATCH(J58,Hoja1!$H$2:$H$82,0)),"")</f>
        <v>10.1</v>
      </c>
      <c r="D58" s="543" t="str">
        <f aca="false">IFERROR(VLOOKUP(C58,Hoja1!$A$2:$H$82,4,0),"")</f>
        <v>Actividades de control</v>
      </c>
      <c r="E58" s="543" t="str">
        <f aca="false">+IFERROR(VLOOKUP(C58,Hoja1!$A$1:$J$82,10,0),"")</f>
        <v>Diseño y desarrollo de actividades de control (Integra el desarrollo de controles con la evaluación de riesgos; tiene en cuenta a qué nivel se aplican las actividades; facilita la segregación de funciones).</v>
      </c>
      <c r="F58" s="543" t="str">
        <f aca="false">+IFERROR(VLOOKUP(C58,Hoja1!$A$1:$I$82,3,0),"")</f>
        <v>Para el desarrollo de las actividades de control, la entidad considera la adecuada división de las funciones y que éstas se encuentren segregadas en diferentes personas para reducir el riesgo de error o de incumplimientos de alto impacto en la operación</v>
      </c>
      <c r="G58" s="542" t="n">
        <f aca="false">+IFERROR(VLOOKUP(C58,Hoja1!$A$1:$K$82,11,0),"")</f>
        <v>3</v>
      </c>
      <c r="H58" s="544" t="n">
        <f aca="false">+IFERROR(VLOOKUP(C58,Hoja1!$A$1:$L$82,12,0),"")</f>
        <v>3</v>
      </c>
      <c r="I58" s="536" t="str">
        <f aca="false">+IF(OR(AND(G58=1,H58=1),AND(G58=1,H58=2),AND(G58=1,H58=3),G58="",H58=""),"No se encuentra presente  por lo tanto no esta funcionando, lo que hace que se requieran acciones dirigidas a fortalecer su diseño y puesta en marcha",IF(OR(AND(G58=2,H58=2),AND(G58=3,H58=1),AND(G58=3,H58=2),AND(G58=2,H58=1)),"Se encuentra presente y funcionando, pero requiere acciones dirigidas a fortalecer  o mejorar su diseño y/o ejecucion.",IF(AND(G58=2,H58=3),"Se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8" s="493" t="n">
        <v>44</v>
      </c>
      <c r="K58" s="537" t="n">
        <f aca="false">+VLOOKUP(C58,Hoja1!$A$1:$M$82,13,0)</f>
        <v>1</v>
      </c>
      <c r="L58" s="553"/>
      <c r="M58" s="548"/>
      <c r="N58" s="545"/>
      <c r="O58" s="545"/>
      <c r="P58" s="545"/>
      <c r="Q58" s="545"/>
      <c r="R58" s="545"/>
      <c r="S58" s="545"/>
    </row>
    <row r="59" customFormat="false" ht="99.75" hidden="false" customHeight="true" outlineLevel="0" collapsed="false">
      <c r="B59" s="541" t="n">
        <f aca="false">+IF(ISTEXT(D59),J59,"")</f>
        <v>45</v>
      </c>
      <c r="C59" s="542" t="str">
        <f aca="false">+IFERROR(INDEX(Hoja1!$A$2:$A$82,MATCH(J59,Hoja1!$H$2:$H$82,0)),"")</f>
        <v>10.2</v>
      </c>
      <c r="D59" s="543" t="str">
        <f aca="false">IFERROR(VLOOKUP(C59,Hoja1!$A$2:$H$82,4,0),"")</f>
        <v>Actividades de control</v>
      </c>
      <c r="E59" s="543" t="str">
        <f aca="false">+IFERROR(VLOOKUP(C59,Hoja1!$A$1:$J$82,10,0),"")</f>
        <v>Diseño y desarrollo de actividades de control (Integra el desarrollo de controles con la evaluación de riesgos; tiene en cuenta a qué nivel se aplican las actividades; facilita la segregación de funciones).</v>
      </c>
      <c r="F59" s="543" t="str">
        <f aca="false">+IFERROR(VLOOKUP(C59,Hoja1!$A$1:$I$82,3,0),"")</f>
        <v>Se han idenfificado y documentado las situaciones específicas en donde no es posible segregar adecuadamente las funciones (ej: falta de personal, presupuesto), con el fin de definir actividades de control alternativas para cubrir los riesgos identificados.</v>
      </c>
      <c r="G59" s="542" t="n">
        <f aca="false">+IFERROR(VLOOKUP(C59,Hoja1!$A$1:$K$82,11,0),"")</f>
        <v>3</v>
      </c>
      <c r="H59" s="544" t="n">
        <f aca="false">+IFERROR(VLOOKUP(C59,Hoja1!$A$1:$L$82,12,0),"")</f>
        <v>3</v>
      </c>
      <c r="I59" s="536" t="str">
        <f aca="false">+IF(OR(AND(G59=1,H59=1),AND(G59=1,H59=2),AND(G59=1,H59=3),G59="",H59=""),"No se encuentra presente  por lo tanto no esta funcionando, lo que hace que se requieran acciones dirigidas a fortalecer su diseño y puesta en marcha",IF(OR(AND(G59=2,H59=2),AND(G59=3,H59=1),AND(G59=3,H59=2),AND(G59=2,H59=1)),"Se encuentra presente y funcionando, pero requiere acciones dirigidas a fortalecer  o mejorar su diseño y/o ejecucion.",IF(AND(G59=2,H59=3),"Se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59" s="493" t="n">
        <v>45</v>
      </c>
      <c r="K59" s="537" t="n">
        <f aca="false">+VLOOKUP(C59,Hoja1!$A$1:$M$82,13,0)</f>
        <v>1</v>
      </c>
      <c r="L59" s="553"/>
      <c r="M59" s="555"/>
      <c r="N59" s="545"/>
      <c r="O59" s="545"/>
      <c r="P59" s="545"/>
      <c r="Q59" s="545"/>
      <c r="R59" s="545"/>
      <c r="S59" s="545"/>
    </row>
    <row r="60" customFormat="false" ht="99.75" hidden="false" customHeight="true" outlineLevel="0" collapsed="false">
      <c r="B60" s="546" t="n">
        <f aca="false">+IF(ISTEXT(D60),J60,"")</f>
        <v>46</v>
      </c>
      <c r="C60" s="542" t="str">
        <f aca="false">+IFERROR(INDEX(Hoja1!$A$2:$A$82,MATCH(J60,Hoja1!$H$2:$H$82,0)),"")</f>
        <v>10.3</v>
      </c>
      <c r="D60" s="543" t="str">
        <f aca="false">IFERROR(VLOOKUP(C60,Hoja1!$A$2:$H$82,4,0),"")</f>
        <v>Actividades de control</v>
      </c>
      <c r="E60" s="543" t="str">
        <f aca="false">+IFERROR(VLOOKUP(C60,Hoja1!$A$1:$J$82,10,0),"")</f>
        <v>Diseño y desarrollo de actividades de control (Integra el desarrollo de controles con la evaluación de riesgos; tiene en cuenta a qué nivel se aplican las actividades; facilita la segregación de funciones).</v>
      </c>
      <c r="F60" s="543" t="str">
        <f aca="false">+IFERROR(VLOOKUP(C60,Hoja1!$A$1:$I$82,3,0),"")</f>
        <v>El diseño de otros  sistemas de gestión (bajo normas o estándares internacionales como la ISO), se intregan de forma adecuada a la estructura de control de la entidad</v>
      </c>
      <c r="G60" s="542" t="n">
        <f aca="false">+IFERROR(VLOOKUP(C60,Hoja1!$A$1:$K$82,11,0),"")</f>
        <v>3</v>
      </c>
      <c r="H60" s="544" t="n">
        <f aca="false">+IFERROR(VLOOKUP(C60,Hoja1!$A$1:$L$82,12,0),"")</f>
        <v>3</v>
      </c>
      <c r="I60" s="536" t="str">
        <f aca="false">+IF(OR(AND(G60=1,H60=1),AND(G60=1,H60=2),AND(G60=1,H60=3),G60="",H60=""),"No se encuentra presente  por lo tanto no esta funcionando, lo que hace que se requieran acciones dirigidas a fortalecer su diseño y puesta en marcha",IF(OR(AND(G60=2,H60=2),AND(G60=3,H60=1),AND(G60=3,H60=2),AND(G60=2,H60=1)),"Se encuentra presente y funcionando, pero requiere acciones dirigidas a fortalecer  o mejorar su diseño y/o ejecucion.",IF(AND(G60=2,H60=3),"Se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0" s="493" t="n">
        <v>46</v>
      </c>
      <c r="K60" s="537" t="n">
        <f aca="false">+VLOOKUP(C60,Hoja1!$A$1:$M$82,13,0)</f>
        <v>1</v>
      </c>
      <c r="L60" s="553"/>
      <c r="M60" s="548"/>
      <c r="N60" s="545"/>
      <c r="O60" s="545"/>
      <c r="P60" s="545"/>
      <c r="Q60" s="545"/>
      <c r="R60" s="545"/>
      <c r="S60" s="545"/>
    </row>
    <row r="61" customFormat="false" ht="99.75" hidden="false" customHeight="true" outlineLevel="0" collapsed="false">
      <c r="B61" s="541" t="n">
        <f aca="false">+IF(ISTEXT(D61),J61,"")</f>
        <v>47</v>
      </c>
      <c r="C61" s="542" t="str">
        <f aca="false">+IFERROR(INDEX(Hoja1!$A$2:$A$82,MATCH(J61,Hoja1!$H$2:$H$82,0)),"")</f>
        <v>11.3</v>
      </c>
      <c r="D61" s="543" t="str">
        <f aca="false">IFERROR(VLOOKUP(C61,Hoja1!$A$2:$H$82,4,0),"")</f>
        <v>Actividades de control</v>
      </c>
      <c r="E61" s="543" t="str">
        <f aca="false">+IFERROR(VLOOKUP(C61,Hoja1!$A$1:$J$82,10,0),"")</f>
        <v>Seleccionar y Desarrolla controles generales sobre TI para apoyar la consecución de los objetivos .</v>
      </c>
      <c r="F61" s="543" t="str">
        <f aca="false">+IFERROR(VLOOKUP(C61,Hoja1!$A$1:$I$82,3,0),"")</f>
        <v>Se cuenta con matrices de roles y usuarios siguiendo los principios de segregación de funciones.</v>
      </c>
      <c r="G61" s="542" t="n">
        <f aca="false">+IFERROR(VLOOKUP(C61,Hoja1!$A$1:$K$82,11,0),"")</f>
        <v>3</v>
      </c>
      <c r="H61" s="544" t="n">
        <f aca="false">+IFERROR(VLOOKUP(C61,Hoja1!$A$1:$L$82,12,0),"")</f>
        <v>3</v>
      </c>
      <c r="I61" s="536" t="str">
        <f aca="false">+IF(OR(AND(G61=1,H61=1),AND(G61=1,H61=2),AND(G61=1,H61=3),G61="",H61=""),"No se encuentra presente  por lo tanto no esta funcionando, lo que hace que se requieran acciones dirigidas a fortalecer su diseño y puesta en marcha",IF(OR(AND(G61=2,H61=2),AND(G61=3,H61=1),AND(G61=3,H61=2),AND(G61=2,H61=1)),"Se encuentra presente y funcionando, pero requiere acciones dirigidas a fortalecer  o mejorar su diseño y/o ejecucion.",IF(AND(G61=2,H61=3),"Se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1" s="493" t="n">
        <v>47</v>
      </c>
      <c r="K61" s="537" t="n">
        <f aca="false">+VLOOKUP(C61,Hoja1!$A$1:$M$82,13,0)</f>
        <v>1</v>
      </c>
      <c r="L61" s="553"/>
      <c r="M61" s="555"/>
      <c r="N61" s="545"/>
      <c r="O61" s="545"/>
      <c r="P61" s="545"/>
      <c r="Q61" s="545"/>
      <c r="R61" s="545"/>
      <c r="S61" s="545"/>
    </row>
    <row r="62" customFormat="false" ht="99.75" hidden="false" customHeight="true" outlineLevel="0" collapsed="false">
      <c r="B62" s="546" t="n">
        <f aca="false">+IF(ISTEXT(D62),J62,"")</f>
        <v>48</v>
      </c>
      <c r="C62" s="542" t="str">
        <f aca="false">+IFERROR(INDEX(Hoja1!$A$2:$A$82,MATCH(J62,Hoja1!$H$2:$H$82,0)),"")</f>
        <v>11.4</v>
      </c>
      <c r="D62" s="543" t="str">
        <f aca="false">IFERROR(VLOOKUP(C62,Hoja1!$A$2:$H$82,4,0),"")</f>
        <v>Actividades de control</v>
      </c>
      <c r="E62" s="543" t="str">
        <f aca="false">+IFERROR(VLOOKUP(C62,Hoja1!$A$1:$J$82,10,0),"")</f>
        <v>Seleccionar y Desarrolla controles generales sobre TI para apoyar la consecución de los objetivos .</v>
      </c>
      <c r="F62" s="543" t="str">
        <f aca="false">+IFERROR(VLOOKUP(C62,Hoja1!$A$1:$I$82,3,0),"")</f>
        <v>Se cuenta con información de la 3a línea de defensa, como evaluador independiente en relación con los controles implementados por el proveedor de servicios, para  asegurar que los riesgos relacionados se mitigan.</v>
      </c>
      <c r="G62" s="542" t="n">
        <f aca="false">+IFERROR(VLOOKUP(C62,Hoja1!$A$1:$K$82,11,0),"")</f>
        <v>3</v>
      </c>
      <c r="H62" s="544" t="n">
        <f aca="false">+IFERROR(VLOOKUP(C62,Hoja1!$A$1:$L$82,12,0),"")</f>
        <v>3</v>
      </c>
      <c r="I62" s="536" t="str">
        <f aca="false">+IF(OR(AND(G62=1,H62=1),AND(G62=1,H62=2),AND(G62=1,H62=3),G62="",H62=""),"No se encuentra presente  por lo tanto no esta funcionando, lo que hace que se requieran acciones dirigidas a fortalecer su diseño y puesta en marcha",IF(OR(AND(G62=2,H62=2),AND(G62=3,H62=1),AND(G62=3,H62=2),AND(G62=2,H62=1)),"Se encuentra presente y funcionando, pero requiere acciones dirigidas a fortalecer  o mejorar su diseño y/o ejecucion.",IF(AND(G62=2,H62=3),"Se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2" s="493" t="n">
        <v>48</v>
      </c>
      <c r="K62" s="537" t="n">
        <f aca="false">+VLOOKUP(C62,Hoja1!$A$1:$M$82,13,0)</f>
        <v>1</v>
      </c>
      <c r="L62" s="553"/>
      <c r="M62" s="548"/>
      <c r="N62" s="545"/>
      <c r="O62" s="545"/>
      <c r="P62" s="545"/>
      <c r="Q62" s="545"/>
      <c r="R62" s="545"/>
      <c r="S62" s="545"/>
    </row>
    <row r="63" customFormat="false" ht="99.75" hidden="false" customHeight="true" outlineLevel="0" collapsed="false">
      <c r="B63" s="541" t="n">
        <f aca="false">+IF(ISTEXT(D63),J63,"")</f>
        <v>49</v>
      </c>
      <c r="C63" s="542" t="str">
        <f aca="false">+IFERROR(INDEX(Hoja1!$A$2:$A$82,MATCH(J63,Hoja1!$H$2:$H$82,0)),"")</f>
        <v>12.1</v>
      </c>
      <c r="D63" s="543" t="str">
        <f aca="false">IFERROR(VLOOKUP(C63,Hoja1!$A$2:$H$82,4,0),"")</f>
        <v>Actividades de control</v>
      </c>
      <c r="E63" s="543" t="str">
        <f aca="false">+IFERROR(VLOOKUP(C63,Hoja1!$A$1:$J$82,10,0),"")</f>
        <v>Despliegue de políticas y procedimientos (Establece responsabilidades sobre la ejecución de las políticas y procedimientos; Adopta medidas correctivas; Revisa las políticas y procedimientos).</v>
      </c>
      <c r="F63" s="543" t="str">
        <f aca="false">+IFERROR(VLOOKUP(C63,Hoja1!$A$1:$I$82,3,0),"")</f>
        <v>Se evalúa la actualización de procesos, procedimientos, políticas de operación, instructivos, manuales u otras herramientas para garantizar la aplicación adecuada de las principales actividades de control.</v>
      </c>
      <c r="G63" s="542" t="n">
        <f aca="false">+IFERROR(VLOOKUP(C63,Hoja1!$A$1:$K$82,11,0),"")</f>
        <v>3</v>
      </c>
      <c r="H63" s="544" t="n">
        <f aca="false">+IFERROR(VLOOKUP(C63,Hoja1!$A$1:$L$82,12,0),"")</f>
        <v>3</v>
      </c>
      <c r="I63" s="536" t="str">
        <f aca="false">+IF(OR(AND(G63=1,H63=1),AND(G63=1,H63=2),AND(G63=1,H63=3),G63="",H63=""),"No se encuentra presente  por lo tanto no esta funcionando, lo que hace que se requieran acciones dirigidas a fortalecer su diseño y puesta en marcha",IF(OR(AND(G63=2,H63=2),AND(G63=3,H63=1),AND(G63=3,H63=2),AND(G63=2,H63=1)),"Se encuentra presente y funcionando, pero requiere acciones dirigidas a fortalecer  o mejorar su diseño y/o ejecucion.",IF(AND(G63=2,H63=3),"Se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3" s="493" t="n">
        <v>49</v>
      </c>
      <c r="K63" s="537" t="n">
        <f aca="false">+VLOOKUP(C63,Hoja1!$A$1:$M$82,13,0)</f>
        <v>1</v>
      </c>
      <c r="L63" s="553"/>
      <c r="M63" s="548"/>
      <c r="N63" s="545"/>
      <c r="O63" s="545"/>
      <c r="P63" s="545"/>
      <c r="Q63" s="545"/>
      <c r="R63" s="545"/>
      <c r="S63" s="545"/>
    </row>
    <row r="64" customFormat="false" ht="99.75" hidden="false" customHeight="true" outlineLevel="0" collapsed="false">
      <c r="B64" s="541" t="n">
        <f aca="false">+IF(ISTEXT(D64),J64,"")</f>
        <v>50</v>
      </c>
      <c r="C64" s="542" t="str">
        <f aca="false">+IFERROR(INDEX(Hoja1!$A$2:$A$82,MATCH(J64,Hoja1!$H$2:$H$82,0)),"")</f>
        <v>12.2</v>
      </c>
      <c r="D64" s="543" t="str">
        <f aca="false">IFERROR(VLOOKUP(C64,Hoja1!$A$2:$H$82,4,0),"")</f>
        <v>Actividades de control</v>
      </c>
      <c r="E64" s="543" t="str">
        <f aca="false">+IFERROR(VLOOKUP(C64,Hoja1!$A$1:$J$82,10,0),"")</f>
        <v>Despliegue de políticas y procedimientos (Establece responsabilidades sobre la ejecución de las políticas y procedimientos; Adopta medidas correctivas; Revisa las políticas y procedimientos).</v>
      </c>
      <c r="F64" s="543" t="str">
        <f aca="false">+IFERROR(VLOOKUP(C64,Hoja1!$A$1:$I$82,3,0),"")</f>
        <v>El diseño de controles se evalúa frente a la gestión del riesgo</v>
      </c>
      <c r="G64" s="542" t="n">
        <f aca="false">+IFERROR(VLOOKUP(C64,Hoja1!$A$1:$K$82,11,0),"")</f>
        <v>3</v>
      </c>
      <c r="H64" s="544" t="n">
        <f aca="false">+IFERROR(VLOOKUP(C64,Hoja1!$A$1:$L$82,12,0),"")</f>
        <v>3</v>
      </c>
      <c r="I64" s="536" t="str">
        <f aca="false">+IF(OR(AND(G64=1,H64=1),AND(G64=1,H64=2),AND(G64=1,H64=3),G64="",H64=""),"No se encuentra presente  por lo tanto no esta funcionando, lo que hace que se requieran acciones dirigidas a fortalecer su diseño y puesta en marcha",IF(OR(AND(G64=2,H64=2),AND(G64=3,H64=1),AND(G64=3,H64=2),AND(G64=2,H64=1)),"Se encuentra presente y funcionando, pero requiere acciones dirigidas a fortalecer  o mejorar su diseño y/o ejecucion.",IF(AND(G64=2,H64=3),"Se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4" s="493" t="n">
        <v>50</v>
      </c>
      <c r="K64" s="537" t="n">
        <f aca="false">+VLOOKUP(C64,Hoja1!$A$1:$M$82,13,0)</f>
        <v>1</v>
      </c>
      <c r="L64" s="553"/>
      <c r="M64" s="548"/>
      <c r="N64" s="545"/>
      <c r="O64" s="545"/>
      <c r="P64" s="545"/>
      <c r="Q64" s="545"/>
      <c r="R64" s="545"/>
      <c r="S64" s="545"/>
    </row>
    <row r="65" customFormat="false" ht="99.75" hidden="false" customHeight="true" outlineLevel="0" collapsed="false">
      <c r="B65" s="541" t="n">
        <f aca="false">+IF(ISTEXT(D65),J65,"")</f>
        <v>51</v>
      </c>
      <c r="C65" s="542" t="str">
        <f aca="false">+IFERROR(INDEX(Hoja1!$A$2:$A$82,MATCH(J65,Hoja1!$H$2:$H$82,0)),"")</f>
        <v>12.3</v>
      </c>
      <c r="D65" s="543" t="str">
        <f aca="false">IFERROR(VLOOKUP(C65,Hoja1!$A$2:$H$82,4,0),"")</f>
        <v>Actividades de control</v>
      </c>
      <c r="E65" s="543" t="str">
        <f aca="false">+IFERROR(VLOOKUP(C65,Hoja1!$A$1:$J$82,10,0),"")</f>
        <v>Despliegue de políticas y procedimientos (Establece responsabilidades sobre la ejecución de las políticas y procedimientos; Adopta medidas correctivas; Revisa las políticas y procedimientos).</v>
      </c>
      <c r="F65" s="543" t="str">
        <f aca="false">+IFERROR(VLOOKUP(C65,Hoja1!$A$1:$I$82,3,0),"")</f>
        <v>Monitoreo a los riesgos acorde con la política de administración de riesgo establecida para la entidad.</v>
      </c>
      <c r="G65" s="542" t="n">
        <f aca="false">+IFERROR(VLOOKUP(C65,Hoja1!$A$1:$K$82,11,0),"")</f>
        <v>3</v>
      </c>
      <c r="H65" s="544" t="n">
        <f aca="false">+IFERROR(VLOOKUP(C65,Hoja1!$A$1:$L$82,12,0),"")</f>
        <v>3</v>
      </c>
      <c r="I65" s="536" t="str">
        <f aca="false">+IF(OR(AND(G65=1,H65=1),AND(G65=1,H65=2),AND(G65=1,H65=3),G65="",H65=""),"No se encuentra presente  por lo tanto no esta funcionando, lo que hace que se requieran acciones dirigidas a fortalecer su diseño y puesta en marcha",IF(OR(AND(G65=2,H65=2),AND(G65=3,H65=1),AND(G65=3,H65=2),AND(G65=2,H65=1)),"Se encuentra presente y funcionando, pero requiere acciones dirigidas a fortalecer  o mejorar su diseño y/o ejecucion.",IF(AND(G65=2,H65=3),"Se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5" s="493" t="n">
        <v>51</v>
      </c>
      <c r="K65" s="537" t="n">
        <f aca="false">+VLOOKUP(C65,Hoja1!$A$1:$M$82,13,0)</f>
        <v>1</v>
      </c>
      <c r="L65" s="553"/>
      <c r="M65" s="548"/>
      <c r="N65" s="545"/>
      <c r="O65" s="545"/>
      <c r="P65" s="545"/>
      <c r="Q65" s="545"/>
      <c r="R65" s="545"/>
      <c r="S65" s="545"/>
    </row>
    <row r="66" customFormat="false" ht="99.75" hidden="false" customHeight="true" outlineLevel="0" collapsed="false">
      <c r="B66" s="546" t="n">
        <f aca="false">+IF(ISTEXT(D66),J66,"")</f>
        <v>52</v>
      </c>
      <c r="C66" s="542" t="str">
        <f aca="false">+IFERROR(INDEX(Hoja1!$A$2:$A$82,MATCH(J66,Hoja1!$H$2:$H$82,0)),"")</f>
        <v>12.4</v>
      </c>
      <c r="D66" s="543" t="str">
        <f aca="false">IFERROR(VLOOKUP(C66,Hoja1!$A$2:$H$82,4,0),"")</f>
        <v>Actividades de control</v>
      </c>
      <c r="E66" s="543" t="str">
        <f aca="false">+IFERROR(VLOOKUP(C66,Hoja1!$A$1:$J$82,10,0),"")</f>
        <v>Despliegue de políticas y procedimientos (Establece responsabilidades sobre la ejecución de las políticas y procedimientos; Adopta medidas correctivas; Revisa las políticas y procedimientos).</v>
      </c>
      <c r="F66" s="543" t="str">
        <f aca="false">+IFERROR(VLOOKUP(C66,Hoja1!$A$1:$I$82,3,0),"")</f>
        <v>Verificación de que los responsables estén ejecutando los controles tal como han sido diseñados</v>
      </c>
      <c r="G66" s="542" t="n">
        <f aca="false">+IFERROR(VLOOKUP(C66,Hoja1!$A$1:$K$82,11,0),"")</f>
        <v>3</v>
      </c>
      <c r="H66" s="544" t="n">
        <f aca="false">+IFERROR(VLOOKUP(C66,Hoja1!$A$1:$L$82,12,0),"")</f>
        <v>3</v>
      </c>
      <c r="I66" s="536" t="str">
        <f aca="false">+IF(OR(AND(G66=1,H66=1),AND(G66=1,H66=2),AND(G66=1,H66=3),G66="",H66=""),"No se encuentra presente  por lo tanto no esta funcionando, lo que hace que se requieran acciones dirigidas a fortalecer su diseño y puesta en marcha",IF(OR(AND(G66=2,H66=2),AND(G66=3,H66=1),AND(G66=3,H66=2),AND(G66=2,H66=1)),"Se encuentra presente y funcionando, pero requiere acciones dirigidas a fortalecer  o mejorar su diseño y/o ejecucion.",IF(AND(G66=2,H66=3),"Se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6" s="493" t="n">
        <v>52</v>
      </c>
      <c r="K66" s="537" t="n">
        <f aca="false">+VLOOKUP(C66,Hoja1!$A$1:$M$82,13,0)</f>
        <v>1</v>
      </c>
      <c r="L66" s="553"/>
      <c r="M66" s="548"/>
      <c r="N66" s="545"/>
      <c r="O66" s="545"/>
      <c r="P66" s="545"/>
      <c r="Q66" s="545"/>
      <c r="R66" s="545"/>
      <c r="S66" s="545"/>
    </row>
    <row r="67" customFormat="false" ht="99.75" hidden="false" customHeight="true" outlineLevel="0" collapsed="false">
      <c r="B67" s="541" t="n">
        <f aca="false">+IF(ISTEXT(D67),J67,"")</f>
        <v>53</v>
      </c>
      <c r="C67" s="542" t="str">
        <f aca="false">+IFERROR(INDEX(Hoja1!$A$2:$A$82,MATCH(J67,Hoja1!$H$2:$H$82,0)),"")</f>
        <v>12.5</v>
      </c>
      <c r="D67" s="543" t="str">
        <f aca="false">IFERROR(VLOOKUP(C67,Hoja1!$A$2:$H$82,4,0),"")</f>
        <v>Actividades de control</v>
      </c>
      <c r="E67" s="543" t="str">
        <f aca="false">+IFERROR(VLOOKUP(C67,Hoja1!$A$1:$J$82,10,0),"")</f>
        <v>Despliegue de políticas y procedimientos (Establece responsabilidades sobre la ejecución de las políticas y procedimientos; Adopta medidas correctivas; Revisa las políticas y procedimientos).</v>
      </c>
      <c r="F67" s="543" t="str">
        <f aca="false">+IFERROR(VLOOKUP(C67,Hoja1!$A$1:$I$82,3,0),"")</f>
        <v>Se evalúa la adecuación de los controles a las especificidades de cada proceso, considerando cambios en regulaciones, estructuras internas u otros aspectos que determinen cambios en su diseño</v>
      </c>
      <c r="G67" s="542" t="n">
        <f aca="false">+IFERROR(VLOOKUP(C67,Hoja1!$A$1:$K$82,11,0),"")</f>
        <v>3</v>
      </c>
      <c r="H67" s="544" t="n">
        <f aca="false">+IFERROR(VLOOKUP(C67,Hoja1!$A$1:$L$82,12,0),"")</f>
        <v>3</v>
      </c>
      <c r="I67" s="536" t="str">
        <f aca="false">+IF(OR(AND(G67=1,H67=1),AND(G67=1,H67=2),AND(G67=1,H67=3),G67="",H67=""),"No se encuentra presente  por lo tanto no esta funcionando, lo que hace que se requieran acciones dirigidas a fortalecer su diseño y puesta en marcha",IF(OR(AND(G67=2,H67=2),AND(G67=3,H67=1),AND(G67=3,H67=2),AND(G67=2,H67=1)),"Se encuentra presente y funcionando, pero requiere acciones dirigidas a fortalecer  o mejorar su diseño y/o ejecucion.",IF(AND(G67=2,H67=3),"Se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67" s="493" t="n">
        <v>53</v>
      </c>
      <c r="K67" s="537" t="n">
        <f aca="false">+VLOOKUP(C67,Hoja1!$A$1:$M$82,13,0)</f>
        <v>1</v>
      </c>
      <c r="L67" s="553"/>
      <c r="M67" s="548"/>
      <c r="N67" s="545"/>
      <c r="O67" s="545"/>
      <c r="P67" s="545"/>
      <c r="Q67" s="545"/>
      <c r="R67" s="545"/>
      <c r="S67" s="545"/>
    </row>
    <row r="68" customFormat="false" ht="99.75" hidden="false" customHeight="true" outlineLevel="0" collapsed="false">
      <c r="B68" s="546" t="n">
        <f aca="false">+IF(ISTEXT(D68),J68,"")</f>
        <v>54</v>
      </c>
      <c r="C68" s="542" t="str">
        <f aca="false">+IFERROR(INDEX(Hoja1!$A$2:$A$82,MATCH(J68,Hoja1!$H$2:$H$82,0)),"")</f>
        <v>13.2</v>
      </c>
      <c r="D68" s="543" t="str">
        <f aca="false">IFERROR(VLOOKUP(C68,Hoja1!$A$2:$H$82,4,0),"")</f>
        <v>Info y Comunicación</v>
      </c>
      <c r="E68" s="543" t="str">
        <f aca="false">+IFERROR(VLOOKUP(C68,Hoja1!$A$1:$J$82,10,0),"")</f>
        <v>Utilización de información relevante (Identifica requisitos de información; Capta fuentes de datos internas y externas; Procesa datos relevantes y los transforma en información).</v>
      </c>
      <c r="F68" s="543" t="str">
        <f aca="false">+IFERROR(VLOOKUP(C68,Hoja1!$A$1:$I$82,3,0),"")</f>
        <v>La entidad cuenta con el inventario de información relevante (interno/externa) y cuenta con un mecanismo que permita su actualización</v>
      </c>
      <c r="G68" s="542" t="n">
        <f aca="false">+IFERROR(VLOOKUP(C68,Hoja1!$A$1:$K$82,11,0),"")</f>
        <v>3</v>
      </c>
      <c r="H68" s="544" t="n">
        <f aca="false">+IFERROR(VLOOKUP(C68,Hoja1!$A$1:$L$82,12,0),"")</f>
        <v>2</v>
      </c>
      <c r="I68" s="536" t="str">
        <f aca="false">+IF(OR(AND(G68=1,H68=1),AND(G68=1,H68=2),AND(G68=1,H68=3),G68="",H68=""),"No se encuentra presente  por lo tanto no esta funcionando, lo que hace que se requieran acciones dirigidas a fortalecer su diseño y puesta en marcha",IF(OR(AND(G68=2,H68=2),AND(G68=3,H68=1),AND(G68=3,H68=2),AND(G68=2,H68=1)),"Se encuentra presente y funcionando, pero requiere acciones dirigidas a fortalecer  o mejorar su diseño y/o ejecucion.",IF(AND(G68=2,H68=3),"Se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68" s="493" t="n">
        <v>54</v>
      </c>
      <c r="K68" s="537" t="n">
        <f aca="false">+VLOOKUP(C68,Hoja1!$A$1:$M$82,13,0)</f>
        <v>0.5</v>
      </c>
      <c r="L68" s="553" t="n">
        <f aca="false">+AVERAGE(K68:K81)</f>
        <v>0.892857142857143</v>
      </c>
      <c r="M68" s="556" t="s">
        <v>589</v>
      </c>
      <c r="N68" s="545"/>
      <c r="O68" s="545"/>
      <c r="P68" s="545"/>
      <c r="Q68" s="545"/>
      <c r="R68" s="545"/>
      <c r="S68" s="545"/>
    </row>
    <row r="69" customFormat="false" ht="99.75" hidden="false" customHeight="true" outlineLevel="0" collapsed="false">
      <c r="B69" s="541" t="n">
        <f aca="false">+IF(ISTEXT(D69),J69,"")</f>
        <v>55</v>
      </c>
      <c r="C69" s="542" t="str">
        <f aca="false">+IFERROR(INDEX(Hoja1!$A$2:$A$82,MATCH(J69,Hoja1!$H$2:$H$82,0)),"")</f>
        <v>13.4</v>
      </c>
      <c r="D69" s="543" t="str">
        <f aca="false">IFERROR(VLOOKUP(C69,Hoja1!$A$2:$H$82,4,0),"")</f>
        <v>Info y Comunicación</v>
      </c>
      <c r="E69" s="543" t="str">
        <f aca="false">+IFERROR(VLOOKUP(C69,Hoja1!$A$1:$J$82,10,0),"")</f>
        <v>Utilización de información relevante (Identifica requisitos de información; Capta fuentes de datos internas y externas; Procesa datos relevantes y los transforma en información).</v>
      </c>
      <c r="F69" s="543" t="str">
        <f aca="false">+IFERROR(VLOOKUP(C69,Hoja1!$A$1:$I$82,3,0),"")</f>
        <v>La entidad ha desarrollado e implementado actividades de control sobre la integridad, confidencialidad y disponibilidad de los datos e información definidos como relevantes</v>
      </c>
      <c r="G69" s="542" t="n">
        <f aca="false">+IFERROR(VLOOKUP(C69,Hoja1!$A$1:$K$82,11,0),"")</f>
        <v>2</v>
      </c>
      <c r="H69" s="544" t="n">
        <f aca="false">+IFERROR(VLOOKUP(C69,Hoja1!$A$1:$L$82,12,0),"")</f>
        <v>2</v>
      </c>
      <c r="I69" s="536" t="str">
        <f aca="false">+IF(OR(AND(G69=1,H69=1),AND(G69=1,H69=2),AND(G69=1,H69=3),G69="",H69=""),"No se encuentra presente  por lo tanto no esta funcionando, lo que hace que se requieran acciones dirigidas a fortalecer su diseño y puesta en marcha",IF(OR(AND(G69=2,H69=2),AND(G69=3,H69=1),AND(G69=3,H69=2),AND(G69=2,H69=1)),"Se encuentra presente y funcionando, pero requiere acciones dirigidas a fortalecer  o mejorar su diseño y/o ejecucion.",IF(AND(G69=2,H69=3),"Se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69" s="493" t="n">
        <v>55</v>
      </c>
      <c r="K69" s="537" t="n">
        <f aca="false">+VLOOKUP(C69,Hoja1!$A$1:$M$82,13,0)</f>
        <v>0.5</v>
      </c>
      <c r="L69" s="553"/>
      <c r="M69" s="556" t="s">
        <v>590</v>
      </c>
      <c r="N69" s="545"/>
      <c r="O69" s="545"/>
      <c r="P69" s="545"/>
      <c r="Q69" s="545"/>
      <c r="R69" s="545"/>
      <c r="S69" s="545"/>
    </row>
    <row r="70" customFormat="false" ht="99.75" hidden="false" customHeight="true" outlineLevel="0" collapsed="false">
      <c r="B70" s="541" t="n">
        <f aca="false">+IF(ISTEXT(D70),J70,"")</f>
        <v>56</v>
      </c>
      <c r="C70" s="542" t="str">
        <f aca="false">+IFERROR(INDEX(Hoja1!$A$2:$A$82,MATCH(J70,Hoja1!$H$2:$H$82,0)),"")</f>
        <v>14.3</v>
      </c>
      <c r="D70" s="543" t="str">
        <f aca="false">IFERROR(VLOOKUP(C70,Hoja1!$A$2:$H$82,4,0),"")</f>
        <v>Info y Comunicación</v>
      </c>
      <c r="E70" s="543" t="str">
        <f aca="false">+IFERROR(VLOOKUP(C70,Hoja1!$A$1:$J$82,10,0),"")</f>
        <v>Comunicación Interna (Se comunica con el Comité Institucional de Coordinación de Control Interno o su equivalente; Facilita líneas de comunicación en todos los niveles; Selecciona el método de comunicación pertinente).</v>
      </c>
      <c r="F70" s="543" t="str">
        <f aca="false">+IFERROR(VLOOKUP(C70,Hoja1!$A$1:$I$82,3,0),"")</f>
        <v>La entidad cuenta con canales de información internos para la denuncia anónima o confidencial de posibles situaciones irregulares y se cuenta con mecanismos específicos para su manejo, de manera tal que generen la confianza para utilizarlos</v>
      </c>
      <c r="G70" s="542" t="n">
        <f aca="false">+IFERROR(VLOOKUP(C70,Hoja1!$A$1:$K$82,11,0),"")</f>
        <v>3</v>
      </c>
      <c r="H70" s="544" t="n">
        <f aca="false">+IFERROR(VLOOKUP(C70,Hoja1!$A$1:$L$82,12,0),"")</f>
        <v>2</v>
      </c>
      <c r="I70" s="536" t="str">
        <f aca="false">+IF(OR(AND(G70=1,H70=1),AND(G70=1,H70=2),AND(G70=1,H70=3),G70="",H70=""),"No se encuentra presente  por lo tanto no esta funcionando, lo que hace que se requieran acciones dirigidas a fortalecer su diseño y puesta en marcha",IF(OR(AND(G70=2,H70=2),AND(G70=3,H70=1),AND(G70=3,H70=2),AND(G70=2,H70=1)),"Se encuentra presente y funcionando, pero requiere acciones dirigidas a fortalecer  o mejorar su diseño y/o ejecucion.",IF(AND(G70=2,H70=3),"Se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70" s="493" t="n">
        <v>56</v>
      </c>
      <c r="K70" s="537" t="n">
        <f aca="false">+VLOOKUP(C70,Hoja1!$A$1:$M$82,13,0)</f>
        <v>0.5</v>
      </c>
      <c r="L70" s="553"/>
      <c r="M70" s="557" t="s">
        <v>591</v>
      </c>
      <c r="N70" s="545"/>
      <c r="O70" s="545"/>
      <c r="P70" s="545"/>
      <c r="Q70" s="545"/>
      <c r="R70" s="545"/>
      <c r="S70" s="545"/>
    </row>
    <row r="71" customFormat="false" ht="99.75" hidden="false" customHeight="true" outlineLevel="0" collapsed="false">
      <c r="B71" s="541" t="n">
        <f aca="false">+IF(ISTEXT(D71),J71,"")</f>
        <v>57</v>
      </c>
      <c r="C71" s="542" t="str">
        <f aca="false">+IFERROR(INDEX(Hoja1!$A$2:$A$82,MATCH(J71,Hoja1!$H$2:$H$82,0)),"")</f>
        <v>13.1</v>
      </c>
      <c r="D71" s="543" t="str">
        <f aca="false">IFERROR(VLOOKUP(C71,Hoja1!$A$2:$H$82,4,0),"")</f>
        <v>Info y Comunicación</v>
      </c>
      <c r="E71" s="543" t="str">
        <f aca="false">+IFERROR(VLOOKUP(C71,Hoja1!$A$1:$J$82,10,0),"")</f>
        <v>Utilización de información relevante (Identifica requisitos de información; Capta fuentes de datos internas y externas; Procesa datos relevantes y los transforma en información).</v>
      </c>
      <c r="F71" s="543" t="str">
        <f aca="false">+IFERROR(VLOOKUP(C71,Hoja1!$A$1:$I$82,3,0),"")</f>
        <v>La entidad ha diseñado sistemas de información para capturar y procesar datos y transformarlos en información para alcanzar los requerimientos de información definidos</v>
      </c>
      <c r="G71" s="542" t="n">
        <f aca="false">+IFERROR(VLOOKUP(C71,Hoja1!$A$1:$K$82,11,0),"")</f>
        <v>3</v>
      </c>
      <c r="H71" s="544" t="n">
        <f aca="false">+IFERROR(VLOOKUP(C71,Hoja1!$A$1:$L$82,12,0),"")</f>
        <v>3</v>
      </c>
      <c r="I71" s="536" t="str">
        <f aca="false">+IF(OR(AND(G71=1,H71=1),AND(G71=1,H71=2),AND(G71=1,H71=3),G71="",H71=""),"No se encuentra presente  por lo tanto no esta funcionando, lo que hace que se requieran acciones dirigidas a fortalecer su diseño y puesta en marcha",IF(OR(AND(G71=2,H71=2),AND(G71=3,H71=1),AND(G71=3,H71=2),AND(G71=2,H71=1)),"Se encuentra presente y funcionando, pero requiere acciones dirigidas a fortalecer  o mejorar su diseño y/o ejecucion.",IF(AND(G71=2,H71=3),"Se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1" s="493" t="n">
        <v>57</v>
      </c>
      <c r="K71" s="537" t="n">
        <f aca="false">+VLOOKUP(C71,Hoja1!$A$1:$M$82,13,0)</f>
        <v>1</v>
      </c>
      <c r="L71" s="553"/>
      <c r="M71" s="556" t="s">
        <v>592</v>
      </c>
      <c r="N71" s="545"/>
      <c r="O71" s="545"/>
      <c r="P71" s="545"/>
      <c r="Q71" s="545"/>
      <c r="R71" s="545"/>
      <c r="S71" s="545"/>
    </row>
    <row r="72" customFormat="false" ht="99.75" hidden="false" customHeight="true" outlineLevel="0" collapsed="false">
      <c r="B72" s="546" t="n">
        <f aca="false">+IF(ISTEXT(D72),J72,"")</f>
        <v>58</v>
      </c>
      <c r="C72" s="542" t="str">
        <f aca="false">+IFERROR(INDEX(Hoja1!$A$2:$A$82,MATCH(J72,Hoja1!$H$2:$H$82,0)),"")</f>
        <v>13.3</v>
      </c>
      <c r="D72" s="543" t="str">
        <f aca="false">IFERROR(VLOOKUP(C72,Hoja1!$A$2:$H$82,4,0),"")</f>
        <v>Info y Comunicación</v>
      </c>
      <c r="E72" s="543" t="str">
        <f aca="false">+IFERROR(VLOOKUP(C72,Hoja1!$A$1:$J$82,10,0),"")</f>
        <v>Utilización de información relevante (Identifica requisitos de información; Capta fuentes de datos internas y externas; Procesa datos relevantes y los transforma en información).</v>
      </c>
      <c r="F72" s="543" t="str">
        <f aca="false">+IFERROR(VLOOKUP(C72,Hoja1!$A$1:$I$82,3,0),"")</f>
        <v>La entidad considera un ámbito amplio de fuentes de datos (internas y externas), para la captura y procesamiento posterior de información clave para la consecución de metas y objetivos</v>
      </c>
      <c r="G72" s="542" t="n">
        <f aca="false">+IFERROR(VLOOKUP(C72,Hoja1!$A$1:$K$82,11,0),"")</f>
        <v>3</v>
      </c>
      <c r="H72" s="544" t="n">
        <f aca="false">+IFERROR(VLOOKUP(C72,Hoja1!$A$1:$L$82,12,0),"")</f>
        <v>3</v>
      </c>
      <c r="I72" s="536" t="str">
        <f aca="false">+IF(OR(AND(G72=1,H72=1),AND(G72=1,H72=2),AND(G72=1,H72=3),G72="",H72=""),"No se encuentra presente  por lo tanto no esta funcionando, lo que hace que se requieran acciones dirigidas a fortalecer su diseño y puesta en marcha",IF(OR(AND(G72=2,H72=2),AND(G72=3,H72=1),AND(G72=3,H72=2),AND(G72=2,H72=1)),"Se encuentra presente y funcionando, pero requiere acciones dirigidas a fortalecer  o mejorar su diseño y/o ejecucion.",IF(AND(G72=2,H72=3),"Se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2" s="493" t="n">
        <v>58</v>
      </c>
      <c r="K72" s="537" t="n">
        <f aca="false">+VLOOKUP(C72,Hoja1!$A$1:$M$82,13,0)</f>
        <v>1</v>
      </c>
      <c r="L72" s="553"/>
      <c r="M72" s="555"/>
      <c r="N72" s="545"/>
      <c r="O72" s="545"/>
      <c r="P72" s="545"/>
      <c r="Q72" s="545"/>
      <c r="R72" s="545"/>
      <c r="S72" s="545"/>
    </row>
    <row r="73" customFormat="false" ht="99.75" hidden="false" customHeight="true" outlineLevel="0" collapsed="false">
      <c r="B73" s="541" t="n">
        <f aca="false">+IF(ISTEXT(D73),J73,"")</f>
        <v>59</v>
      </c>
      <c r="C73" s="542" t="str">
        <f aca="false">+IFERROR(INDEX(Hoja1!$A$2:$A$82,MATCH(J73,Hoja1!$H$2:$H$82,0)),"")</f>
        <v>14.1</v>
      </c>
      <c r="D73" s="543" t="str">
        <f aca="false">IFERROR(VLOOKUP(C73,Hoja1!$A$2:$H$82,4,0),"")</f>
        <v>Info y Comunicación</v>
      </c>
      <c r="E73" s="543" t="str">
        <f aca="false">+IFERROR(VLOOKUP(C73,Hoja1!$A$1:$J$82,10,0),"")</f>
        <v>Comunicación Interna (Se comunica con el Comité Institucional de Coordinación de Control Interno o su equivalente; Facilita líneas de comunicación en todos los niveles; Selecciona el método de comunicación pertinente).</v>
      </c>
      <c r="F73" s="543" t="str">
        <f aca="false">+IFERROR(VLOOKUP(C73,Hoja1!$A$1:$I$82,3,0),"")</f>
        <v>Para la comunicación interna la Alta Dirección tiene mecanismos que permitan dar a conocer los objetivos y metas estratégicas, de manera tal que todo el personal entiende su papel en su consecución. (Considera los canales más apropiados y evalúa su efectividad)</v>
      </c>
      <c r="G73" s="542" t="n">
        <f aca="false">+IFERROR(VLOOKUP(C73,Hoja1!$A$1:$K$82,11,0),"")</f>
        <v>3</v>
      </c>
      <c r="H73" s="544" t="n">
        <f aca="false">+IFERROR(VLOOKUP(C73,Hoja1!$A$1:$L$82,12,0),"")</f>
        <v>3</v>
      </c>
      <c r="I73" s="536" t="str">
        <f aca="false">+IF(OR(AND(G73=1,H73=1),AND(G73=1,H73=2),AND(G73=1,H73=3),G73="",H73=""),"No se encuentra presente  por lo tanto no esta funcionando, lo que hace que se requieran acciones dirigidas a fortalecer su diseño y puesta en marcha",IF(OR(AND(G73=2,H73=2),AND(G73=3,H73=1),AND(G73=3,H73=2),AND(G73=2,H73=1)),"Se encuentra presente y funcionando, pero requiere acciones dirigidas a fortalecer  o mejorar su diseño y/o ejecucion.",IF(AND(G73=2,H73=3),"Se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3" s="493" t="n">
        <v>59</v>
      </c>
      <c r="K73" s="537" t="n">
        <f aca="false">+VLOOKUP(C73,Hoja1!$A$1:$M$82,13,0)</f>
        <v>1</v>
      </c>
      <c r="L73" s="553"/>
      <c r="M73" s="555"/>
      <c r="N73" s="545"/>
      <c r="O73" s="545"/>
      <c r="P73" s="545"/>
      <c r="Q73" s="545"/>
      <c r="R73" s="545"/>
      <c r="S73" s="545"/>
    </row>
    <row r="74" customFormat="false" ht="99.75" hidden="false" customHeight="true" outlineLevel="0" collapsed="false">
      <c r="B74" s="546" t="n">
        <f aca="false">+IF(ISTEXT(D74),J74,"")</f>
        <v>60</v>
      </c>
      <c r="C74" s="542" t="str">
        <f aca="false">+IFERROR(INDEX(Hoja1!$A$2:$A$82,MATCH(J74,Hoja1!$H$2:$H$82,0)),"")</f>
        <v>14.2</v>
      </c>
      <c r="D74" s="543" t="str">
        <f aca="false">IFERROR(VLOOKUP(C74,Hoja1!$A$2:$H$82,4,0),"")</f>
        <v>Info y Comunicación</v>
      </c>
      <c r="E74" s="543" t="str">
        <f aca="false">+IFERROR(VLOOKUP(C74,Hoja1!$A$1:$J$82,10,0),"")</f>
        <v>Comunicación Interna (Se comunica con el Comité Institucional de Coordinación de Control Interno o su equivalente; Facilita líneas de comunicación en todos los niveles; Selecciona el método de comunicación pertinente).</v>
      </c>
      <c r="F74" s="543" t="str">
        <f aca="false">+IFERROR(VLOOKUP(C74,Hoja1!$A$1:$I$82,3,0),"")</f>
        <v>La entidad cuenta con políticas de operación relacionadas con la administración de la información (niveles de autoridad y responsabilidad</v>
      </c>
      <c r="G74" s="542" t="n">
        <f aca="false">+IFERROR(VLOOKUP(C74,Hoja1!$A$1:$K$82,11,0),"")</f>
        <v>3</v>
      </c>
      <c r="H74" s="544" t="n">
        <f aca="false">+IFERROR(VLOOKUP(C74,Hoja1!$A$1:$L$82,12,0),"")</f>
        <v>3</v>
      </c>
      <c r="I74" s="536" t="str">
        <f aca="false">+IF(OR(AND(G74=1,H74=1),AND(G74=1,H74=2),AND(G74=1,H74=3),G74="",H74=""),"No se encuentra presente  por lo tanto no esta funcionando, lo que hace que se requieran acciones dirigidas a fortalecer su diseño y puesta en marcha",IF(OR(AND(G74=2,H74=2),AND(G74=3,H74=1),AND(G74=3,H74=2),AND(G74=2,H74=1)),"Se encuentra presente y funcionando, pero requiere acciones dirigidas a fortalecer  o mejorar su diseño y/o ejecucion.",IF(AND(G74=2,H74=3),"Se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4" s="493" t="n">
        <v>60</v>
      </c>
      <c r="K74" s="537" t="n">
        <f aca="false">+VLOOKUP(C74,Hoja1!$A$1:$M$82,13,0)</f>
        <v>1</v>
      </c>
      <c r="L74" s="553"/>
      <c r="M74" s="555"/>
      <c r="N74" s="545"/>
      <c r="O74" s="545"/>
      <c r="P74" s="545"/>
      <c r="Q74" s="545"/>
      <c r="R74" s="545"/>
      <c r="S74" s="545"/>
    </row>
    <row r="75" customFormat="false" ht="99.75" hidden="false" customHeight="true" outlineLevel="0" collapsed="false">
      <c r="B75" s="541" t="n">
        <f aca="false">+IF(ISTEXT(D75),J75,"")</f>
        <v>61</v>
      </c>
      <c r="C75" s="542" t="str">
        <f aca="false">+IFERROR(INDEX(Hoja1!$A$2:$A$82,MATCH(J75,Hoja1!$H$2:$H$82,0)),"")</f>
        <v>14.4</v>
      </c>
      <c r="D75" s="543" t="str">
        <f aca="false">IFERROR(VLOOKUP(C75,Hoja1!$A$2:$H$82,4,0),"")</f>
        <v>Info y Comunicación</v>
      </c>
      <c r="E75" s="543" t="str">
        <f aca="false">+IFERROR(VLOOKUP(C75,Hoja1!$A$1:$J$82,10,0),"")</f>
        <v>Comunicación Interna (Se comunica con el Comité Institucional de Coordinación de Control Interno o su equivalente; Facilita líneas de comunicación en todos los niveles; Selecciona el método de comunicación pertinente).</v>
      </c>
      <c r="F75" s="543" t="str">
        <f aca="false">+IFERROR(VLOOKUP(C75,Hoja1!$A$1:$I$82,3,0),"")</f>
        <v>La entidad establece e implementa políticas y procedimientos para facilitar una comunicación interna efectiva</v>
      </c>
      <c r="G75" s="542" t="n">
        <f aca="false">+IFERROR(VLOOKUP(C75,Hoja1!$A$1:$K$82,11,0),"")</f>
        <v>3</v>
      </c>
      <c r="H75" s="544" t="n">
        <f aca="false">+IFERROR(VLOOKUP(C75,Hoja1!$A$1:$L$82,12,0),"")</f>
        <v>3</v>
      </c>
      <c r="I75" s="536" t="str">
        <f aca="false">+IF(OR(AND(G75=1,H75=1),AND(G75=1,H75=2),AND(G75=1,H75=3),G75="",H75=""),"No se encuentra presente  por lo tanto no esta funcionando, lo que hace que se requieran acciones dirigidas a fortalecer su diseño y puesta en marcha",IF(OR(AND(G75=2,H75=2),AND(G75=3,H75=1),AND(G75=3,H75=2),AND(G75=2,H75=1)),"Se encuentra presente y funcionando, pero requiere acciones dirigidas a fortalecer  o mejorar su diseño y/o ejecucion.",IF(AND(G75=2,H75=3),"Se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5" s="493" t="n">
        <v>61</v>
      </c>
      <c r="K75" s="537" t="n">
        <f aca="false">+VLOOKUP(C75,Hoja1!$A$1:$M$82,13,0)</f>
        <v>1</v>
      </c>
      <c r="L75" s="553"/>
      <c r="M75" s="555"/>
      <c r="N75" s="545"/>
      <c r="O75" s="545"/>
      <c r="P75" s="545"/>
      <c r="Q75" s="545"/>
      <c r="R75" s="545"/>
      <c r="S75" s="545"/>
    </row>
    <row r="76" customFormat="false" ht="99.75" hidden="false" customHeight="true" outlineLevel="0" collapsed="false">
      <c r="B76" s="541" t="n">
        <f aca="false">+IF(ISTEXT(D76),J76,"")</f>
        <v>62</v>
      </c>
      <c r="C76" s="542" t="str">
        <f aca="false">+IFERROR(INDEX(Hoja1!$A$2:$A$82,MATCH(J76,Hoja1!$H$2:$H$82,0)),"")</f>
        <v>15.1</v>
      </c>
      <c r="D76" s="543" t="str">
        <f aca="false">IFERROR(VLOOKUP(C76,Hoja1!$A$2:$H$82,4,0),"")</f>
        <v>Info y Comunicación</v>
      </c>
      <c r="E76" s="543" t="str">
        <f aca="false">+IFERROR(VLOOKUP(C76,Hoja1!$A$1:$J$82,10,0),"")</f>
        <v>Comunicación con el exterior (Se comunica con los grupos de valor y con terceros externos interesados; Facilita líneas de comunicación).</v>
      </c>
      <c r="F76" s="543" t="str">
        <f aca="false">+IFERROR(VLOOKUP(C76,Hoja1!$A$1:$I$82,3,0),"")</f>
        <v>La entidad desarrolla e implementa controles que facilitan la comunicación externa, la cual incluye  políticas y procedimientos. 
Incluye contratistas y proveedores de servicios tercerizados (cuando aplique).</v>
      </c>
      <c r="G76" s="542" t="n">
        <f aca="false">+IFERROR(VLOOKUP(C76,Hoja1!$A$1:$K$82,11,0),"")</f>
        <v>3</v>
      </c>
      <c r="H76" s="544" t="n">
        <f aca="false">+IFERROR(VLOOKUP(C76,Hoja1!$A$1:$L$82,12,0),"")</f>
        <v>3</v>
      </c>
      <c r="I76" s="536" t="str">
        <f aca="false">+IF(OR(AND(G76=1,H76=1),AND(G76=1,H76=2),AND(G76=1,H76=3),G76="",H76=""),"No se encuentra presente  por lo tanto no esta funcionando, lo que hace que se requieran acciones dirigidas a fortalecer su diseño y puesta en marcha",IF(OR(AND(G76=2,H76=2),AND(G76=3,H76=1),AND(G76=3,H76=2),AND(G76=2,H76=1)),"Se encuentra presente y funcionando, pero requiere acciones dirigidas a fortalecer  o mejorar su diseño y/o ejecucion.",IF(AND(G76=2,H76=3),"Se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6" s="493" t="n">
        <v>62</v>
      </c>
      <c r="K76" s="537" t="n">
        <f aca="false">+VLOOKUP(C76,Hoja1!$A$1:$M$82,13,0)</f>
        <v>1</v>
      </c>
      <c r="L76" s="553"/>
      <c r="M76" s="555"/>
      <c r="N76" s="545"/>
      <c r="O76" s="545"/>
      <c r="P76" s="545"/>
      <c r="Q76" s="545"/>
      <c r="R76" s="545"/>
      <c r="S76" s="545"/>
    </row>
    <row r="77" customFormat="false" ht="99.75" hidden="false" customHeight="true" outlineLevel="0" collapsed="false">
      <c r="B77" s="541" t="n">
        <f aca="false">+IF(ISTEXT(D77),J77,"")</f>
        <v>63</v>
      </c>
      <c r="C77" s="542" t="str">
        <f aca="false">+IFERROR(INDEX(Hoja1!$A$2:$A$82,MATCH(J77,Hoja1!$H$2:$H$82,0)),"")</f>
        <v>15.2</v>
      </c>
      <c r="D77" s="543" t="str">
        <f aca="false">IFERROR(VLOOKUP(C77,Hoja1!$A$2:$H$82,4,0),"")</f>
        <v>Info y Comunicación</v>
      </c>
      <c r="E77" s="543" t="str">
        <f aca="false">+IFERROR(VLOOKUP(C77,Hoja1!$A$1:$J$82,10,0),"")</f>
        <v>Comunicación con el exterior (Se comunica con los grupos de valor y con terceros externos interesados; Facilita líneas de comunicación).</v>
      </c>
      <c r="F77" s="543" t="str">
        <f aca="false">+IFERROR(VLOOKUP(C77,Hoja1!$A$1:$I$82,3,0),"")</f>
        <v>La entidad cuenta con canales externos definidos de comunicación, asociados con el tipo de información a divulgar, y éstos son reconocidos a todo nivel de la organización.</v>
      </c>
      <c r="G77" s="542" t="n">
        <f aca="false">+IFERROR(VLOOKUP(C77,Hoja1!$A$1:$K$82,11,0),"")</f>
        <v>3</v>
      </c>
      <c r="H77" s="544" t="n">
        <f aca="false">+IFERROR(VLOOKUP(C77,Hoja1!$A$1:$L$82,12,0),"")</f>
        <v>3</v>
      </c>
      <c r="I77" s="536" t="str">
        <f aca="false">+IF(OR(AND(G77=1,H77=1),AND(G77=1,H77=2),AND(G77=1,H77=3),G77="",H77=""),"No se encuentra presente  por lo tanto no esta funcionando, lo que hace que se requieran acciones dirigidas a fortalecer su diseño y puesta en marcha",IF(OR(AND(G77=2,H77=2),AND(G77=3,H77=1),AND(G77=3,H77=2),AND(G77=2,H77=1)),"Se encuentra presente y funcionando, pero requiere acciones dirigidas a fortalecer  o mejorar su diseño y/o ejecucion.",IF(AND(G77=2,H77=3),"Se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7" s="493" t="n">
        <v>63</v>
      </c>
      <c r="K77" s="537" t="n">
        <f aca="false">+VLOOKUP(C77,Hoja1!$A$1:$M$82,13,0)</f>
        <v>1</v>
      </c>
      <c r="L77" s="553"/>
      <c r="M77" s="555"/>
      <c r="N77" s="545"/>
      <c r="O77" s="545"/>
      <c r="P77" s="545"/>
      <c r="Q77" s="545"/>
      <c r="R77" s="545"/>
      <c r="S77" s="545"/>
    </row>
    <row r="78" customFormat="false" ht="99.75" hidden="false" customHeight="true" outlineLevel="0" collapsed="false">
      <c r="B78" s="546" t="n">
        <f aca="false">+IF(ISTEXT(D78),J78,"")</f>
        <v>64</v>
      </c>
      <c r="C78" s="542" t="str">
        <f aca="false">+IFERROR(INDEX(Hoja1!$A$2:$A$82,MATCH(J78,Hoja1!$H$2:$H$82,0)),"")</f>
        <v>15.3</v>
      </c>
      <c r="D78" s="543" t="str">
        <f aca="false">IFERROR(VLOOKUP(C78,Hoja1!$A$2:$H$82,4,0),"")</f>
        <v>Info y Comunicación</v>
      </c>
      <c r="E78" s="543" t="str">
        <f aca="false">+IFERROR(VLOOKUP(C78,Hoja1!$A$1:$J$82,10,0),"")</f>
        <v>Comunicación con el exterior (Se comunica con los grupos de valor y con terceros externos interesados; Facilita líneas de comunicación).</v>
      </c>
      <c r="F78" s="543" t="str">
        <f aca="false">+IFERROR(VLOOKUP(C78,Hoja1!$A$1:$I$82,3,0),"")</f>
        <v>La entidad cuenta con procesos o procedimiento para el manejo de la información entrante (quién la recibe, quién la clasifica, quién la analiza), y a la respuesta requierida (quién la canaliza y la responde)</v>
      </c>
      <c r="G78" s="542" t="n">
        <f aca="false">+IFERROR(VLOOKUP(C78,Hoja1!$A$1:$K$82,11,0),"")</f>
        <v>3</v>
      </c>
      <c r="H78" s="544" t="n">
        <f aca="false">+IFERROR(VLOOKUP(C78,Hoja1!$A$1:$L$82,12,0),"")</f>
        <v>3</v>
      </c>
      <c r="I78" s="536" t="str">
        <f aca="false">+IF(OR(AND(G78=1,H78=1),AND(G78=1,H78=2),AND(G78=1,H78=3),G78="",H78=""),"No se encuentra presente  por lo tanto no esta funcionando, lo que hace que se requieran acciones dirigidas a fortalecer su diseño y puesta en marcha",IF(OR(AND(G78=2,H78=2),AND(G78=3,H78=1),AND(G78=3,H78=2),AND(G78=2,H78=1)),"Se encuentra presente y funcionando, pero requiere acciones dirigidas a fortalecer  o mejorar su diseño y/o ejecucion.",IF(AND(G78=2,H78=3),"Se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8" s="493" t="n">
        <v>64</v>
      </c>
      <c r="K78" s="537" t="n">
        <f aca="false">+VLOOKUP(C78,Hoja1!$A$1:$M$82,13,0)</f>
        <v>1</v>
      </c>
      <c r="L78" s="553"/>
      <c r="M78" s="555"/>
      <c r="N78" s="545"/>
      <c r="O78" s="545"/>
      <c r="P78" s="545"/>
      <c r="Q78" s="545"/>
      <c r="R78" s="545"/>
      <c r="S78" s="545"/>
    </row>
    <row r="79" customFormat="false" ht="99.75" hidden="false" customHeight="true" outlineLevel="0" collapsed="false">
      <c r="B79" s="541" t="n">
        <f aca="false">+IF(ISTEXT(D79),J79,"")</f>
        <v>65</v>
      </c>
      <c r="C79" s="542" t="str">
        <f aca="false">+IFERROR(INDEX(Hoja1!$A$2:$A$82,MATCH(J79,Hoja1!$H$2:$H$82,0)),"")</f>
        <v>15.4</v>
      </c>
      <c r="D79" s="543" t="str">
        <f aca="false">IFERROR(VLOOKUP(C79,Hoja1!$A$2:$H$82,4,0),"")</f>
        <v>Info y Comunicación</v>
      </c>
      <c r="E79" s="543" t="str">
        <f aca="false">+IFERROR(VLOOKUP(C79,Hoja1!$A$1:$J$82,10,0),"")</f>
        <v>Comunicación con el exterior (Se comunica con los grupos de valor y con terceros externos interesados; Facilita líneas de comunicación).</v>
      </c>
      <c r="F79" s="543" t="str">
        <f aca="false">+IFERROR(VLOOKUP(C79,Hoja1!$A$1:$I$82,3,0),"")</f>
        <v>La entidad cuenta con procesos o procedimientos encaminados a evaluar periodicamente la efectividad de los canales de comunicación con partes externas, así como sus contenidos, de tal forma que se puedan mejorar.</v>
      </c>
      <c r="G79" s="542" t="n">
        <f aca="false">+IFERROR(VLOOKUP(C79,Hoja1!$A$1:$K$82,11,0),"")</f>
        <v>3</v>
      </c>
      <c r="H79" s="544" t="n">
        <f aca="false">+IFERROR(VLOOKUP(C79,Hoja1!$A$1:$L$82,12,0),"")</f>
        <v>3</v>
      </c>
      <c r="I79" s="536" t="str">
        <f aca="false">+IF(OR(AND(G79=1,H79=1),AND(G79=1,H79=2),AND(G79=1,H79=3),G79="",H79=""),"No se encuentra presente  por lo tanto no esta funcionando, lo que hace que se requieran acciones dirigidas a fortalecer su diseño y puesta en marcha",IF(OR(AND(G79=2,H79=2),AND(G79=3,H79=1),AND(G79=3,H79=2),AND(G79=2,H79=1)),"Se encuentra presente y funcionando, pero requiere acciones dirigidas a fortalecer  o mejorar su diseño y/o ejecucion.",IF(AND(G79=2,H79=3),"Se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9" s="493" t="n">
        <v>65</v>
      </c>
      <c r="K79" s="537" t="n">
        <f aca="false">+VLOOKUP(C79,Hoja1!$A$1:$M$82,13,0)</f>
        <v>1</v>
      </c>
      <c r="L79" s="553"/>
      <c r="M79" s="548"/>
      <c r="N79" s="545"/>
      <c r="O79" s="545"/>
      <c r="P79" s="545"/>
      <c r="Q79" s="545"/>
      <c r="R79" s="545"/>
      <c r="S79" s="545"/>
    </row>
    <row r="80" customFormat="false" ht="99.75" hidden="false" customHeight="true" outlineLevel="0" collapsed="false">
      <c r="B80" s="546" t="n">
        <f aca="false">+IF(ISTEXT(D80),J80,"")</f>
        <v>66</v>
      </c>
      <c r="C80" s="542" t="str">
        <f aca="false">+IFERROR(INDEX(Hoja1!$A$2:$A$82,MATCH(J80,Hoja1!$H$2:$H$82,0)),"")</f>
        <v>15.5</v>
      </c>
      <c r="D80" s="543" t="str">
        <f aca="false">IFERROR(VLOOKUP(C80,Hoja1!$A$2:$H$82,4,0),"")</f>
        <v>Info y Comunicación</v>
      </c>
      <c r="E80" s="543" t="str">
        <f aca="false">+IFERROR(VLOOKUP(C80,Hoja1!$A$1:$J$82,10,0),"")</f>
        <v>Comunicación con el exterior (Se comunica con los grupos de valor y con terceros externos interesados; Facilita líneas de comunicación).</v>
      </c>
      <c r="F80" s="543" t="str">
        <f aca="false">+IFERROR(VLOOKUP(C80,Hoja1!$A$1:$I$82,3,0),"")</f>
        <v>La entidad analiza periodicamente su caracterización de usuarios o grupos de valor, a fin de actualizarla cuando sea pertinente</v>
      </c>
      <c r="G80" s="542" t="n">
        <f aca="false">+IFERROR(VLOOKUP(C80,Hoja1!$A$1:$K$82,11,0),"")</f>
        <v>3</v>
      </c>
      <c r="H80" s="544" t="n">
        <f aca="false">+IFERROR(VLOOKUP(C80,Hoja1!$A$1:$L$82,12,0),"")</f>
        <v>3</v>
      </c>
      <c r="I80" s="536" t="str">
        <f aca="false">+IF(OR(AND(G80=1,H80=1),AND(G80=1,H80=2),AND(G80=1,H80=3),G80="",H80=""),"No se encuentra presente  por lo tanto no esta funcionando, lo que hace que se requieran acciones dirigidas a fortalecer su diseño y puesta en marcha",IF(OR(AND(G80=2,H80=2),AND(G80=3,H80=1),AND(G80=3,H80=2),AND(G80=2,H80=1)),"Se encuentra presente y funcionando, pero requiere acciones dirigidas a fortalecer  o mejorar su diseño y/o ejecucion.",IF(AND(G80=2,H80=3),"Se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0" s="493" t="n">
        <v>66</v>
      </c>
      <c r="K80" s="537" t="n">
        <f aca="false">+VLOOKUP(C80,Hoja1!$A$1:$M$82,13,0)</f>
        <v>1</v>
      </c>
      <c r="L80" s="553"/>
      <c r="M80" s="548"/>
      <c r="N80" s="545"/>
      <c r="O80" s="545"/>
      <c r="P80" s="545"/>
      <c r="Q80" s="545"/>
      <c r="R80" s="545"/>
      <c r="S80" s="545"/>
    </row>
    <row r="81" customFormat="false" ht="99.75" hidden="false" customHeight="true" outlineLevel="0" collapsed="false">
      <c r="B81" s="541" t="n">
        <f aca="false">+IF(ISTEXT(D81),J81,"")</f>
        <v>67</v>
      </c>
      <c r="C81" s="542" t="str">
        <f aca="false">+IFERROR(INDEX(Hoja1!$A$2:$A$82,MATCH(J81,Hoja1!$H$2:$H$82,0)),"")</f>
        <v>15.6</v>
      </c>
      <c r="D81" s="543" t="str">
        <f aca="false">IFERROR(VLOOKUP(C81,Hoja1!$A$2:$H$82,4,0),"")</f>
        <v>Info y Comunicación</v>
      </c>
      <c r="E81" s="543" t="str">
        <f aca="false">+IFERROR(VLOOKUP(C81,Hoja1!$A$1:$J$82,10,0),"")</f>
        <v>Comunicación con el exterior (Se comunica con los grupos de valor y con terceros externos interesados; Facilita líneas de comunicación).</v>
      </c>
      <c r="F81" s="543" t="str">
        <f aca="false">+IFERROR(VLOOKUP(C81,Hoja1!$A$1:$I$82,3,0),"")</f>
        <v>La entidad analiza periodicamente los resultados frente a la evaluación de percepción por parte de los usuarios o grupos de valor para la incorporación de las mejoras correspondientes</v>
      </c>
      <c r="G81" s="542" t="n">
        <f aca="false">+IFERROR(VLOOKUP(C81,Hoja1!$A$1:$K$82,11,0),"")</f>
        <v>3</v>
      </c>
      <c r="H81" s="544" t="n">
        <f aca="false">+IFERROR(VLOOKUP(C81,Hoja1!$A$1:$L$82,12,0),"")</f>
        <v>3</v>
      </c>
      <c r="I81" s="536" t="str">
        <f aca="false">+IF(OR(AND(G81=1,H81=1),AND(G81=1,H81=2),AND(G81=1,H81=3),G81="",H81=""),"No se encuentra presente  por lo tanto no esta funcionando, lo que hace que se requieran acciones dirigidas a fortalecer su diseño y puesta en marcha",IF(OR(AND(G81=2,H81=2),AND(G81=3,H81=1),AND(G81=3,H81=2),AND(G81=2,H81=1)),"Se encuentra presente y funcionando, pero requiere acciones dirigidas a fortalecer  o mejorar su diseño y/o ejecucion.",IF(AND(G81=2,H81=3),"Se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1" s="493" t="n">
        <v>67</v>
      </c>
      <c r="K81" s="537" t="n">
        <f aca="false">+VLOOKUP(C81,Hoja1!$A$1:$M$82,13,0)</f>
        <v>1</v>
      </c>
      <c r="L81" s="553"/>
      <c r="M81" s="548"/>
      <c r="N81" s="545"/>
      <c r="O81" s="545"/>
      <c r="P81" s="545"/>
      <c r="Q81" s="545"/>
      <c r="R81" s="545"/>
      <c r="S81" s="545"/>
    </row>
    <row r="82" customFormat="false" ht="99.75" hidden="false" customHeight="true" outlineLevel="0" collapsed="false">
      <c r="B82" s="541" t="n">
        <f aca="false">+IF(ISTEXT(D82),J82,"")</f>
        <v>68</v>
      </c>
      <c r="C82" s="542" t="str">
        <f aca="false">+IFERROR(INDEX(Hoja1!$A$2:$A$82,MATCH(J82,Hoja1!$H$2:$H$82,0)),"")</f>
        <v>17.5</v>
      </c>
      <c r="D82" s="543" t="str">
        <f aca="false">IFERROR(VLOOKUP(C82,Hoja1!$A$2:$H$82,4,0),"")</f>
        <v>Monitoreo - Supervisión</v>
      </c>
      <c r="E82" s="543" t="str">
        <f aca="false">+IFERROR(VLOOKUP(C82,Hoja1!$A$1:$J$82,10,0),"")</f>
        <v>Evaluación y comunicación de deficiencias oportunamente (Evalúa los resultados, Comunica las deficiencias y Monitorea las medidas correctivas).</v>
      </c>
      <c r="F82" s="543" t="str">
        <f aca="false">+IFERROR(VLOOKUP(C82,Hoja1!$A$1:$I$82,3,0),"")</f>
        <v>Los procesos y/o servicios tercerizados, son evaluados acorde con su nivel de riesgos</v>
      </c>
      <c r="G82" s="542" t="n">
        <f aca="false">+IFERROR(VLOOKUP(C82,Hoja1!$A$1:$K$82,11,0),"")</f>
        <v>3</v>
      </c>
      <c r="H82" s="544" t="n">
        <f aca="false">+IFERROR(VLOOKUP(C82,Hoja1!$A$1:$L$82,12,0),"")</f>
        <v>2</v>
      </c>
      <c r="I82" s="536" t="str">
        <f aca="false">+IF(OR(AND(G82=1,H82=1),AND(G82=1,H82=2),AND(G82=1,H82=3),G82="",H82=""),"No se encuentra presente  por lo tanto no esta funcionando, lo que hace que se requieran acciones dirigidas a fortalecer su diseño y puesta en marcha",IF(OR(AND(G82=2,H82=2),AND(G82=3,H82=1),AND(G82=3,H82=2),AND(G82=2,H82=1)),"Se encuentra presente y funcionando, pero requiere acciones dirigidas a fortalecer  o mejorar su diseño y/o ejecucion.",IF(AND(G82=2,H82=3),"Se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82" s="493" t="n">
        <v>68</v>
      </c>
      <c r="K82" s="537" t="n">
        <f aca="false">+VLOOKUP(C82,Hoja1!$A$1:$M$82,13,0)</f>
        <v>0.5</v>
      </c>
      <c r="L82" s="558" t="n">
        <f aca="false">+AVERAGE(K82:K95)</f>
        <v>0.928571428571429</v>
      </c>
      <c r="M82" s="556" t="s">
        <v>593</v>
      </c>
      <c r="N82" s="545"/>
      <c r="O82" s="545"/>
      <c r="P82" s="545"/>
      <c r="Q82" s="545"/>
      <c r="R82" s="545"/>
      <c r="S82" s="545"/>
    </row>
    <row r="83" customFormat="false" ht="99.75" hidden="false" customHeight="true" outlineLevel="0" collapsed="false">
      <c r="B83" s="541" t="n">
        <f aca="false">+IF(ISTEXT(D83),J83,"")</f>
        <v>69</v>
      </c>
      <c r="C83" s="542" t="str">
        <f aca="false">+IFERROR(INDEX(Hoja1!$A$2:$A$82,MATCH(J83,Hoja1!$H$2:$H$82,0)),"")</f>
        <v>17.7</v>
      </c>
      <c r="D83" s="543" t="str">
        <f aca="false">IFERROR(VLOOKUP(C83,Hoja1!$A$2:$H$82,4,0),"")</f>
        <v>Monitoreo - Supervisión</v>
      </c>
      <c r="E83" s="543" t="str">
        <f aca="false">+IFERROR(VLOOKUP(C83,Hoja1!$A$1:$J$82,10,0),"")</f>
        <v>Evaluación y comunicación de deficiencias oportunamente (Evalúa los resultados, Comunica las deficiencias y Monitorea las medidas correctivas).</v>
      </c>
      <c r="F83" s="543" t="str">
        <f aca="false">+IFERROR(VLOOKUP(C83,Hoja1!$A$1:$I$82,3,0),"")</f>
        <v>Verificación del avance y cumplimiento de las acciones incluidas en los planes de mejoramiento producto de las autoevaluaciones. (2ª Línea).</v>
      </c>
      <c r="G83" s="542" t="n">
        <f aca="false">+IFERROR(VLOOKUP(C83,Hoja1!$A$1:$K$82,11,0),"")</f>
        <v>3</v>
      </c>
      <c r="H83" s="544" t="n">
        <f aca="false">+IFERROR(VLOOKUP(C83,Hoja1!$A$1:$L$82,12,0),"")</f>
        <v>2</v>
      </c>
      <c r="I83" s="536" t="str">
        <f aca="false">+IF(OR(AND(G83=1,H83=1),AND(G83=1,H83=2),AND(G83=1,H83=3),G83="",H83=""),"No se encuentra presente  por lo tanto no esta funcionando, lo que hace que se requieran acciones dirigidas a fortalecer su diseño y puesta en marcha",IF(OR(AND(G83=2,H83=2),AND(G83=3,H83=1),AND(G83=3,H83=2),AND(G83=2,H83=1)),"Se encuentra presente y funcionando, pero requiere acciones dirigidas a fortalecer  o mejorar su diseño y/o ejecucion.",IF(AND(G83=2,H83=3),"Se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83" s="493" t="n">
        <v>69</v>
      </c>
      <c r="K83" s="537" t="n">
        <f aca="false">+VLOOKUP(C83,Hoja1!$A$1:$M$82,13,0)</f>
        <v>0.5</v>
      </c>
      <c r="L83" s="558"/>
      <c r="M83" s="556" t="s">
        <v>594</v>
      </c>
      <c r="N83" s="545"/>
      <c r="O83" s="545"/>
      <c r="P83" s="545"/>
      <c r="Q83" s="545"/>
      <c r="R83" s="545"/>
      <c r="S83" s="545"/>
    </row>
    <row r="84" customFormat="false" ht="99.75" hidden="false" customHeight="true" outlineLevel="0" collapsed="false">
      <c r="B84" s="546" t="n">
        <f aca="false">+IF(ISTEXT(D84),J84,"")</f>
        <v>70</v>
      </c>
      <c r="C84" s="542" t="str">
        <f aca="false">+IFERROR(INDEX(Hoja1!$A$2:$A$82,MATCH(J84,Hoja1!$H$2:$H$82,0)),"")</f>
        <v>16.1</v>
      </c>
      <c r="D84" s="543" t="str">
        <f aca="false">IFERROR(VLOOKUP(C84,Hoja1!$A$2:$H$82,4,0),"")</f>
        <v>Monitoreo - Supervisión</v>
      </c>
      <c r="E84" s="543" t="str">
        <f aca="false">+IFERROR(VLOOKUP(C84,Hoja1!$A$1:$J$82,10,0),"")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4" s="543" t="str">
        <f aca="false">+IFERROR(VLOOKUP(C84,Hoja1!$A$1:$I$82,3,0),"")</f>
        <v>El comité Institucional de Coordinación de Control Interno aprueba anualmente el Plan Anual de Auditoría presentado por parte del Jefe de Control Interno o quien haga sus veces y hace el correspondiente seguimiento a sus ejecución</v>
      </c>
      <c r="G84" s="542" t="n">
        <f aca="false">+IFERROR(VLOOKUP(C84,Hoja1!$A$1:$K$82,11,0),"")</f>
        <v>3</v>
      </c>
      <c r="H84" s="544" t="n">
        <f aca="false">+IFERROR(VLOOKUP(C84,Hoja1!$A$1:$L$82,12,0),"")</f>
        <v>3</v>
      </c>
      <c r="I84" s="536" t="str">
        <f aca="false">+IF(OR(AND(G84=1,H84=1),AND(G84=1,H84=2),AND(G84=1,H84=3),G84="",H84=""),"No se encuentra presente  por lo tanto no esta funcionando, lo que hace que se requieran acciones dirigidas a fortalecer su diseño y puesta en marcha",IF(OR(AND(G84=2,H84=2),AND(G84=3,H84=1),AND(G84=3,H84=2),AND(G84=2,H84=1)),"Se encuentra presente y funcionando, pero requiere acciones dirigidas a fortalecer  o mejorar su diseño y/o ejecucion.",IF(AND(G84=2,H84=3),"Se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4" s="493" t="n">
        <v>70</v>
      </c>
      <c r="K84" s="537" t="n">
        <f aca="false">+VLOOKUP(C84,Hoja1!$A$1:$M$82,13,0)</f>
        <v>1</v>
      </c>
      <c r="L84" s="558"/>
      <c r="M84" s="555"/>
      <c r="N84" s="545"/>
      <c r="O84" s="545"/>
      <c r="P84" s="545"/>
      <c r="Q84" s="545"/>
      <c r="R84" s="545"/>
      <c r="S84" s="545"/>
    </row>
    <row r="85" customFormat="false" ht="99.75" hidden="false" customHeight="true" outlineLevel="0" collapsed="false">
      <c r="B85" s="541" t="n">
        <f aca="false">+IF(ISTEXT(D85),J85,"")</f>
        <v>71</v>
      </c>
      <c r="C85" s="542" t="str">
        <f aca="false">+IFERROR(INDEX(Hoja1!$A$2:$A$82,MATCH(J85,Hoja1!$H$2:$H$82,0)),"")</f>
        <v>16.2</v>
      </c>
      <c r="D85" s="543" t="str">
        <f aca="false">IFERROR(VLOOKUP(C85,Hoja1!$A$2:$H$82,4,0),"")</f>
        <v>Monitoreo - Supervisión</v>
      </c>
      <c r="E85" s="543" t="str">
        <f aca="false">+IFERROR(VLOOKUP(C85,Hoja1!$A$1:$J$82,10,0),"")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5" s="543" t="str">
        <f aca="false">+IFERROR(VLOOKUP(C85,Hoja1!$A$1:$I$82,3,0),"")</f>
        <v>La Alta Dirección periódicamente evalúa los resultados de las evaluaciones (contínuas e independientes)  para concluir acerca de la efectividad del Sistema de Control Intern</v>
      </c>
      <c r="G85" s="542" t="n">
        <f aca="false">+IFERROR(VLOOKUP(C85,Hoja1!$A$1:$K$82,11,0),"")</f>
        <v>3</v>
      </c>
      <c r="H85" s="544" t="n">
        <f aca="false">+IFERROR(VLOOKUP(C85,Hoja1!$A$1:$L$82,12,0),"")</f>
        <v>3</v>
      </c>
      <c r="I85" s="536" t="str">
        <f aca="false">+IF(OR(AND(G85=1,H85=1),AND(G85=1,H85=2),AND(G85=1,H85=3),G85="",H85=""),"No se encuentra presente  por lo tanto no esta funcionando, lo que hace que se requieran acciones dirigidas a fortalecer su diseño y puesta en marcha",IF(OR(AND(G85=2,H85=2),AND(G85=3,H85=1),AND(G85=3,H85=2),AND(G85=2,H85=1)),"Se encuentra presente y funcionando, pero requiere acciones dirigidas a fortalecer  o mejorar su diseño y/o ejecucion.",IF(AND(G85=2,H85=3),"Se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5" s="493" t="n">
        <v>71</v>
      </c>
      <c r="K85" s="537" t="n">
        <f aca="false">+VLOOKUP(C85,Hoja1!$A$1:$M$82,13,0)</f>
        <v>1</v>
      </c>
      <c r="L85" s="558"/>
      <c r="M85" s="555"/>
      <c r="N85" s="545"/>
      <c r="O85" s="545"/>
      <c r="P85" s="545"/>
      <c r="Q85" s="545"/>
      <c r="R85" s="545"/>
      <c r="S85" s="545"/>
    </row>
    <row r="86" customFormat="false" ht="99.75" hidden="false" customHeight="true" outlineLevel="0" collapsed="false">
      <c r="B86" s="546" t="n">
        <f aca="false">+IF(ISTEXT(D86),J86,"")</f>
        <v>72</v>
      </c>
      <c r="C86" s="542" t="str">
        <f aca="false">+IFERROR(INDEX(Hoja1!$A$2:$A$82,MATCH(J86,Hoja1!$H$2:$H$82,0)),"")</f>
        <v>16.3</v>
      </c>
      <c r="D86" s="543" t="str">
        <f aca="false">IFERROR(VLOOKUP(C86,Hoja1!$A$2:$H$82,4,0),"")</f>
        <v>Monitoreo - Supervisión</v>
      </c>
      <c r="E86" s="543" t="str">
        <f aca="false">+IFERROR(VLOOKUP(C86,Hoja1!$A$1:$J$82,10,0),"")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6" s="543" t="str">
        <f aca="false">+IFERROR(VLOOKUP(C86,Hoja1!$A$1:$I$82,3,0),"")</f>
        <v>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G86" s="542" t="n">
        <f aca="false">+IFERROR(VLOOKUP(C86,Hoja1!$A$1:$K$82,11,0),"")</f>
        <v>3</v>
      </c>
      <c r="H86" s="544" t="n">
        <f aca="false">+IFERROR(VLOOKUP(C86,Hoja1!$A$1:$L$82,12,0),"")</f>
        <v>3</v>
      </c>
      <c r="I86" s="536" t="str">
        <f aca="false">+IF(OR(AND(G86=1,H86=1),AND(G86=1,H86=2),AND(G86=1,H86=3),G86="",H86=""),"No se encuentra presente  por lo tanto no esta funcionando, lo que hace que se requieran acciones dirigidas a fortalecer su diseño y puesta en marcha",IF(OR(AND(G86=2,H86=2),AND(G86=3,H86=1),AND(G86=3,H86=2),AND(G86=2,H86=1)),"Se encuentra presente y funcionando, pero requiere acciones dirigidas a fortalecer  o mejorar su diseño y/o ejecucion.",IF(AND(G86=2,H86=3),"Se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6" s="493" t="n">
        <v>72</v>
      </c>
      <c r="K86" s="537" t="n">
        <f aca="false">+VLOOKUP(C86,Hoja1!$A$1:$M$82,13,0)</f>
        <v>1</v>
      </c>
      <c r="L86" s="558"/>
      <c r="M86" s="548"/>
      <c r="N86" s="545"/>
      <c r="O86" s="545"/>
      <c r="P86" s="545"/>
      <c r="Q86" s="545"/>
      <c r="R86" s="545"/>
      <c r="S86" s="545"/>
    </row>
    <row r="87" customFormat="false" ht="99.75" hidden="false" customHeight="true" outlineLevel="0" collapsed="false">
      <c r="B87" s="541" t="n">
        <f aca="false">+IF(ISTEXT(D87),J87,"")</f>
        <v>73</v>
      </c>
      <c r="C87" s="542" t="str">
        <f aca="false">+IFERROR(INDEX(Hoja1!$A$2:$A$82,MATCH(J87,Hoja1!$H$2:$H$82,0)),"")</f>
        <v>16.4</v>
      </c>
      <c r="D87" s="543" t="str">
        <f aca="false">IFERROR(VLOOKUP(C87,Hoja1!$A$2:$H$82,4,0),"")</f>
        <v>Monitoreo - Supervisión</v>
      </c>
      <c r="E87" s="543" t="str">
        <f aca="false">+IFERROR(VLOOKUP(C87,Hoja1!$A$1:$J$82,10,0),"")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7" s="543" t="str">
        <f aca="false">+IFERROR(VLOOKUP(C87,Hoja1!$A$1:$I$82,3,0),"")</f>
        <v>Acorde con el Esquema de Líneas de Defensa se han implementado procedimientos de monitoreo continuo como parte de las actividades de la 2a línea de defensa, a fin de contar con información clave para la toma de decisiones</v>
      </c>
      <c r="G87" s="542" t="n">
        <f aca="false">+IFERROR(VLOOKUP(C87,Hoja1!$A$1:$K$82,11,0),"")</f>
        <v>3</v>
      </c>
      <c r="H87" s="544" t="n">
        <f aca="false">+IFERROR(VLOOKUP(C87,Hoja1!$A$1:$L$82,12,0),"")</f>
        <v>3</v>
      </c>
      <c r="I87" s="536" t="str">
        <f aca="false">+IF(OR(AND(G87=1,H87=1),AND(G87=1,H87=2),AND(G87=1,H87=3),G87="",H87=""),"No se encuentra presente  por lo tanto no esta funcionando, lo que hace que se requieran acciones dirigidas a fortalecer su diseño y puesta en marcha",IF(OR(AND(G87=2,H87=2),AND(G87=3,H87=1),AND(G87=3,H87=2),AND(G87=2,H87=1)),"Se encuentra presente y funcionando, pero requiere acciones dirigidas a fortalecer  o mejorar su diseño y/o ejecucion.",IF(AND(G87=2,H87=3),"Se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7" s="493" t="n">
        <v>73</v>
      </c>
      <c r="K87" s="537" t="n">
        <f aca="false">+VLOOKUP(C87,Hoja1!$A$1:$M$82,13,0)</f>
        <v>1</v>
      </c>
      <c r="L87" s="558"/>
      <c r="M87" s="548"/>
      <c r="N87" s="545"/>
      <c r="O87" s="545"/>
      <c r="P87" s="545"/>
      <c r="Q87" s="545"/>
      <c r="R87" s="545"/>
      <c r="S87" s="545"/>
    </row>
    <row r="88" customFormat="false" ht="99.75" hidden="false" customHeight="true" outlineLevel="0" collapsed="false">
      <c r="B88" s="541" t="n">
        <f aca="false">+IF(ISTEXT(D88),J88,"")</f>
        <v>74</v>
      </c>
      <c r="C88" s="542" t="str">
        <f aca="false">+IFERROR(INDEX(Hoja1!$A$2:$A$82,MATCH(J88,Hoja1!$H$2:$H$82,0)),"")</f>
        <v>16.5</v>
      </c>
      <c r="D88" s="543" t="str">
        <f aca="false">IFERROR(VLOOKUP(C88,Hoja1!$A$2:$H$82,4,0),"")</f>
        <v>Monitoreo - Supervisión</v>
      </c>
      <c r="E88" s="543" t="str">
        <f aca="false">+IFERROR(VLOOKUP(C88,Hoja1!$A$1:$J$82,10,0),"")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8" s="543" t="str">
        <f aca="false">+IFERROR(VLOOKUP(C88,Hoja1!$A$1:$I$82,3,0),"")</f>
        <v>Frente a las evaluaciones independientes la entidad considera evaluaciones externas de organismos de control, de vigilancia, certificadores, ONG´s u otros que permitan tener una mirada independiente de las operaciones</v>
      </c>
      <c r="G88" s="542" t="n">
        <f aca="false">+IFERROR(VLOOKUP(C88,Hoja1!$A$1:$K$82,11,0),"")</f>
        <v>3</v>
      </c>
      <c r="H88" s="544" t="n">
        <f aca="false">+IFERROR(VLOOKUP(C88,Hoja1!$A$1:$L$82,12,0),"")</f>
        <v>3</v>
      </c>
      <c r="I88" s="536" t="str">
        <f aca="false">+IF(OR(AND(G88=1,H88=1),AND(G88=1,H88=2),AND(G88=1,H88=3),G88="",H88=""),"No se encuentra presente  por lo tanto no esta funcionando, lo que hace que se requieran acciones dirigidas a fortalecer su diseño y puesta en marcha",IF(OR(AND(G88=2,H88=2),AND(G88=3,H88=1),AND(G88=3,H88=2),AND(G88=2,H88=1)),"Se encuentra presente y funcionando, pero requiere acciones dirigidas a fortalecer  o mejorar su diseño y/o ejecucion.",IF(AND(G88=2,H88=3),"Se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8" s="493" t="n">
        <v>74</v>
      </c>
      <c r="K88" s="537" t="n">
        <f aca="false">+VLOOKUP(C88,Hoja1!$A$1:$M$82,13,0)</f>
        <v>1</v>
      </c>
      <c r="L88" s="558"/>
      <c r="M88" s="548"/>
      <c r="N88" s="545"/>
      <c r="O88" s="545"/>
      <c r="P88" s="545"/>
      <c r="Q88" s="545"/>
      <c r="R88" s="545"/>
      <c r="S88" s="545"/>
    </row>
    <row r="89" customFormat="false" ht="99.75" hidden="false" customHeight="true" outlineLevel="0" collapsed="false">
      <c r="B89" s="541" t="n">
        <f aca="false">+IF(ISTEXT(D89),J89,"")</f>
        <v>75</v>
      </c>
      <c r="C89" s="542" t="str">
        <f aca="false">+IFERROR(INDEX(Hoja1!$A$2:$A$82,MATCH(J89,Hoja1!$H$2:$H$82,0)),"")</f>
        <v>17.1</v>
      </c>
      <c r="D89" s="543" t="str">
        <f aca="false">IFERROR(VLOOKUP(C89,Hoja1!$A$2:$H$82,4,0),"")</f>
        <v>Monitoreo - Supervisión</v>
      </c>
      <c r="E89" s="543" t="str">
        <f aca="false">+IFERROR(VLOOKUP(C89,Hoja1!$A$1:$J$82,10,0),"")</f>
        <v>Evaluación y comunicación de deficiencias oportunamente (Evalúa los resultados, Comunica las deficiencias y Monitorea las medidas correctivas).</v>
      </c>
      <c r="F89" s="543" t="str">
        <f aca="false">+IFERROR(VLOOKUP(C89,Hoja1!$A$1:$I$82,3,0),"")</f>
        <v>A partir de la información de las evaluaciones independientes, se evalúan para determinar su efecto en el Sistema de Control Interno de la entidad y su impacto en el logro de los objetivos, a fin de determinar cursos de acción para su mejora</v>
      </c>
      <c r="G89" s="542" t="n">
        <f aca="false">+IFERROR(VLOOKUP(C89,Hoja1!$A$1:$K$82,11,0),"")</f>
        <v>3</v>
      </c>
      <c r="H89" s="544" t="n">
        <f aca="false">+IFERROR(VLOOKUP(C89,Hoja1!$A$1:$L$82,12,0),"")</f>
        <v>3</v>
      </c>
      <c r="I89" s="536" t="str">
        <f aca="false">+IF(OR(AND(G89=1,H89=1),AND(G89=1,H89=2),AND(G89=1,H89=3),G89="",H89=""),"No se encuentra presente  por lo tanto no esta funcionando, lo que hace que se requieran acciones dirigidas a fortalecer su diseño y puesta en marcha",IF(OR(AND(G89=2,H89=2),AND(G89=3,H89=1),AND(G89=3,H89=2),AND(G89=2,H89=1)),"Se encuentra presente y funcionando, pero requiere acciones dirigidas a fortalecer  o mejorar su diseño y/o ejecucion.",IF(AND(G89=2,H89=3),"Se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9" s="493" t="n">
        <v>75</v>
      </c>
      <c r="K89" s="537" t="n">
        <f aca="false">+VLOOKUP(C89,Hoja1!$A$1:$M$82,13,0)</f>
        <v>1</v>
      </c>
      <c r="L89" s="558"/>
      <c r="M89" s="548"/>
      <c r="N89" s="545"/>
      <c r="O89" s="545"/>
      <c r="P89" s="545"/>
      <c r="Q89" s="545"/>
      <c r="R89" s="545"/>
      <c r="S89" s="545"/>
    </row>
    <row r="90" customFormat="false" ht="99.75" hidden="false" customHeight="true" outlineLevel="0" collapsed="false">
      <c r="B90" s="546" t="n">
        <f aca="false">+IF(ISTEXT(D90),J90,"")</f>
        <v>76</v>
      </c>
      <c r="C90" s="542" t="str">
        <f aca="false">+IFERROR(INDEX(Hoja1!$A$2:$A$82,MATCH(J90,Hoja1!$H$2:$H$82,0)),"")</f>
        <v>17.2</v>
      </c>
      <c r="D90" s="543" t="str">
        <f aca="false">IFERROR(VLOOKUP(C90,Hoja1!$A$2:$H$82,4,0),"")</f>
        <v>Monitoreo - Supervisión</v>
      </c>
      <c r="E90" s="543" t="str">
        <f aca="false">+IFERROR(VLOOKUP(C90,Hoja1!$A$1:$J$82,10,0),"")</f>
        <v>Evaluación y comunicación de deficiencias oportunamente (Evalúa los resultados, Comunica las deficiencias y Monitorea las medidas correctivas).</v>
      </c>
      <c r="F90" s="543" t="str">
        <f aca="false">+IFERROR(VLOOKUP(C90,Hoja1!$A$1:$I$82,3,0),"")</f>
        <v>Los informes recibidos de entes externos (organismos de control, auditores externos, entidades de vigilancia entre otros) se consolidan y se concluye sobre el impacto en el Sistema de Control Interno, a fin de determinar los cursos de acción</v>
      </c>
      <c r="G90" s="542" t="n">
        <f aca="false">+IFERROR(VLOOKUP(C90,Hoja1!$A$1:$K$82,11,0),"")</f>
        <v>3</v>
      </c>
      <c r="H90" s="544" t="n">
        <f aca="false">+IFERROR(VLOOKUP(C90,Hoja1!$A$1:$L$82,12,0),"")</f>
        <v>3</v>
      </c>
      <c r="I90" s="536" t="str">
        <f aca="false">+IF(OR(AND(G90=1,H90=1),AND(G90=1,H90=2),AND(G90=1,H90=3),G90="",H90=""),"No se encuentra presente  por lo tanto no esta funcionando, lo que hace que se requieran acciones dirigidas a fortalecer su diseño y puesta en marcha",IF(OR(AND(G90=2,H90=2),AND(G90=3,H90=1),AND(G90=3,H90=2),AND(G90=2,H90=1)),"Se encuentra presente y funcionando, pero requiere acciones dirigidas a fortalecer  o mejorar su diseño y/o ejecucion.",IF(AND(G90=2,H90=3),"Se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0" s="493" t="n">
        <v>76</v>
      </c>
      <c r="K90" s="537" t="n">
        <f aca="false">+VLOOKUP(C90,Hoja1!$A$1:$M$82,13,0)</f>
        <v>1</v>
      </c>
      <c r="L90" s="558"/>
      <c r="M90" s="548"/>
      <c r="N90" s="545"/>
      <c r="O90" s="545"/>
      <c r="P90" s="545"/>
      <c r="Q90" s="545"/>
      <c r="R90" s="545"/>
      <c r="S90" s="545"/>
    </row>
    <row r="91" customFormat="false" ht="99.75" hidden="false" customHeight="true" outlineLevel="0" collapsed="false">
      <c r="B91" s="541" t="n">
        <f aca="false">+IF(ISTEXT(D91),J91,"")</f>
        <v>77</v>
      </c>
      <c r="C91" s="542" t="str">
        <f aca="false">+IFERROR(INDEX(Hoja1!$A$2:$A$82,MATCH(J91,Hoja1!$H$2:$H$82,0)),"")</f>
        <v>17.3</v>
      </c>
      <c r="D91" s="543" t="str">
        <f aca="false">IFERROR(VLOOKUP(C91,Hoja1!$A$2:$H$82,4,0),"")</f>
        <v>Monitoreo - Supervisión</v>
      </c>
      <c r="E91" s="543" t="str">
        <f aca="false">+IFERROR(VLOOKUP(C91,Hoja1!$A$1:$J$82,10,0),"")</f>
        <v>Evaluación y comunicación de deficiencias oportunamente (Evalúa los resultados, Comunica las deficiencias y Monitorea las medidas correctivas).</v>
      </c>
      <c r="F91" s="543" t="str">
        <f aca="false">+IFERROR(VLOOKUP(C91,Hoja1!$A$1:$I$82,3,0),"")</f>
        <v>La entidad cuenta con políticas donde se establezca a quién reportar las deficiencias de control interno como resultado del monitoreo continuo</v>
      </c>
      <c r="G91" s="542" t="n">
        <f aca="false">+IFERROR(VLOOKUP(C91,Hoja1!$A$1:$K$82,11,0),"")</f>
        <v>3</v>
      </c>
      <c r="H91" s="544" t="n">
        <f aca="false">+IFERROR(VLOOKUP(C91,Hoja1!$A$1:$L$82,12,0),"")</f>
        <v>3</v>
      </c>
      <c r="I91" s="536" t="str">
        <f aca="false">+IF(OR(AND(G91=1,H91=1),AND(G91=1,H91=2),AND(G91=1,H91=3),G91="",H91=""),"No se encuentra presente  por lo tanto no esta funcionando, lo que hace que se requieran acciones dirigidas a fortalecer su diseño y puesta en marcha",IF(OR(AND(G91=2,H91=2),AND(G91=3,H91=1),AND(G91=3,H91=2),AND(G91=2,H91=1)),"Se encuentra presente y funcionando, pero requiere acciones dirigidas a fortalecer  o mejorar su diseño y/o ejecucion.",IF(AND(G91=2,H91=3),"Se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1" s="493" t="n">
        <v>77</v>
      </c>
      <c r="K91" s="559" t="n">
        <f aca="false">+VLOOKUP(C91,Hoja1!$A$1:$M$82,13,0)</f>
        <v>1</v>
      </c>
      <c r="L91" s="558"/>
      <c r="M91" s="548"/>
      <c r="N91" s="545"/>
      <c r="O91" s="545"/>
      <c r="P91" s="545"/>
      <c r="Q91" s="545"/>
      <c r="R91" s="545"/>
      <c r="S91" s="545"/>
    </row>
    <row r="92" customFormat="false" ht="99.75" hidden="false" customHeight="true" outlineLevel="0" collapsed="false">
      <c r="B92" s="546" t="n">
        <f aca="false">+IF(ISTEXT(D92),J92,"")</f>
        <v>78</v>
      </c>
      <c r="C92" s="542" t="str">
        <f aca="false">+IFERROR(INDEX(Hoja1!$A$2:$A$82,MATCH(J92,Hoja1!$H$2:$H$82,0)),"")</f>
        <v>17.4</v>
      </c>
      <c r="D92" s="543" t="str">
        <f aca="false">IFERROR(VLOOKUP(C92,Hoja1!$A$2:$H$82,4,0),"")</f>
        <v>Monitoreo - Supervisión</v>
      </c>
      <c r="E92" s="543" t="str">
        <f aca="false">+IFERROR(VLOOKUP(C92,Hoja1!$A$1:$J$82,10,0),"")</f>
        <v>Evaluación y comunicación de deficiencias oportunamente (Evalúa los resultados, Comunica las deficiencias y Monitorea las medidas correctivas).</v>
      </c>
      <c r="F92" s="543" t="str">
        <f aca="false">+IFERROR(VLOOKUP(C92,Hoja1!$A$1:$I$82,3,0),"")</f>
        <v>La Alta Dirección hace seguimiento a las acciones correctivas relacionadas con las deficiencias comunicadas sobre el Sistema de Control Interno y si se han cumplido en el tiempo establecido</v>
      </c>
      <c r="G92" s="542" t="n">
        <f aca="false">+IFERROR(VLOOKUP(C92,Hoja1!$A$1:$K$82,11,0),"")</f>
        <v>3</v>
      </c>
      <c r="H92" s="544" t="n">
        <f aca="false">+IFERROR(VLOOKUP(C92,Hoja1!$A$1:$L$82,12,0),"")</f>
        <v>3</v>
      </c>
      <c r="I92" s="536" t="str">
        <f aca="false">+IF(OR(AND(G92=1,H92=1),AND(G92=1,H92=2),AND(G92=1,H92=3),G92="",H92=""),"No se encuentra presente  por lo tanto no esta funcionando, lo que hace que se requieran acciones dirigidas a fortalecer su diseño y puesta en marcha",IF(OR(AND(G92=2,H92=2),AND(G92=3,H92=1),AND(G92=3,H92=2),AND(G92=2,H92=1)),"Se encuentra presente y funcionando, pero requiere acciones dirigidas a fortalecer  o mejorar su diseño y/o ejecucion.",IF(AND(G92=2,H92=3),"Se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2" s="493" t="n">
        <v>78</v>
      </c>
      <c r="K92" s="559" t="n">
        <f aca="false">+VLOOKUP(C92,Hoja1!$A$1:$M$82,13,0)</f>
        <v>1</v>
      </c>
      <c r="L92" s="558"/>
      <c r="M92" s="548"/>
      <c r="N92" s="545"/>
      <c r="O92" s="545"/>
      <c r="P92" s="545"/>
      <c r="Q92" s="545"/>
      <c r="R92" s="545"/>
      <c r="S92" s="545"/>
    </row>
    <row r="93" customFormat="false" ht="99.75" hidden="false" customHeight="true" outlineLevel="0" collapsed="false">
      <c r="B93" s="541" t="n">
        <f aca="false">+IF(ISTEXT(D93),J93,"")</f>
        <v>79</v>
      </c>
      <c r="C93" s="542" t="str">
        <f aca="false">+IFERROR(INDEX(Hoja1!$A$2:$A$82,MATCH(J93,Hoja1!$H$2:$H$82,0)),"")</f>
        <v>17.6</v>
      </c>
      <c r="D93" s="543" t="str">
        <f aca="false">IFERROR(VLOOKUP(C93,Hoja1!$A$2:$H$82,4,0),"")</f>
        <v>Monitoreo - Supervisión</v>
      </c>
      <c r="E93" s="543" t="str">
        <f aca="false">+IFERROR(VLOOKUP(C93,Hoja1!$A$1:$J$82,10,0),"")</f>
        <v>Evaluación y comunicación de deficiencias oportunamente (Evalúa los resultados, Comunica las deficiencias y Monitorea las medidas correctivas).</v>
      </c>
      <c r="F93" s="543" t="str">
        <f aca="false">+IFERROR(VLOOKUP(C93,Hoja1!$A$1:$I$82,3,0),"")</f>
        <v>Se evalúa la información suministrada por los usuarios (Sistema PQRD), así como de otras partes interesadas para la mejora del  Sistema de Control Interno de la Entidad</v>
      </c>
      <c r="G93" s="542" t="n">
        <f aca="false">+IFERROR(VLOOKUP(C93,Hoja1!$A$1:$K$82,11,0),"")</f>
        <v>3</v>
      </c>
      <c r="H93" s="544" t="n">
        <f aca="false">+IFERROR(VLOOKUP(C93,Hoja1!$A$1:$L$82,12,0),"")</f>
        <v>3</v>
      </c>
      <c r="I93" s="536" t="str">
        <f aca="false">+IF(OR(AND(G93=1,H93=1),AND(G93=1,H93=2),AND(G93=1,H93=3),G93="",H93=""),"No se encuentra presente  por lo tanto no esta funcionando, lo que hace que se requieran acciones dirigidas a fortalecer su diseño y puesta en marcha",IF(OR(AND(G93=2,H93=2),AND(G93=3,H93=1),AND(G93=3,H93=2),AND(G93=2,H93=1)),"Se encuentra presente y funcionando, pero requiere acciones dirigidas a fortalecer  o mejorar su diseño y/o ejecucion.",IF(AND(G93=2,H93=3),"Se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3" s="493" t="n">
        <v>79</v>
      </c>
      <c r="K93" s="559" t="n">
        <f aca="false">+VLOOKUP(C93,Hoja1!$A$1:$M$82,13,0)</f>
        <v>1</v>
      </c>
      <c r="L93" s="558"/>
      <c r="M93" s="548"/>
      <c r="N93" s="545"/>
      <c r="O93" s="545"/>
      <c r="P93" s="545"/>
      <c r="Q93" s="545"/>
      <c r="R93" s="545"/>
      <c r="S93" s="545"/>
    </row>
    <row r="94" customFormat="false" ht="99.75" hidden="false" customHeight="true" outlineLevel="0" collapsed="false">
      <c r="B94" s="541" t="n">
        <f aca="false">+IF(ISTEXT(D94),J94,"")</f>
        <v>80</v>
      </c>
      <c r="C94" s="542" t="str">
        <f aca="false">+IFERROR(INDEX(Hoja1!$A$2:$A$82,MATCH(J94,Hoja1!$H$2:$H$82,0)),"")</f>
        <v>17.8</v>
      </c>
      <c r="D94" s="543" t="str">
        <f aca="false">IFERROR(VLOOKUP(C94,Hoja1!$A$2:$H$82,4,0),"")</f>
        <v>Monitoreo - Supervisión</v>
      </c>
      <c r="E94" s="543" t="str">
        <f aca="false">+IFERROR(VLOOKUP(C94,Hoja1!$A$1:$J$82,10,0),"")</f>
        <v>Evaluación y comunicación de deficiencias oportunamente (Evalúa los resultados, Comunica las deficiencias y Monitorea las medidas correctivas).</v>
      </c>
      <c r="F94" s="543" t="str">
        <f aca="false">+IFERROR(VLOOKUP(C94,Hoja1!$A$1:$I$82,3,0),"")</f>
        <v>Evaluación de la efectividad de las acciones incluidas en los Planes de mejoramiento producto de las auditorías internas y de entes externos. (3ª Línea</v>
      </c>
      <c r="G94" s="542" t="n">
        <f aca="false">+IFERROR(VLOOKUP(C94,Hoja1!$A$1:$K$82,11,0),"")</f>
        <v>3</v>
      </c>
      <c r="H94" s="544" t="n">
        <f aca="false">+IFERROR(VLOOKUP(C94,Hoja1!$A$1:$L$82,12,0),"")</f>
        <v>3</v>
      </c>
      <c r="I94" s="536" t="str">
        <f aca="false">+IF(OR(AND(G94=1,H94=1),AND(G94=1,H94=2),AND(G94=1,H94=3),G94="",H94=""),"No se encuentra presente  por lo tanto no esta funcionando, lo que hace que se requieran acciones dirigidas a fortalecer su diseño y puesta en marcha",IF(OR(AND(G94=2,H94=2),AND(G94=3,H94=1),AND(G94=3,H94=2),AND(G94=2,H94=1)),"Se encuentra presente y funcionando, pero requiere acciones dirigidas a fortalecer  o mejorar su diseño y/o ejecucion.",IF(AND(G94=2,H94=3),"Se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4" s="493" t="n">
        <v>80</v>
      </c>
      <c r="K94" s="559" t="n">
        <f aca="false">+VLOOKUP(C94,Hoja1!$A$1:$M$82,13,0)</f>
        <v>1</v>
      </c>
      <c r="L94" s="558"/>
      <c r="M94" s="548"/>
      <c r="N94" s="545"/>
      <c r="O94" s="545"/>
      <c r="P94" s="545"/>
      <c r="Q94" s="545"/>
      <c r="R94" s="545"/>
      <c r="S94" s="545"/>
    </row>
    <row r="95" customFormat="false" ht="99.75" hidden="false" customHeight="true" outlineLevel="0" collapsed="false">
      <c r="B95" s="541" t="n">
        <f aca="false">+IF(ISTEXT(D95),J95,"")</f>
        <v>81</v>
      </c>
      <c r="C95" s="542" t="str">
        <f aca="false">+IFERROR(INDEX(Hoja1!$A$2:$A$82,MATCH(J95,Hoja1!$H$2:$H$82,0)),"")</f>
        <v>17.9</v>
      </c>
      <c r="D95" s="543" t="str">
        <f aca="false">IFERROR(VLOOKUP(C95,Hoja1!$A$2:$H$82,4,0),"")</f>
        <v>Monitoreo - Supervisión</v>
      </c>
      <c r="E95" s="543" t="str">
        <f aca="false">+IFERROR(VLOOKUP(C95,Hoja1!$A$1:$J$82,10,0),"")</f>
        <v>Evaluación y comunicación de deficiencias oportunamente (Evalúa los resultados, Comunica las deficiencias y Monitorea las medidas correctivas).</v>
      </c>
      <c r="F95" s="543" t="str">
        <f aca="false">+IFERROR(VLOOKUP(C95,Hoja1!$A$1:$I$82,3,0),"")</f>
        <v>Las deficiencias de control interno son reportadas a los responsables de nivel jerárquico superior, para tomar la acciones correspondientes</v>
      </c>
      <c r="G95" s="542" t="n">
        <f aca="false">+IFERROR(VLOOKUP(C95,Hoja1!$A$1:$K$82,11,0),"")</f>
        <v>3</v>
      </c>
      <c r="H95" s="544" t="n">
        <f aca="false">+IFERROR(VLOOKUP(C95,Hoja1!$A$1:$L$82,12,0),"")</f>
        <v>3</v>
      </c>
      <c r="I95" s="536" t="str">
        <f aca="false">+IF(OR(AND(G95=1,H95=1),AND(G95=1,H95=2),AND(G95=1,H95=3),G95="",H95=""),"No se encuentra presente  por lo tanto no esta funcionando, lo que hace que se requieran acciones dirigidas a fortalecer su diseño y puesta en marcha",IF(OR(AND(G95=2,H95=2),AND(G95=3,H95=1),AND(G95=3,H95=2),AND(G95=2,H95=1)),"Se encuentra presente y funcionando, pero requiere acciones dirigidas a fortalecer  o mejorar su diseño y/o ejecucion.",IF(AND(G95=2,H95=3),"Se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95" s="493" t="n">
        <v>81</v>
      </c>
      <c r="K95" s="559" t="n">
        <f aca="false">+VLOOKUP(C95,Hoja1!$A$1:$M$82,13,0)</f>
        <v>1</v>
      </c>
      <c r="L95" s="558"/>
      <c r="M95" s="548"/>
      <c r="N95" s="545"/>
      <c r="O95" s="545"/>
      <c r="P95" s="545"/>
      <c r="Q95" s="545"/>
      <c r="R95" s="545"/>
      <c r="S95" s="545"/>
    </row>
    <row r="96" customFormat="false" ht="99.75" hidden="false" customHeight="true" outlineLevel="0" collapsed="false">
      <c r="B96" s="546" t="n">
        <f aca="false">+IF(ISTEXT(D96),J96,"")</f>
        <v>82</v>
      </c>
      <c r="C96" s="542" t="str">
        <f aca="false">+IFERROR(INDEX(Hoja1!$A$2:$A$82,MATCH(J96,Hoja1!$H$2:$H$82,0)),"")</f>
        <v/>
      </c>
      <c r="D96" s="543" t="str">
        <f aca="false">IFERROR(VLOOKUP(C96,Hoja1!$A$2:$H$82,4,0),"")</f>
        <v/>
      </c>
      <c r="E96" s="543" t="str">
        <f aca="false">+IFERROR(VLOOKUP(C96,Hoja1!$A$1:$J$82,10,0),"")</f>
        <v/>
      </c>
      <c r="F96" s="543" t="str">
        <f aca="false">+IFERROR(VLOOKUP(C96,Hoja1!$A$1:$I$82,3,0),"")</f>
        <v/>
      </c>
      <c r="G96" s="542" t="str">
        <f aca="false">+IFERROR(VLOOKUP(C96,Hoja1!$A$1:$K$82,11,0),"")</f>
        <v/>
      </c>
      <c r="H96" s="544" t="str">
        <f aca="false">+IFERROR(VLOOKUP(C96,Hoja1!$A$1:$L$82,12,0),"")</f>
        <v/>
      </c>
      <c r="I96" s="560"/>
      <c r="J96" s="493" t="n">
        <v>82</v>
      </c>
      <c r="K96" s="561"/>
      <c r="L96" s="545"/>
      <c r="M96" s="548"/>
      <c r="N96" s="545"/>
      <c r="O96" s="545"/>
      <c r="P96" s="545"/>
      <c r="Q96" s="545"/>
      <c r="R96" s="545"/>
      <c r="S96" s="545"/>
    </row>
    <row r="97" customFormat="false" ht="99.75" hidden="false" customHeight="true" outlineLevel="0" collapsed="false">
      <c r="B97" s="541" t="n">
        <f aca="false">+IF(ISTEXT(D97),J97,"")</f>
        <v>83</v>
      </c>
      <c r="C97" s="542" t="str">
        <f aca="false">+IFERROR(INDEX(Hoja1!$A$2:$A$82,MATCH(J97,Hoja1!$H$2:$H$82,0)),"")</f>
        <v/>
      </c>
      <c r="D97" s="543" t="str">
        <f aca="false">IFERROR(VLOOKUP(C97,Hoja1!$A$2:$H$82,4,0),"")</f>
        <v/>
      </c>
      <c r="E97" s="543" t="str">
        <f aca="false">+IFERROR(VLOOKUP(C97,Hoja1!$A$1:$J$82,10,0),"")</f>
        <v/>
      </c>
      <c r="F97" s="543" t="str">
        <f aca="false">+IFERROR(VLOOKUP(C97,Hoja1!$A$1:$I$82,3,0),"")</f>
        <v/>
      </c>
      <c r="G97" s="542" t="str">
        <f aca="false">+IFERROR(VLOOKUP(C97,Hoja1!$A$1:$K$82,11,0),"")</f>
        <v/>
      </c>
      <c r="H97" s="544" t="str">
        <f aca="false">+IFERROR(VLOOKUP(C97,Hoja1!$A$1:$L$82,12,0),"")</f>
        <v/>
      </c>
      <c r="I97" s="560"/>
      <c r="J97" s="493" t="n">
        <v>83</v>
      </c>
      <c r="K97" s="562"/>
      <c r="M97" s="548"/>
      <c r="N97" s="545"/>
      <c r="O97" s="545"/>
      <c r="P97" s="545"/>
      <c r="Q97" s="545"/>
      <c r="R97" s="545"/>
      <c r="S97" s="545"/>
    </row>
    <row r="98" customFormat="false" ht="99.75" hidden="false" customHeight="true" outlineLevel="0" collapsed="false">
      <c r="B98" s="546" t="n">
        <f aca="false">+IF(ISTEXT(D98),J98,"")</f>
        <v>84</v>
      </c>
      <c r="C98" s="542" t="str">
        <f aca="false">+IFERROR(INDEX(Hoja1!$A$2:$A$82,MATCH(J98,Hoja1!$H$2:$H$82,0)),"")</f>
        <v/>
      </c>
      <c r="D98" s="543" t="str">
        <f aca="false">IFERROR(VLOOKUP(C98,Hoja1!$A$2:$H$82,4,0),"")</f>
        <v/>
      </c>
      <c r="E98" s="543" t="str">
        <f aca="false">+IFERROR(VLOOKUP(C98,Hoja1!$A$1:$J$82,10,0),"")</f>
        <v/>
      </c>
      <c r="F98" s="543" t="str">
        <f aca="false">+IFERROR(VLOOKUP(C98,Hoja1!$A$1:$I$82,3,0),"")</f>
        <v/>
      </c>
      <c r="G98" s="542" t="str">
        <f aca="false">+IFERROR(VLOOKUP(C98,Hoja1!$A$1:$K$82,11,0),"")</f>
        <v/>
      </c>
      <c r="H98" s="544" t="str">
        <f aca="false">+IFERROR(VLOOKUP(C98,Hoja1!$A$1:$L$82,12,0),"")</f>
        <v/>
      </c>
      <c r="I98" s="560"/>
      <c r="J98" s="493" t="n">
        <v>84</v>
      </c>
      <c r="K98" s="561"/>
      <c r="M98" s="548"/>
      <c r="N98" s="545"/>
      <c r="O98" s="545"/>
      <c r="P98" s="545"/>
      <c r="Q98" s="545"/>
      <c r="R98" s="545"/>
      <c r="S98" s="545"/>
    </row>
    <row r="99" customFormat="false" ht="99.75" hidden="false" customHeight="true" outlineLevel="0" collapsed="false">
      <c r="B99" s="541" t="n">
        <f aca="false">+IF(ISTEXT(D99),J99,"")</f>
        <v>85</v>
      </c>
      <c r="C99" s="542" t="str">
        <f aca="false">+IFERROR(INDEX(Hoja1!$A$2:$A$82,MATCH(J99,Hoja1!$H$2:$H$82,0)),"")</f>
        <v/>
      </c>
      <c r="D99" s="543" t="str">
        <f aca="false">IFERROR(VLOOKUP(C99,Hoja1!$A$2:$H$82,4,0),"")</f>
        <v/>
      </c>
      <c r="E99" s="543" t="str">
        <f aca="false">+IFERROR(VLOOKUP(C99,Hoja1!$A$1:$J$82,10,0),"")</f>
        <v/>
      </c>
      <c r="F99" s="543" t="str">
        <f aca="false">+IFERROR(VLOOKUP(C99,Hoja1!$A$1:$I$82,3,0),"")</f>
        <v/>
      </c>
      <c r="G99" s="542" t="str">
        <f aca="false">+IFERROR(VLOOKUP(C99,Hoja1!$A$1:$K$82,11,0),"")</f>
        <v/>
      </c>
      <c r="H99" s="544" t="str">
        <f aca="false">+IFERROR(VLOOKUP(C99,Hoja1!$A$1:$L$82,12,0),"")</f>
        <v/>
      </c>
      <c r="I99" s="560"/>
      <c r="J99" s="493" t="n">
        <v>85</v>
      </c>
      <c r="K99" s="561"/>
      <c r="M99" s="548"/>
      <c r="N99" s="545"/>
      <c r="O99" s="545"/>
      <c r="P99" s="545"/>
      <c r="Q99" s="545"/>
      <c r="R99" s="545"/>
      <c r="S99" s="545"/>
    </row>
    <row r="100" customFormat="false" ht="99.75" hidden="false" customHeight="true" outlineLevel="0" collapsed="false">
      <c r="B100" s="541" t="n">
        <f aca="false">+IF(ISTEXT(D100),J100,"")</f>
        <v>86</v>
      </c>
      <c r="C100" s="542" t="str">
        <f aca="false">+IFERROR(INDEX(Hoja1!$A$2:$A$82,MATCH(J100,Hoja1!$H$2:$H$82,0)),"")</f>
        <v/>
      </c>
      <c r="D100" s="543" t="str">
        <f aca="false">IFERROR(VLOOKUP(C100,Hoja1!$A$2:$H$82,4,0),"")</f>
        <v/>
      </c>
      <c r="E100" s="543" t="str">
        <f aca="false">+IFERROR(VLOOKUP(C100,Hoja1!$A$1:$J$82,10,0),"")</f>
        <v/>
      </c>
      <c r="F100" s="543" t="str">
        <f aca="false">+IFERROR(VLOOKUP(C100,Hoja1!$A$1:$I$82,3,0),"")</f>
        <v/>
      </c>
      <c r="G100" s="542" t="str">
        <f aca="false">+IFERROR(VLOOKUP(C100,Hoja1!$A$1:$K$82,11,0),"")</f>
        <v/>
      </c>
      <c r="H100" s="544" t="str">
        <f aca="false">+IFERROR(VLOOKUP(C100,Hoja1!$A$1:$L$82,12,0),"")</f>
        <v/>
      </c>
      <c r="I100" s="560"/>
      <c r="J100" s="493" t="n">
        <v>86</v>
      </c>
      <c r="K100" s="561"/>
      <c r="M100" s="548"/>
      <c r="N100" s="545"/>
      <c r="O100" s="545"/>
      <c r="P100" s="545"/>
      <c r="Q100" s="545"/>
      <c r="R100" s="545"/>
      <c r="S100" s="545"/>
    </row>
    <row r="101" customFormat="false" ht="99.75" hidden="false" customHeight="true" outlineLevel="0" collapsed="false">
      <c r="B101" s="541" t="n">
        <f aca="false">+IF(ISTEXT(D101),J101,"")</f>
        <v>87</v>
      </c>
      <c r="C101" s="542" t="str">
        <f aca="false">+IFERROR(INDEX(Hoja1!$A$2:$A$82,MATCH(J101,Hoja1!$H$2:$H$82,0)),"")</f>
        <v/>
      </c>
      <c r="D101" s="543" t="str">
        <f aca="false">IFERROR(VLOOKUP(C101,Hoja1!$A$2:$H$82,4,0),"")</f>
        <v/>
      </c>
      <c r="E101" s="543" t="str">
        <f aca="false">+IFERROR(VLOOKUP(C101,Hoja1!$A$1:$J$82,10,0),"")</f>
        <v/>
      </c>
      <c r="F101" s="543" t="str">
        <f aca="false">+IFERROR(VLOOKUP(C101,Hoja1!$A$1:$I$82,3,0),"")</f>
        <v/>
      </c>
      <c r="G101" s="542" t="str">
        <f aca="false">+IFERROR(VLOOKUP(C101,Hoja1!$A$1:$K$82,11,0),"")</f>
        <v/>
      </c>
      <c r="H101" s="544" t="str">
        <f aca="false">+IFERROR(VLOOKUP(C101,Hoja1!$A$1:$L$82,12,0),"")</f>
        <v/>
      </c>
      <c r="I101" s="560"/>
      <c r="J101" s="493" t="n">
        <v>87</v>
      </c>
      <c r="K101" s="561"/>
      <c r="M101" s="548"/>
      <c r="N101" s="545"/>
      <c r="O101" s="545"/>
      <c r="P101" s="545"/>
      <c r="Q101" s="545"/>
      <c r="R101" s="545"/>
      <c r="S101" s="545"/>
    </row>
    <row r="102" customFormat="false" ht="99.75" hidden="false" customHeight="true" outlineLevel="0" collapsed="false">
      <c r="B102" s="546" t="n">
        <f aca="false">+IF(ISTEXT(D102),J102,"")</f>
        <v>88</v>
      </c>
      <c r="C102" s="542" t="str">
        <f aca="false">+IFERROR(INDEX(Hoja1!$A$2:$A$82,MATCH(J102,Hoja1!$H$2:$H$82,0)),"")</f>
        <v/>
      </c>
      <c r="D102" s="543" t="str">
        <f aca="false">IFERROR(VLOOKUP(C102,Hoja1!$A$2:$H$82,4,0),"")</f>
        <v/>
      </c>
      <c r="E102" s="543" t="str">
        <f aca="false">+IFERROR(VLOOKUP(C102,Hoja1!$A$1:$J$82,10,0),"")</f>
        <v/>
      </c>
      <c r="F102" s="543" t="str">
        <f aca="false">+IFERROR(VLOOKUP(C102,Hoja1!$A$1:$I$82,3,0),"")</f>
        <v/>
      </c>
      <c r="G102" s="542" t="str">
        <f aca="false">+IFERROR(VLOOKUP(C102,Hoja1!$A$1:$K$82,11,0),"")</f>
        <v/>
      </c>
      <c r="H102" s="544" t="str">
        <f aca="false">+IFERROR(VLOOKUP(C102,Hoja1!$A$1:$L$82,12,0),"")</f>
        <v/>
      </c>
      <c r="I102" s="560"/>
      <c r="J102" s="493" t="n">
        <v>88</v>
      </c>
      <c r="K102" s="561"/>
      <c r="M102" s="548"/>
      <c r="N102" s="545"/>
      <c r="O102" s="545"/>
      <c r="P102" s="545"/>
      <c r="Q102" s="545"/>
      <c r="R102" s="545"/>
      <c r="S102" s="545"/>
    </row>
    <row r="103" customFormat="false" ht="99.75" hidden="false" customHeight="true" outlineLevel="0" collapsed="false">
      <c r="B103" s="541" t="n">
        <f aca="false">+IF(ISTEXT(D103),J103,"")</f>
        <v>89</v>
      </c>
      <c r="C103" s="542" t="str">
        <f aca="false">+IFERROR(INDEX(Hoja1!$A$2:$A$82,MATCH(J103,Hoja1!$H$2:$H$82,0)),"")</f>
        <v/>
      </c>
      <c r="D103" s="543" t="str">
        <f aca="false">IFERROR(VLOOKUP(C103,Hoja1!$A$2:$H$82,4,0),"")</f>
        <v/>
      </c>
      <c r="E103" s="543" t="str">
        <f aca="false">+IFERROR(VLOOKUP(C103,Hoja1!$A$1:$J$82,10,0),"")</f>
        <v/>
      </c>
      <c r="F103" s="543" t="str">
        <f aca="false">+IFERROR(VLOOKUP(C103,Hoja1!$A$1:$I$82,3,0),"")</f>
        <v/>
      </c>
      <c r="G103" s="542" t="str">
        <f aca="false">+IFERROR(VLOOKUP(C103,Hoja1!$A$1:$K$82,11,0),"")</f>
        <v/>
      </c>
      <c r="H103" s="544" t="str">
        <f aca="false">+IFERROR(VLOOKUP(C103,Hoja1!$A$1:$L$82,12,0),"")</f>
        <v/>
      </c>
      <c r="I103" s="560"/>
      <c r="J103" s="493" t="n">
        <v>89</v>
      </c>
      <c r="K103" s="561"/>
      <c r="M103" s="548"/>
      <c r="N103" s="545"/>
      <c r="O103" s="545"/>
      <c r="P103" s="545"/>
      <c r="Q103" s="545"/>
      <c r="R103" s="545"/>
      <c r="S103" s="545"/>
    </row>
    <row r="104" customFormat="false" ht="99.75" hidden="false" customHeight="true" outlineLevel="0" collapsed="false">
      <c r="B104" s="546" t="n">
        <f aca="false">+IF(ISTEXT(D104),J104,"")</f>
        <v>90</v>
      </c>
      <c r="C104" s="542" t="str">
        <f aca="false">+IFERROR(INDEX(Hoja1!$A$2:$A$82,MATCH(J104,Hoja1!$H$2:$H$82,0)),"")</f>
        <v/>
      </c>
      <c r="D104" s="543" t="str">
        <f aca="false">IFERROR(VLOOKUP(C104,Hoja1!$A$2:$H$82,4,0),"")</f>
        <v/>
      </c>
      <c r="E104" s="543" t="str">
        <f aca="false">+IFERROR(VLOOKUP(C104,Hoja1!$A$1:$J$82,10,0),"")</f>
        <v/>
      </c>
      <c r="F104" s="543" t="str">
        <f aca="false">+IFERROR(VLOOKUP(C104,Hoja1!$A$1:$I$82,3,0),"")</f>
        <v/>
      </c>
      <c r="G104" s="542" t="str">
        <f aca="false">+IFERROR(VLOOKUP(C104,Hoja1!$A$1:$K$82,11,0),"")</f>
        <v/>
      </c>
      <c r="H104" s="544" t="str">
        <f aca="false">+IFERROR(VLOOKUP(C104,Hoja1!$A$1:$L$82,12,0),"")</f>
        <v/>
      </c>
      <c r="I104" s="560"/>
      <c r="J104" s="493" t="n">
        <v>90</v>
      </c>
      <c r="K104" s="561"/>
      <c r="M104" s="548"/>
      <c r="N104" s="545"/>
      <c r="O104" s="545"/>
      <c r="P104" s="545"/>
      <c r="Q104" s="545"/>
      <c r="R104" s="545"/>
      <c r="S104" s="545"/>
    </row>
    <row r="105" customFormat="false" ht="99.75" hidden="false" customHeight="true" outlineLevel="0" collapsed="false">
      <c r="B105" s="541" t="n">
        <f aca="false">+IF(ISTEXT(D105),J105,"")</f>
        <v>91</v>
      </c>
      <c r="C105" s="542" t="str">
        <f aca="false">+IFERROR(INDEX(Hoja1!$A$2:$A$82,MATCH(J105,Hoja1!$H$2:$H$82,0)),"")</f>
        <v/>
      </c>
      <c r="D105" s="543" t="str">
        <f aca="false">IFERROR(VLOOKUP(C105,Hoja1!$A$2:$H$82,4,0),"")</f>
        <v/>
      </c>
      <c r="E105" s="543" t="str">
        <f aca="false">+IFERROR(VLOOKUP(C105,Hoja1!$A$1:$J$82,10,0),"")</f>
        <v/>
      </c>
      <c r="F105" s="543" t="str">
        <f aca="false">+IFERROR(VLOOKUP(C105,Hoja1!$A$1:$I$82,3,0),"")</f>
        <v/>
      </c>
      <c r="G105" s="542" t="str">
        <f aca="false">+IFERROR(VLOOKUP(C105,Hoja1!$A$1:$K$82,11,0),"")</f>
        <v/>
      </c>
      <c r="H105" s="544" t="str">
        <f aca="false">+IFERROR(VLOOKUP(C105,Hoja1!$A$1:$L$82,12,0),"")</f>
        <v/>
      </c>
      <c r="I105" s="560"/>
      <c r="J105" s="493" t="n">
        <v>91</v>
      </c>
      <c r="K105" s="561"/>
      <c r="M105" s="548"/>
      <c r="N105" s="545"/>
      <c r="O105" s="545"/>
      <c r="P105" s="545"/>
      <c r="Q105" s="545"/>
      <c r="R105" s="545"/>
      <c r="S105" s="545"/>
    </row>
    <row r="106" customFormat="false" ht="99.75" hidden="false" customHeight="true" outlineLevel="0" collapsed="false">
      <c r="B106" s="541" t="n">
        <f aca="false">+IF(ISTEXT(D106),J106,"")</f>
        <v>92</v>
      </c>
      <c r="C106" s="542" t="str">
        <f aca="false">+IFERROR(INDEX(Hoja1!$A$2:$A$82,MATCH(J106,Hoja1!$H$2:$H$82,0)),"")</f>
        <v/>
      </c>
      <c r="D106" s="543" t="str">
        <f aca="false">IFERROR(VLOOKUP(C106,Hoja1!$A$2:$H$82,4,0),"")</f>
        <v/>
      </c>
      <c r="E106" s="543" t="str">
        <f aca="false">+IFERROR(VLOOKUP(C106,Hoja1!$A$1:$J$82,10,0),"")</f>
        <v/>
      </c>
      <c r="F106" s="543" t="str">
        <f aca="false">+IFERROR(VLOOKUP(C106,Hoja1!$A$1:$I$82,3,0),"")</f>
        <v/>
      </c>
      <c r="G106" s="542" t="str">
        <f aca="false">+IFERROR(VLOOKUP(C106,Hoja1!$A$1:$K$82,11,0),"")</f>
        <v/>
      </c>
      <c r="H106" s="544" t="str">
        <f aca="false">+IFERROR(VLOOKUP(C106,Hoja1!$A$1:$L$82,12,0),"")</f>
        <v/>
      </c>
      <c r="I106" s="560"/>
      <c r="J106" s="493" t="n">
        <v>92</v>
      </c>
      <c r="K106" s="561"/>
      <c r="M106" s="548"/>
      <c r="N106" s="545"/>
      <c r="O106" s="545"/>
      <c r="P106" s="545"/>
      <c r="Q106" s="545"/>
      <c r="R106" s="545"/>
      <c r="S106" s="545"/>
    </row>
    <row r="107" customFormat="false" ht="99.75" hidden="false" customHeight="true" outlineLevel="0" collapsed="false">
      <c r="B107" s="541" t="n">
        <f aca="false">+IF(ISTEXT(D107),J107,"")</f>
        <v>93</v>
      </c>
      <c r="C107" s="542" t="str">
        <f aca="false">+IFERROR(INDEX(Hoja1!$A$2:$A$82,MATCH(J107,Hoja1!$H$2:$H$82,0)),"")</f>
        <v/>
      </c>
      <c r="D107" s="543" t="str">
        <f aca="false">IFERROR(VLOOKUP(C107,Hoja1!$A$2:$H$82,4,0),"")</f>
        <v/>
      </c>
      <c r="E107" s="543" t="str">
        <f aca="false">+IFERROR(VLOOKUP(C107,Hoja1!$A$1:$J$82,10,0),"")</f>
        <v/>
      </c>
      <c r="F107" s="543" t="str">
        <f aca="false">+IFERROR(VLOOKUP(C107,Hoja1!$A$1:$I$82,3,0),"")</f>
        <v/>
      </c>
      <c r="G107" s="542" t="str">
        <f aca="false">+IFERROR(VLOOKUP(C107,Hoja1!$A$1:$K$82,11,0),"")</f>
        <v/>
      </c>
      <c r="H107" s="544" t="str">
        <f aca="false">+IFERROR(VLOOKUP(C107,Hoja1!$A$1:$L$82,12,0),"")</f>
        <v/>
      </c>
      <c r="I107" s="560"/>
      <c r="J107" s="493" t="n">
        <v>93</v>
      </c>
      <c r="K107" s="561"/>
      <c r="M107" s="548"/>
      <c r="N107" s="545"/>
      <c r="O107" s="545"/>
      <c r="P107" s="545"/>
      <c r="Q107" s="545"/>
      <c r="R107" s="545"/>
      <c r="S107" s="545"/>
    </row>
    <row r="108" customFormat="false" ht="99.75" hidden="false" customHeight="true" outlineLevel="0" collapsed="false">
      <c r="B108" s="546" t="n">
        <f aca="false">+IF(ISTEXT(D108),J108,"")</f>
        <v>94</v>
      </c>
      <c r="C108" s="542" t="str">
        <f aca="false">+IFERROR(INDEX(Hoja1!$A$2:$A$82,MATCH(J108,Hoja1!$H$2:$H$82,0)),"")</f>
        <v/>
      </c>
      <c r="D108" s="543" t="str">
        <f aca="false">IFERROR(VLOOKUP(C108,Hoja1!$A$2:$H$82,4,0),"")</f>
        <v/>
      </c>
      <c r="E108" s="543" t="str">
        <f aca="false">+IFERROR(VLOOKUP(C108,Hoja1!$A$1:$J$82,10,0),"")</f>
        <v/>
      </c>
      <c r="F108" s="543" t="str">
        <f aca="false">+IFERROR(VLOOKUP(C108,Hoja1!$A$1:$I$82,3,0),"")</f>
        <v/>
      </c>
      <c r="G108" s="542" t="str">
        <f aca="false">+IFERROR(VLOOKUP(C108,Hoja1!$A$1:$K$82,11,0),"")</f>
        <v/>
      </c>
      <c r="H108" s="544" t="str">
        <f aca="false">+IFERROR(VLOOKUP(C108,Hoja1!$A$1:$L$82,12,0),"")</f>
        <v/>
      </c>
      <c r="I108" s="560"/>
      <c r="J108" s="493" t="n">
        <v>94</v>
      </c>
      <c r="K108" s="561"/>
      <c r="M108" s="548"/>
      <c r="N108" s="545"/>
      <c r="O108" s="545"/>
      <c r="P108" s="545"/>
      <c r="Q108" s="545"/>
      <c r="R108" s="545"/>
      <c r="S108" s="545"/>
    </row>
    <row r="109" customFormat="false" ht="99.75" hidden="false" customHeight="true" outlineLevel="0" collapsed="false">
      <c r="B109" s="541" t="n">
        <f aca="false">+IF(ISTEXT(D109),J109,"")</f>
        <v>95</v>
      </c>
      <c r="C109" s="542" t="str">
        <f aca="false">+IFERROR(INDEX(Hoja1!$A$2:$A$82,MATCH(J109,Hoja1!$H$2:$H$82,0)),"")</f>
        <v/>
      </c>
      <c r="D109" s="543" t="str">
        <f aca="false">IFERROR(VLOOKUP(C109,Hoja1!$A$2:$H$82,4,0),"")</f>
        <v/>
      </c>
      <c r="E109" s="543" t="str">
        <f aca="false">+IFERROR(VLOOKUP(C109,Hoja1!$A$1:$J$82,10,0),"")</f>
        <v/>
      </c>
      <c r="F109" s="543" t="str">
        <f aca="false">+IFERROR(VLOOKUP(C109,Hoja1!$A$1:$I$82,3,0),"")</f>
        <v/>
      </c>
      <c r="G109" s="542" t="str">
        <f aca="false">+IFERROR(VLOOKUP(C109,Hoja1!$A$1:$K$82,11,0),"")</f>
        <v/>
      </c>
      <c r="H109" s="544" t="str">
        <f aca="false">+IFERROR(VLOOKUP(C109,Hoja1!$A$1:$L$82,12,0),"")</f>
        <v/>
      </c>
      <c r="I109" s="560"/>
      <c r="J109" s="493" t="n">
        <v>95</v>
      </c>
      <c r="K109" s="561"/>
      <c r="M109" s="548"/>
      <c r="N109" s="545"/>
      <c r="O109" s="545"/>
      <c r="P109" s="545"/>
      <c r="Q109" s="545"/>
      <c r="R109" s="545"/>
      <c r="S109" s="545"/>
    </row>
    <row r="110" customFormat="false" ht="99.75" hidden="false" customHeight="true" outlineLevel="0" collapsed="false">
      <c r="B110" s="546" t="n">
        <f aca="false">+IF(ISTEXT(D110),J110,"")</f>
        <v>96</v>
      </c>
      <c r="C110" s="542" t="str">
        <f aca="false">+IFERROR(INDEX(Hoja1!$A$2:$A$82,MATCH(J110,Hoja1!$H$2:$H$82,0)),"")</f>
        <v/>
      </c>
      <c r="D110" s="543" t="str">
        <f aca="false">IFERROR(VLOOKUP(C110,Hoja1!$A$2:$H$82,4,0),"")</f>
        <v/>
      </c>
      <c r="E110" s="543" t="str">
        <f aca="false">+IFERROR(VLOOKUP(C110,Hoja1!$A$1:$J$82,10,0),"")</f>
        <v/>
      </c>
      <c r="F110" s="543" t="str">
        <f aca="false">+IFERROR(VLOOKUP(C110,Hoja1!$A$1:$I$82,3,0),"")</f>
        <v/>
      </c>
      <c r="G110" s="542" t="str">
        <f aca="false">+IFERROR(VLOOKUP(C110,Hoja1!$A$1:$K$82,11,0),"")</f>
        <v/>
      </c>
      <c r="H110" s="544" t="str">
        <f aca="false">+IFERROR(VLOOKUP(C110,Hoja1!$A$1:$L$82,12,0),"")</f>
        <v/>
      </c>
      <c r="I110" s="560"/>
      <c r="J110" s="493" t="n">
        <v>96</v>
      </c>
      <c r="K110" s="561"/>
      <c r="M110" s="548"/>
      <c r="N110" s="545"/>
      <c r="O110" s="545"/>
      <c r="P110" s="545"/>
      <c r="Q110" s="545"/>
      <c r="R110" s="545"/>
      <c r="S110" s="545"/>
    </row>
    <row r="111" customFormat="false" ht="99.75" hidden="false" customHeight="true" outlineLevel="0" collapsed="false">
      <c r="B111" s="541" t="n">
        <f aca="false">+IF(ISTEXT(D111),J111,"")</f>
        <v>97</v>
      </c>
      <c r="C111" s="542" t="str">
        <f aca="false">+IFERROR(INDEX(Hoja1!$A$2:$A$82,MATCH(J111,Hoja1!$H$2:$H$82,0)),"")</f>
        <v/>
      </c>
      <c r="D111" s="543" t="str">
        <f aca="false">IFERROR(VLOOKUP(C111,Hoja1!$A$2:$H$82,4,0),"")</f>
        <v/>
      </c>
      <c r="E111" s="543" t="str">
        <f aca="false">+IFERROR(VLOOKUP(C111,Hoja1!$A$1:$J$82,10,0),"")</f>
        <v/>
      </c>
      <c r="F111" s="543" t="str">
        <f aca="false">+IFERROR(VLOOKUP(C111,Hoja1!$A$1:$I$82,3,0),"")</f>
        <v/>
      </c>
      <c r="G111" s="542" t="str">
        <f aca="false">+IFERROR(VLOOKUP(C111,Hoja1!$A$1:$K$82,11,0),"")</f>
        <v/>
      </c>
      <c r="H111" s="544" t="str">
        <f aca="false">+IFERROR(VLOOKUP(C111,Hoja1!$A$1:$L$82,12,0),"")</f>
        <v/>
      </c>
      <c r="I111" s="560"/>
      <c r="J111" s="493" t="n">
        <v>97</v>
      </c>
      <c r="K111" s="561"/>
      <c r="M111" s="548"/>
      <c r="N111" s="545"/>
      <c r="O111" s="545"/>
      <c r="P111" s="545"/>
      <c r="Q111" s="545"/>
      <c r="R111" s="545"/>
      <c r="S111" s="545"/>
    </row>
    <row r="112" customFormat="false" ht="99.75" hidden="false" customHeight="true" outlineLevel="0" collapsed="false">
      <c r="B112" s="541" t="n">
        <f aca="false">+IF(ISTEXT(D112),J112,"")</f>
        <v>98</v>
      </c>
      <c r="C112" s="542" t="str">
        <f aca="false">+IFERROR(INDEX(Hoja1!$A$2:$A$82,MATCH(J112,Hoja1!$H$2:$H$82,0)),"")</f>
        <v/>
      </c>
      <c r="D112" s="543" t="str">
        <f aca="false">IFERROR(VLOOKUP(C112,Hoja1!$A$2:$H$82,4,0),"")</f>
        <v/>
      </c>
      <c r="E112" s="543" t="str">
        <f aca="false">+IFERROR(VLOOKUP(C112,Hoja1!$A$1:$J$82,10,0),"")</f>
        <v/>
      </c>
      <c r="F112" s="543" t="str">
        <f aca="false">+IFERROR(VLOOKUP(C112,Hoja1!$A$1:$I$82,3,0),"")</f>
        <v/>
      </c>
      <c r="G112" s="542" t="str">
        <f aca="false">+IFERROR(VLOOKUP(C112,Hoja1!$A$1:$K$82,11,0),"")</f>
        <v/>
      </c>
      <c r="H112" s="544" t="str">
        <f aca="false">+IFERROR(VLOOKUP(C112,Hoja1!$A$1:$L$82,12,0),"")</f>
        <v/>
      </c>
      <c r="I112" s="560"/>
      <c r="J112" s="493" t="n">
        <v>98</v>
      </c>
      <c r="K112" s="561"/>
      <c r="M112" s="548"/>
      <c r="N112" s="545"/>
      <c r="O112" s="545"/>
      <c r="P112" s="545"/>
      <c r="Q112" s="545"/>
      <c r="R112" s="545"/>
      <c r="S112" s="545"/>
    </row>
    <row r="113" customFormat="false" ht="99.75" hidden="false" customHeight="true" outlineLevel="0" collapsed="false">
      <c r="B113" s="541" t="n">
        <f aca="false">+IF(ISTEXT(D113),J113,"")</f>
        <v>99</v>
      </c>
      <c r="C113" s="542" t="str">
        <f aca="false">+IFERROR(INDEX(Hoja1!$A$2:$A$82,MATCH(J113,Hoja1!$H$2:$H$82,0)),"")</f>
        <v/>
      </c>
      <c r="D113" s="543" t="str">
        <f aca="false">IFERROR(VLOOKUP(C113,Hoja1!$A$2:$H$82,4,0),"")</f>
        <v/>
      </c>
      <c r="E113" s="543" t="str">
        <f aca="false">+IFERROR(VLOOKUP(C113,Hoja1!$A$1:$J$82,10,0),"")</f>
        <v/>
      </c>
      <c r="F113" s="543" t="str">
        <f aca="false">+IFERROR(VLOOKUP(C113,Hoja1!$A$1:$I$82,3,0),"")</f>
        <v/>
      </c>
      <c r="G113" s="542" t="str">
        <f aca="false">+IFERROR(VLOOKUP(C113,Hoja1!$A$1:$K$82,11,0),"")</f>
        <v/>
      </c>
      <c r="H113" s="544" t="str">
        <f aca="false">+IFERROR(VLOOKUP(C113,Hoja1!$A$1:$L$82,12,0),"")</f>
        <v/>
      </c>
      <c r="I113" s="560"/>
      <c r="J113" s="493" t="n">
        <v>99</v>
      </c>
      <c r="K113" s="561"/>
      <c r="M113" s="548"/>
      <c r="N113" s="545"/>
      <c r="O113" s="545"/>
      <c r="P113" s="545"/>
      <c r="Q113" s="545"/>
      <c r="R113" s="545"/>
      <c r="S113" s="545"/>
    </row>
    <row r="114" customFormat="false" ht="99.75" hidden="false" customHeight="true" outlineLevel="0" collapsed="false">
      <c r="B114" s="541" t="n">
        <f aca="false">+IF(ISTEXT(D114),J114,"")</f>
        <v>100</v>
      </c>
      <c r="C114" s="542" t="str">
        <f aca="false">+IFERROR(INDEX(Hoja1!$A$2:$A$82,MATCH(J114,Hoja1!$H$2:$H$82,0)),"")</f>
        <v/>
      </c>
      <c r="D114" s="543" t="str">
        <f aca="false">IFERROR(VLOOKUP(C114,Hoja1!$A$2:$H$82,4,0),"")</f>
        <v/>
      </c>
      <c r="E114" s="543" t="str">
        <f aca="false">+IFERROR(VLOOKUP(C114,Hoja1!$A$1:$J$82,10,0),"")</f>
        <v/>
      </c>
      <c r="F114" s="543" t="str">
        <f aca="false">+IFERROR(VLOOKUP(C114,Hoja1!$A$1:$I$82,3,0),"")</f>
        <v/>
      </c>
      <c r="G114" s="542" t="str">
        <f aca="false">+IFERROR(VLOOKUP(C114,Hoja1!$A$1:$K$82,11,0),"")</f>
        <v/>
      </c>
      <c r="H114" s="544" t="str">
        <f aca="false">+IFERROR(VLOOKUP(C114,Hoja1!$A$1:$L$82,12,0),"")</f>
        <v/>
      </c>
      <c r="I114" s="560"/>
      <c r="J114" s="493" t="n">
        <v>100</v>
      </c>
      <c r="K114" s="561"/>
      <c r="M114" s="548"/>
      <c r="N114" s="545"/>
      <c r="O114" s="545"/>
      <c r="P114" s="545"/>
      <c r="Q114" s="545"/>
      <c r="R114" s="545"/>
      <c r="S114" s="545"/>
    </row>
    <row r="115" customFormat="false" ht="99.75" hidden="false" customHeight="true" outlineLevel="0" collapsed="false">
      <c r="B115" s="546" t="n">
        <f aca="false">+IF(ISTEXT(D115),J115,"")</f>
        <v>101</v>
      </c>
      <c r="C115" s="542" t="str">
        <f aca="false">+IFERROR(INDEX(Hoja1!$A$2:$A$82,MATCH(J115,Hoja1!$H$2:$H$82,0)),"")</f>
        <v/>
      </c>
      <c r="D115" s="543" t="str">
        <f aca="false">IFERROR(VLOOKUP(C115,Hoja1!$A$2:$H$82,4,0),"")</f>
        <v/>
      </c>
      <c r="E115" s="543" t="str">
        <f aca="false">+IFERROR(VLOOKUP(C115,Hoja1!$A$1:$J$82,10,0),"")</f>
        <v/>
      </c>
      <c r="F115" s="543" t="str">
        <f aca="false">+IFERROR(VLOOKUP(C115,Hoja1!$A$1:$I$82,3,0),"")</f>
        <v/>
      </c>
      <c r="G115" s="542" t="str">
        <f aca="false">+IFERROR(VLOOKUP(C115,Hoja1!$A$1:$K$82,11,0),"")</f>
        <v/>
      </c>
      <c r="H115" s="544" t="str">
        <f aca="false">+IFERROR(VLOOKUP(C115,Hoja1!$A$1:$L$82,12,0),"")</f>
        <v/>
      </c>
      <c r="I115" s="560"/>
      <c r="J115" s="493" t="n">
        <v>101</v>
      </c>
      <c r="K115" s="561"/>
      <c r="M115" s="548"/>
      <c r="N115" s="545"/>
      <c r="O115" s="545"/>
      <c r="P115" s="545"/>
      <c r="Q115" s="545"/>
      <c r="R115" s="545"/>
      <c r="S115" s="545"/>
    </row>
    <row r="116" customFormat="false" ht="99.75" hidden="false" customHeight="true" outlineLevel="0" collapsed="false">
      <c r="B116" s="541" t="n">
        <f aca="false">+IF(ISTEXT(D116),J116,"")</f>
        <v>102</v>
      </c>
      <c r="C116" s="542" t="str">
        <f aca="false">+IFERROR(INDEX(Hoja1!$A$2:$A$82,MATCH(J116,Hoja1!$H$2:$H$82,0)),"")</f>
        <v/>
      </c>
      <c r="D116" s="543" t="str">
        <f aca="false">IFERROR(VLOOKUP(C116,Hoja1!$A$2:$H$82,4,0),"")</f>
        <v/>
      </c>
      <c r="E116" s="543" t="str">
        <f aca="false">+IFERROR(VLOOKUP(C116,Hoja1!$A$1:$J$82,10,0),"")</f>
        <v/>
      </c>
      <c r="F116" s="543" t="str">
        <f aca="false">+IFERROR(VLOOKUP(C116,Hoja1!$A$1:$I$82,3,0),"")</f>
        <v/>
      </c>
      <c r="G116" s="542" t="str">
        <f aca="false">+IFERROR(VLOOKUP(C116,Hoja1!$A$1:$K$82,11,0),"")</f>
        <v/>
      </c>
      <c r="H116" s="544" t="str">
        <f aca="false">+IFERROR(VLOOKUP(C116,Hoja1!$A$1:$L$82,12,0),"")</f>
        <v/>
      </c>
      <c r="I116" s="560"/>
      <c r="J116" s="493" t="n">
        <v>102</v>
      </c>
      <c r="K116" s="561"/>
      <c r="M116" s="548"/>
      <c r="N116" s="545"/>
      <c r="O116" s="545"/>
      <c r="P116" s="545"/>
      <c r="Q116" s="545"/>
      <c r="R116" s="545"/>
      <c r="S116" s="545"/>
    </row>
    <row r="117" customFormat="false" ht="99.75" hidden="false" customHeight="true" outlineLevel="0" collapsed="false">
      <c r="B117" s="541" t="n">
        <f aca="false">+IF(ISTEXT(D117),J117,"")</f>
        <v>103</v>
      </c>
      <c r="C117" s="542" t="str">
        <f aca="false">+IFERROR(INDEX(Hoja1!$A$2:$A$82,MATCH(J117,Hoja1!$H$2:$H$82,0)),"")</f>
        <v/>
      </c>
      <c r="D117" s="543" t="str">
        <f aca="false">IFERROR(VLOOKUP(C117,Hoja1!$A$2:$H$82,4,0),"")</f>
        <v/>
      </c>
      <c r="E117" s="543" t="str">
        <f aca="false">+IFERROR(VLOOKUP(C117,Hoja1!$A$1:$J$82,10,0),"")</f>
        <v/>
      </c>
      <c r="F117" s="543" t="str">
        <f aca="false">+IFERROR(VLOOKUP(C117,Hoja1!$A$1:$I$82,3,0),"")</f>
        <v/>
      </c>
      <c r="G117" s="542" t="str">
        <f aca="false">+IFERROR(VLOOKUP(C117,Hoja1!$A$1:$K$82,11,0),"")</f>
        <v/>
      </c>
      <c r="H117" s="544" t="str">
        <f aca="false">+IFERROR(VLOOKUP(C117,Hoja1!$A$1:$L$82,12,0),"")</f>
        <v/>
      </c>
      <c r="I117" s="560"/>
      <c r="J117" s="493" t="n">
        <v>103</v>
      </c>
      <c r="K117" s="561"/>
      <c r="M117" s="548"/>
      <c r="N117" s="545"/>
      <c r="O117" s="545"/>
      <c r="P117" s="545"/>
      <c r="Q117" s="545"/>
      <c r="R117" s="545"/>
      <c r="S117" s="545"/>
    </row>
    <row r="118" customFormat="false" ht="99.75" hidden="false" customHeight="true" outlineLevel="0" collapsed="false">
      <c r="B118" s="541" t="n">
        <f aca="false">+IF(ISTEXT(D118),J118,"")</f>
        <v>104</v>
      </c>
      <c r="C118" s="542" t="str">
        <f aca="false">+IFERROR(INDEX(Hoja1!$A$2:$A$82,MATCH(J118,Hoja1!$H$2:$H$82,0)),"")</f>
        <v/>
      </c>
      <c r="D118" s="543" t="str">
        <f aca="false">IFERROR(VLOOKUP(C118,Hoja1!$A$2:$H$82,4,0),"")</f>
        <v/>
      </c>
      <c r="E118" s="543" t="str">
        <f aca="false">+IFERROR(VLOOKUP(C118,Hoja1!$A$1:$J$82,10,0),"")</f>
        <v/>
      </c>
      <c r="F118" s="543" t="str">
        <f aca="false">+IFERROR(VLOOKUP(C118,Hoja1!$A$1:$I$82,3,0),"")</f>
        <v/>
      </c>
      <c r="G118" s="542" t="str">
        <f aca="false">+IFERROR(VLOOKUP(C118,Hoja1!$A$1:$K$82,11,0),"")</f>
        <v/>
      </c>
      <c r="H118" s="544" t="str">
        <f aca="false">+IFERROR(VLOOKUP(C118,Hoja1!$A$1:$L$82,12,0),"")</f>
        <v/>
      </c>
      <c r="I118" s="560"/>
      <c r="J118" s="493" t="n">
        <v>104</v>
      </c>
      <c r="K118" s="561"/>
      <c r="M118" s="548"/>
      <c r="N118" s="545"/>
      <c r="O118" s="545"/>
      <c r="P118" s="545"/>
      <c r="Q118" s="545"/>
      <c r="R118" s="545"/>
      <c r="S118" s="545"/>
    </row>
    <row r="119" customFormat="false" ht="99.75" hidden="false" customHeight="true" outlineLevel="0" collapsed="false">
      <c r="B119" s="541" t="n">
        <f aca="false">+IF(ISTEXT(D119),J119,"")</f>
        <v>105</v>
      </c>
      <c r="C119" s="542" t="str">
        <f aca="false">+IFERROR(INDEX(Hoja1!$A$2:$A$82,MATCH(J119,Hoja1!$H$2:$H$82,0)),"")</f>
        <v/>
      </c>
      <c r="D119" s="543" t="str">
        <f aca="false">IFERROR(VLOOKUP(C119,Hoja1!$A$2:$H$82,4,0),"")</f>
        <v/>
      </c>
      <c r="E119" s="543" t="str">
        <f aca="false">+IFERROR(VLOOKUP(C119,Hoja1!$A$1:$J$82,10,0),"")</f>
        <v/>
      </c>
      <c r="F119" s="543" t="str">
        <f aca="false">+IFERROR(VLOOKUP(C119,Hoja1!$A$1:$I$82,3,0),"")</f>
        <v/>
      </c>
      <c r="G119" s="542" t="str">
        <f aca="false">+IFERROR(VLOOKUP(C119,Hoja1!$A$1:$K$82,11,0),"")</f>
        <v/>
      </c>
      <c r="H119" s="544" t="str">
        <f aca="false">+IFERROR(VLOOKUP(C119,Hoja1!$A$1:$L$82,12,0),"")</f>
        <v/>
      </c>
      <c r="I119" s="560"/>
      <c r="J119" s="493" t="n">
        <v>105</v>
      </c>
      <c r="K119" s="561"/>
      <c r="M119" s="548"/>
      <c r="N119" s="545"/>
      <c r="O119" s="545"/>
      <c r="P119" s="545"/>
      <c r="Q119" s="545"/>
      <c r="R119" s="545"/>
      <c r="S119" s="545"/>
    </row>
    <row r="120" customFormat="false" ht="99.75" hidden="false" customHeight="true" outlineLevel="0" collapsed="false">
      <c r="B120" s="546" t="n">
        <f aca="false">+IF(ISTEXT(D120),J120,"")</f>
        <v>106</v>
      </c>
      <c r="C120" s="542" t="str">
        <f aca="false">+IFERROR(INDEX(Hoja1!$A$2:$A$82,MATCH(J120,Hoja1!$H$2:$H$82,0)),"")</f>
        <v/>
      </c>
      <c r="D120" s="543" t="str">
        <f aca="false">IFERROR(VLOOKUP(C120,Hoja1!$A$2:$H$82,4,0),"")</f>
        <v/>
      </c>
      <c r="E120" s="543" t="str">
        <f aca="false">+IFERROR(VLOOKUP(C120,Hoja1!$A$1:$J$82,10,0),"")</f>
        <v/>
      </c>
      <c r="F120" s="543" t="str">
        <f aca="false">+IFERROR(VLOOKUP(C120,Hoja1!$A$1:$I$82,3,0),"")</f>
        <v/>
      </c>
      <c r="G120" s="542" t="str">
        <f aca="false">+IFERROR(VLOOKUP(C120,Hoja1!$A$1:$K$82,11,0),"")</f>
        <v/>
      </c>
      <c r="H120" s="544" t="str">
        <f aca="false">+IFERROR(VLOOKUP(C120,Hoja1!$A$1:$L$82,12,0),"")</f>
        <v/>
      </c>
      <c r="I120" s="560"/>
      <c r="J120" s="493" t="n">
        <v>106</v>
      </c>
      <c r="K120" s="561"/>
      <c r="M120" s="548"/>
      <c r="N120" s="545"/>
      <c r="O120" s="545"/>
      <c r="P120" s="545"/>
      <c r="Q120" s="545"/>
      <c r="R120" s="545"/>
      <c r="S120" s="545"/>
    </row>
    <row r="121" customFormat="false" ht="99.75" hidden="false" customHeight="true" outlineLevel="0" collapsed="false">
      <c r="B121" s="541" t="n">
        <f aca="false">+IF(ISTEXT(D121),J121,"")</f>
        <v>107</v>
      </c>
      <c r="C121" s="542" t="str">
        <f aca="false">+IFERROR(INDEX(Hoja1!$A$2:$A$82,MATCH(J121,Hoja1!$H$2:$H$82,0)),"")</f>
        <v/>
      </c>
      <c r="D121" s="543" t="str">
        <f aca="false">IFERROR(VLOOKUP(C121,Hoja1!$A$2:$H$82,4,0),"")</f>
        <v/>
      </c>
      <c r="E121" s="543" t="str">
        <f aca="false">+IFERROR(VLOOKUP(C121,Hoja1!$A$1:$J$82,10,0),"")</f>
        <v/>
      </c>
      <c r="F121" s="543" t="str">
        <f aca="false">+IFERROR(VLOOKUP(C121,Hoja1!$A$1:$I$82,3,0),"")</f>
        <v/>
      </c>
      <c r="G121" s="542" t="str">
        <f aca="false">+IFERROR(VLOOKUP(C121,Hoja1!$A$1:$K$82,11,0),"")</f>
        <v/>
      </c>
      <c r="H121" s="544" t="str">
        <f aca="false">+IFERROR(VLOOKUP(C121,Hoja1!$A$1:$L$82,12,0),"")</f>
        <v/>
      </c>
      <c r="I121" s="560"/>
      <c r="J121" s="493" t="n">
        <v>107</v>
      </c>
      <c r="K121" s="561"/>
      <c r="M121" s="548"/>
      <c r="N121" s="545"/>
      <c r="O121" s="545"/>
      <c r="P121" s="545"/>
      <c r="Q121" s="545"/>
      <c r="R121" s="545"/>
      <c r="S121" s="545"/>
    </row>
    <row r="122" customFormat="false" ht="99.75" hidden="false" customHeight="true" outlineLevel="0" collapsed="false">
      <c r="B122" s="541" t="n">
        <f aca="false">+IF(ISTEXT(D122),J122,"")</f>
        <v>108</v>
      </c>
      <c r="C122" s="542" t="str">
        <f aca="false">+IFERROR(INDEX(Hoja1!$A$2:$A$82,MATCH(J122,Hoja1!$H$2:$H$82,0)),"")</f>
        <v/>
      </c>
      <c r="D122" s="543" t="str">
        <f aca="false">IFERROR(VLOOKUP(C122,Hoja1!$A$2:$H$82,4,0),"")</f>
        <v/>
      </c>
      <c r="E122" s="543" t="str">
        <f aca="false">+IFERROR(VLOOKUP(C122,Hoja1!$A$1:$J$82,10,0),"")</f>
        <v/>
      </c>
      <c r="F122" s="543" t="str">
        <f aca="false">+IFERROR(VLOOKUP(C122,Hoja1!$A$1:$I$82,3,0),"")</f>
        <v/>
      </c>
      <c r="G122" s="542" t="str">
        <f aca="false">+IFERROR(VLOOKUP(C122,Hoja1!$A$1:$K$82,11,0),"")</f>
        <v/>
      </c>
      <c r="H122" s="544" t="str">
        <f aca="false">+IFERROR(VLOOKUP(C122,Hoja1!$A$1:$L$82,12,0),"")</f>
        <v/>
      </c>
      <c r="I122" s="560"/>
      <c r="J122" s="493" t="n">
        <v>108</v>
      </c>
      <c r="K122" s="561"/>
      <c r="M122" s="548"/>
      <c r="N122" s="545"/>
      <c r="O122" s="545"/>
      <c r="P122" s="545"/>
      <c r="Q122" s="545"/>
      <c r="R122" s="545"/>
      <c r="S122" s="545"/>
    </row>
    <row r="123" customFormat="false" ht="99.75" hidden="false" customHeight="true" outlineLevel="0" collapsed="false">
      <c r="B123" s="541" t="n">
        <f aca="false">+IF(ISTEXT(D123),J123,"")</f>
        <v>109</v>
      </c>
      <c r="C123" s="542" t="str">
        <f aca="false">+IFERROR(INDEX(Hoja1!$A$2:$A$82,MATCH(J123,Hoja1!$H$2:$H$82,0)),"")</f>
        <v/>
      </c>
      <c r="D123" s="543" t="str">
        <f aca="false">IFERROR(VLOOKUP(C123,Hoja1!$A$2:$H$82,4,0),"")</f>
        <v/>
      </c>
      <c r="E123" s="543" t="str">
        <f aca="false">+IFERROR(VLOOKUP(C123,Hoja1!$A$1:$J$82,10,0),"")</f>
        <v/>
      </c>
      <c r="F123" s="543" t="str">
        <f aca="false">+IFERROR(VLOOKUP(C123,Hoja1!$A$1:$I$82,3,0),"")</f>
        <v/>
      </c>
      <c r="G123" s="542" t="str">
        <f aca="false">+IFERROR(VLOOKUP(C123,Hoja1!$A$1:$K$82,11,0),"")</f>
        <v/>
      </c>
      <c r="H123" s="544" t="str">
        <f aca="false">+IFERROR(VLOOKUP(C123,Hoja1!$A$1:$L$82,12,0),"")</f>
        <v/>
      </c>
      <c r="I123" s="560"/>
      <c r="J123" s="493" t="n">
        <v>109</v>
      </c>
      <c r="K123" s="561"/>
      <c r="M123" s="548"/>
      <c r="N123" s="545"/>
      <c r="O123" s="545"/>
      <c r="P123" s="545"/>
      <c r="Q123" s="545"/>
      <c r="R123" s="545"/>
      <c r="S123" s="545"/>
    </row>
    <row r="124" customFormat="false" ht="99.75" hidden="false" customHeight="true" outlineLevel="0" collapsed="false">
      <c r="B124" s="541" t="n">
        <f aca="false">+IF(ISTEXT(D124),J124,"")</f>
        <v>110</v>
      </c>
      <c r="C124" s="542" t="str">
        <f aca="false">+IFERROR(INDEX(Hoja1!$A$2:$A$82,MATCH(J124,Hoja1!$H$2:$H$82,0)),"")</f>
        <v/>
      </c>
      <c r="D124" s="543" t="str">
        <f aca="false">IFERROR(VLOOKUP(C124,Hoja1!$A$2:$H$82,4,0),"")</f>
        <v/>
      </c>
      <c r="E124" s="543" t="str">
        <f aca="false">+IFERROR(VLOOKUP(C124,Hoja1!$A$1:$J$82,10,0),"")</f>
        <v/>
      </c>
      <c r="F124" s="543" t="str">
        <f aca="false">+IFERROR(VLOOKUP(C124,Hoja1!$A$1:$I$82,3,0),"")</f>
        <v/>
      </c>
      <c r="G124" s="542" t="str">
        <f aca="false">+IFERROR(VLOOKUP(C124,Hoja1!$A$1:$K$82,11,0),"")</f>
        <v/>
      </c>
      <c r="H124" s="544" t="str">
        <f aca="false">+IFERROR(VLOOKUP(C124,Hoja1!$A$1:$L$82,12,0),"")</f>
        <v/>
      </c>
      <c r="I124" s="560"/>
      <c r="J124" s="493" t="n">
        <v>110</v>
      </c>
      <c r="K124" s="561"/>
      <c r="M124" s="548"/>
      <c r="N124" s="545"/>
      <c r="O124" s="545"/>
      <c r="P124" s="545"/>
      <c r="Q124" s="545"/>
      <c r="R124" s="545"/>
      <c r="S124" s="545"/>
    </row>
    <row r="125" customFormat="false" ht="99.75" hidden="false" customHeight="true" outlineLevel="0" collapsed="false">
      <c r="B125" s="546" t="n">
        <f aca="false">+IF(ISTEXT(D125),J125,"")</f>
        <v>111</v>
      </c>
      <c r="C125" s="542" t="str">
        <f aca="false">+IFERROR(INDEX(Hoja1!$A$2:$A$82,MATCH(J125,Hoja1!$H$2:$H$82,0)),"")</f>
        <v/>
      </c>
      <c r="D125" s="543" t="str">
        <f aca="false">IFERROR(VLOOKUP(C125,Hoja1!$A$2:$H$82,4,0),"")</f>
        <v/>
      </c>
      <c r="E125" s="543" t="str">
        <f aca="false">+IFERROR(VLOOKUP(C125,Hoja1!$A$1:$J$82,10,0),"")</f>
        <v/>
      </c>
      <c r="F125" s="543" t="str">
        <f aca="false">+IFERROR(VLOOKUP(C125,Hoja1!$A$1:$I$82,3,0),"")</f>
        <v/>
      </c>
      <c r="G125" s="542" t="str">
        <f aca="false">+IFERROR(VLOOKUP(C125,Hoja1!$A$1:$K$82,11,0),"")</f>
        <v/>
      </c>
      <c r="H125" s="544" t="str">
        <f aca="false">+IFERROR(VLOOKUP(C125,Hoja1!$A$1:$L$82,12,0),"")</f>
        <v/>
      </c>
      <c r="I125" s="560"/>
      <c r="J125" s="493" t="n">
        <v>111</v>
      </c>
      <c r="K125" s="561"/>
      <c r="M125" s="548"/>
      <c r="N125" s="545"/>
      <c r="O125" s="545"/>
      <c r="P125" s="545"/>
      <c r="Q125" s="545"/>
      <c r="R125" s="545"/>
      <c r="S125" s="545"/>
    </row>
    <row r="126" customFormat="false" ht="99.75" hidden="false" customHeight="true" outlineLevel="0" collapsed="false">
      <c r="B126" s="541" t="n">
        <f aca="false">+IF(ISTEXT(D126),J126,"")</f>
        <v>112</v>
      </c>
      <c r="C126" s="542" t="str">
        <f aca="false">+IFERROR(INDEX(Hoja1!$A$2:$A$82,MATCH(J126,Hoja1!$H$2:$H$82,0)),"")</f>
        <v/>
      </c>
      <c r="D126" s="543" t="str">
        <f aca="false">IFERROR(VLOOKUP(C126,Hoja1!$A$2:$H$82,4,0),"")</f>
        <v/>
      </c>
      <c r="E126" s="543" t="str">
        <f aca="false">+IFERROR(VLOOKUP(C126,Hoja1!$A$1:$J$82,10,0),"")</f>
        <v/>
      </c>
      <c r="F126" s="543" t="str">
        <f aca="false">+IFERROR(VLOOKUP(C126,Hoja1!$A$1:$I$82,3,0),"")</f>
        <v/>
      </c>
      <c r="G126" s="542" t="str">
        <f aca="false">+IFERROR(VLOOKUP(C126,Hoja1!$A$1:$K$82,11,0),"")</f>
        <v/>
      </c>
      <c r="H126" s="544" t="str">
        <f aca="false">+IFERROR(VLOOKUP(C126,Hoja1!$A$1:$L$82,12,0),"")</f>
        <v/>
      </c>
      <c r="I126" s="560"/>
      <c r="J126" s="493" t="n">
        <v>112</v>
      </c>
      <c r="K126" s="561"/>
      <c r="M126" s="548"/>
      <c r="N126" s="545"/>
      <c r="O126" s="545"/>
      <c r="P126" s="545"/>
      <c r="Q126" s="545"/>
      <c r="R126" s="545"/>
      <c r="S126" s="545"/>
    </row>
    <row r="127" customFormat="false" ht="99.75" hidden="false" customHeight="true" outlineLevel="0" collapsed="false">
      <c r="B127" s="541" t="n">
        <f aca="false">+IF(ISTEXT(D127),J127,"")</f>
        <v>113</v>
      </c>
      <c r="C127" s="542" t="str">
        <f aca="false">+IFERROR(INDEX(Hoja1!$A$2:$A$82,MATCH(J127,Hoja1!$H$2:$H$82,0)),"")</f>
        <v/>
      </c>
      <c r="D127" s="543" t="str">
        <f aca="false">IFERROR(VLOOKUP(C127,Hoja1!$A$2:$H$82,4,0),"")</f>
        <v/>
      </c>
      <c r="E127" s="543" t="str">
        <f aca="false">+IFERROR(VLOOKUP(C127,Hoja1!$A$1:$J$82,10,0),"")</f>
        <v/>
      </c>
      <c r="F127" s="543" t="str">
        <f aca="false">+IFERROR(VLOOKUP(C127,Hoja1!$A$1:$I$82,3,0),"")</f>
        <v/>
      </c>
      <c r="G127" s="542" t="str">
        <f aca="false">+IFERROR(VLOOKUP(C127,Hoja1!$A$1:$K$82,11,0),"")</f>
        <v/>
      </c>
      <c r="H127" s="544" t="str">
        <f aca="false">+IFERROR(VLOOKUP(C127,Hoja1!$A$1:$L$82,12,0),"")</f>
        <v/>
      </c>
      <c r="I127" s="560"/>
      <c r="J127" s="493" t="n">
        <v>113</v>
      </c>
      <c r="K127" s="561"/>
      <c r="M127" s="548"/>
      <c r="N127" s="545"/>
      <c r="O127" s="545"/>
      <c r="P127" s="545"/>
      <c r="Q127" s="545"/>
      <c r="R127" s="545"/>
      <c r="S127" s="545"/>
    </row>
    <row r="128" customFormat="false" ht="99.75" hidden="false" customHeight="true" outlineLevel="0" collapsed="false">
      <c r="B128" s="541" t="n">
        <f aca="false">+IF(ISTEXT(D128),J128,"")</f>
        <v>114</v>
      </c>
      <c r="C128" s="542" t="str">
        <f aca="false">+IFERROR(INDEX(Hoja1!$A$2:$A$82,MATCH(J128,Hoja1!$H$2:$H$82,0)),"")</f>
        <v/>
      </c>
      <c r="D128" s="543" t="str">
        <f aca="false">IFERROR(VLOOKUP(C128,Hoja1!$A$2:$H$82,4,0),"")</f>
        <v/>
      </c>
      <c r="E128" s="543" t="str">
        <f aca="false">+IFERROR(VLOOKUP(C128,Hoja1!$A$1:$J$82,10,0),"")</f>
        <v/>
      </c>
      <c r="F128" s="543" t="str">
        <f aca="false">+IFERROR(VLOOKUP(C128,Hoja1!$A$1:$I$82,3,0),"")</f>
        <v/>
      </c>
      <c r="G128" s="542" t="str">
        <f aca="false">+IFERROR(VLOOKUP(C128,Hoja1!$A$1:$K$82,11,0),"")</f>
        <v/>
      </c>
      <c r="H128" s="544" t="str">
        <f aca="false">+IFERROR(VLOOKUP(C128,Hoja1!$A$1:$L$82,12,0),"")</f>
        <v/>
      </c>
      <c r="I128" s="560"/>
      <c r="J128" s="493" t="n">
        <v>114</v>
      </c>
      <c r="K128" s="561"/>
      <c r="M128" s="548"/>
      <c r="N128" s="545"/>
      <c r="O128" s="545"/>
      <c r="P128" s="545"/>
      <c r="Q128" s="545"/>
      <c r="R128" s="545"/>
      <c r="S128" s="545"/>
    </row>
    <row r="129" customFormat="false" ht="99.75" hidden="false" customHeight="true" outlineLevel="0" collapsed="false">
      <c r="B129" s="541" t="n">
        <f aca="false">+IF(ISTEXT(D129),J129,"")</f>
        <v>115</v>
      </c>
      <c r="C129" s="542" t="str">
        <f aca="false">+IFERROR(INDEX(Hoja1!$A$2:$A$82,MATCH(J129,Hoja1!$H$2:$H$82,0)),"")</f>
        <v/>
      </c>
      <c r="D129" s="543" t="str">
        <f aca="false">IFERROR(VLOOKUP(C129,Hoja1!$A$2:$H$82,4,0),"")</f>
        <v/>
      </c>
      <c r="E129" s="543" t="str">
        <f aca="false">+IFERROR(VLOOKUP(C129,Hoja1!$A$1:$J$82,10,0),"")</f>
        <v/>
      </c>
      <c r="F129" s="543" t="str">
        <f aca="false">+IFERROR(VLOOKUP(C129,Hoja1!$A$1:$I$82,3,0),"")</f>
        <v/>
      </c>
      <c r="G129" s="542" t="str">
        <f aca="false">+IFERROR(VLOOKUP(C129,Hoja1!$A$1:$K$82,11,0),"")</f>
        <v/>
      </c>
      <c r="H129" s="544" t="str">
        <f aca="false">+IFERROR(VLOOKUP(C129,Hoja1!$A$1:$L$82,12,0),"")</f>
        <v/>
      </c>
      <c r="I129" s="560"/>
      <c r="J129" s="493" t="n">
        <v>115</v>
      </c>
      <c r="K129" s="561"/>
      <c r="M129" s="548"/>
      <c r="N129" s="545"/>
      <c r="O129" s="545"/>
      <c r="P129" s="545"/>
      <c r="Q129" s="545"/>
      <c r="R129" s="545"/>
      <c r="S129" s="545"/>
    </row>
    <row r="130" customFormat="false" ht="99.75" hidden="false" customHeight="true" outlineLevel="0" collapsed="false">
      <c r="B130" s="546" t="n">
        <f aca="false">+IF(ISTEXT(D130),J130,"")</f>
        <v>116</v>
      </c>
      <c r="C130" s="542" t="str">
        <f aca="false">+IFERROR(INDEX(Hoja1!$A$2:$A$82,MATCH(J130,Hoja1!$H$2:$H$82,0)),"")</f>
        <v/>
      </c>
      <c r="D130" s="543" t="str">
        <f aca="false">IFERROR(VLOOKUP(C130,Hoja1!$A$2:$H$82,4,0),"")</f>
        <v/>
      </c>
      <c r="E130" s="543" t="str">
        <f aca="false">+IFERROR(VLOOKUP(C130,Hoja1!$A$1:$J$82,10,0),"")</f>
        <v/>
      </c>
      <c r="F130" s="543" t="str">
        <f aca="false">+IFERROR(VLOOKUP(C130,Hoja1!$A$1:$I$82,3,0),"")</f>
        <v/>
      </c>
      <c r="G130" s="542" t="str">
        <f aca="false">+IFERROR(VLOOKUP(C130,Hoja1!$A$1:$K$82,11,0),"")</f>
        <v/>
      </c>
      <c r="H130" s="544" t="str">
        <f aca="false">+IFERROR(VLOOKUP(C130,Hoja1!$A$1:$L$82,12,0),"")</f>
        <v/>
      </c>
      <c r="I130" s="560"/>
      <c r="J130" s="493" t="n">
        <v>116</v>
      </c>
      <c r="K130" s="561"/>
      <c r="M130" s="548"/>
      <c r="N130" s="545"/>
      <c r="O130" s="545"/>
      <c r="P130" s="545"/>
      <c r="Q130" s="545"/>
      <c r="R130" s="545"/>
      <c r="S130" s="545"/>
    </row>
    <row r="131" customFormat="false" ht="99.75" hidden="false" customHeight="true" outlineLevel="0" collapsed="false">
      <c r="B131" s="541" t="n">
        <f aca="false">+IF(ISTEXT(D131),J131,"")</f>
        <v>117</v>
      </c>
      <c r="C131" s="542" t="str">
        <f aca="false">+IFERROR(INDEX(Hoja1!$A$2:$A$82,MATCH(J131,Hoja1!$H$2:$H$82,0)),"")</f>
        <v/>
      </c>
      <c r="D131" s="543" t="str">
        <f aca="false">IFERROR(VLOOKUP(C131,Hoja1!$A$2:$H$82,4,0),"")</f>
        <v/>
      </c>
      <c r="E131" s="543" t="str">
        <f aca="false">+IFERROR(VLOOKUP(C131,Hoja1!$A$1:$J$82,10,0),"")</f>
        <v/>
      </c>
      <c r="F131" s="543" t="str">
        <f aca="false">+IFERROR(VLOOKUP(C131,Hoja1!$A$1:$I$82,3,0),"")</f>
        <v/>
      </c>
      <c r="G131" s="542" t="str">
        <f aca="false">+IFERROR(VLOOKUP(C131,Hoja1!$A$1:$K$82,11,0),"")</f>
        <v/>
      </c>
      <c r="H131" s="544" t="str">
        <f aca="false">+IFERROR(VLOOKUP(C131,Hoja1!$A$1:$L$82,12,0),"")</f>
        <v/>
      </c>
      <c r="I131" s="560"/>
      <c r="J131" s="493" t="n">
        <v>117</v>
      </c>
      <c r="K131" s="561"/>
      <c r="M131" s="548"/>
      <c r="N131" s="545"/>
      <c r="O131" s="545"/>
      <c r="P131" s="545"/>
      <c r="Q131" s="545"/>
      <c r="R131" s="545"/>
      <c r="S131" s="545"/>
    </row>
    <row r="132" customFormat="false" ht="99.75" hidden="false" customHeight="true" outlineLevel="0" collapsed="false">
      <c r="B132" s="541" t="n">
        <f aca="false">+IF(ISTEXT(D132),J132,"")</f>
        <v>118</v>
      </c>
      <c r="C132" s="542" t="str">
        <f aca="false">+IFERROR(INDEX(Hoja1!$A$2:$A$82,MATCH(J132,Hoja1!$H$2:$H$82,0)),"")</f>
        <v/>
      </c>
      <c r="D132" s="543" t="str">
        <f aca="false">IFERROR(VLOOKUP(C132,Hoja1!$A$2:$H$82,4,0),"")</f>
        <v/>
      </c>
      <c r="E132" s="543" t="str">
        <f aca="false">+IFERROR(VLOOKUP(C132,Hoja1!$A$1:$J$82,10,0),"")</f>
        <v/>
      </c>
      <c r="F132" s="543" t="str">
        <f aca="false">+IFERROR(VLOOKUP(C132,Hoja1!$A$1:$I$82,3,0),"")</f>
        <v/>
      </c>
      <c r="G132" s="542" t="str">
        <f aca="false">+IFERROR(VLOOKUP(C132,Hoja1!$A$1:$K$82,11,0),"")</f>
        <v/>
      </c>
      <c r="H132" s="544" t="str">
        <f aca="false">+IFERROR(VLOOKUP(C132,Hoja1!$A$1:$L$82,12,0),"")</f>
        <v/>
      </c>
      <c r="I132" s="560"/>
      <c r="J132" s="493" t="n">
        <v>118</v>
      </c>
      <c r="K132" s="561"/>
      <c r="M132" s="548"/>
      <c r="N132" s="545"/>
      <c r="O132" s="545"/>
      <c r="P132" s="545"/>
      <c r="Q132" s="545"/>
      <c r="R132" s="545"/>
      <c r="S132" s="545"/>
    </row>
    <row r="133" customFormat="false" ht="99.75" hidden="false" customHeight="true" outlineLevel="0" collapsed="false">
      <c r="B133" s="541" t="n">
        <f aca="false">+IF(ISTEXT(D133),J133,"")</f>
        <v>119</v>
      </c>
      <c r="C133" s="542" t="str">
        <f aca="false">+IFERROR(INDEX(Hoja1!$A$2:$A$82,MATCH(J133,Hoja1!$H$2:$H$82,0)),"")</f>
        <v/>
      </c>
      <c r="D133" s="543" t="str">
        <f aca="false">IFERROR(VLOOKUP(C133,Hoja1!$A$2:$H$82,4,0),"")</f>
        <v/>
      </c>
      <c r="E133" s="543" t="str">
        <f aca="false">+IFERROR(VLOOKUP(C133,Hoja1!$A$1:$J$82,10,0),"")</f>
        <v/>
      </c>
      <c r="F133" s="543" t="str">
        <f aca="false">+IFERROR(VLOOKUP(C133,Hoja1!$A$1:$I$82,3,0),"")</f>
        <v/>
      </c>
      <c r="G133" s="542" t="str">
        <f aca="false">+IFERROR(VLOOKUP(C133,Hoja1!$A$1:$K$82,11,0),"")</f>
        <v/>
      </c>
      <c r="H133" s="544" t="str">
        <f aca="false">+IFERROR(VLOOKUP(C133,Hoja1!$A$1:$L$82,12,0),"")</f>
        <v/>
      </c>
      <c r="I133" s="560"/>
      <c r="J133" s="493" t="n">
        <v>119</v>
      </c>
      <c r="K133" s="561"/>
      <c r="M133" s="548"/>
      <c r="N133" s="545"/>
      <c r="O133" s="545"/>
      <c r="P133" s="545"/>
      <c r="Q133" s="545"/>
      <c r="R133" s="545"/>
      <c r="S133" s="545"/>
    </row>
    <row r="134" customFormat="false" ht="99.75" hidden="false" customHeight="true" outlineLevel="0" collapsed="false">
      <c r="B134" s="541" t="n">
        <f aca="false">+IF(ISTEXT(D134),J134,"")</f>
        <v>120</v>
      </c>
      <c r="C134" s="542" t="str">
        <f aca="false">+IFERROR(INDEX(Hoja1!$A$2:$A$82,MATCH(J134,Hoja1!$H$2:$H$82,0)),"")</f>
        <v/>
      </c>
      <c r="D134" s="543" t="str">
        <f aca="false">IFERROR(VLOOKUP(C134,Hoja1!$A$2:$H$82,4,0),"")</f>
        <v/>
      </c>
      <c r="E134" s="543" t="str">
        <f aca="false">+IFERROR(VLOOKUP(C134,Hoja1!$A$1:$J$82,10,0),"")</f>
        <v/>
      </c>
      <c r="F134" s="543" t="str">
        <f aca="false">+IFERROR(VLOOKUP(C134,Hoja1!$A$1:$I$82,3,0),"")</f>
        <v/>
      </c>
      <c r="G134" s="542" t="str">
        <f aca="false">+IFERROR(VLOOKUP(C134,Hoja1!$A$1:$K$82,11,0),"")</f>
        <v/>
      </c>
      <c r="H134" s="544" t="str">
        <f aca="false">+IFERROR(VLOOKUP(C134,Hoja1!$A$1:$L$82,12,0),"")</f>
        <v/>
      </c>
      <c r="I134" s="560"/>
      <c r="J134" s="493" t="n">
        <v>120</v>
      </c>
      <c r="K134" s="561"/>
      <c r="M134" s="548"/>
      <c r="N134" s="545"/>
      <c r="O134" s="545"/>
      <c r="P134" s="545"/>
      <c r="Q134" s="545"/>
      <c r="R134" s="545"/>
      <c r="S134" s="545"/>
    </row>
    <row r="135" customFormat="false" ht="99.75" hidden="false" customHeight="true" outlineLevel="0" collapsed="false">
      <c r="B135" s="546" t="n">
        <f aca="false">+IF(ISTEXT(D135),J135,"")</f>
        <v>121</v>
      </c>
      <c r="C135" s="542" t="str">
        <f aca="false">+IFERROR(INDEX(Hoja1!$A$2:$A$82,MATCH(J135,Hoja1!$H$2:$H$82,0)),"")</f>
        <v/>
      </c>
      <c r="D135" s="543" t="str">
        <f aca="false">IFERROR(VLOOKUP(C135,Hoja1!$A$2:$H$82,4,0),"")</f>
        <v/>
      </c>
      <c r="E135" s="543" t="str">
        <f aca="false">+IFERROR(VLOOKUP(C135,Hoja1!$A$1:$J$82,10,0),"")</f>
        <v/>
      </c>
      <c r="F135" s="543" t="str">
        <f aca="false">+IFERROR(VLOOKUP(C135,Hoja1!$A$1:$I$82,3,0),"")</f>
        <v/>
      </c>
      <c r="G135" s="542" t="str">
        <f aca="false">+IFERROR(VLOOKUP(C135,Hoja1!$A$1:$K$82,11,0),"")</f>
        <v/>
      </c>
      <c r="H135" s="544" t="str">
        <f aca="false">+IFERROR(VLOOKUP(C135,Hoja1!$A$1:$L$82,12,0),"")</f>
        <v/>
      </c>
      <c r="I135" s="560"/>
      <c r="J135" s="493" t="n">
        <v>121</v>
      </c>
      <c r="K135" s="561"/>
      <c r="M135" s="548"/>
      <c r="N135" s="545"/>
      <c r="O135" s="545"/>
      <c r="P135" s="545"/>
      <c r="Q135" s="545"/>
      <c r="R135" s="545"/>
      <c r="S135" s="545"/>
    </row>
    <row r="136" customFormat="false" ht="99.75" hidden="false" customHeight="true" outlineLevel="0" collapsed="false">
      <c r="B136" s="541" t="n">
        <f aca="false">+IF(ISTEXT(D136),J136,"")</f>
        <v>122</v>
      </c>
      <c r="C136" s="542" t="str">
        <f aca="false">+IFERROR(INDEX(Hoja1!$A$2:$A$82,MATCH(J136,Hoja1!$H$2:$H$82,0)),"")</f>
        <v/>
      </c>
      <c r="D136" s="543" t="str">
        <f aca="false">IFERROR(VLOOKUP(C136,Hoja1!$A$2:$H$82,4,0),"")</f>
        <v/>
      </c>
      <c r="E136" s="543" t="str">
        <f aca="false">+IFERROR(VLOOKUP(C136,Hoja1!$A$1:$J$82,10,0),"")</f>
        <v/>
      </c>
      <c r="F136" s="543" t="str">
        <f aca="false">+IFERROR(VLOOKUP(C136,Hoja1!$A$1:$I$82,3,0),"")</f>
        <v/>
      </c>
      <c r="G136" s="542" t="str">
        <f aca="false">+IFERROR(VLOOKUP(C136,Hoja1!$A$1:$K$82,11,0),"")</f>
        <v/>
      </c>
      <c r="H136" s="544" t="str">
        <f aca="false">+IFERROR(VLOOKUP(C136,Hoja1!$A$1:$L$82,12,0),"")</f>
        <v/>
      </c>
      <c r="I136" s="560"/>
      <c r="J136" s="493" t="n">
        <v>122</v>
      </c>
      <c r="K136" s="561"/>
      <c r="M136" s="548"/>
      <c r="N136" s="545"/>
      <c r="O136" s="545"/>
      <c r="P136" s="545"/>
      <c r="Q136" s="545"/>
      <c r="R136" s="545"/>
      <c r="S136" s="545"/>
    </row>
    <row r="137" customFormat="false" ht="99.75" hidden="false" customHeight="true" outlineLevel="0" collapsed="false">
      <c r="B137" s="541" t="n">
        <f aca="false">+IF(ISTEXT(D137),J137,"")</f>
        <v>123</v>
      </c>
      <c r="C137" s="542" t="str">
        <f aca="false">+IFERROR(INDEX(Hoja1!$A$2:$A$82,MATCH(J137,Hoja1!$H$2:$H$82,0)),"")</f>
        <v/>
      </c>
      <c r="D137" s="543" t="str">
        <f aca="false">IFERROR(VLOOKUP(C137,Hoja1!$A$2:$H$82,4,0),"")</f>
        <v/>
      </c>
      <c r="E137" s="543" t="str">
        <f aca="false">+IFERROR(VLOOKUP(C137,Hoja1!$A$1:$J$82,10,0),"")</f>
        <v/>
      </c>
      <c r="F137" s="543" t="str">
        <f aca="false">+IFERROR(VLOOKUP(C137,Hoja1!$A$1:$I$82,3,0),"")</f>
        <v/>
      </c>
      <c r="G137" s="542" t="str">
        <f aca="false">+IFERROR(VLOOKUP(C137,Hoja1!$A$1:$K$82,11,0),"")</f>
        <v/>
      </c>
      <c r="H137" s="544" t="str">
        <f aca="false">+IFERROR(VLOOKUP(C137,Hoja1!$A$1:$L$82,12,0),"")</f>
        <v/>
      </c>
      <c r="I137" s="560"/>
      <c r="J137" s="493" t="n">
        <v>123</v>
      </c>
      <c r="K137" s="561"/>
      <c r="M137" s="548"/>
      <c r="N137" s="545"/>
      <c r="O137" s="545"/>
      <c r="P137" s="545"/>
      <c r="Q137" s="545"/>
      <c r="R137" s="545"/>
      <c r="S137" s="545"/>
    </row>
    <row r="138" customFormat="false" ht="99.75" hidden="false" customHeight="true" outlineLevel="0" collapsed="false">
      <c r="B138" s="541" t="n">
        <f aca="false">+IF(ISTEXT(D138),J138,"")</f>
        <v>124</v>
      </c>
      <c r="C138" s="542" t="str">
        <f aca="false">+IFERROR(INDEX(Hoja1!$A$2:$A$82,MATCH(J138,Hoja1!$H$2:$H$82,0)),"")</f>
        <v/>
      </c>
      <c r="D138" s="543" t="str">
        <f aca="false">IFERROR(VLOOKUP(C138,Hoja1!$A$2:$H$82,4,0),"")</f>
        <v/>
      </c>
      <c r="E138" s="543" t="str">
        <f aca="false">+IFERROR(VLOOKUP(C138,Hoja1!$A$1:$J$82,10,0),"")</f>
        <v/>
      </c>
      <c r="F138" s="543" t="str">
        <f aca="false">+IFERROR(VLOOKUP(C138,Hoja1!$A$1:$I$82,3,0),"")</f>
        <v/>
      </c>
      <c r="G138" s="542" t="str">
        <f aca="false">+IFERROR(VLOOKUP(C138,Hoja1!$A$1:$K$82,11,0),"")</f>
        <v/>
      </c>
      <c r="H138" s="544" t="str">
        <f aca="false">+IFERROR(VLOOKUP(C138,Hoja1!$A$1:$L$82,12,0),"")</f>
        <v/>
      </c>
      <c r="I138" s="560"/>
      <c r="J138" s="493" t="n">
        <v>124</v>
      </c>
      <c r="K138" s="561"/>
      <c r="M138" s="548"/>
      <c r="N138" s="545"/>
      <c r="O138" s="545"/>
      <c r="P138" s="545"/>
      <c r="Q138" s="545"/>
      <c r="R138" s="545"/>
      <c r="S138" s="545"/>
    </row>
    <row r="139" customFormat="false" ht="99.75" hidden="false" customHeight="true" outlineLevel="0" collapsed="false">
      <c r="B139" s="541" t="n">
        <f aca="false">+IF(ISTEXT(D139),J139,"")</f>
        <v>125</v>
      </c>
      <c r="C139" s="542" t="str">
        <f aca="false">+IFERROR(INDEX(Hoja1!$A$2:$A$82,MATCH(J139,Hoja1!$H$2:$H$82,0)),"")</f>
        <v/>
      </c>
      <c r="D139" s="543" t="str">
        <f aca="false">IFERROR(VLOOKUP(C139,Hoja1!$A$2:$H$82,4,0),"")</f>
        <v/>
      </c>
      <c r="E139" s="543" t="str">
        <f aca="false">+IFERROR(VLOOKUP(C139,Hoja1!$A$1:$J$82,10,0),"")</f>
        <v/>
      </c>
      <c r="F139" s="543" t="str">
        <f aca="false">+IFERROR(VLOOKUP(C139,Hoja1!$A$1:$I$82,3,0),"")</f>
        <v/>
      </c>
      <c r="G139" s="542" t="str">
        <f aca="false">+IFERROR(VLOOKUP(C139,Hoja1!$A$1:$K$82,11,0),"")</f>
        <v/>
      </c>
      <c r="H139" s="544" t="str">
        <f aca="false">+IFERROR(VLOOKUP(C139,Hoja1!$A$1:$L$82,12,0),"")</f>
        <v/>
      </c>
      <c r="I139" s="560"/>
      <c r="J139" s="493" t="n">
        <v>125</v>
      </c>
      <c r="K139" s="561"/>
      <c r="M139" s="548"/>
      <c r="N139" s="545"/>
      <c r="O139" s="545"/>
      <c r="P139" s="545"/>
      <c r="Q139" s="545"/>
      <c r="R139" s="545"/>
      <c r="S139" s="545"/>
    </row>
    <row r="140" customFormat="false" ht="99.75" hidden="false" customHeight="true" outlineLevel="0" collapsed="false">
      <c r="B140" s="546" t="n">
        <f aca="false">+IF(ISTEXT(D140),J140,"")</f>
        <v>126</v>
      </c>
      <c r="C140" s="542" t="str">
        <f aca="false">+IFERROR(INDEX(Hoja1!$A$2:$A$82,MATCH(J140,Hoja1!$H$2:$H$82,0)),"")</f>
        <v/>
      </c>
      <c r="D140" s="543" t="str">
        <f aca="false">IFERROR(VLOOKUP(C140,Hoja1!$A$2:$H$82,4,0),"")</f>
        <v/>
      </c>
      <c r="E140" s="543" t="str">
        <f aca="false">+IFERROR(VLOOKUP(C140,Hoja1!$A$1:$J$82,10,0),"")</f>
        <v/>
      </c>
      <c r="F140" s="543" t="str">
        <f aca="false">+IFERROR(VLOOKUP(C140,Hoja1!$A$1:$I$82,3,0),"")</f>
        <v/>
      </c>
      <c r="G140" s="542" t="str">
        <f aca="false">+IFERROR(VLOOKUP(C140,Hoja1!$A$1:$K$82,11,0),"")</f>
        <v/>
      </c>
      <c r="H140" s="544" t="str">
        <f aca="false">+IFERROR(VLOOKUP(C140,Hoja1!$A$1:$L$82,12,0),"")</f>
        <v/>
      </c>
      <c r="I140" s="560"/>
      <c r="J140" s="493" t="n">
        <v>126</v>
      </c>
      <c r="K140" s="561"/>
      <c r="M140" s="548"/>
      <c r="N140" s="545"/>
      <c r="O140" s="545"/>
      <c r="P140" s="545"/>
      <c r="Q140" s="545"/>
      <c r="R140" s="545"/>
      <c r="S140" s="545"/>
    </row>
    <row r="141" customFormat="false" ht="99.75" hidden="false" customHeight="true" outlineLevel="0" collapsed="false">
      <c r="B141" s="541" t="n">
        <f aca="false">+IF(ISTEXT(D141),J141,"")</f>
        <v>127</v>
      </c>
      <c r="C141" s="542" t="str">
        <f aca="false">+IFERROR(INDEX(Hoja1!$A$2:$A$82,MATCH(J141,Hoja1!$H$2:$H$82,0)),"")</f>
        <v/>
      </c>
      <c r="D141" s="543" t="str">
        <f aca="false">IFERROR(VLOOKUP(C141,Hoja1!$A$2:$H$82,4,0),"")</f>
        <v/>
      </c>
      <c r="E141" s="543" t="str">
        <f aca="false">+IFERROR(VLOOKUP(C141,Hoja1!$A$1:$J$82,10,0),"")</f>
        <v/>
      </c>
      <c r="F141" s="543" t="str">
        <f aca="false">+IFERROR(VLOOKUP(C141,Hoja1!$A$1:$I$82,3,0),"")</f>
        <v/>
      </c>
      <c r="G141" s="542" t="str">
        <f aca="false">+IFERROR(VLOOKUP(C141,Hoja1!$A$1:$K$82,11,0),"")</f>
        <v/>
      </c>
      <c r="H141" s="544" t="str">
        <f aca="false">+IFERROR(VLOOKUP(C141,Hoja1!$A$1:$L$82,12,0),"")</f>
        <v/>
      </c>
      <c r="I141" s="560"/>
      <c r="J141" s="493" t="n">
        <v>127</v>
      </c>
      <c r="K141" s="561"/>
      <c r="M141" s="548"/>
      <c r="N141" s="545"/>
      <c r="O141" s="545"/>
      <c r="P141" s="545"/>
      <c r="Q141" s="545"/>
      <c r="R141" s="545"/>
      <c r="S141" s="545"/>
    </row>
    <row r="142" customFormat="false" ht="99.75" hidden="false" customHeight="true" outlineLevel="0" collapsed="false">
      <c r="B142" s="541" t="n">
        <f aca="false">+IF(ISTEXT(D142),J142,"")</f>
        <v>128</v>
      </c>
      <c r="C142" s="542" t="str">
        <f aca="false">+IFERROR(INDEX(Hoja1!$A$2:$A$82,MATCH(J142,Hoja1!$H$2:$H$82,0)),"")</f>
        <v/>
      </c>
      <c r="D142" s="543" t="str">
        <f aca="false">IFERROR(VLOOKUP(C142,Hoja1!$A$2:$H$82,4,0),"")</f>
        <v/>
      </c>
      <c r="E142" s="543" t="str">
        <f aca="false">+IFERROR(VLOOKUP(C142,Hoja1!$A$1:$J$82,10,0),"")</f>
        <v/>
      </c>
      <c r="F142" s="543" t="str">
        <f aca="false">+IFERROR(VLOOKUP(C142,Hoja1!$A$1:$I$82,3,0),"")</f>
        <v/>
      </c>
      <c r="G142" s="542" t="str">
        <f aca="false">+IFERROR(VLOOKUP(C142,Hoja1!$A$1:$K$82,11,0),"")</f>
        <v/>
      </c>
      <c r="H142" s="544" t="str">
        <f aca="false">+IFERROR(VLOOKUP(C142,Hoja1!$A$1:$L$82,12,0),"")</f>
        <v/>
      </c>
      <c r="I142" s="560"/>
      <c r="J142" s="493" t="n">
        <v>128</v>
      </c>
      <c r="K142" s="561"/>
      <c r="M142" s="548"/>
      <c r="N142" s="545"/>
      <c r="O142" s="545"/>
      <c r="P142" s="545"/>
      <c r="Q142" s="545"/>
      <c r="R142" s="545"/>
      <c r="S142" s="545"/>
    </row>
    <row r="143" customFormat="false" ht="99.75" hidden="false" customHeight="true" outlineLevel="0" collapsed="false">
      <c r="B143" s="541" t="n">
        <f aca="false">+IF(ISTEXT(D143),J143,"")</f>
        <v>129</v>
      </c>
      <c r="C143" s="542" t="str">
        <f aca="false">+IFERROR(INDEX(Hoja1!$A$2:$A$82,MATCH(J143,Hoja1!$H$2:$H$82,0)),"")</f>
        <v/>
      </c>
      <c r="D143" s="543" t="str">
        <f aca="false">IFERROR(VLOOKUP(C143,Hoja1!$A$2:$H$82,4,0),"")</f>
        <v/>
      </c>
      <c r="E143" s="543" t="str">
        <f aca="false">+IFERROR(VLOOKUP(C143,Hoja1!$A$1:$J$82,10,0),"")</f>
        <v/>
      </c>
      <c r="F143" s="543" t="str">
        <f aca="false">+IFERROR(VLOOKUP(C143,Hoja1!$A$1:$I$82,3,0),"")</f>
        <v/>
      </c>
      <c r="G143" s="542" t="str">
        <f aca="false">+IFERROR(VLOOKUP(C143,Hoja1!$A$1:$K$82,11,0),"")</f>
        <v/>
      </c>
      <c r="H143" s="544" t="str">
        <f aca="false">+IFERROR(VLOOKUP(C143,Hoja1!$A$1:$L$82,12,0),"")</f>
        <v/>
      </c>
      <c r="I143" s="560"/>
      <c r="J143" s="493" t="n">
        <v>129</v>
      </c>
      <c r="K143" s="561"/>
      <c r="M143" s="548"/>
      <c r="N143" s="545"/>
      <c r="O143" s="545"/>
      <c r="P143" s="545"/>
      <c r="Q143" s="545"/>
      <c r="R143" s="545"/>
      <c r="S143" s="545"/>
    </row>
    <row r="144" customFormat="false" ht="99.75" hidden="false" customHeight="true" outlineLevel="0" collapsed="false">
      <c r="B144" s="541" t="n">
        <f aca="false">+IF(ISTEXT(D144),J144,"")</f>
        <v>130</v>
      </c>
      <c r="C144" s="542" t="str">
        <f aca="false">+IFERROR(INDEX(Hoja1!$A$2:$A$82,MATCH(J144,Hoja1!$H$2:$H$82,0)),"")</f>
        <v/>
      </c>
      <c r="D144" s="543" t="str">
        <f aca="false">IFERROR(VLOOKUP(C144,Hoja1!$A$2:$H$82,4,0),"")</f>
        <v/>
      </c>
      <c r="E144" s="543" t="str">
        <f aca="false">+IFERROR(VLOOKUP(C144,Hoja1!$A$1:$J$82,10,0),"")</f>
        <v/>
      </c>
      <c r="F144" s="543" t="str">
        <f aca="false">+IFERROR(VLOOKUP(C144,Hoja1!$A$1:$I$82,3,0),"")</f>
        <v/>
      </c>
      <c r="G144" s="542" t="str">
        <f aca="false">+IFERROR(VLOOKUP(C144,Hoja1!$A$1:$K$82,11,0),"")</f>
        <v/>
      </c>
      <c r="H144" s="544" t="str">
        <f aca="false">+IFERROR(VLOOKUP(C144,Hoja1!$A$1:$L$82,12,0),"")</f>
        <v/>
      </c>
      <c r="I144" s="560"/>
      <c r="J144" s="493" t="n">
        <v>130</v>
      </c>
      <c r="K144" s="561"/>
      <c r="M144" s="548"/>
      <c r="N144" s="545"/>
      <c r="O144" s="545"/>
      <c r="P144" s="545"/>
      <c r="Q144" s="545"/>
      <c r="R144" s="545"/>
      <c r="S144" s="545"/>
    </row>
    <row r="145" customFormat="false" ht="99.75" hidden="false" customHeight="true" outlineLevel="0" collapsed="false">
      <c r="B145" s="546" t="n">
        <f aca="false">+IF(ISTEXT(D145),J145,"")</f>
        <v>131</v>
      </c>
      <c r="C145" s="542" t="str">
        <f aca="false">+IFERROR(INDEX(Hoja1!$A$2:$A$82,MATCH(J145,Hoja1!$H$2:$H$82,0)),"")</f>
        <v/>
      </c>
      <c r="D145" s="543" t="str">
        <f aca="false">IFERROR(VLOOKUP(C145,Hoja1!$A$2:$H$82,4,0),"")</f>
        <v/>
      </c>
      <c r="E145" s="543" t="str">
        <f aca="false">+IFERROR(VLOOKUP(C145,Hoja1!$A$1:$J$82,10,0),"")</f>
        <v/>
      </c>
      <c r="F145" s="543" t="str">
        <f aca="false">+IFERROR(VLOOKUP(C145,Hoja1!$A$1:$I$82,3,0),"")</f>
        <v/>
      </c>
      <c r="G145" s="542" t="str">
        <f aca="false">+IFERROR(VLOOKUP(C145,Hoja1!$A$1:$K$82,11,0),"")</f>
        <v/>
      </c>
      <c r="H145" s="544" t="str">
        <f aca="false">+IFERROR(VLOOKUP(C145,Hoja1!$A$1:$L$82,12,0),"")</f>
        <v/>
      </c>
      <c r="I145" s="560"/>
      <c r="J145" s="493" t="n">
        <v>131</v>
      </c>
      <c r="K145" s="561"/>
      <c r="M145" s="548"/>
      <c r="N145" s="545"/>
      <c r="O145" s="545"/>
      <c r="P145" s="545"/>
      <c r="Q145" s="545"/>
      <c r="R145" s="545"/>
      <c r="S145" s="545"/>
    </row>
    <row r="146" customFormat="false" ht="99.75" hidden="false" customHeight="true" outlineLevel="0" collapsed="false">
      <c r="B146" s="541" t="n">
        <f aca="false">+IF(ISTEXT(D146),J146,"")</f>
        <v>132</v>
      </c>
      <c r="C146" s="542" t="str">
        <f aca="false">+IFERROR(INDEX(Hoja1!$A$2:$A$82,MATCH(J146,Hoja1!$H$2:$H$82,0)),"")</f>
        <v/>
      </c>
      <c r="D146" s="543" t="str">
        <f aca="false">IFERROR(VLOOKUP(C146,Hoja1!$A$2:$H$82,4,0),"")</f>
        <v/>
      </c>
      <c r="E146" s="543" t="str">
        <f aca="false">+IFERROR(VLOOKUP(C146,Hoja1!$A$1:$J$82,10,0),"")</f>
        <v/>
      </c>
      <c r="F146" s="543" t="str">
        <f aca="false">+IFERROR(VLOOKUP(C146,Hoja1!$A$1:$I$82,3,0),"")</f>
        <v/>
      </c>
      <c r="G146" s="542" t="str">
        <f aca="false">+IFERROR(VLOOKUP(C146,Hoja1!$A$1:$K$82,11,0),"")</f>
        <v/>
      </c>
      <c r="H146" s="544" t="str">
        <f aca="false">+IFERROR(VLOOKUP(C146,Hoja1!$A$1:$L$82,12,0),"")</f>
        <v/>
      </c>
      <c r="I146" s="560"/>
      <c r="J146" s="493" t="n">
        <v>132</v>
      </c>
      <c r="K146" s="561"/>
      <c r="M146" s="548"/>
      <c r="N146" s="545"/>
      <c r="O146" s="545"/>
      <c r="P146" s="545"/>
      <c r="Q146" s="545"/>
      <c r="R146" s="545"/>
      <c r="S146" s="545"/>
    </row>
    <row r="147" customFormat="false" ht="99.75" hidden="false" customHeight="true" outlineLevel="0" collapsed="false">
      <c r="B147" s="541" t="n">
        <f aca="false">+IF(ISTEXT(D147),J147,"")</f>
        <v>133</v>
      </c>
      <c r="C147" s="542" t="str">
        <f aca="false">+IFERROR(INDEX(Hoja1!$A$2:$A$82,MATCH(J147,Hoja1!$H$2:$H$82,0)),"")</f>
        <v/>
      </c>
      <c r="D147" s="543" t="str">
        <f aca="false">IFERROR(VLOOKUP(C147,Hoja1!$A$2:$H$82,4,0),"")</f>
        <v/>
      </c>
      <c r="E147" s="543" t="str">
        <f aca="false">+IFERROR(VLOOKUP(C147,Hoja1!$A$1:$J$82,10,0),"")</f>
        <v/>
      </c>
      <c r="F147" s="543" t="str">
        <f aca="false">+IFERROR(VLOOKUP(C147,Hoja1!$A$1:$I$82,3,0),"")</f>
        <v/>
      </c>
      <c r="G147" s="542" t="str">
        <f aca="false">+IFERROR(VLOOKUP(C147,Hoja1!$A$1:$K$82,11,0),"")</f>
        <v/>
      </c>
      <c r="H147" s="544" t="str">
        <f aca="false">+IFERROR(VLOOKUP(C147,Hoja1!$A$1:$L$82,12,0),"")</f>
        <v/>
      </c>
      <c r="I147" s="560"/>
      <c r="J147" s="493" t="n">
        <v>133</v>
      </c>
      <c r="K147" s="561"/>
      <c r="M147" s="548"/>
      <c r="N147" s="545"/>
      <c r="O147" s="545"/>
      <c r="P147" s="545"/>
      <c r="Q147" s="545"/>
      <c r="R147" s="545"/>
      <c r="S147" s="545"/>
    </row>
    <row r="148" customFormat="false" ht="99.75" hidden="false" customHeight="true" outlineLevel="0" collapsed="false">
      <c r="B148" s="541" t="n">
        <f aca="false">+IF(ISTEXT(D148),J148,"")</f>
        <v>134</v>
      </c>
      <c r="C148" s="542" t="str">
        <f aca="false">+IFERROR(INDEX(Hoja1!$A$2:$A$82,MATCH(J148,Hoja1!$H$2:$H$82,0)),"")</f>
        <v/>
      </c>
      <c r="D148" s="543" t="str">
        <f aca="false">IFERROR(VLOOKUP(C148,Hoja1!$A$2:$H$82,4,0),"")</f>
        <v/>
      </c>
      <c r="E148" s="543" t="str">
        <f aca="false">+IFERROR(VLOOKUP(C148,Hoja1!$A$1:$J$82,10,0),"")</f>
        <v/>
      </c>
      <c r="F148" s="543" t="str">
        <f aca="false">+IFERROR(VLOOKUP(C148,Hoja1!$A$1:$I$82,3,0),"")</f>
        <v/>
      </c>
      <c r="G148" s="542" t="str">
        <f aca="false">+IFERROR(VLOOKUP(C148,Hoja1!$A$1:$K$82,11,0),"")</f>
        <v/>
      </c>
      <c r="H148" s="544" t="str">
        <f aca="false">+IFERROR(VLOOKUP(C148,Hoja1!$A$1:$L$82,12,0),"")</f>
        <v/>
      </c>
      <c r="I148" s="560"/>
      <c r="J148" s="493" t="n">
        <v>134</v>
      </c>
      <c r="K148" s="561"/>
      <c r="M148" s="548"/>
      <c r="N148" s="545"/>
      <c r="O148" s="545"/>
      <c r="P148" s="545"/>
      <c r="Q148" s="545"/>
      <c r="R148" s="545"/>
      <c r="S148" s="545"/>
    </row>
    <row r="149" customFormat="false" ht="99.75" hidden="false" customHeight="true" outlineLevel="0" collapsed="false">
      <c r="B149" s="541" t="n">
        <f aca="false">+IF(ISTEXT(D149),J149,"")</f>
        <v>135</v>
      </c>
      <c r="C149" s="542" t="str">
        <f aca="false">+IFERROR(INDEX(Hoja1!$A$2:$A$82,MATCH(J149,Hoja1!$H$2:$H$82,0)),"")</f>
        <v/>
      </c>
      <c r="D149" s="543" t="str">
        <f aca="false">IFERROR(VLOOKUP(C149,Hoja1!$A$2:$H$82,4,0),"")</f>
        <v/>
      </c>
      <c r="E149" s="543" t="str">
        <f aca="false">+IFERROR(VLOOKUP(C149,Hoja1!$A$1:$J$82,10,0),"")</f>
        <v/>
      </c>
      <c r="F149" s="543" t="str">
        <f aca="false">+IFERROR(VLOOKUP(C149,Hoja1!$A$1:$I$82,3,0),"")</f>
        <v/>
      </c>
      <c r="G149" s="542" t="str">
        <f aca="false">+IFERROR(VLOOKUP(C149,Hoja1!$A$1:$K$82,11,0),"")</f>
        <v/>
      </c>
      <c r="H149" s="544" t="str">
        <f aca="false">+IFERROR(VLOOKUP(C149,Hoja1!$A$1:$L$82,12,0),"")</f>
        <v/>
      </c>
      <c r="I149" s="560"/>
      <c r="J149" s="493" t="n">
        <v>135</v>
      </c>
      <c r="K149" s="561"/>
      <c r="M149" s="548"/>
      <c r="N149" s="545"/>
      <c r="O149" s="545"/>
      <c r="P149" s="545"/>
      <c r="Q149" s="545"/>
      <c r="R149" s="545"/>
      <c r="S149" s="545"/>
    </row>
    <row r="150" customFormat="false" ht="99.75" hidden="false" customHeight="true" outlineLevel="0" collapsed="false">
      <c r="B150" s="546" t="n">
        <f aca="false">+IF(ISTEXT(D150),J150,"")</f>
        <v>136</v>
      </c>
      <c r="C150" s="542" t="str">
        <f aca="false">+IFERROR(INDEX(Hoja1!$A$2:$A$82,MATCH(J150,Hoja1!$H$2:$H$82,0)),"")</f>
        <v/>
      </c>
      <c r="D150" s="543" t="str">
        <f aca="false">IFERROR(VLOOKUP(C150,Hoja1!$A$2:$H$82,4,0),"")</f>
        <v/>
      </c>
      <c r="E150" s="543" t="str">
        <f aca="false">+IFERROR(VLOOKUP(C150,Hoja1!$A$1:$J$82,10,0),"")</f>
        <v/>
      </c>
      <c r="F150" s="543" t="str">
        <f aca="false">+IFERROR(VLOOKUP(C150,Hoja1!$A$1:$I$82,3,0),"")</f>
        <v/>
      </c>
      <c r="G150" s="542" t="str">
        <f aca="false">+IFERROR(VLOOKUP(C150,Hoja1!$A$1:$K$82,11,0),"")</f>
        <v/>
      </c>
      <c r="H150" s="544" t="str">
        <f aca="false">+IFERROR(VLOOKUP(C150,Hoja1!$A$1:$L$82,12,0),"")</f>
        <v/>
      </c>
      <c r="I150" s="560"/>
      <c r="J150" s="493" t="n">
        <v>136</v>
      </c>
      <c r="K150" s="561"/>
      <c r="M150" s="548"/>
      <c r="N150" s="545"/>
      <c r="O150" s="545"/>
      <c r="P150" s="545"/>
      <c r="Q150" s="545"/>
      <c r="R150" s="545"/>
      <c r="S150" s="545"/>
    </row>
    <row r="151" customFormat="false" ht="99.75" hidden="false" customHeight="true" outlineLevel="0" collapsed="false">
      <c r="B151" s="541" t="n">
        <f aca="false">+IF(ISTEXT(D151),J151,"")</f>
        <v>137</v>
      </c>
      <c r="C151" s="542" t="str">
        <f aca="false">+IFERROR(INDEX(Hoja1!$A$2:$A$82,MATCH(J151,Hoja1!$H$2:$H$82,0)),"")</f>
        <v/>
      </c>
      <c r="D151" s="543" t="str">
        <f aca="false">IFERROR(VLOOKUP(C151,Hoja1!$A$2:$H$82,4,0),"")</f>
        <v/>
      </c>
      <c r="E151" s="543" t="str">
        <f aca="false">+IFERROR(VLOOKUP(C151,Hoja1!$A$1:$J$82,10,0),"")</f>
        <v/>
      </c>
      <c r="F151" s="543" t="str">
        <f aca="false">+IFERROR(VLOOKUP(C151,Hoja1!$A$1:$I$82,3,0),"")</f>
        <v/>
      </c>
      <c r="G151" s="542" t="str">
        <f aca="false">+IFERROR(VLOOKUP(C151,Hoja1!$A$1:$K$82,11,0),"")</f>
        <v/>
      </c>
      <c r="H151" s="544" t="str">
        <f aca="false">+IFERROR(VLOOKUP(C151,Hoja1!$A$1:$L$82,12,0),"")</f>
        <v/>
      </c>
      <c r="I151" s="560"/>
      <c r="J151" s="493" t="n">
        <v>137</v>
      </c>
      <c r="K151" s="561"/>
      <c r="M151" s="548"/>
      <c r="N151" s="545"/>
      <c r="O151" s="545"/>
      <c r="P151" s="545"/>
      <c r="Q151" s="545"/>
      <c r="R151" s="545"/>
      <c r="S151" s="545"/>
    </row>
    <row r="152" customFormat="false" ht="99.75" hidden="false" customHeight="true" outlineLevel="0" collapsed="false">
      <c r="B152" s="541" t="n">
        <f aca="false">+IF(ISTEXT(D152),J152,"")</f>
        <v>138</v>
      </c>
      <c r="C152" s="542" t="str">
        <f aca="false">+IFERROR(INDEX(Hoja1!$A$2:$A$82,MATCH(J152,Hoja1!$H$2:$H$82,0)),"")</f>
        <v/>
      </c>
      <c r="D152" s="543" t="str">
        <f aca="false">IFERROR(VLOOKUP(C152,Hoja1!$A$2:$H$82,4,0),"")</f>
        <v/>
      </c>
      <c r="E152" s="543" t="str">
        <f aca="false">+IFERROR(VLOOKUP(C152,Hoja1!$A$1:$J$82,10,0),"")</f>
        <v/>
      </c>
      <c r="F152" s="543" t="str">
        <f aca="false">+IFERROR(VLOOKUP(C152,Hoja1!$A$1:$I$82,3,0),"")</f>
        <v/>
      </c>
      <c r="G152" s="542" t="str">
        <f aca="false">+IFERROR(VLOOKUP(C152,Hoja1!$A$1:$K$82,11,0),"")</f>
        <v/>
      </c>
      <c r="H152" s="544" t="str">
        <f aca="false">+IFERROR(VLOOKUP(C152,Hoja1!$A$1:$L$82,12,0),"")</f>
        <v/>
      </c>
      <c r="I152" s="560"/>
      <c r="J152" s="493" t="n">
        <v>138</v>
      </c>
      <c r="K152" s="561"/>
      <c r="M152" s="548"/>
      <c r="N152" s="545"/>
      <c r="O152" s="545"/>
      <c r="P152" s="545"/>
      <c r="Q152" s="545"/>
      <c r="R152" s="545"/>
      <c r="S152" s="545"/>
    </row>
    <row r="153" customFormat="false" ht="99.75" hidden="false" customHeight="true" outlineLevel="0" collapsed="false">
      <c r="B153" s="541" t="n">
        <f aca="false">+IF(ISTEXT(D153),J153,"")</f>
        <v>139</v>
      </c>
      <c r="C153" s="542" t="str">
        <f aca="false">+IFERROR(INDEX(Hoja1!$A$2:$A$82,MATCH(J153,Hoja1!$H$2:$H$82,0)),"")</f>
        <v/>
      </c>
      <c r="D153" s="543" t="str">
        <f aca="false">IFERROR(VLOOKUP(C153,Hoja1!$A$2:$H$82,4,0),"")</f>
        <v/>
      </c>
      <c r="E153" s="543" t="str">
        <f aca="false">+IFERROR(VLOOKUP(C153,Hoja1!$A$1:$J$82,10,0),"")</f>
        <v/>
      </c>
      <c r="F153" s="543" t="str">
        <f aca="false">+IFERROR(VLOOKUP(C153,Hoja1!$A$1:$I$82,3,0),"")</f>
        <v/>
      </c>
      <c r="G153" s="542" t="str">
        <f aca="false">+IFERROR(VLOOKUP(C153,Hoja1!$A$1:$K$82,11,0),"")</f>
        <v/>
      </c>
      <c r="H153" s="544" t="str">
        <f aca="false">+IFERROR(VLOOKUP(C153,Hoja1!$A$1:$L$82,12,0),"")</f>
        <v/>
      </c>
      <c r="I153" s="560"/>
      <c r="J153" s="493" t="n">
        <v>139</v>
      </c>
      <c r="K153" s="561"/>
      <c r="M153" s="548"/>
      <c r="N153" s="545"/>
      <c r="O153" s="545"/>
      <c r="P153" s="545"/>
      <c r="Q153" s="545"/>
      <c r="R153" s="545"/>
      <c r="S153" s="545"/>
    </row>
    <row r="154" customFormat="false" ht="99.75" hidden="false" customHeight="true" outlineLevel="0" collapsed="false">
      <c r="B154" s="541" t="n">
        <f aca="false">+IF(ISTEXT(D154),J154,"")</f>
        <v>140</v>
      </c>
      <c r="C154" s="542" t="str">
        <f aca="false">+IFERROR(INDEX(Hoja1!$A$2:$A$82,MATCH(J154,Hoja1!$H$2:$H$82,0)),"")</f>
        <v/>
      </c>
      <c r="D154" s="543" t="str">
        <f aca="false">IFERROR(VLOOKUP(C154,Hoja1!$A$2:$H$82,4,0),"")</f>
        <v/>
      </c>
      <c r="E154" s="543" t="str">
        <f aca="false">+IFERROR(VLOOKUP(C154,Hoja1!$A$1:$J$82,10,0),"")</f>
        <v/>
      </c>
      <c r="F154" s="543" t="str">
        <f aca="false">+IFERROR(VLOOKUP(C154,Hoja1!$A$1:$I$82,3,0),"")</f>
        <v/>
      </c>
      <c r="G154" s="542" t="str">
        <f aca="false">+IFERROR(VLOOKUP(C154,Hoja1!$A$1:$K$82,11,0),"")</f>
        <v/>
      </c>
      <c r="H154" s="544" t="str">
        <f aca="false">+IFERROR(VLOOKUP(C154,Hoja1!$A$1:$L$82,12,0),"")</f>
        <v/>
      </c>
      <c r="I154" s="560"/>
      <c r="J154" s="493" t="n">
        <v>140</v>
      </c>
      <c r="K154" s="561"/>
      <c r="M154" s="548"/>
      <c r="N154" s="545"/>
      <c r="O154" s="545"/>
      <c r="P154" s="545"/>
      <c r="Q154" s="545"/>
      <c r="R154" s="545"/>
      <c r="S154" s="545"/>
    </row>
    <row r="155" customFormat="false" ht="99.75" hidden="false" customHeight="true" outlineLevel="0" collapsed="false">
      <c r="B155" s="546" t="n">
        <f aca="false">+IF(ISTEXT(D155),J155,"")</f>
        <v>141</v>
      </c>
      <c r="C155" s="542" t="str">
        <f aca="false">+IFERROR(INDEX(Hoja1!$A$2:$A$82,MATCH(J155,Hoja1!$H$2:$H$82,0)),"")</f>
        <v/>
      </c>
      <c r="D155" s="543" t="str">
        <f aca="false">IFERROR(VLOOKUP(C155,Hoja1!$A$2:$H$82,4,0),"")</f>
        <v/>
      </c>
      <c r="E155" s="543" t="str">
        <f aca="false">+IFERROR(VLOOKUP(C155,Hoja1!$A$1:$J$82,10,0),"")</f>
        <v/>
      </c>
      <c r="F155" s="543" t="str">
        <f aca="false">+IFERROR(VLOOKUP(C155,Hoja1!$A$1:$I$82,3,0),"")</f>
        <v/>
      </c>
      <c r="G155" s="542" t="str">
        <f aca="false">+IFERROR(VLOOKUP(C155,Hoja1!$A$1:$K$82,11,0),"")</f>
        <v/>
      </c>
      <c r="H155" s="544" t="str">
        <f aca="false">+IFERROR(VLOOKUP(C155,Hoja1!$A$1:$L$82,12,0),"")</f>
        <v/>
      </c>
      <c r="I155" s="560"/>
      <c r="J155" s="493" t="n">
        <v>141</v>
      </c>
      <c r="K155" s="561"/>
      <c r="M155" s="548"/>
      <c r="N155" s="545"/>
      <c r="O155" s="545"/>
      <c r="P155" s="545"/>
      <c r="Q155" s="545"/>
      <c r="R155" s="545"/>
      <c r="S155" s="545"/>
    </row>
    <row r="156" customFormat="false" ht="99.75" hidden="false" customHeight="true" outlineLevel="0" collapsed="false">
      <c r="B156" s="541" t="n">
        <f aca="false">+IF(ISTEXT(D156),J156,"")</f>
        <v>142</v>
      </c>
      <c r="C156" s="542" t="str">
        <f aca="false">+IFERROR(INDEX(Hoja1!$A$2:$A$82,MATCH(J156,Hoja1!$H$2:$H$82,0)),"")</f>
        <v/>
      </c>
      <c r="D156" s="543" t="str">
        <f aca="false">IFERROR(VLOOKUP(C156,Hoja1!$A$2:$H$82,4,0),"")</f>
        <v/>
      </c>
      <c r="E156" s="543" t="str">
        <f aca="false">+IFERROR(VLOOKUP(C156,Hoja1!$A$1:$J$82,10,0),"")</f>
        <v/>
      </c>
      <c r="F156" s="543" t="str">
        <f aca="false">+IFERROR(VLOOKUP(C156,Hoja1!$A$1:$I$82,3,0),"")</f>
        <v/>
      </c>
      <c r="G156" s="542" t="str">
        <f aca="false">+IFERROR(VLOOKUP(C156,Hoja1!$A$1:$K$82,11,0),"")</f>
        <v/>
      </c>
      <c r="H156" s="544" t="str">
        <f aca="false">+IFERROR(VLOOKUP(C156,Hoja1!$A$1:$L$82,12,0),"")</f>
        <v/>
      </c>
      <c r="I156" s="560"/>
      <c r="J156" s="493" t="n">
        <v>142</v>
      </c>
      <c r="K156" s="561"/>
      <c r="M156" s="548"/>
      <c r="N156" s="545"/>
      <c r="O156" s="545"/>
      <c r="P156" s="545"/>
      <c r="Q156" s="545"/>
      <c r="R156" s="545"/>
      <c r="S156" s="545"/>
    </row>
    <row r="157" customFormat="false" ht="99.75" hidden="false" customHeight="true" outlineLevel="0" collapsed="false">
      <c r="B157" s="541" t="n">
        <f aca="false">+IF(ISTEXT(D157),J157,"")</f>
        <v>143</v>
      </c>
      <c r="C157" s="542" t="str">
        <f aca="false">+IFERROR(INDEX(Hoja1!$A$2:$A$82,MATCH(J157,Hoja1!$H$2:$H$82,0)),"")</f>
        <v/>
      </c>
      <c r="D157" s="543" t="str">
        <f aca="false">IFERROR(VLOOKUP(C157,Hoja1!$A$2:$H$82,4,0),"")</f>
        <v/>
      </c>
      <c r="E157" s="543" t="str">
        <f aca="false">+IFERROR(VLOOKUP(C157,Hoja1!$A$1:$J$82,10,0),"")</f>
        <v/>
      </c>
      <c r="F157" s="543" t="str">
        <f aca="false">+IFERROR(VLOOKUP(C157,Hoja1!$A$1:$I$82,3,0),"")</f>
        <v/>
      </c>
      <c r="G157" s="542" t="str">
        <f aca="false">+IFERROR(VLOOKUP(C157,Hoja1!$A$1:$K$82,11,0),"")</f>
        <v/>
      </c>
      <c r="H157" s="544" t="str">
        <f aca="false">+IFERROR(VLOOKUP(C157,Hoja1!$A$1:$L$82,12,0),"")</f>
        <v/>
      </c>
      <c r="I157" s="560"/>
      <c r="J157" s="493" t="n">
        <v>143</v>
      </c>
      <c r="K157" s="561"/>
      <c r="M157" s="548"/>
      <c r="N157" s="545"/>
      <c r="O157" s="545"/>
      <c r="P157" s="545"/>
      <c r="Q157" s="545"/>
      <c r="R157" s="545"/>
      <c r="S157" s="545"/>
    </row>
    <row r="158" customFormat="false" ht="99.75" hidden="false" customHeight="true" outlineLevel="0" collapsed="false">
      <c r="B158" s="541" t="n">
        <f aca="false">+IF(ISTEXT(D158),J158,"")</f>
        <v>144</v>
      </c>
      <c r="C158" s="542" t="str">
        <f aca="false">+IFERROR(INDEX(Hoja1!$A$2:$A$82,MATCH(J158,Hoja1!$H$2:$H$82,0)),"")</f>
        <v/>
      </c>
      <c r="D158" s="543" t="str">
        <f aca="false">IFERROR(VLOOKUP(C158,Hoja1!$A$2:$H$82,4,0),"")</f>
        <v/>
      </c>
      <c r="E158" s="543" t="str">
        <f aca="false">+IFERROR(VLOOKUP(C158,Hoja1!$A$1:$J$82,10,0),"")</f>
        <v/>
      </c>
      <c r="F158" s="543" t="str">
        <f aca="false">+IFERROR(VLOOKUP(C158,Hoja1!$A$1:$I$82,3,0),"")</f>
        <v/>
      </c>
      <c r="G158" s="542" t="str">
        <f aca="false">+IFERROR(VLOOKUP(C158,Hoja1!$A$1:$K$82,11,0),"")</f>
        <v/>
      </c>
      <c r="H158" s="544" t="str">
        <f aca="false">+IFERROR(VLOOKUP(C158,Hoja1!$A$1:$L$82,12,0),"")</f>
        <v/>
      </c>
      <c r="I158" s="560"/>
      <c r="J158" s="493" t="n">
        <v>144</v>
      </c>
      <c r="K158" s="561"/>
      <c r="M158" s="548"/>
      <c r="N158" s="545"/>
      <c r="O158" s="545"/>
      <c r="P158" s="545"/>
      <c r="Q158" s="545"/>
      <c r="R158" s="545"/>
      <c r="S158" s="545"/>
    </row>
    <row r="159" customFormat="false" ht="99.75" hidden="false" customHeight="true" outlineLevel="0" collapsed="false">
      <c r="B159" s="541" t="n">
        <f aca="false">+IF(ISTEXT(D159),J159,"")</f>
        <v>145</v>
      </c>
      <c r="C159" s="542" t="str">
        <f aca="false">+IFERROR(INDEX(Hoja1!$A$2:$A$82,MATCH(J159,Hoja1!$H$2:$H$82,0)),"")</f>
        <v/>
      </c>
      <c r="D159" s="543" t="str">
        <f aca="false">IFERROR(VLOOKUP(C159,Hoja1!$A$2:$H$82,4,0),"")</f>
        <v/>
      </c>
      <c r="E159" s="543" t="str">
        <f aca="false">+IFERROR(VLOOKUP(C159,Hoja1!$A$1:$J$82,10,0),"")</f>
        <v/>
      </c>
      <c r="F159" s="543" t="str">
        <f aca="false">+IFERROR(VLOOKUP(C159,Hoja1!$A$1:$I$82,3,0),"")</f>
        <v/>
      </c>
      <c r="G159" s="542" t="str">
        <f aca="false">+IFERROR(VLOOKUP(C159,Hoja1!$A$1:$K$82,11,0),"")</f>
        <v/>
      </c>
      <c r="H159" s="544" t="str">
        <f aca="false">+IFERROR(VLOOKUP(C159,Hoja1!$A$1:$L$82,12,0),"")</f>
        <v/>
      </c>
      <c r="I159" s="560"/>
      <c r="J159" s="493" t="n">
        <v>145</v>
      </c>
      <c r="K159" s="561"/>
      <c r="M159" s="548"/>
      <c r="N159" s="545"/>
      <c r="O159" s="545"/>
      <c r="P159" s="545"/>
      <c r="Q159" s="545"/>
      <c r="R159" s="545"/>
      <c r="S159" s="545"/>
    </row>
    <row r="160" customFormat="false" ht="99.75" hidden="false" customHeight="true" outlineLevel="0" collapsed="false">
      <c r="B160" s="546" t="n">
        <f aca="false">+IF(ISTEXT(D160),J160,"")</f>
        <v>146</v>
      </c>
      <c r="C160" s="542" t="str">
        <f aca="false">+IFERROR(INDEX(Hoja1!$A$2:$A$82,MATCH(J160,Hoja1!$H$2:$H$82,0)),"")</f>
        <v/>
      </c>
      <c r="D160" s="543" t="str">
        <f aca="false">IFERROR(VLOOKUP(C160,Hoja1!$A$2:$H$82,4,0),"")</f>
        <v/>
      </c>
      <c r="E160" s="543" t="str">
        <f aca="false">+IFERROR(VLOOKUP(C160,Hoja1!$A$1:$J$82,10,0),"")</f>
        <v/>
      </c>
      <c r="F160" s="543" t="str">
        <f aca="false">+IFERROR(VLOOKUP(C160,Hoja1!$A$1:$I$82,3,0),"")</f>
        <v/>
      </c>
      <c r="G160" s="542" t="str">
        <f aca="false">+IFERROR(VLOOKUP(C160,Hoja1!$A$1:$K$82,11,0),"")</f>
        <v/>
      </c>
      <c r="H160" s="544" t="str">
        <f aca="false">+IFERROR(VLOOKUP(C160,Hoja1!$A$1:$L$82,12,0),"")</f>
        <v/>
      </c>
      <c r="I160" s="560"/>
      <c r="J160" s="493" t="n">
        <v>146</v>
      </c>
      <c r="K160" s="561"/>
      <c r="M160" s="548"/>
      <c r="N160" s="545"/>
      <c r="O160" s="545"/>
      <c r="P160" s="545"/>
      <c r="Q160" s="545"/>
      <c r="R160" s="545"/>
      <c r="S160" s="545"/>
    </row>
    <row r="161" customFormat="false" ht="99.75" hidden="false" customHeight="true" outlineLevel="0" collapsed="false">
      <c r="B161" s="541" t="n">
        <f aca="false">+IF(ISTEXT(D161),J161,"")</f>
        <v>147</v>
      </c>
      <c r="C161" s="542" t="str">
        <f aca="false">+IFERROR(INDEX(Hoja1!$A$2:$A$82,MATCH(J161,Hoja1!$H$2:$H$82,0)),"")</f>
        <v/>
      </c>
      <c r="D161" s="543" t="str">
        <f aca="false">IFERROR(VLOOKUP(C161,Hoja1!$A$2:$H$82,4,0),"")</f>
        <v/>
      </c>
      <c r="E161" s="543" t="str">
        <f aca="false">+IFERROR(VLOOKUP(C161,Hoja1!$A$1:$J$82,10,0),"")</f>
        <v/>
      </c>
      <c r="F161" s="543" t="str">
        <f aca="false">+IFERROR(VLOOKUP(C161,Hoja1!$A$1:$I$82,3,0),"")</f>
        <v/>
      </c>
      <c r="G161" s="542" t="str">
        <f aca="false">+IFERROR(VLOOKUP(C161,Hoja1!$A$1:$K$82,11,0),"")</f>
        <v/>
      </c>
      <c r="H161" s="544" t="str">
        <f aca="false">+IFERROR(VLOOKUP(C161,Hoja1!$A$1:$L$82,12,0),"")</f>
        <v/>
      </c>
      <c r="I161" s="560"/>
      <c r="J161" s="493" t="n">
        <v>147</v>
      </c>
      <c r="K161" s="561"/>
      <c r="M161" s="548"/>
      <c r="N161" s="545"/>
      <c r="O161" s="545"/>
      <c r="P161" s="545"/>
      <c r="Q161" s="545"/>
      <c r="R161" s="545"/>
      <c r="S161" s="545"/>
    </row>
    <row r="162" customFormat="false" ht="99.75" hidden="false" customHeight="true" outlineLevel="0" collapsed="false">
      <c r="B162" s="541" t="n">
        <f aca="false">+IF(ISTEXT(D162),J162,"")</f>
        <v>148</v>
      </c>
      <c r="C162" s="542" t="str">
        <f aca="false">+IFERROR(INDEX(Hoja1!$A$2:$A$82,MATCH(J162,Hoja1!$H$2:$H$82,0)),"")</f>
        <v/>
      </c>
      <c r="D162" s="543" t="str">
        <f aca="false">IFERROR(VLOOKUP(C162,Hoja1!$A$2:$H$82,4,0),"")</f>
        <v/>
      </c>
      <c r="E162" s="543" t="str">
        <f aca="false">+IFERROR(VLOOKUP(C162,Hoja1!$A$1:$J$82,10,0),"")</f>
        <v/>
      </c>
      <c r="F162" s="543" t="str">
        <f aca="false">+IFERROR(VLOOKUP(C162,Hoja1!$A$1:$I$82,3,0),"")</f>
        <v/>
      </c>
      <c r="G162" s="542" t="str">
        <f aca="false">+IFERROR(VLOOKUP(C162,Hoja1!$A$1:$K$82,11,0),"")</f>
        <v/>
      </c>
      <c r="H162" s="544" t="str">
        <f aca="false">+IFERROR(VLOOKUP(C162,Hoja1!$A$1:$L$82,12,0),"")</f>
        <v/>
      </c>
      <c r="I162" s="560"/>
      <c r="J162" s="493" t="n">
        <v>148</v>
      </c>
      <c r="K162" s="561"/>
      <c r="M162" s="548"/>
      <c r="N162" s="545"/>
      <c r="O162" s="545"/>
      <c r="P162" s="545"/>
      <c r="Q162" s="545"/>
      <c r="R162" s="545"/>
      <c r="S162" s="545"/>
    </row>
    <row r="163" customFormat="false" ht="99.75" hidden="false" customHeight="true" outlineLevel="0" collapsed="false">
      <c r="B163" s="541" t="n">
        <f aca="false">+IF(ISTEXT(D163),J163,"")</f>
        <v>149</v>
      </c>
      <c r="C163" s="542" t="str">
        <f aca="false">+IFERROR(INDEX(Hoja1!$A$2:$A$82,MATCH(J163,Hoja1!$H$2:$H$82,0)),"")</f>
        <v/>
      </c>
      <c r="D163" s="543" t="str">
        <f aca="false">IFERROR(VLOOKUP(C163,Hoja1!$A$2:$H$82,4,0),"")</f>
        <v/>
      </c>
      <c r="E163" s="543" t="str">
        <f aca="false">+IFERROR(VLOOKUP(C163,Hoja1!$A$1:$J$82,10,0),"")</f>
        <v/>
      </c>
      <c r="F163" s="543" t="str">
        <f aca="false">+IFERROR(VLOOKUP(C163,Hoja1!$A$1:$I$82,3,0),"")</f>
        <v/>
      </c>
      <c r="G163" s="542" t="str">
        <f aca="false">+IFERROR(VLOOKUP(C163,Hoja1!$A$1:$K$82,11,0),"")</f>
        <v/>
      </c>
      <c r="H163" s="544" t="str">
        <f aca="false">+IFERROR(VLOOKUP(C163,Hoja1!$A$1:$L$82,12,0),"")</f>
        <v/>
      </c>
      <c r="I163" s="560"/>
      <c r="J163" s="493" t="n">
        <v>149</v>
      </c>
      <c r="K163" s="561"/>
      <c r="M163" s="548"/>
      <c r="N163" s="545"/>
      <c r="O163" s="545"/>
      <c r="P163" s="545"/>
      <c r="Q163" s="545"/>
      <c r="R163" s="545"/>
      <c r="S163" s="545"/>
    </row>
    <row r="164" customFormat="false" ht="99.75" hidden="false" customHeight="true" outlineLevel="0" collapsed="false">
      <c r="B164" s="563" t="n">
        <f aca="false">+IF(ISTEXT(D164),J164,"")</f>
        <v>150</v>
      </c>
      <c r="C164" s="564" t="str">
        <f aca="false">+IFERROR(INDEX(Hoja1!$A$2:$A$82,MATCH(J164,Hoja1!$H$2:$H$82,0)),"")</f>
        <v/>
      </c>
      <c r="D164" s="565" t="str">
        <f aca="false">IFERROR(VLOOKUP(C164,Hoja1!$A$2:$H$82,4,0),"")</f>
        <v/>
      </c>
      <c r="E164" s="565" t="str">
        <f aca="false">+IFERROR(VLOOKUP(C164,Hoja1!$A$1:$J$82,10,0),"")</f>
        <v/>
      </c>
      <c r="F164" s="565" t="str">
        <f aca="false">+IFERROR(VLOOKUP(C164,Hoja1!$A$1:$I$82,3,0),"")</f>
        <v/>
      </c>
      <c r="G164" s="564" t="str">
        <f aca="false">+IFERROR(VLOOKUP(C164,Hoja1!$A$1:$K$82,11,0),"")</f>
        <v/>
      </c>
      <c r="H164" s="566" t="str">
        <f aca="false">+IFERROR(VLOOKUP(C164,Hoja1!$A$1:$L$82,12,0),"")</f>
        <v/>
      </c>
      <c r="I164" s="567"/>
      <c r="J164" s="493" t="n">
        <v>150</v>
      </c>
      <c r="K164" s="561"/>
      <c r="M164" s="548"/>
      <c r="N164" s="545"/>
      <c r="O164" s="545"/>
      <c r="P164" s="545"/>
      <c r="Q164" s="545"/>
      <c r="R164" s="545"/>
      <c r="S164" s="545"/>
    </row>
  </sheetData>
  <sheetProtection sheet="true" password="d72a" objects="true" scenarios="true" formatCells="false" formatColumns="false" formatRows="false"/>
  <mergeCells count="31">
    <mergeCell ref="B4:L4"/>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I11"/>
    <mergeCell ref="B13:B14"/>
    <mergeCell ref="C13:F13"/>
    <mergeCell ref="G13:G14"/>
    <mergeCell ref="H13:H14"/>
    <mergeCell ref="I13:I14"/>
    <mergeCell ref="K13:K14"/>
    <mergeCell ref="L13:L14"/>
    <mergeCell ref="M13:M14"/>
    <mergeCell ref="N13:S13"/>
    <mergeCell ref="L15:L38"/>
    <mergeCell ref="L39:L55"/>
    <mergeCell ref="L56:L67"/>
    <mergeCell ref="L68:L81"/>
    <mergeCell ref="L82:L95"/>
  </mergeCells>
  <conditionalFormatting sqref="C15">
    <cfRule type="cellIs" priority="2" operator="equal" aboveAverage="0" equalAverage="0" bottom="0" percent="0" rank="0" text="" dxfId="28">
      <formula>$I$15</formula>
    </cfRule>
    <cfRule type="cellIs" priority="3" operator="equal" aboveAverage="0" equalAverage="0" bottom="0" percent="0" rank="0" text="" dxfId="29">
      <formula>$I$15</formula>
    </cfRule>
  </conditionalFormatting>
  <conditionalFormatting sqref="K15:K92">
    <cfRule type="cellIs" priority="4" operator="equal" aboveAverage="0" equalAverage="0" bottom="0" percent="0" rank="0" text="" dxfId="30">
      <formula>$I$7</formula>
    </cfRule>
    <cfRule type="cellIs" priority="5" operator="equal" aboveAverage="0" equalAverage="0" bottom="0" percent="0" rank="0" text="" dxfId="31">
      <formula>$I$8</formula>
    </cfRule>
    <cfRule type="cellIs" priority="6" operator="equal" aboveAverage="0" equalAverage="0" bottom="0" percent="0" rank="0" text="" dxfId="32">
      <formula>$I$9</formula>
    </cfRule>
    <cfRule type="cellIs" priority="7" operator="between" aboveAverage="0" equalAverage="0" bottom="0" percent="0" rank="0" text="" dxfId="33">
      <formula>0</formula>
      <formula>$I$10</formula>
    </cfRule>
  </conditionalFormatting>
  <conditionalFormatting sqref="L15 L39 L56 L68 L82">
    <cfRule type="cellIs" priority="8" operator="between" aboveAverage="0" equalAverage="0" bottom="0" percent="0" rank="0" text="" dxfId="34">
      <formula>0.76</formula>
      <formula>1</formula>
    </cfRule>
    <cfRule type="cellIs" priority="9" operator="between" aboveAverage="0" equalAverage="0" bottom="0" percent="0" rank="0" text="" dxfId="35">
      <formula>0.51</formula>
      <formula>0.75</formula>
    </cfRule>
    <cfRule type="cellIs" priority="10" operator="between" aboveAverage="0" equalAverage="0" bottom="0" percent="0" rank="0" text="" dxfId="36">
      <formula>0.26</formula>
      <formula>0.5</formula>
    </cfRule>
    <cfRule type="cellIs" priority="11" operator="between" aboveAverage="0" equalAverage="0" bottom="0" percent="0" rank="0" text="" dxfId="37">
      <formula>0</formula>
      <formula>0.25</formula>
    </cfRule>
  </conditionalFormatting>
  <conditionalFormatting sqref="K93:K95">
    <cfRule type="cellIs" priority="12" operator="equal" aboveAverage="0" equalAverage="0" bottom="0" percent="0" rank="0" text="" dxfId="38">
      <formula>$I$7</formula>
    </cfRule>
    <cfRule type="cellIs" priority="13" operator="equal" aboveAverage="0" equalAverage="0" bottom="0" percent="0" rank="0" text="" dxfId="39">
      <formula>$I$8</formula>
    </cfRule>
    <cfRule type="cellIs" priority="14" operator="equal" aboveAverage="0" equalAverage="0" bottom="0" percent="0" rank="0" text="" dxfId="40">
      <formula>$I$9</formula>
    </cfRule>
    <cfRule type="cellIs" priority="15" operator="between" aboveAverage="0" equalAverage="0" bottom="0" percent="0" rank="0" text="" dxfId="41">
      <formula>0</formula>
      <formula>$I$10</formula>
    </cfRule>
  </conditionalFormatting>
  <dataValidations count="1">
    <dataValidation allowBlank="true" error="Por favor seleccione el id de requerimiento de la lista desplegable." operator="between" showDropDown="false" showErrorMessage="true" showInputMessage="true" sqref="C15:C164"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8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234375" defaultRowHeight="12.75" zeroHeight="false" outlineLevelRow="0" outlineLevelCol="0"/>
  <cols>
    <col collapsed="false" customWidth="true" hidden="false" outlineLevel="0" max="4" min="2" style="0" width="22.28"/>
    <col collapsed="false" customWidth="true" hidden="false" outlineLevel="0" max="5" min="5" style="0" width="34.59"/>
    <col collapsed="false" customWidth="true" hidden="false" outlineLevel="0" max="6" min="6" style="0" width="36.42"/>
    <col collapsed="false" customWidth="true" hidden="false" outlineLevel="0" max="8" min="8" style="0" width="12.29"/>
    <col collapsed="false" customWidth="true" hidden="false" outlineLevel="0" max="9" min="9" style="0" width="12.71"/>
    <col collapsed="false" customWidth="true" hidden="false" outlineLevel="0" max="14" min="13" style="0" width="17.59"/>
  </cols>
  <sheetData>
    <row r="1" customFormat="false" ht="81.75" hidden="false" customHeight="true" outlineLevel="0" collapsed="false">
      <c r="A1" s="568" t="s">
        <v>111</v>
      </c>
      <c r="B1" s="568" t="s">
        <v>595</v>
      </c>
      <c r="C1" s="569" t="s">
        <v>596</v>
      </c>
      <c r="D1" s="569" t="s">
        <v>597</v>
      </c>
      <c r="E1" s="569" t="s">
        <v>598</v>
      </c>
      <c r="F1" s="568" t="s">
        <v>152</v>
      </c>
      <c r="G1" s="570" t="s">
        <v>599</v>
      </c>
      <c r="H1" s="570" t="s">
        <v>600</v>
      </c>
      <c r="I1" s="570" t="s">
        <v>601</v>
      </c>
      <c r="J1" s="570" t="s">
        <v>80</v>
      </c>
      <c r="K1" s="570" t="s">
        <v>89</v>
      </c>
      <c r="L1" s="570" t="s">
        <v>602</v>
      </c>
      <c r="M1" s="571" t="s">
        <v>603</v>
      </c>
      <c r="N1" s="571"/>
    </row>
    <row r="2" customFormat="false" ht="12.75" hidden="false" customHeight="true" outlineLevel="0" collapsed="false">
      <c r="A2" s="572" t="s">
        <v>604</v>
      </c>
      <c r="B2" s="572" t="str">
        <f aca="false">+LEFT(A2,1)</f>
        <v>1</v>
      </c>
      <c r="C2" s="572" t="str">
        <f aca="false">+MID(VLOOKUP(A2,'Ambiente de Control'!$B$21:$C$235,2,0),4,LEN(VLOOKUP(A2,'Ambiente de Control'!$B$21:$C$235,2,0))-4)</f>
        <v>Aplicación del Código de Integridad. (incluye análisis de desviaciones, convivencia laboral, temas disciplinarios internos, quejas o denuncias sobres los servidores de la entidad, u otros temas relacionados)</v>
      </c>
      <c r="D2" s="572" t="s">
        <v>605</v>
      </c>
      <c r="E2" s="572" t="str">
        <f aca="false">+VLOOKUP(A2,'Ambiente de Control'!$B$21:$D$235,3,0)</f>
        <v>Dimensión Talento Humano
Política Integridad</v>
      </c>
      <c r="F2" s="572" t="str">
        <f aca="false">+VLOOKUP(A2,'Ambiente de Control'!$B$21:$K$235,10,0)</f>
        <v>Mantenimiento del control</v>
      </c>
      <c r="G2" s="572" t="n">
        <f aca="false">+VLOOKUP(A2,'Ambiente de Control'!$B$21:$O$39,13)</f>
        <v>60.04587</v>
      </c>
      <c r="H2" s="573" t="n">
        <f aca="false">+_xlfn.RANK.EQ(G2,$G$2:$G$82,1)</f>
        <v>4</v>
      </c>
      <c r="I2" s="572" t="str">
        <f aca="false">+IF(F2=$F$2,$P$4,IF(F2=$F$3,$P$2,$P$3))</f>
        <v>Cuando en el análisis de los requerimientos en los diferenes componentes del MECI se cuente con aspectos evaluados en nivel 1 (presente) y 1 (funcionando); 2 (presente) y 1 (funcionando).</v>
      </c>
      <c r="J2" s="572" t="s">
        <v>606</v>
      </c>
      <c r="K2" s="572" t="n">
        <f aca="false">+IF(ISBLANK(VLOOKUP(A2,'Ambiente de Control'!$B$24:$F$235,5,0)),"",VLOOKUP(A2,'Ambiente de Control'!$B$24:$F$235,5,0))</f>
        <v>3</v>
      </c>
      <c r="L2" s="572" t="n">
        <f aca="false">+IF(ISBLANK(VLOOKUP(A2,'Ambiente de Control'!$B$24:$K$235,9,0)),"",VLOOKUP(A2,'Ambiente de Control'!$B$24:$K$235,9,0))</f>
        <v>3</v>
      </c>
      <c r="M2" s="572" t="n">
        <f aca="false">+IF(OR(AND(K2=1,L2=1),AND(ISBLANK(K2),ISBLANK(L2)),K2="",L2=""),0,IF(OR(AND(K2=1,L2=2),AND(K2=1,L2=3)),0.25,IF(OR(AND(K2=2,L2=2),AND(K2=3,L2=1),AND(K2=3,L2=2),AND(K2=2,L2=1)),0.5,IF(AND(K2=2,L2=3),0.75,1))))</f>
        <v>1</v>
      </c>
      <c r="N2" s="572" t="n">
        <f aca="false">+AVERAGEIF($D$2:$D$82,D2,$M$2:$M$82)</f>
        <v>0.9375</v>
      </c>
      <c r="O2" s="574" t="s">
        <v>27</v>
      </c>
      <c r="P2" s="575" t="s">
        <v>607</v>
      </c>
      <c r="Q2" s="575"/>
      <c r="R2" s="572"/>
      <c r="S2" s="572"/>
    </row>
    <row r="3" customFormat="false" ht="12.75" hidden="false" customHeight="true" outlineLevel="0" collapsed="false">
      <c r="A3" s="572" t="s">
        <v>608</v>
      </c>
      <c r="B3" s="572" t="str">
        <f aca="false">+LEFT(A3,1)</f>
        <v>1</v>
      </c>
      <c r="C3" s="572" t="str">
        <f aca="false">+MID(VLOOKUP(A3,'Ambiente de Control'!$B$21:$C$235,2,0),4,LEN(VLOOKUP(A3,'Ambiente de Control'!$B$21:$C$235,2,0))-4)</f>
        <v>Mecanismos para el manejo de conflictos de interés.</v>
      </c>
      <c r="D3" s="572" t="s">
        <v>605</v>
      </c>
      <c r="E3" s="572" t="str">
        <f aca="false">+VLOOKUP(A3,'Ambiente de Control'!$B$21:$D$235,3,0)</f>
        <v>Dimensión Talento Humano
Política Integridad</v>
      </c>
      <c r="F3" s="572" t="str">
        <f aca="false">+VLOOKUP(A3,'Ambiente de Control'!$B$21:$K$235,10,0)</f>
        <v>Deficiencia de control (diseño o ejecución)</v>
      </c>
      <c r="G3" s="572" t="n">
        <f aca="false">+VLOOKUP(A3,'Ambiente de Control'!$B$21:$O$235,13,0)</f>
        <v>20.05569</v>
      </c>
      <c r="H3" s="573" t="n">
        <f aca="false">+_xlfn.RANK.EQ(G3,$G$2:$G$82,1)</f>
        <v>1</v>
      </c>
      <c r="I3" s="572" t="str">
        <f aca="false">+IF(F3=$F$2,$P$4,IF(F3=$F$3,$P$2,$P$3))</f>
        <v>Cuando en el análisis de los requerimientos en los diferenes componentes del MECI se cuente con aspectos evaluados en nivel 2 (presente) y 3 (funcionando).</v>
      </c>
      <c r="J3" s="572" t="s">
        <v>606</v>
      </c>
      <c r="K3" s="572" t="n">
        <f aca="false">+IF(ISBLANK(VLOOKUP(A3,'Ambiente de Control'!$B$24:$F$235,5,0)),"",VLOOKUP(A3,'Ambiente de Control'!$B$24:$F$235,5,0))</f>
        <v>3</v>
      </c>
      <c r="L3" s="572" t="n">
        <f aca="false">+IF(ISBLANK(VLOOKUP(A3,'Ambiente de Control'!$B$24:$K$235,9,0)),"",VLOOKUP(A3,'Ambiente de Control'!$B$24:$K$235,9,0))</f>
        <v>2</v>
      </c>
      <c r="M3" s="572" t="n">
        <f aca="false">+IF(OR(AND(K3=1,L3=1),AND(ISBLANK(K3),ISBLANK(L3)),K3="",L3=""),0,IF(OR(AND(K3=1,L3=2),AND(K3=1,L3=3)),0.25,IF(OR(AND(K3=2,L3=2),AND(K3=3,L3=1),AND(K3=3,L3=2),AND(K3=2,L3=1)),0.5,IF(AND(K3=2,L3=3),0.75,1))))</f>
        <v>0.5</v>
      </c>
      <c r="N3" s="572" t="n">
        <f aca="false">+AVERAGEIF($D$2:$D$82,D3,$M$2:$M$82)</f>
        <v>0.9375</v>
      </c>
      <c r="O3" s="576" t="s">
        <v>30</v>
      </c>
      <c r="P3" s="575" t="s">
        <v>609</v>
      </c>
      <c r="Q3" s="575"/>
      <c r="R3" s="572" t="s">
        <v>610</v>
      </c>
      <c r="S3" s="572"/>
    </row>
    <row r="4" customFormat="false" ht="16.5" hidden="false" customHeight="true" outlineLevel="0" collapsed="false">
      <c r="A4" s="572" t="s">
        <v>611</v>
      </c>
      <c r="B4" s="572" t="str">
        <f aca="false">+LEFT(A4,1)</f>
        <v>1</v>
      </c>
      <c r="C4" s="572" t="str">
        <f aca="false">+MID(VLOOKUP(A4,'Ambiente de Control'!$B$21:$C$235,2,0),4,LEN(VLOOKUP(A4,'Ambiente de Control'!$B$21:$C$235,2,0))-4)</f>
        <v>Mecanismos frente a la detección y prevención del uso inadecuado de información privilegiada u otras situaciones que puedan implicar riesgos para la entidad</v>
      </c>
      <c r="D4" s="572" t="s">
        <v>605</v>
      </c>
      <c r="E4" s="572" t="str">
        <f aca="false">+VLOOKUP(A4,'Ambiente de Control'!$B$21:$D$235,3,0)</f>
        <v>Dimensión Información y Comunicación
Política Transparencia y Acceso a la Información Pública
Política Gestión Documental</v>
      </c>
      <c r="F4" s="572" t="str">
        <f aca="false">+VLOOKUP(A4,'Ambiente de Control'!$B$21:$K$235,10,0)</f>
        <v>Mantenimiento del control</v>
      </c>
      <c r="G4" s="572" t="n">
        <f aca="false">+VLOOKUP(A4,'Ambiente de Control'!$B$21:$O$235,13,0)</f>
        <v>60.066896</v>
      </c>
      <c r="H4" s="573" t="n">
        <f aca="false">+_xlfn.RANK.EQ(G4,$G$2:$G$82,1)</f>
        <v>5</v>
      </c>
      <c r="I4" s="572" t="str">
        <f aca="false">+IF(F4=$F$2,$P$4,IF(F4=$F$3,$P$2,$P$3))</f>
        <v>Cuando en el análisis de los requerimientos en los diferenes componentes del MECI se cuente con aspectos evaluados en nivel 1 (presente) y 1 (funcionando); 2 (presente) y 1 (funcionando).</v>
      </c>
      <c r="J4" s="572" t="s">
        <v>606</v>
      </c>
      <c r="K4" s="572" t="n">
        <f aca="false">+IF(ISBLANK(VLOOKUP(A4,'Ambiente de Control'!$B$24:$F$235,5,0)),"",VLOOKUP(A4,'Ambiente de Control'!$B$24:$F$235,5,0))</f>
        <v>3</v>
      </c>
      <c r="L4" s="572" t="n">
        <f aca="false">+IF(ISBLANK(VLOOKUP(A4,'Ambiente de Control'!$B$24:$K$235,9,0)),"",VLOOKUP(A4,'Ambiente de Control'!$B$24:$K$235,9,0))</f>
        <v>3</v>
      </c>
      <c r="M4" s="572" t="n">
        <f aca="false">+IF(OR(AND(K4=1,L4=1),AND(ISBLANK(K4),ISBLANK(L4)),K4="",L4=""),0,IF(OR(AND(K4=1,L4=2),AND(K4=1,L4=3)),0.25,IF(OR(AND(K4=2,L4=2),AND(K4=3,L4=1),AND(K4=3,L4=2),AND(K4=2,L4=1)),0.5,IF(AND(K4=2,L4=3),0.75,1))))</f>
        <v>1</v>
      </c>
      <c r="N4" s="572" t="n">
        <f aca="false">+AVERAGEIF($D$2:$D$82,D4,$M$2:$M$82)</f>
        <v>0.9375</v>
      </c>
      <c r="O4" s="576" t="s">
        <v>33</v>
      </c>
      <c r="P4" s="575" t="s">
        <v>612</v>
      </c>
      <c r="Q4" s="575"/>
      <c r="R4" s="572"/>
      <c r="S4" s="572"/>
    </row>
    <row r="5" customFormat="false" ht="12.75" hidden="false" customHeight="false" outlineLevel="0" collapsed="false">
      <c r="A5" s="572" t="s">
        <v>613</v>
      </c>
      <c r="B5" s="572" t="str">
        <f aca="false">+LEFT(A5,1)</f>
        <v>1</v>
      </c>
      <c r="C5" s="572" t="str">
        <f aca="false">+MID(VLOOKUP(A5,'Ambiente de Control'!$B$21:$C$235,2,0),4,LEN(VLOOKUP(A5,'Ambiente de Control'!$B$21:$C$235,2,0))-4)</f>
        <v>La evaluación de las acciones transversales de integridad, mediante el monitoreo permanente de los riesgos de corrupción.</v>
      </c>
      <c r="D5" s="572" t="s">
        <v>605</v>
      </c>
      <c r="E5" s="572" t="str">
        <f aca="false">+VLOOKUP(A5,'Ambiente de Control'!$B$21:$D$235,3,0)</f>
        <v>Dimension Talento Humano
Politica de Integridad</v>
      </c>
      <c r="F5" s="572" t="str">
        <f aca="false">+VLOOKUP(A5,'Ambiente de Control'!$B$21:$K$235,10,0)</f>
        <v>Mantenimiento del control</v>
      </c>
      <c r="G5" s="572" t="n">
        <f aca="false">+VLOOKUP(A5,'Ambiente de Control'!$B$21:$O$235,13,0)</f>
        <v>60.06691</v>
      </c>
      <c r="H5" s="573" t="n">
        <f aca="false">+_xlfn.RANK.EQ(G5,$G$2:$G$82,1)</f>
        <v>6</v>
      </c>
      <c r="I5" s="572" t="str">
        <f aca="false">+IF(F5=$F$2,$P$4,IF(F5=$F$3,$P$2,$P$3))</f>
        <v>Cuando en el análisis de los requerimientos en los diferenes componentes del MECI se cuente con aspectos evaluados en nivel 1 (presente) y 1 (funcionando); 2 (presente) y 1 (funcionando).</v>
      </c>
      <c r="J5" s="572" t="s">
        <v>606</v>
      </c>
      <c r="K5" s="572" t="n">
        <f aca="false">+IF(ISBLANK(VLOOKUP(A5,'Ambiente de Control'!$B$24:$F$235,5,0)),"",VLOOKUP(A5,'Ambiente de Control'!$B$24:$F$235,5,0))</f>
        <v>3</v>
      </c>
      <c r="L5" s="572" t="n">
        <f aca="false">+IF(ISBLANK(VLOOKUP(A5,'Ambiente de Control'!$B$24:$K$235,9,0)),"",VLOOKUP(A5,'Ambiente de Control'!$B$24:$K$235,9,0))</f>
        <v>3</v>
      </c>
      <c r="M5" s="572" t="n">
        <f aca="false">+IF(OR(AND(K5=1,L5=1),AND(ISBLANK(K5),ISBLANK(L5)),K5="",L5=""),0,IF(OR(AND(K5=1,L5=2),AND(K5=1,L5=3)),0.25,IF(OR(AND(K5=2,L5=2),AND(K5=3,L5=1),AND(K5=3,L5=2),AND(K5=2,L5=1)),0.5,IF(AND(K5=2,L5=3),0.75,1))))</f>
        <v>1</v>
      </c>
      <c r="N5" s="572" t="n">
        <f aca="false">+AVERAGEIF($D$2:$D$82,D5,$M$2:$M$82)</f>
        <v>0.9375</v>
      </c>
      <c r="O5" s="572"/>
      <c r="P5" s="572"/>
    </row>
    <row r="6" customFormat="false" ht="12.75" hidden="false" customHeight="false" outlineLevel="0" collapsed="false">
      <c r="A6" s="572" t="s">
        <v>614</v>
      </c>
      <c r="B6" s="572" t="str">
        <f aca="false">+LEFT(A6,1)</f>
        <v>1</v>
      </c>
      <c r="C6" s="572" t="str">
        <f aca="false">+MID(VLOOKUP(A6,'Ambiente de Control'!$B$21:$C$235,2,0),4,LEN(VLOOKUP(A6,'Ambiente de Control'!$B$21:$C$235,2,0))-4)</f>
        <v>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D6" s="572" t="s">
        <v>605</v>
      </c>
      <c r="E6" s="572" t="str">
        <f aca="false">+VLOOKUP(A6,'Ambiente de Control'!$B$21:$D$235,3,0)</f>
        <v>Dimensión Direccionamiento Estratégico y Planeación
Plan Anticorrupción y de Atención al Ciudadano</v>
      </c>
      <c r="F6" s="572" t="str">
        <f aca="false">+VLOOKUP(A6,'Ambiente de Control'!$B$21:$K$235,10,0)</f>
        <v>Deficiencia de control (diseño o ejecución)</v>
      </c>
      <c r="G6" s="572" t="n">
        <f aca="false">+VLOOKUP(A6,'Ambiente de Control'!$B$21:$O$235,13,0)</f>
        <v>20.073569</v>
      </c>
      <c r="H6" s="573" t="n">
        <f aca="false">+_xlfn.RANK.EQ(G6,$G$2:$G$82,1)</f>
        <v>2</v>
      </c>
      <c r="I6" s="572" t="str">
        <f aca="false">+IF(F6=$F$2,$P$4,IF(F6=$F$3,$P$2,$P$3))</f>
        <v>Cuando en el análisis de los requerimientos en los diferenes componentes del MECI se cuente con aspectos evaluados en nivel 2 (presente) y 3 (funcionando).</v>
      </c>
      <c r="J6" s="572" t="s">
        <v>606</v>
      </c>
      <c r="K6" s="572" t="n">
        <f aca="false">+IF(ISBLANK(VLOOKUP(A6,'Ambiente de Control'!$B$24:$F$235,5,0)),"",VLOOKUP(A6,'Ambiente de Control'!$B$24:$F$235,5,0))</f>
        <v>3</v>
      </c>
      <c r="L6" s="572" t="n">
        <f aca="false">+IF(ISBLANK(VLOOKUP(A6,'Ambiente de Control'!$B$24:$K$235,9,0)),"",VLOOKUP(A6,'Ambiente de Control'!$B$24:$K$235,9,0))</f>
        <v>2</v>
      </c>
      <c r="M6" s="572" t="n">
        <f aca="false">+IF(OR(AND(K6=1,L6=1),AND(ISBLANK(K6),ISBLANK(L6)),K6="",L6=""),0,IF(OR(AND(K6=1,L6=2),AND(K6=1,L6=3)),0.25,IF(OR(AND(K6=2,L6=2),AND(K6=3,L6=1),AND(K6=3,L6=2),AND(K6=2,L6=1)),0.5,IF(AND(K6=2,L6=3),0.75,1))))</f>
        <v>0.5</v>
      </c>
      <c r="N6" s="572" t="n">
        <f aca="false">+AVERAGEIF($D$2:$D$82,D6,$M$2:$M$82)</f>
        <v>0.9375</v>
      </c>
      <c r="O6" s="572"/>
      <c r="P6" s="572"/>
    </row>
    <row r="7" customFormat="false" ht="12.75" hidden="false" customHeight="false" outlineLevel="0" collapsed="false">
      <c r="A7" s="572" t="s">
        <v>615</v>
      </c>
      <c r="B7" s="572" t="str">
        <f aca="false">+LEFT(A7,1)</f>
        <v>2</v>
      </c>
      <c r="C7" s="572" t="str">
        <f aca="false">+MID(VLOOKUP(A7,'Ambiente de Control'!$B$21:$C$235,2,0),4,LEN(VLOOKUP(A7,'Ambiente de Control'!$B$21:$C$235,2,0))-4)</f>
        <v>Creación o actualización del Comité Institucional de Coordinación de Control Interno (incluye ajustes en periodicidad para reunión, articulación con el Comité Institucioanl de Gestión y Desempeño)</v>
      </c>
      <c r="D7" s="572" t="s">
        <v>605</v>
      </c>
      <c r="E7" s="572" t="str">
        <f aca="false">+VLOOKUP(A7,'Ambiente de Control'!$B$21:$D$235,3,0)</f>
        <v>Dimension Control Interno
Politica de Control Interno</v>
      </c>
      <c r="F7" s="572" t="str">
        <f aca="false">+VLOOKUP(A7,'Ambiente de Control'!$B$21:$K$235,10,0)</f>
        <v>Mantenimiento del control</v>
      </c>
      <c r="G7" s="572" t="n">
        <f aca="false">+VLOOKUP(A7,'Ambiente de Control'!$B$21:$O$235,13,0)</f>
        <v>60.0889653</v>
      </c>
      <c r="H7" s="573" t="n">
        <f aca="false">+_xlfn.RANK.EQ(G7,$G$2:$G$82,1)</f>
        <v>7</v>
      </c>
      <c r="I7" s="572" t="str">
        <f aca="false">+IF(F7=$F$2,$P$4,IF(F7=$F$3,$P$2,$P$3))</f>
        <v>Cuando en el análisis de los requerimientos en los diferenes componentes del MECI se cuente con aspectos evaluados en nivel 1 (presente) y 1 (funcionando); 2 (presente) y 1 (funcionando).</v>
      </c>
      <c r="J7" s="572" t="s">
        <v>616</v>
      </c>
      <c r="K7" s="572" t="n">
        <f aca="false">+IF(ISBLANK(VLOOKUP(A7,'Ambiente de Control'!$B$24:$F$235,5,0)),"",VLOOKUP(A7,'Ambiente de Control'!$B$24:$F$235,5,0))</f>
        <v>3</v>
      </c>
      <c r="L7" s="572" t="n">
        <f aca="false">+IF(ISBLANK(VLOOKUP(A7,'Ambiente de Control'!$B$24:$K$235,9,0)),"",VLOOKUP(A7,'Ambiente de Control'!$B$24:$K$235,9,0))</f>
        <v>3</v>
      </c>
      <c r="M7" s="572" t="n">
        <f aca="false">+IF(OR(AND(K7=1,L7=1),AND(ISBLANK(K7),ISBLANK(L7)),K7="",L7=""),0,IF(OR(AND(K7=1,L7=2),AND(K7=1,L7=3)),0.25,IF(OR(AND(K7=2,L7=2),AND(K7=3,L7=1),AND(K7=3,L7=2),AND(K7=2,L7=1)),0.5,IF(AND(K7=2,L7=3),0.75,1))))</f>
        <v>1</v>
      </c>
      <c r="N7" s="572" t="n">
        <f aca="false">+AVERAGEIF($D$2:$D$82,D7,$M$2:$M$82)</f>
        <v>0.9375</v>
      </c>
      <c r="O7" s="572"/>
      <c r="P7" s="572"/>
    </row>
    <row r="8" customFormat="false" ht="12.75" hidden="false" customHeight="false" outlineLevel="0" collapsed="false">
      <c r="A8" s="572" t="s">
        <v>617</v>
      </c>
      <c r="B8" s="572" t="str">
        <f aca="false">+LEFT(A8,1)</f>
        <v>2</v>
      </c>
      <c r="C8" s="572" t="str">
        <f aca="false">+MID(VLOOKUP(A8,'Ambiente de Control'!$B$21:$C$235,2,0),4,LEN(VLOOKUP(A8,'Ambiente de Control'!$B$21:$C$235,2,0))-4)</f>
        <v>Definición y documentación del Esquema de Líneas de Defens</v>
      </c>
      <c r="D8" s="572" t="s">
        <v>605</v>
      </c>
      <c r="E8" s="572" t="str">
        <f aca="false">+VLOOKUP(A8,'Ambiente de Control'!$B$21:$D$235,3,0)</f>
        <v>Dimension Control Interno
Politica de Control Interno
Lineas de defensa</v>
      </c>
      <c r="F8" s="572" t="str">
        <f aca="false">+VLOOKUP(A8,'Ambiente de Control'!$B$21:$K$235,10,0)</f>
        <v>Mantenimiento del control</v>
      </c>
      <c r="G8" s="572" t="n">
        <f aca="false">+VLOOKUP(A8,'Ambiente de Control'!$B$21:$O$235,13,0)</f>
        <v>60.0989653</v>
      </c>
      <c r="H8" s="573" t="n">
        <f aca="false">+_xlfn.RANK.EQ(G8,$G$2:$G$82,1)</f>
        <v>8</v>
      </c>
      <c r="I8" s="572" t="str">
        <f aca="false">+IF(F8=$F$2,$P$4,IF(F8=$F$3,$P$2,$P$3))</f>
        <v>Cuando en el análisis de los requerimientos en los diferenes componentes del MECI se cuente con aspectos evaluados en nivel 1 (presente) y 1 (funcionando); 2 (presente) y 1 (funcionando).</v>
      </c>
      <c r="J8" s="572" t="s">
        <v>616</v>
      </c>
      <c r="K8" s="572" t="n">
        <f aca="false">+IF(ISBLANK(VLOOKUP(A8,'Ambiente de Control'!$B$24:$F$235,5,0)),"",VLOOKUP(A8,'Ambiente de Control'!$B$24:$F$235,5,0))</f>
        <v>3</v>
      </c>
      <c r="L8" s="572" t="n">
        <f aca="false">+IF(ISBLANK(VLOOKUP(A8,'Ambiente de Control'!$B$24:$K$235,9,0)),"",VLOOKUP(A8,'Ambiente de Control'!$B$24:$K$235,9,0))</f>
        <v>3</v>
      </c>
      <c r="M8" s="572" t="n">
        <f aca="false">+IF(OR(AND(K8=1,L8=1),AND(ISBLANK(K8),ISBLANK(L8)),K8="",L8=""),0,IF(OR(AND(K8=1,L8=2),AND(K8=1,L8=3)),0.25,IF(OR(AND(K8=2,L8=2),AND(K8=3,L8=1),AND(K8=3,L8=2),AND(K8=2,L8=1)),0.5,IF(AND(K8=2,L8=3),0.75,1))))</f>
        <v>1</v>
      </c>
      <c r="N8" s="572" t="n">
        <f aca="false">+AVERAGEIF($D$2:$D$82,D8,$M$2:$M$82)</f>
        <v>0.9375</v>
      </c>
      <c r="O8" s="572"/>
      <c r="P8" s="572"/>
    </row>
    <row r="9" customFormat="false" ht="12.75" hidden="false" customHeight="false" outlineLevel="0" collapsed="false">
      <c r="A9" s="572" t="s">
        <v>618</v>
      </c>
      <c r="B9" s="572" t="str">
        <f aca="false">+LEFT(A9,1)</f>
        <v>2</v>
      </c>
      <c r="C9" s="572" t="str">
        <f aca="false">+MID(VLOOKUP(A9,'Ambiente de Control'!$B$21:$C$235,2,0),4,LEN(VLOOKUP(A9,'Ambiente de Control'!$B$21:$C$235,2,0))-4)</f>
        <v>Definición de líneas de reporte en temas clave para la toma de decisiones, atendiendo el Esquema de Líneas de Defens</v>
      </c>
      <c r="D9" s="572" t="s">
        <v>605</v>
      </c>
      <c r="E9" s="572" t="str">
        <f aca="false">+VLOOKUP(A9,'Ambiente de Control'!$B$21:$D$235,3,0)</f>
        <v>Dimension Control Interno
Politica de Control Interno
Linea de Defensa
Dimension de Informaciòn y Comunicaciòn</v>
      </c>
      <c r="F9" s="572" t="str">
        <f aca="false">+VLOOKUP(A9,'Ambiente de Control'!$B$21:$K$235,10,0)</f>
        <v>Mantenimiento del control</v>
      </c>
      <c r="G9" s="572" t="n">
        <f aca="false">+VLOOKUP(A9,'Ambiente de Control'!$B$21:$O$235,13,0)</f>
        <v>60.15698</v>
      </c>
      <c r="H9" s="573" t="n">
        <f aca="false">+_xlfn.RANK.EQ(G9,$G$2:$G$82,1)</f>
        <v>9</v>
      </c>
      <c r="I9" s="572" t="str">
        <f aca="false">+IF(F9=$F$2,$P$4,IF(F9=$F$3,$P$2,$P$3))</f>
        <v>Cuando en el análisis de los requerimientos en los diferenes componentes del MECI se cuente con aspectos evaluados en nivel 1 (presente) y 1 (funcionando); 2 (presente) y 1 (funcionando).</v>
      </c>
      <c r="J9" s="572" t="s">
        <v>616</v>
      </c>
      <c r="K9" s="572" t="n">
        <f aca="false">+IF(ISBLANK(VLOOKUP(A9,'Ambiente de Control'!$B$24:$F$235,5,0)),"",VLOOKUP(A9,'Ambiente de Control'!$B$24:$F$235,5,0))</f>
        <v>3</v>
      </c>
      <c r="L9" s="572" t="n">
        <f aca="false">+IF(ISBLANK(VLOOKUP(A9,'Ambiente de Control'!$B$24:$K$235,9,0)),"",VLOOKUP(A9,'Ambiente de Control'!$B$24:$K$235,9,0))</f>
        <v>3</v>
      </c>
      <c r="M9" s="572" t="n">
        <f aca="false">+IF(OR(AND(K9=1,L9=1),AND(ISBLANK(K9),ISBLANK(L9)),K9="",L9=""),0,IF(OR(AND(K9=1,L9=2),AND(K9=1,L9=3)),0.25,IF(OR(AND(K9=2,L9=2),AND(K9=3,L9=1),AND(K9=3,L9=2),AND(K9=2,L9=1)),0.5,IF(AND(K9=2,L9=3),0.75,1))))</f>
        <v>1</v>
      </c>
      <c r="N9" s="572" t="n">
        <f aca="false">+AVERAGEIF($D$2:$D$82,D9,$M$2:$M$82)</f>
        <v>0.9375</v>
      </c>
      <c r="O9" s="572"/>
      <c r="P9" s="572"/>
    </row>
    <row r="10" customFormat="false" ht="12.75" hidden="false" customHeight="false" outlineLevel="0" collapsed="false">
      <c r="A10" s="572" t="s">
        <v>619</v>
      </c>
      <c r="B10" s="572" t="str">
        <f aca="false">+LEFT(A10,1)</f>
        <v>3</v>
      </c>
      <c r="C10" s="572" t="str">
        <f aca="false">+MID(VLOOKUP(A10,'Ambiente de Control'!$B$21:$C$235,2,0),4,LEN(VLOOKUP(A10,'Ambiente de Control'!$B$21:$C$235,2,0))-4)</f>
        <v>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D10" s="572" t="s">
        <v>605</v>
      </c>
      <c r="E10" s="572" t="str">
        <f aca="false">+VLOOKUP(A10,'Ambiente de Control'!$B$21:$D$235,3,0)</f>
        <v>Dimension de Direccionamiento Estrategico y Planeaciòn
Politica de Planeaciòn Institucional 
Dimension Control Interno</v>
      </c>
      <c r="F10" s="572" t="str">
        <f aca="false">+VLOOKUP(A10,'Ambiente de Control'!$B$21:$K$235,10,0)</f>
        <v>Mantenimiento del control</v>
      </c>
      <c r="G10" s="572" t="n">
        <f aca="false">+VLOOKUP(A10,'Ambiente de Control'!$B$21:$O$235,13,0)</f>
        <v>60.28965</v>
      </c>
      <c r="H10" s="573" t="n">
        <f aca="false">+_xlfn.RANK.EQ(G10,$G$2:$G$82,1)</f>
        <v>10</v>
      </c>
      <c r="I10" s="572" t="str">
        <f aca="false">+IF(F10=$F$2,$P$4,IF(F10=$F$3,$P$2,$P$3))</f>
        <v>Cuando en el análisis de los requerimientos en los diferenes componentes del MECI se cuente con aspectos evaluados en nivel 1 (presente) y 1 (funcionando); 2 (presente) y 1 (funcionando).</v>
      </c>
      <c r="J10" s="572" t="s">
        <v>620</v>
      </c>
      <c r="K10" s="572" t="n">
        <f aca="false">+IF(ISBLANK(VLOOKUP(A10,'Ambiente de Control'!$B$24:$F$235,5,0)),"",VLOOKUP(A10,'Ambiente de Control'!$B$24:$F$235,5,0))</f>
        <v>3</v>
      </c>
      <c r="L10" s="572" t="n">
        <f aca="false">+IF(ISBLANK(VLOOKUP(A10,'Ambiente de Control'!$B$24:$K$235,9,0)),"",VLOOKUP(A10,'Ambiente de Control'!$B$24:$K$235,9,0))</f>
        <v>3</v>
      </c>
      <c r="M10" s="572" t="n">
        <f aca="false">+IF(OR(AND(K10=1,L10=1),AND(ISBLANK(K10),ISBLANK(L10)),K10="",L10=""),0,IF(OR(AND(K10=1,L10=2),AND(K10=1,L10=3)),0.25,IF(OR(AND(K10=2,L10=2),AND(K10=3,L10=1),AND(K10=3,L10=2),AND(K10=2,L10=1)),0.5,IF(AND(K10=2,L10=3),0.75,1))))</f>
        <v>1</v>
      </c>
      <c r="N10" s="572" t="n">
        <f aca="false">+AVERAGEIF($D$2:$D$82,D10,$M$2:$M$82)</f>
        <v>0.9375</v>
      </c>
      <c r="O10" s="572"/>
      <c r="P10" s="572"/>
    </row>
    <row r="11" customFormat="false" ht="12.75" hidden="false" customHeight="false" outlineLevel="0" collapsed="false">
      <c r="A11" s="572" t="s">
        <v>621</v>
      </c>
      <c r="B11" s="572" t="str">
        <f aca="false">+LEFT(A11,1)</f>
        <v>3</v>
      </c>
      <c r="C11" s="572" t="str">
        <f aca="false">+MID(VLOOKUP(A11,'Ambiente de Control'!$B$21:$C$235,2,0),4,LEN(VLOOKUP(A11,'Ambiente de Control'!$B$21:$C$235,2,0))-4)</f>
        <v>Evaluación de la planeación estratégica, considerando alertas frente a posibles incumplimientos, necesidades de recursos, cambios en el entorno que puedan afectar su desarrollo, entre otros aspectos que garanticen de forma razonable su cumplimiento</v>
      </c>
      <c r="D11" s="572" t="s">
        <v>605</v>
      </c>
      <c r="E11" s="572" t="str">
        <f aca="false">+VLOOKUP(A11,'Ambiente de Control'!$B$21:$D$235,3,0)</f>
        <v>Diimensiòn Evaluacion de Resultados 
Politica de Seguimiento y Evaluaciòn al Desemepeño Institucional
Dimension Control Interno
Lineas de defensa</v>
      </c>
      <c r="F11" s="572" t="str">
        <f aca="false">+VLOOKUP(A11,'Ambiente de Control'!$B$21:$K$235,10,0)</f>
        <v>Mantenimiento del control</v>
      </c>
      <c r="G11" s="572" t="n">
        <f aca="false">+VLOOKUP(A11,'Ambiente de Control'!$B$21:$O$235,13,0)</f>
        <v>60.48965</v>
      </c>
      <c r="H11" s="573" t="n">
        <f aca="false">+_xlfn.RANK.EQ(G11,$G$2:$G$82,1)</f>
        <v>12</v>
      </c>
      <c r="I11" s="572" t="str">
        <f aca="false">+IF(F11=$F$2,$P$4,IF(F11=$F$3,$P$2,$P$3))</f>
        <v>Cuando en el análisis de los requerimientos en los diferenes componentes del MECI se cuente con aspectos evaluados en nivel 1 (presente) y 1 (funcionando); 2 (presente) y 1 (funcionando).</v>
      </c>
      <c r="J11" s="572" t="s">
        <v>620</v>
      </c>
      <c r="K11" s="572" t="n">
        <f aca="false">+IF(ISBLANK(VLOOKUP(A11,'Ambiente de Control'!$B$24:$F$235,5,0)),"",VLOOKUP(A11,'Ambiente de Control'!$B$24:$F$235,5,0))</f>
        <v>3</v>
      </c>
      <c r="L11" s="572" t="n">
        <f aca="false">+IF(ISBLANK(VLOOKUP(A11,'Ambiente de Control'!$B$24:$K$235,9,0)),"",VLOOKUP(A11,'Ambiente de Control'!$B$24:$K$235,9,0))</f>
        <v>3</v>
      </c>
      <c r="M11" s="572" t="n">
        <f aca="false">+IF(OR(AND(K11=1,L11=1),AND(ISBLANK(K11),ISBLANK(L11)),K11="",L11=""),0,IF(OR(AND(K11=1,L11=2),AND(K11=1,L11=3)),0.25,IF(OR(AND(K11=2,L11=2),AND(K11=3,L11=1),AND(K11=3,L11=2),AND(K11=2,L11=1)),0.5,IF(AND(K11=2,L11=3),0.75,1))))</f>
        <v>1</v>
      </c>
      <c r="N11" s="572" t="n">
        <f aca="false">+AVERAGEIF($D$2:$D$82,D11,$M$2:$M$82)</f>
        <v>0.9375</v>
      </c>
      <c r="O11" s="572"/>
      <c r="P11" s="572"/>
    </row>
    <row r="12" customFormat="false" ht="12.75" hidden="false" customHeight="false" outlineLevel="0" collapsed="false">
      <c r="A12" s="572" t="s">
        <v>622</v>
      </c>
      <c r="B12" s="572" t="str">
        <f aca="false">+LEFT(A12,1)</f>
        <v>3</v>
      </c>
      <c r="C12" s="572" t="str">
        <f aca="false">+MID(VLOOKUP(A12,'Ambiente de Control'!$B$21:$C$235,2,0),4,LEN(VLOOKUP(A12,'Ambiente de Control'!$B$21:$C$235,2,0))-4)</f>
        <v>La Alta Dirección frente a la política de Administración del Riesgo definen los niveles de aceptación del riesgo, teniendo en cuenta cada uno de los objetivos establecidos.</v>
      </c>
      <c r="D12" s="572" t="s">
        <v>605</v>
      </c>
      <c r="E12" s="572" t="str">
        <f aca="false">+VLOOKUP(A12,'Ambiente de Control'!$B$21:$D$235,3,0)</f>
        <v>Dimension Control Interno
Politica de Control Interno
Linea Estrategica</v>
      </c>
      <c r="F12" s="572" t="str">
        <f aca="false">+VLOOKUP(A12,'Ambiente de Control'!$B$21:$K$235,10,0)</f>
        <v>Mantenimiento del control</v>
      </c>
      <c r="G12" s="572" t="n">
        <f aca="false">+VLOOKUP(A12,'Ambiente de Control'!$B$21:$O$235,13,0)</f>
        <v>60.389653</v>
      </c>
      <c r="H12" s="573" t="n">
        <f aca="false">+_xlfn.RANK.EQ(G12,$G$2:$G$82,1)</f>
        <v>11</v>
      </c>
      <c r="I12" s="572" t="str">
        <f aca="false">+IF(F12=$F$2,$P$4,IF(F12=$F$3,$P$2,$P$3))</f>
        <v>Cuando en el análisis de los requerimientos en los diferenes componentes del MECI se cuente con aspectos evaluados en nivel 1 (presente) y 1 (funcionando); 2 (presente) y 1 (funcionando).</v>
      </c>
      <c r="J12" s="572" t="s">
        <v>620</v>
      </c>
      <c r="K12" s="572" t="n">
        <f aca="false">+IF(ISBLANK(VLOOKUP(A12,'Ambiente de Control'!$B$24:$F$235,5,0)),"",VLOOKUP(A12,'Ambiente de Control'!$B$24:$F$235,5,0))</f>
        <v>3</v>
      </c>
      <c r="L12" s="572" t="n">
        <f aca="false">+IF(ISBLANK(VLOOKUP(A12,'Ambiente de Control'!$B$24:$K$235,9,0)),"",VLOOKUP(A12,'Ambiente de Control'!$B$24:$K$235,9,0))</f>
        <v>3</v>
      </c>
      <c r="M12" s="572" t="n">
        <f aca="false">+IF(OR(AND(K12=1,L12=1),AND(ISBLANK(K12),ISBLANK(L12)),K12="",L12=""),0,IF(OR(AND(K12=1,L12=2),AND(K12=1,L12=3)),0.25,IF(OR(AND(K12=2,L12=2),AND(K12=3,L12=1),AND(K12=3,L12=2),AND(K12=2,L12=1)),0.5,IF(AND(K12=2,L12=3),0.75,1))))</f>
        <v>1</v>
      </c>
      <c r="N12" s="572" t="n">
        <f aca="false">+AVERAGEIF($D$2:$D$82,D12,$M$2:$M$82)</f>
        <v>0.9375</v>
      </c>
      <c r="O12" s="572"/>
      <c r="P12" s="572"/>
    </row>
    <row r="13" customFormat="false" ht="12.75" hidden="false" customHeight="false" outlineLevel="0" collapsed="false">
      <c r="A13" s="572" t="s">
        <v>623</v>
      </c>
      <c r="B13" s="572" t="str">
        <f aca="false">+LEFT(A13,1)</f>
        <v>4</v>
      </c>
      <c r="C13" s="572" t="str">
        <f aca="false">+MID(VLOOKUP(A13,'Ambiente de Control'!$B$21:$C$235,2,0),4,LEN(VLOOKUP(A13,'Ambiente de Control'!$B$21:$C$235,2,0))-4)</f>
        <v>Evaluación de la Planeación Estratégica del Talento Humano</v>
      </c>
      <c r="D13" s="572" t="s">
        <v>605</v>
      </c>
      <c r="E13" s="572" t="str">
        <f aca="false">+VLOOKUP(A13,'Ambiente de Control'!$B$21:$D$235,3,0)</f>
        <v>Dimension de Talento Humano
Politica Gestion Estrategica del Talento Humano
Dimension de Control Interno
Lineas de Defensa</v>
      </c>
      <c r="F13" s="572" t="str">
        <f aca="false">+VLOOKUP(A13,'Ambiente de Control'!$B$21:$K$235,10,0)</f>
        <v>Mantenimiento del control</v>
      </c>
      <c r="G13" s="572" t="n">
        <f aca="false">+VLOOKUP(A13,'Ambiente de Control'!$B$21:$O$235,13,0)</f>
        <v>60.58965</v>
      </c>
      <c r="H13" s="573" t="n">
        <f aca="false">+_xlfn.RANK.EQ(G13,$G$2:$G$82,1)</f>
        <v>13</v>
      </c>
      <c r="I13" s="572" t="str">
        <f aca="false">+IF(F13=$F$2,$P$4,IF(F13=$F$3,$P$2,$P$3))</f>
        <v>Cuando en el análisis de los requerimientos en los diferenes componentes del MECI se cuente con aspectos evaluados en nivel 1 (presente) y 1 (funcionando); 2 (presente) y 1 (funcionando).</v>
      </c>
      <c r="J13" s="572" t="s">
        <v>624</v>
      </c>
      <c r="K13" s="572" t="n">
        <f aca="false">+IF(ISBLANK(VLOOKUP(A13,'Ambiente de Control'!$B$24:$F$235,5,0)),"",VLOOKUP(A13,'Ambiente de Control'!$B$24:$F$235,5,0))</f>
        <v>3</v>
      </c>
      <c r="L13" s="572" t="n">
        <f aca="false">+IF(ISBLANK(VLOOKUP(A13,'Ambiente de Control'!$B$24:$K$235,9,0)),"",VLOOKUP(A13,'Ambiente de Control'!$B$24:$K$235,9,0))</f>
        <v>3</v>
      </c>
      <c r="M13" s="572" t="n">
        <f aca="false">+IF(OR(AND(K13=1,L13=1),AND(ISBLANK(K13),ISBLANK(L13)),K13="",L13=""),0,IF(OR(AND(K13=1,L13=2),AND(K13=1,L13=3)),0.25,IF(OR(AND(K13=2,L13=2),AND(K13=3,L13=1),AND(K13=3,L13=2),AND(K13=2,L13=1)),0.5,IF(AND(K13=2,L13=3),0.75,1))))</f>
        <v>1</v>
      </c>
      <c r="N13" s="572" t="n">
        <f aca="false">+AVERAGEIF($D$2:$D$82,D13,$M$2:$M$82)</f>
        <v>0.9375</v>
      </c>
      <c r="O13" s="572"/>
      <c r="P13" s="572"/>
    </row>
    <row r="14" customFormat="false" ht="12.75" hidden="false" customHeight="false" outlineLevel="0" collapsed="false">
      <c r="A14" s="572" t="s">
        <v>625</v>
      </c>
      <c r="B14" s="572" t="str">
        <f aca="false">+LEFT(A14,1)</f>
        <v>4</v>
      </c>
      <c r="C14" s="572" t="str">
        <f aca="false">+MID(VLOOKUP(A14,'Ambiente de Control'!$B$21:$C$235,2,0),4,LEN(VLOOKUP(A14,'Ambiente de Control'!$B$21:$C$235,2,0))-4)</f>
        <v>Evaluación de las actividades relacionadas con el Ingreso del personal</v>
      </c>
      <c r="D14" s="572" t="s">
        <v>605</v>
      </c>
      <c r="E14" s="572" t="str">
        <f aca="false">+VLOOKUP(A14,'Ambiente de Control'!$B$21:$D$235,3,0)</f>
        <v>Dimension de Talento Humano
Politica Gestion Estrategica del Talento Humano
Dimension de Control Interno
Lineas de Defensa</v>
      </c>
      <c r="F14" s="572" t="str">
        <f aca="false">+VLOOKUP(A14,'Ambiente de Control'!$B$21:$K$235,10,0)</f>
        <v>Mantenimiento del control</v>
      </c>
      <c r="G14" s="572" t="n">
        <f aca="false">+VLOOKUP(A14,'Ambiente de Control'!$B$21:$O$235,13,0)</f>
        <v>60.68965</v>
      </c>
      <c r="H14" s="573" t="n">
        <f aca="false">+_xlfn.RANK.EQ(G14,$G$2:$G$82,1)</f>
        <v>14</v>
      </c>
      <c r="I14" s="572" t="str">
        <f aca="false">+IF(F14=$F$2,$P$4,IF(F14=$F$3,$P$2,$P$3))</f>
        <v>Cuando en el análisis de los requerimientos en los diferenes componentes del MECI se cuente con aspectos evaluados en nivel 1 (presente) y 1 (funcionando); 2 (presente) y 1 (funcionando).</v>
      </c>
      <c r="J14" s="572" t="s">
        <v>624</v>
      </c>
      <c r="K14" s="572" t="n">
        <f aca="false">+IF(ISBLANK(VLOOKUP(A14,'Ambiente de Control'!$B$24:$F$235,5,0)),"",VLOOKUP(A14,'Ambiente de Control'!$B$24:$F$235,5,0))</f>
        <v>3</v>
      </c>
      <c r="L14" s="572" t="n">
        <f aca="false">+IF(ISBLANK(VLOOKUP(A14,'Ambiente de Control'!$B$24:$K$235,9,0)),"",VLOOKUP(A14,'Ambiente de Control'!$B$24:$K$235,9,0))</f>
        <v>3</v>
      </c>
      <c r="M14" s="572" t="n">
        <f aca="false">+IF(OR(AND(K14=1,L14=1),AND(ISBLANK(K14),ISBLANK(L14)),K14="",L14=""),0,IF(OR(AND(K14=1,L14=2),AND(K14=1,L14=3)),0.25,IF(OR(AND(K14=2,L14=2),AND(K14=3,L14=1),AND(K14=3,L14=2),AND(K14=2,L14=1)),0.5,IF(AND(K14=2,L14=3),0.75,1))))</f>
        <v>1</v>
      </c>
      <c r="N14" s="572" t="n">
        <f aca="false">+AVERAGEIF($D$2:$D$82,D14,$M$2:$M$82)</f>
        <v>0.9375</v>
      </c>
      <c r="O14" s="572"/>
      <c r="P14" s="572"/>
    </row>
    <row r="15" customFormat="false" ht="12.75" hidden="false" customHeight="false" outlineLevel="0" collapsed="false">
      <c r="A15" s="572" t="s">
        <v>626</v>
      </c>
      <c r="B15" s="572" t="str">
        <f aca="false">+LEFT(A15,1)</f>
        <v>4</v>
      </c>
      <c r="C15" s="572" t="str">
        <f aca="false">+MID(VLOOKUP(A15,'Ambiente de Control'!$B$21:$C$235,2,0),4,LEN(VLOOKUP(A15,'Ambiente de Control'!$B$21:$C$235,2,0))-4)</f>
        <v>Evaluación de las actividades relacionadas con la permanencia del personal</v>
      </c>
      <c r="D15" s="572" t="s">
        <v>605</v>
      </c>
      <c r="E15" s="572" t="str">
        <f aca="false">+VLOOKUP(A15,'Ambiente de Control'!$B$21:$D$235,3,0)</f>
        <v>Dimension de Talento Humano
Politica Gestion Estrategica del Talento Humano
Dimension de Control Interno
Lineas de Defensa</v>
      </c>
      <c r="F15" s="572" t="str">
        <f aca="false">+VLOOKUP(A15,'Ambiente de Control'!$B$21:$K$235,10,0)</f>
        <v>Mantenimiento del control</v>
      </c>
      <c r="G15" s="572" t="n">
        <f aca="false">+VLOOKUP(A15,'Ambiente de Control'!$B$21:$O$235,13,0)</f>
        <v>60.78965</v>
      </c>
      <c r="H15" s="573" t="n">
        <f aca="false">+_xlfn.RANK.EQ(G15,$G$2:$G$82,1)</f>
        <v>15</v>
      </c>
      <c r="I15" s="572" t="str">
        <f aca="false">+IF(F15=$F$2,$P$4,IF(F15=$F$3,$P$2,$P$3))</f>
        <v>Cuando en el análisis de los requerimientos en los diferenes componentes del MECI se cuente con aspectos evaluados en nivel 1 (presente) y 1 (funcionando); 2 (presente) y 1 (funcionando).</v>
      </c>
      <c r="J15" s="572" t="s">
        <v>624</v>
      </c>
      <c r="K15" s="572" t="n">
        <f aca="false">+IF(ISBLANK(VLOOKUP(A15,'Ambiente de Control'!$B$24:$F$235,5,0)),"",VLOOKUP(A15,'Ambiente de Control'!$B$24:$F$235,5,0))</f>
        <v>3</v>
      </c>
      <c r="L15" s="572" t="n">
        <f aca="false">+IF(ISBLANK(VLOOKUP(A15,'Ambiente de Control'!$B$24:$K$235,9,0)),"",VLOOKUP(A15,'Ambiente de Control'!$B$24:$K$235,9,0))</f>
        <v>3</v>
      </c>
      <c r="M15" s="572" t="n">
        <f aca="false">+IF(OR(AND(K15=1,L15=1),AND(ISBLANK(K15),ISBLANK(L15)),K15="",L15=""),0,IF(OR(AND(K15=1,L15=2),AND(K15=1,L15=3)),0.25,IF(OR(AND(K15=2,L15=2),AND(K15=3,L15=1),AND(K15=3,L15=2),AND(K15=2,L15=1)),0.5,IF(AND(K15=2,L15=3),0.75,1))))</f>
        <v>1</v>
      </c>
      <c r="N15" s="572" t="n">
        <f aca="false">+AVERAGEIF($D$2:$D$82,D15,$M$2:$M$82)</f>
        <v>0.9375</v>
      </c>
      <c r="O15" s="572"/>
      <c r="P15" s="572"/>
    </row>
    <row r="16" customFormat="false" ht="12.75" hidden="false" customHeight="false" outlineLevel="0" collapsed="false">
      <c r="A16" s="572" t="s">
        <v>627</v>
      </c>
      <c r="B16" s="572" t="str">
        <f aca="false">+LEFT(A16,1)</f>
        <v>4</v>
      </c>
      <c r="C16" s="572" t="str">
        <f aca="false">+MID(VLOOKUP(A16,'Ambiente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572" t="s">
        <v>605</v>
      </c>
      <c r="E16" s="572" t="str">
        <f aca="false">+VLOOKUP(A16,'Ambiente de Control'!$B$21:$D$235,3,0)</f>
        <v>Dimension de Talento Humano
Politica Gestion Estrategica del Talento Humano
Dimension de Control Interno
Lineas de Defensa</v>
      </c>
      <c r="F16" s="572" t="str">
        <f aca="false">+VLOOKUP(A16,'Ambiente de Control'!$B$21:$K$235,10,0)</f>
        <v>Mantenimiento del control</v>
      </c>
      <c r="G16" s="572" t="n">
        <f aca="false">+VLOOKUP(A16,'Ambiente de Control'!$B$21:$O$235,13,0)</f>
        <v>60.88965</v>
      </c>
      <c r="H16" s="573" t="n">
        <f aca="false">+_xlfn.RANK.EQ(G16,$G$2:$G$82,1)</f>
        <v>16</v>
      </c>
      <c r="I16" s="572" t="str">
        <f aca="false">+IF(F16=$F$2,$P$4,IF(F16=$F$3,$P$2,$P$3))</f>
        <v>Cuando en el análisis de los requerimientos en los diferenes componentes del MECI se cuente con aspectos evaluados en nivel 1 (presente) y 1 (funcionando); 2 (presente) y 1 (funcionando).</v>
      </c>
      <c r="J16" s="572" t="s">
        <v>624</v>
      </c>
      <c r="K16" s="572" t="n">
        <f aca="false">+IF(ISBLANK(VLOOKUP(A16,'Ambiente de Control'!$B$24:$F$235,5,0)),"",VLOOKUP(A16,'Ambiente de Control'!$B$24:$F$235,5,0))</f>
        <v>3</v>
      </c>
      <c r="L16" s="572" t="n">
        <f aca="false">+IF(ISBLANK(VLOOKUP(A16,'Ambiente de Control'!$B$24:$K$235,9,0)),"",VLOOKUP(A16,'Ambiente de Control'!$B$24:$K$235,9,0))</f>
        <v>3</v>
      </c>
      <c r="M16" s="572" t="n">
        <f aca="false">+IF(OR(AND(K16=1,L16=1),AND(ISBLANK(K16),ISBLANK(L16)),K16="",L16=""),0,IF(OR(AND(K16=1,L16=2),AND(K16=1,L16=3)),0.25,IF(OR(AND(K16=2,L16=2),AND(K16=3,L16=1),AND(K16=3,L16=2),AND(K16=2,L16=1)),0.5,IF(AND(K16=2,L16=3),0.75,1))))</f>
        <v>1</v>
      </c>
      <c r="N16" s="572" t="n">
        <f aca="false">+AVERAGEIF($D$2:$D$82,D16,$M$2:$M$82)</f>
        <v>0.9375</v>
      </c>
      <c r="O16" s="572"/>
      <c r="P16" s="572"/>
    </row>
    <row r="17" customFormat="false" ht="12.75" hidden="false" customHeight="false" outlineLevel="0" collapsed="false">
      <c r="A17" s="572" t="s">
        <v>628</v>
      </c>
      <c r="B17" s="572" t="str">
        <f aca="false">+LEFT(A17,1)</f>
        <v>4</v>
      </c>
      <c r="C17" s="572" t="str">
        <f aca="false">+MID(VLOOKUP(A17,'Ambiente de Control'!$B$21:$C$235,2,0),4,LEN(VLOOKUP(A17,'Ambiente de Control'!$B$21:$C$235,2,0))-4)</f>
        <v>Evaluación de las actividades relacionadas con el retiro del personal</v>
      </c>
      <c r="D17" s="572" t="s">
        <v>605</v>
      </c>
      <c r="E17" s="572" t="str">
        <f aca="false">+VLOOKUP(A17,'Ambiente de Control'!$B$21:$D$235,3,0)</f>
        <v>Dimension de Talento Humano
Politica Gestion Estrategica del Talento Humano
Dimension de Control Interno
Lineas de Defensa</v>
      </c>
      <c r="F17" s="572" t="str">
        <f aca="false">+VLOOKUP(A17,'Ambiente de Control'!$B$21:$K$235,10,0)</f>
        <v>Mantenimiento del control</v>
      </c>
      <c r="G17" s="572" t="n">
        <f aca="false">+VLOOKUP(A17,'Ambiente de Control'!$B$21:$O$235,13,0)</f>
        <v>60.98965</v>
      </c>
      <c r="H17" s="573" t="n">
        <f aca="false">+_xlfn.RANK.EQ(G17,$G$2:$G$82,1)</f>
        <v>17</v>
      </c>
      <c r="I17" s="572" t="str">
        <f aca="false">+IF(F17=$F$2,$P$4,IF(F17=$F$3,$P$2,$P$3))</f>
        <v>Cuando en el análisis de los requerimientos en los diferenes componentes del MECI se cuente con aspectos evaluados en nivel 1 (presente) y 1 (funcionando); 2 (presente) y 1 (funcionando).</v>
      </c>
      <c r="J17" s="572" t="s">
        <v>624</v>
      </c>
      <c r="K17" s="572" t="n">
        <f aca="false">+IF(ISBLANK(VLOOKUP(A17,'Ambiente de Control'!$B$24:$F$235,5,0)),"",VLOOKUP(A17,'Ambiente de Control'!$B$24:$F$235,5,0))</f>
        <v>3</v>
      </c>
      <c r="L17" s="572" t="n">
        <f aca="false">+IF(ISBLANK(VLOOKUP(A17,'Ambiente de Control'!$B$24:$K$235,9,0)),"",VLOOKUP(A17,'Ambiente de Control'!$B$24:$K$235,9,0))</f>
        <v>3</v>
      </c>
      <c r="M17" s="572" t="n">
        <f aca="false">+IF(OR(AND(K17=1,L17=1),AND(ISBLANK(K17),ISBLANK(L17)),K17="",L17=""),0,IF(OR(AND(K17=1,L17=2),AND(K17=1,L17=3)),0.25,IF(OR(AND(K17=2,L17=2),AND(K17=3,L17=1),AND(K17=3,L17=2),AND(K17=2,L17=1)),0.5,IF(AND(K17=2,L17=3),0.75,1))))</f>
        <v>1</v>
      </c>
      <c r="N17" s="572" t="n">
        <f aca="false">+AVERAGEIF($D$2:$D$82,D17,$M$2:$M$82)</f>
        <v>0.9375</v>
      </c>
      <c r="O17" s="572"/>
      <c r="P17" s="572"/>
    </row>
    <row r="18" customFormat="false" ht="12.75" hidden="false" customHeight="false" outlineLevel="0" collapsed="false">
      <c r="A18" s="572" t="s">
        <v>629</v>
      </c>
      <c r="B18" s="572" t="str">
        <f aca="false">+LEFT(A18,1)</f>
        <v>4</v>
      </c>
      <c r="C18" s="572" t="str">
        <f aca="false">+MID(VLOOKUP(A18,'Ambiente de Control'!$B$21:$C$235,2,0),4,LEN(VLOOKUP(A18,'Ambiente de Control'!$B$21:$C$235,2,0))-4)</f>
        <v>Evaluar el impacto del Plan Institucional de Capacitación - PI</v>
      </c>
      <c r="D18" s="572" t="s">
        <v>605</v>
      </c>
      <c r="E18" s="572" t="str">
        <f aca="false">+VLOOKUP(A18,'Ambiente de Control'!$B$21:$D$235,3,0)</f>
        <v>Dimension de Talento Humano
Politica Gestion Estrategica del Talento Humano
Dimension de Control Interno
Lineas de Defensa</v>
      </c>
      <c r="F18" s="572" t="str">
        <f aca="false">+VLOOKUP(A18,'Ambiente de Control'!$B$21:$K$235,10,0)</f>
        <v>Deficiencia de control (diseño o ejecución)</v>
      </c>
      <c r="G18" s="572" t="n">
        <f aca="false">+VLOOKUP(A18,'Ambiente de Control'!$B$21:$O$235,13,0)</f>
        <v>20.989652</v>
      </c>
      <c r="H18" s="573" t="n">
        <f aca="false">+_xlfn.RANK.EQ(G18,$G$2:$G$82,1)</f>
        <v>3</v>
      </c>
      <c r="I18" s="572" t="str">
        <f aca="false">+IF(F18=$F$2,$P$4,IF(F18=$F$3,$P$2,$P$3))</f>
        <v>Cuando en el análisis de los requerimientos en los diferenes componentes del MECI se cuente con aspectos evaluados en nivel 2 (presente) y 3 (funcionando).</v>
      </c>
      <c r="J18" s="572" t="s">
        <v>624</v>
      </c>
      <c r="K18" s="572" t="n">
        <f aca="false">+IF(ISBLANK(VLOOKUP(A18,'Ambiente de Control'!$B$24:$F$235,5,0)),"",VLOOKUP(A18,'Ambiente de Control'!$B$24:$F$235,5,0))</f>
        <v>3</v>
      </c>
      <c r="L18" s="572" t="n">
        <f aca="false">+IF(ISBLANK(VLOOKUP(A18,'Ambiente de Control'!$B$24:$K$235,9,0)),"",VLOOKUP(A18,'Ambiente de Control'!$B$24:$K$235,9,0))</f>
        <v>2</v>
      </c>
      <c r="M18" s="572" t="n">
        <f aca="false">+IF(OR(AND(K18=1,L18=1),AND(ISBLANK(K18),ISBLANK(L18)),K18="",L18=""),0,IF(OR(AND(K18=1,L18=2),AND(K18=1,L18=3)),0.25,IF(OR(AND(K18=2,L18=2),AND(K18=3,L18=1),AND(K18=3,L18=2),AND(K18=2,L18=1)),0.5,IF(AND(K18=2,L18=3),0.75,1))))</f>
        <v>0.5</v>
      </c>
      <c r="N18" s="572" t="n">
        <f aca="false">+AVERAGEIF($D$2:$D$82,D18,$M$2:$M$82)</f>
        <v>0.9375</v>
      </c>
      <c r="O18" s="572"/>
      <c r="P18" s="572"/>
    </row>
    <row r="19" customFormat="false" ht="12.75" hidden="false" customHeight="false" outlineLevel="0" collapsed="false">
      <c r="A19" s="572" t="s">
        <v>630</v>
      </c>
      <c r="B19" s="572" t="str">
        <f aca="false">+LEFT(A19,1)</f>
        <v>4</v>
      </c>
      <c r="C19" s="572" t="str">
        <f aca="false">+MID(VLOOKUP(A19,'Ambiente de Control'!$B$21:$C$235,2,0),4,LEN(VLOOKUP(A19,'Ambiente de Control'!$B$21:$C$235,2,0))-4)</f>
        <v>Evaluación frente a los productos y servicios en los cuales participan los contratistas de apoyo</v>
      </c>
      <c r="D19" s="572" t="s">
        <v>605</v>
      </c>
      <c r="E19" s="572" t="str">
        <f aca="false">+VLOOKUP(A19,'Ambiente de Control'!$B$21:$D$235,3,0)</f>
        <v>Dimension de Talento Humano
Politica Gestion Estrategica del Talento Humano
Dimension de Control Interno
Lineas de Defensa</v>
      </c>
      <c r="F19" s="572" t="str">
        <f aca="false">+VLOOKUP(A19,'Ambiente de Control'!$B$21:$K$235,10,0)</f>
        <v>Mantenimiento del control</v>
      </c>
      <c r="G19" s="572" t="n">
        <f aca="false">+VLOOKUP(A19,'Ambiente de Control'!$B$21:$O$235,13,0)</f>
        <v>61.89623</v>
      </c>
      <c r="H19" s="573" t="n">
        <f aca="false">+_xlfn.RANK.EQ(G19,$G$2:$G$82,1)</f>
        <v>24</v>
      </c>
      <c r="I19" s="572" t="str">
        <f aca="false">+IF(F19=$F$2,$P$4,IF(F19=$F$3,$P$2,$P$3))</f>
        <v>Cuando en el análisis de los requerimientos en los diferenes componentes del MECI se cuente con aspectos evaluados en nivel 1 (presente) y 1 (funcionando); 2 (presente) y 1 (funcionando).</v>
      </c>
      <c r="J19" s="572" t="s">
        <v>624</v>
      </c>
      <c r="K19" s="572" t="n">
        <f aca="false">+IF(ISBLANK(VLOOKUP(A19,'Ambiente de Control'!$B$24:$F$235,5,0)),"",VLOOKUP(A19,'Ambiente de Control'!$B$24:$F$235,5,0))</f>
        <v>3</v>
      </c>
      <c r="L19" s="572" t="n">
        <f aca="false">+IF(ISBLANK(VLOOKUP(A19,'Ambiente de Control'!$B$24:$K$235,9,0)),"",VLOOKUP(A19,'Ambiente de Control'!$B$24:$K$235,9,0))</f>
        <v>3</v>
      </c>
      <c r="M19" s="572" t="n">
        <f aca="false">+IF(OR(AND(K19=1,L19=1),AND(ISBLANK(K19),ISBLANK(L19)),K19="",L19=""),0,IF(OR(AND(K19=1,L19=2),AND(K19=1,L19=3)),0.25,IF(OR(AND(K19=2,L19=2),AND(K19=3,L19=1),AND(K19=3,L19=2),AND(K19=2,L19=1)),0.5,IF(AND(K19=2,L19=3),0.75,1))))</f>
        <v>1</v>
      </c>
      <c r="N19" s="572" t="n">
        <f aca="false">+AVERAGEIF($D$2:$D$82,D19,$M$2:$M$82)</f>
        <v>0.9375</v>
      </c>
      <c r="O19" s="572"/>
      <c r="P19" s="572"/>
    </row>
    <row r="20" customFormat="false" ht="12.75" hidden="false" customHeight="false" outlineLevel="0" collapsed="false">
      <c r="A20" s="572" t="s">
        <v>631</v>
      </c>
      <c r="B20" s="572" t="str">
        <f aca="false">+LEFT(A20,1)</f>
        <v>5</v>
      </c>
      <c r="C20" s="572" t="str">
        <f aca="false">+MID(VLOOKUP(A20,'Ambiente de Control'!$B$21:$C$235,2,0),4,LEN(VLOOKUP(A20,'Ambiente de Control'!$B$21:$C$235,2,0))-4)</f>
        <v>Acorde con la estructura del Esquema de Líneas de Defensa se han definido estándares de reporte, periodicidad y responsables frente a diferentes temas críticos de la entidad</v>
      </c>
      <c r="D20" s="572" t="s">
        <v>605</v>
      </c>
      <c r="E20" s="572" t="str">
        <f aca="false">+VLOOKUP(A20,'Ambiente de Control'!$B$21:$D$235,3,0)</f>
        <v>Dimension de Informaciòn y Comunicaciòn
Dimensiòn de Control Interno
Lineas de Defensa</v>
      </c>
      <c r="F20" s="572" t="str">
        <f aca="false">+VLOOKUP(A20,'Ambiente de Control'!$B$21:$K$235,10,0)</f>
        <v>Mantenimiento del control</v>
      </c>
      <c r="G20" s="572" t="n">
        <f aca="false">+VLOOKUP(A20,'Ambiente de Control'!$B$21:$O$235,13,0)</f>
        <v>61.1896</v>
      </c>
      <c r="H20" s="573" t="n">
        <f aca="false">+_xlfn.RANK.EQ(G20,$G$2:$G$82,1)</f>
        <v>18</v>
      </c>
      <c r="I20" s="572" t="str">
        <f aca="false">+IF(F20=$F$2,$P$4,IF(F20=$F$3,$P$2,$P$3))</f>
        <v>Cuando en el análisis de los requerimientos en los diferenes componentes del MECI se cuente con aspectos evaluados en nivel 1 (presente) y 1 (funcionando); 2 (presente) y 1 (funcionando).</v>
      </c>
      <c r="J20" s="572" t="s">
        <v>632</v>
      </c>
      <c r="K20" s="572" t="n">
        <f aca="false">+IF(ISBLANK(VLOOKUP(A20,'Ambiente de Control'!$B$24:$F$235,5,0)),"",VLOOKUP(A20,'Ambiente de Control'!$B$24:$F$235,5,0))</f>
        <v>3</v>
      </c>
      <c r="L20" s="572" t="n">
        <f aca="false">+IF(ISBLANK(VLOOKUP(A20,'Ambiente de Control'!$B$24:$K$235,9,0)),"",VLOOKUP(A20,'Ambiente de Control'!$B$24:$K$235,9,0))</f>
        <v>3</v>
      </c>
      <c r="M20" s="572" t="n">
        <f aca="false">+IF(OR(AND(K20=1,L20=1),AND(ISBLANK(K20),ISBLANK(L20)),K20="",L20=""),0,IF(OR(AND(K20=1,L20=2),AND(K20=1,L20=3)),0.25,IF(OR(AND(K20=2,L20=2),AND(K20=3,L20=1),AND(K20=3,L20=2),AND(K20=2,L20=1)),0.5,IF(AND(K20=2,L20=3),0.75,1))))</f>
        <v>1</v>
      </c>
      <c r="N20" s="572" t="n">
        <f aca="false">+AVERAGEIF($D$2:$D$82,D20,$M$2:$M$82)</f>
        <v>0.9375</v>
      </c>
      <c r="O20" s="572"/>
      <c r="P20" s="572"/>
    </row>
    <row r="21" customFormat="false" ht="12.75" hidden="false" customHeight="false" outlineLevel="0" collapsed="false">
      <c r="A21" s="572" t="s">
        <v>633</v>
      </c>
      <c r="B21" s="572" t="str">
        <f aca="false">+LEFT(A21,1)</f>
        <v>5</v>
      </c>
      <c r="C21" s="572" t="str">
        <f aca="false">+MID(VLOOKUP(A21,'Ambiente de Control'!$B$21:$C$235,2,0),4,LEN(VLOOKUP(A21,'Ambiente de Control'!$B$21:$C$235,2,0))-4)</f>
        <v>La Alta Dirección analiza la información asociada con la generación de reportes financieros</v>
      </c>
      <c r="D21" s="572" t="s">
        <v>605</v>
      </c>
      <c r="E21" s="572" t="str">
        <f aca="false">+VLOOKUP(A21,'Ambiente de Control'!$B$21:$D$235,3,0)</f>
        <v>Dimensiòn de Control Interno
Linea de Estrategica</v>
      </c>
      <c r="F21" s="572" t="str">
        <f aca="false">+VLOOKUP(A21,'Ambiente de Control'!$B$21:$K$235,10,0)</f>
        <v>Mantenimiento del control</v>
      </c>
      <c r="G21" s="572" t="n">
        <f aca="false">+VLOOKUP(A21,'Ambiente de Control'!$B$21:$O$235,13,0)</f>
        <v>61.28965</v>
      </c>
      <c r="H21" s="573" t="n">
        <f aca="false">+_xlfn.RANK.EQ(G21,$G$2:$G$82,1)</f>
        <v>19</v>
      </c>
      <c r="I21" s="572" t="str">
        <f aca="false">+IF(F21=$F$2,$P$4,IF(F21=$F$3,$P$2,$P$3))</f>
        <v>Cuando en el análisis de los requerimientos en los diferenes componentes del MECI se cuente con aspectos evaluados en nivel 1 (presente) y 1 (funcionando); 2 (presente) y 1 (funcionando).</v>
      </c>
      <c r="J21" s="572" t="s">
        <v>632</v>
      </c>
      <c r="K21" s="572" t="n">
        <f aca="false">+IF(ISBLANK(VLOOKUP(A21,'Ambiente de Control'!$B$24:$F$235,5,0)),"",VLOOKUP(A21,'Ambiente de Control'!$B$24:$F$235,5,0))</f>
        <v>3</v>
      </c>
      <c r="L21" s="572" t="n">
        <f aca="false">+IF(ISBLANK(VLOOKUP(A21,'Ambiente de Control'!$B$24:$K$235,9,0)),"",VLOOKUP(A21,'Ambiente de Control'!$B$24:$K$235,9,0))</f>
        <v>3</v>
      </c>
      <c r="M21" s="572" t="n">
        <f aca="false">+IF(OR(AND(K21=1,L21=1),AND(ISBLANK(K21),ISBLANK(L21)),K21="",L21=""),0,IF(OR(AND(K21=1,L21=2),AND(K21=1,L21=3)),0.25,IF(OR(AND(K21=2,L21=2),AND(K21=3,L21=1),AND(K21=3,L21=2),AND(K21=2,L21=1)),0.5,IF(AND(K21=2,L21=3),0.75,1))))</f>
        <v>1</v>
      </c>
      <c r="N21" s="572" t="n">
        <f aca="false">+AVERAGEIF($D$2:$D$82,D21,$M$2:$M$82)</f>
        <v>0.9375</v>
      </c>
      <c r="O21" s="572"/>
      <c r="P21" s="572"/>
    </row>
    <row r="22" customFormat="false" ht="12.75" hidden="false" customHeight="false" outlineLevel="0" collapsed="false">
      <c r="A22" s="572" t="s">
        <v>634</v>
      </c>
      <c r="B22" s="572" t="str">
        <f aca="false">+LEFT(A22,1)</f>
        <v>5</v>
      </c>
      <c r="C22" s="572" t="str">
        <f aca="false">+MID(VLOOKUP(A22,'Ambiente de Control'!$B$21:$C$235,2,0),4,LEN(VLOOKUP(A22,'Ambiente de Control'!$B$21:$C$235,2,0))-4)</f>
        <v>Teniendo en cuenta la información suministrada por la 2a y 3a línea de defensa se toman decisiones a tiempo para garantizar el cumplimiento de las metas y objetivos</v>
      </c>
      <c r="D22" s="572" t="s">
        <v>605</v>
      </c>
      <c r="E22" s="572" t="str">
        <f aca="false">+VLOOKUP(A22,'Ambiente de Control'!$B$21:$D$235,3,0)</f>
        <v>Dimensiòn de Control Interno
Lineas de Defensa</v>
      </c>
      <c r="F22" s="572" t="str">
        <f aca="false">+VLOOKUP(A22,'Ambiente de Control'!$B$21:$K$235,10,0)</f>
        <v>Mantenimiento del control</v>
      </c>
      <c r="G22" s="572" t="n">
        <f aca="false">+VLOOKUP(A22,'Ambiente de Control'!$B$21:$O$235,13,0)</f>
        <v>61.38963</v>
      </c>
      <c r="H22" s="573" t="n">
        <f aca="false">+_xlfn.RANK.EQ(G22,$G$2:$G$82,1)</f>
        <v>20</v>
      </c>
      <c r="I22" s="572" t="str">
        <f aca="false">+IF(F22=$F$2,$P$4,IF(F22=$F$3,$P$2,$P$3))</f>
        <v>Cuando en el análisis de los requerimientos en los diferenes componentes del MECI se cuente con aspectos evaluados en nivel 1 (presente) y 1 (funcionando); 2 (presente) y 1 (funcionando).</v>
      </c>
      <c r="J22" s="572" t="s">
        <v>632</v>
      </c>
      <c r="K22" s="572" t="n">
        <f aca="false">+IF(ISBLANK(VLOOKUP(A22,'Ambiente de Control'!$B$24:$F$235,5,0)),"",VLOOKUP(A22,'Ambiente de Control'!$B$24:$F$235,5,0))</f>
        <v>3</v>
      </c>
      <c r="L22" s="572" t="n">
        <f aca="false">+IF(ISBLANK(VLOOKUP(A22,'Ambiente de Control'!$B$24:$K$235,9,0)),"",VLOOKUP(A22,'Ambiente de Control'!$B$24:$K$235,9,0))</f>
        <v>3</v>
      </c>
      <c r="M22" s="572" t="n">
        <f aca="false">+IF(OR(AND(K22=1,L22=1),AND(ISBLANK(K22),ISBLANK(L22)),K22="",L22=""),0,IF(OR(AND(K22=1,L22=2),AND(K22=1,L22=3)),0.25,IF(OR(AND(K22=2,L22=2),AND(K22=3,L22=1),AND(K22=3,L22=2),AND(K22=2,L22=1)),0.5,IF(AND(K22=2,L22=3),0.75,1))))</f>
        <v>1</v>
      </c>
      <c r="N22" s="572" t="n">
        <f aca="false">+AVERAGEIF($D$2:$D$82,D22,$M$2:$M$82)</f>
        <v>0.9375</v>
      </c>
      <c r="O22" s="572"/>
      <c r="P22" s="572"/>
    </row>
    <row r="23" customFormat="false" ht="12.75" hidden="false" customHeight="false" outlineLevel="0" collapsed="false">
      <c r="A23" s="572" t="s">
        <v>635</v>
      </c>
      <c r="B23" s="572" t="str">
        <f aca="false">+LEFT(A23,1)</f>
        <v>5</v>
      </c>
      <c r="C23" s="572" t="str">
        <f aca="false">+MID(VLOOKUP(A23,'Ambiente de Control'!$B$21:$C$235,2,0),4,LEN(VLOOKUP(A23,'Ambiente de Control'!$B$21:$C$235,2,0))-4)</f>
        <v>Se evalúa la estructura de control a partir de los cambios en procesos, procedimientos, u otras herramientas, a fin de garantizar su adecuada formulación y afectación frente a la gestión del riesgo</v>
      </c>
      <c r="D23" s="572" t="s">
        <v>605</v>
      </c>
      <c r="E23" s="572" t="str">
        <f aca="false">+VLOOKUP(A23,'Ambiente de Control'!$B$21:$D$235,3,0)</f>
        <v>Dimension de Gestion con Valores para Resultado
Politica de Fortalecimiento Organizacional y Simplificaciòn de Procesos
Dimension Control Interno
Lineas de Defensa</v>
      </c>
      <c r="F23" s="572" t="str">
        <f aca="false">+VLOOKUP(A23,'Ambiente de Control'!$B$21:$K$235,10,0)</f>
        <v>Mantenimiento del control</v>
      </c>
      <c r="G23" s="572" t="n">
        <f aca="false">+VLOOKUP(A23,'Ambiente de Control'!$B$21:$O$235,13,0)</f>
        <v>61.48963</v>
      </c>
      <c r="H23" s="573" t="n">
        <f aca="false">+_xlfn.RANK.EQ(G23,$G$2:$G$82,1)</f>
        <v>21</v>
      </c>
      <c r="I23" s="572" t="str">
        <f aca="false">+IF(F23=$F$2,$P$4,IF(F23=$F$3,$P$2,$P$3))</f>
        <v>Cuando en el análisis de los requerimientos en los diferenes componentes del MECI se cuente con aspectos evaluados en nivel 1 (presente) y 1 (funcionando); 2 (presente) y 1 (funcionando).</v>
      </c>
      <c r="J23" s="572" t="s">
        <v>632</v>
      </c>
      <c r="K23" s="572" t="n">
        <f aca="false">+IF(ISBLANK(VLOOKUP(A23,'Ambiente de Control'!$B$24:$F$235,5,0)),"",VLOOKUP(A23,'Ambiente de Control'!$B$24:$F$235,5,0))</f>
        <v>3</v>
      </c>
      <c r="L23" s="572" t="n">
        <f aca="false">+IF(ISBLANK(VLOOKUP(A23,'Ambiente de Control'!$B$24:$K$235,9,0)),"",VLOOKUP(A23,'Ambiente de Control'!$B$24:$K$235,9,0))</f>
        <v>3</v>
      </c>
      <c r="M23" s="572" t="n">
        <f aca="false">+IF(OR(AND(K23=1,L23=1),AND(ISBLANK(K23),ISBLANK(L23)),K23="",L23=""),0,IF(OR(AND(K23=1,L23=2),AND(K23=1,L23=3)),0.25,IF(OR(AND(K23=2,L23=2),AND(K23=3,L23=1),AND(K23=3,L23=2),AND(K23=2,L23=1)),0.5,IF(AND(K23=2,L23=3),0.75,1))))</f>
        <v>1</v>
      </c>
      <c r="N23" s="572" t="n">
        <f aca="false">+AVERAGEIF($D$2:$D$82,D23,$M$2:$M$82)</f>
        <v>0.9375</v>
      </c>
      <c r="O23" s="572"/>
      <c r="P23" s="572"/>
    </row>
    <row r="24" customFormat="false" ht="12.75" hidden="false" customHeight="false" outlineLevel="0" collapsed="false">
      <c r="A24" s="572" t="s">
        <v>636</v>
      </c>
      <c r="B24" s="572" t="str">
        <f aca="false">+LEFT(A24,1)</f>
        <v>5</v>
      </c>
      <c r="C24" s="572" t="str">
        <f aca="false">+MID(VLOOKUP(A24,'Ambiente de Control'!$B$21:$C$235,2,0),4,LEN(VLOOKUP(A24,'Ambiente de Control'!$B$21:$C$235,2,0))-4)</f>
        <v>La entidad aprueba y hace seguimiento al Plan Anual de Auditoría presentado y ejecutado por parte de la Oficina de Control Interno</v>
      </c>
      <c r="D24" s="572" t="s">
        <v>605</v>
      </c>
      <c r="E24" s="572" t="str">
        <f aca="false">+VLOOKUP(A24,'Ambiente de Control'!$B$21:$D$235,3,0)</f>
        <v>Dimension Control Interno
Linea Estrategica</v>
      </c>
      <c r="F24" s="572" t="str">
        <f aca="false">+VLOOKUP(A24,'Ambiente de Control'!$B$21:$K$235,10,0)</f>
        <v>Mantenimiento del control</v>
      </c>
      <c r="G24" s="572" t="n">
        <f aca="false">+VLOOKUP(A24,'Ambiente de Control'!$B$21:$O$235,13,0)</f>
        <v>61.58965</v>
      </c>
      <c r="H24" s="573" t="n">
        <f aca="false">+_xlfn.RANK.EQ(G24,$G$2:$G$82,1)</f>
        <v>22</v>
      </c>
      <c r="I24" s="572" t="str">
        <f aca="false">+IF(F24=$F$2,$P$4,IF(F24=$F$3,$P$2,$P$3))</f>
        <v>Cuando en el análisis de los requerimientos en los diferenes componentes del MECI se cuente con aspectos evaluados en nivel 1 (presente) y 1 (funcionando); 2 (presente) y 1 (funcionando).</v>
      </c>
      <c r="J24" s="572" t="s">
        <v>632</v>
      </c>
      <c r="K24" s="572" t="n">
        <f aca="false">+IF(ISBLANK(VLOOKUP(A24,'Ambiente de Control'!$B$24:$F$235,5,0)),"",VLOOKUP(A24,'Ambiente de Control'!$B$24:$F$235,5,0))</f>
        <v>3</v>
      </c>
      <c r="L24" s="572" t="n">
        <f aca="false">+IF(ISBLANK(VLOOKUP(A24,'Ambiente de Control'!$B$24:$K$235,9,0)),"",VLOOKUP(A24,'Ambiente de Control'!$B$24:$K$235,9,0))</f>
        <v>3</v>
      </c>
      <c r="M24" s="572" t="n">
        <f aca="false">+IF(OR(AND(K24=1,L24=1),AND(ISBLANK(K24),ISBLANK(L24)),K24="",L24=""),0,IF(OR(AND(K24=1,L24=2),AND(K24=1,L24=3)),0.25,IF(OR(AND(K24=2,L24=2),AND(K24=3,L24=1),AND(K24=3,L24=2),AND(K24=2,L24=1)),0.5,IF(AND(K24=2,L24=3),0.75,1))))</f>
        <v>1</v>
      </c>
      <c r="N24" s="572" t="n">
        <f aca="false">+AVERAGEIF($D$2:$D$82,D24,$M$2:$M$82)</f>
        <v>0.9375</v>
      </c>
      <c r="O24" s="572"/>
      <c r="P24" s="572"/>
    </row>
    <row r="25" customFormat="false" ht="12.75" hidden="false" customHeight="false" outlineLevel="0" collapsed="false">
      <c r="A25" s="572" t="s">
        <v>637</v>
      </c>
      <c r="B25" s="572" t="str">
        <f aca="false">+LEFT(A25,1)</f>
        <v>5</v>
      </c>
      <c r="C25" s="572" t="str">
        <f aca="false">+MID(VLOOKUP(A25,'Ambiente de Control'!$B$21:$C$235,2,0),4,LEN(VLOOKUP(A25,'Ambiente de Control'!$B$21:$C$235,2,0))-4)</f>
        <v>La entidad analiza los informes presentados por la Oficina de Control Interno y evalúa su impacto en relación con la mejora institucional</v>
      </c>
      <c r="D25" s="572" t="s">
        <v>605</v>
      </c>
      <c r="E25" s="572" t="str">
        <f aca="false">+VLOOKUP(A25,'Ambiente de Control'!$B$21:$D$235,3,0)</f>
        <v>Dimension Control Interno
Linea Estrategica</v>
      </c>
      <c r="F25" s="572" t="str">
        <f aca="false">+VLOOKUP(A25,'Ambiente de Control'!$B$21:$K$235,10,0)</f>
        <v>Mantenimiento del control</v>
      </c>
      <c r="G25" s="572" t="n">
        <f aca="false">+VLOOKUP(A25,'Ambiente de Control'!$B$21:$O$235,13,0)</f>
        <v>61.689653</v>
      </c>
      <c r="H25" s="573" t="n">
        <f aca="false">+_xlfn.RANK.EQ(G25,$G$2:$G$82,1)</f>
        <v>23</v>
      </c>
      <c r="I25" s="572" t="str">
        <f aca="false">+IF(F25=$F$2,$P$4,IF(F25=$F$3,$P$2,$P$3))</f>
        <v>Cuando en el análisis de los requerimientos en los diferenes componentes del MECI se cuente con aspectos evaluados en nivel 1 (presente) y 1 (funcionando); 2 (presente) y 1 (funcionando).</v>
      </c>
      <c r="J25" s="572" t="s">
        <v>632</v>
      </c>
      <c r="K25" s="572" t="n">
        <f aca="false">+IF(ISBLANK(VLOOKUP(A25,'Ambiente de Control'!$B$24:$F$235,5,0)),"",VLOOKUP(A25,'Ambiente de Control'!$B$24:$F$235,5,0))</f>
        <v>3</v>
      </c>
      <c r="L25" s="572" t="n">
        <f aca="false">+IF(ISBLANK(VLOOKUP(A25,'Ambiente de Control'!$B$24:$K$235,9,0)),"",VLOOKUP(A25,'Ambiente de Control'!$B$24:$K$235,9,0))</f>
        <v>3</v>
      </c>
      <c r="M25" s="572" t="n">
        <f aca="false">+IF(OR(AND(K25=1,L25=1),AND(ISBLANK(K25),ISBLANK(L25)),K25="",L25=""),0,IF(OR(AND(K25=1,L25=2),AND(K25=1,L25=3)),0.25,IF(OR(AND(K25=2,L25=2),AND(K25=3,L25=1),AND(K25=3,L25=2),AND(K25=2,L25=1)),0.5,IF(AND(K25=2,L25=3),0.75,1))))</f>
        <v>1</v>
      </c>
      <c r="N25" s="572" t="n">
        <f aca="false">+AVERAGEIF($D$2:$D$82,D25,$M$2:$M$82)</f>
        <v>0.9375</v>
      </c>
      <c r="O25" s="572"/>
      <c r="P25" s="572"/>
    </row>
    <row r="26" customFormat="false" ht="293.25" hidden="false" customHeight="false" outlineLevel="0" collapsed="false">
      <c r="A26" s="572" t="s">
        <v>638</v>
      </c>
      <c r="B26" s="572" t="str">
        <f aca="false">+LEFT(A26,1)</f>
        <v>6</v>
      </c>
      <c r="C26" s="572" t="str">
        <f aca="false">+MID(VLOOKUP(A26,'Evaluación de riesgos'!$B$13:$C$160,2,0),4,LEN(VLOOKUP(A26,'Evaluación de riesgos'!$B$13:$C$160,2,0))-4)</f>
        <v>La Entidad cuenta con mecanismos para vincular o relacionar el plan estratégico con los objetivos estratégicos y estos a su vez con los objetivos operativos</v>
      </c>
      <c r="D26" s="572" t="s">
        <v>509</v>
      </c>
      <c r="E26" s="572" t="str">
        <f aca="false">+VLOOKUP(A26,'Evaluación de riesgos'!$B$13:$K$160,3,0)</f>
        <v>Dimension de Direccionamiento Estratetegico y Planeacion.
Politica de Planeacion Institucional</v>
      </c>
      <c r="F26" s="572" t="str">
        <f aca="false">+VLOOKUP(A26,'Evaluación de riesgos'!$B$13:$K$160,10,0)</f>
        <v>Mantenimiento del control</v>
      </c>
      <c r="G26" s="572" t="n">
        <f aca="false">+VLOOKUP(A26,'Evaluación de riesgos'!$B$13:$O$160,13,0)</f>
        <v>141.7896</v>
      </c>
      <c r="H26" s="573" t="n">
        <f aca="false">+_xlfn.RANK.EQ(G26,$G$2:$G$82,1)</f>
        <v>27</v>
      </c>
      <c r="I26" s="572" t="str">
        <f aca="false">+IF(F26=$F$2,$P$4,IF(F26=$F$3,$P$2,$P$3))</f>
        <v>Cuando en el análisis de los requerimientos en los diferenes componentes del MECI se cuente con aspectos evaluados en nivel 1 (presente) y 1 (funcionando); 2 (presente) y 1 (funcionando).</v>
      </c>
      <c r="J26" s="577" t="s">
        <v>639</v>
      </c>
      <c r="K26" s="572" t="n">
        <f aca="false">+IF(ISBLANK(VLOOKUP(A26,'Evaluación de riesgos'!$B$16:$F$160,5,0)),"",VLOOKUP(A26,'Evaluación de riesgos'!$B$16:$F$160,5,0))</f>
        <v>3</v>
      </c>
      <c r="L26" s="572" t="n">
        <f aca="false">+IF(ISBLANK(VLOOKUP(A26,'Evaluación de riesgos'!$B$16:$J$160,9,9)),"",VLOOKUP(A26,'Evaluación de riesgos'!$B$16:$J$160,9,9))</f>
        <v>3</v>
      </c>
      <c r="M26" s="572" t="n">
        <f aca="false">+IF(OR(AND(K26=1,L26=1),AND(ISBLANK(K26),ISBLANK(L26)),K26="",L26=""),0,IF(OR(AND(K26=1,L26=2),AND(K26=1,L26=3)),0.25,IF(OR(AND(K26=2,L26=2),AND(K26=3,L26=1),AND(K26=3,L26=2),AND(K26=2,L26=1)),0.5,IF(AND(K26=2,L26=3),0.75,1))))</f>
        <v>1</v>
      </c>
      <c r="N26" s="572" t="n">
        <f aca="false">+AVERAGEIF($D$2:$D$82,D26,$M$2:$M$82)</f>
        <v>0.941176470588235</v>
      </c>
      <c r="O26" s="572"/>
      <c r="P26" s="572"/>
    </row>
    <row r="27" customFormat="false" ht="293.25" hidden="false" customHeight="false" outlineLevel="0" collapsed="false">
      <c r="A27" s="572" t="s">
        <v>640</v>
      </c>
      <c r="B27" s="572" t="str">
        <f aca="false">+LEFT(A27,1)</f>
        <v>6</v>
      </c>
      <c r="C27" s="572" t="str">
        <f aca="false">+MID(VLOOKUP(A27,'Evaluación de riesgos'!$B$13:$C$160,2,0),4,LEN(VLOOKUP(A27,'Evaluación de riesgos'!$B$13:$C$160,2,0))-4)</f>
        <v>Los objetivos de los procesos, programas o proyectos (según aplique) que están definidos, son específicos, medibles, alcanzables, relevantes, delimitados en el tiempo</v>
      </c>
      <c r="D27" s="572" t="s">
        <v>509</v>
      </c>
      <c r="E27" s="572" t="str">
        <f aca="false">+VLOOKUP(A27,'Evaluación de riesgos'!$B$13:$K$160,3,0)</f>
        <v>Dimension de Gestion con Valores para Resultado
Politica de Fortalecimiento Organizacional y Simplificaciòn de Procesos</v>
      </c>
      <c r="F27" s="572" t="str">
        <f aca="false">+VLOOKUP(A27,'Evaluación de riesgos'!$B$13:$K$160,10,0)</f>
        <v>Mantenimiento del control</v>
      </c>
      <c r="G27" s="572" t="n">
        <f aca="false">+VLOOKUP(A27,'Evaluación de riesgos'!$B$13:$O$160,13,0)</f>
        <v>141.8896</v>
      </c>
      <c r="H27" s="573" t="n">
        <f aca="false">+_xlfn.RANK.EQ(G27,$G$2:$G$82,1)</f>
        <v>28</v>
      </c>
      <c r="I27" s="572" t="str">
        <f aca="false">+IF(F27=$F$2,$P$4,IF(F27=$F$3,$P$2,$P$3))</f>
        <v>Cuando en el análisis de los requerimientos en los diferenes componentes del MECI se cuente con aspectos evaluados en nivel 1 (presente) y 1 (funcionando); 2 (presente) y 1 (funcionando).</v>
      </c>
      <c r="J27" s="577" t="s">
        <v>639</v>
      </c>
      <c r="K27" s="572" t="n">
        <f aca="false">+IF(ISBLANK(VLOOKUP(A27,'Evaluación de riesgos'!$B$16:$F$160,5,0)),"",VLOOKUP(A27,'Evaluación de riesgos'!$B$16:$F$160,5,0))</f>
        <v>3</v>
      </c>
      <c r="L27" s="572" t="n">
        <f aca="false">+IF(ISBLANK(VLOOKUP(A27,'Evaluación de riesgos'!$B$16:$J$160,9,9)),"",VLOOKUP(A27,'Evaluación de riesgos'!$B$16:$J$160,9,9))</f>
        <v>3</v>
      </c>
      <c r="M27" s="572" t="n">
        <f aca="false">+IF(OR(AND(K27=1,L27=1),AND(ISBLANK(K27),ISBLANK(L27)),K27="",L27=""),0,IF(OR(AND(K27=1,L27=2),AND(K27=1,L27=3)),0.25,IF(OR(AND(K27=2,L27=2),AND(K27=3,L27=1),AND(K27=3,L27=2),AND(K27=2,L27=1)),0.5,IF(AND(K27=2,L27=3),0.75,1))))</f>
        <v>1</v>
      </c>
      <c r="N27" s="572" t="n">
        <f aca="false">+AVERAGEIF($D$2:$D$82,D27,$M$2:$M$82)</f>
        <v>0.941176470588235</v>
      </c>
      <c r="O27" s="572"/>
      <c r="P27" s="572"/>
    </row>
    <row r="28" customFormat="false" ht="293.25" hidden="false" customHeight="false" outlineLevel="0" collapsed="false">
      <c r="A28" s="572" t="s">
        <v>641</v>
      </c>
      <c r="B28" s="572" t="str">
        <f aca="false">+LEFT(A28,1)</f>
        <v>6</v>
      </c>
      <c r="C28" s="572" t="str">
        <f aca="false">+MID(VLOOKUP(A28,'Evaluación de riesgos'!$B$13:$C$160,2,0),4,LEN(VLOOKUP(A28,'Evaluación de riesgos'!$B$13:$C$160,2,0))-4)</f>
        <v>La Alta Dirección evalúa periódicamente los objetivos establecidos para asegurar que estos continúan siendo consistentes y apropiados para la Entidad</v>
      </c>
      <c r="D28" s="572" t="s">
        <v>509</v>
      </c>
      <c r="E28" s="572" t="str">
        <f aca="false">+VLOOKUP(A28,'Evaluación de riesgos'!$B$13:$K$160,3,0)</f>
        <v>Dimension de Direccionamiento Estratetegico y Planeacion.
Politica de Planeacion Institucional
Dimension Control Interno
Linea Estrategica</v>
      </c>
      <c r="F28" s="572" t="str">
        <f aca="false">+VLOOKUP(A28,'Evaluación de riesgos'!$B$13:$K$160,10,0)</f>
        <v>Mantenimiento del control</v>
      </c>
      <c r="G28" s="572" t="n">
        <f aca="false">+VLOOKUP(A28,'Evaluación de riesgos'!$B$13:$O$160,13,0)</f>
        <v>141.9754</v>
      </c>
      <c r="H28" s="573" t="n">
        <f aca="false">+_xlfn.RANK.EQ(G28,$G$2:$G$82,1)</f>
        <v>29</v>
      </c>
      <c r="I28" s="572" t="str">
        <f aca="false">+IF(F28=$F$2,$P$4,IF(F28=$F$3,$P$2,$P$3))</f>
        <v>Cuando en el análisis de los requerimientos en los diferenes componentes del MECI se cuente con aspectos evaluados en nivel 1 (presente) y 1 (funcionando); 2 (presente) y 1 (funcionando).</v>
      </c>
      <c r="J28" s="577" t="s">
        <v>639</v>
      </c>
      <c r="K28" s="572" t="n">
        <f aca="false">+IF(ISBLANK(VLOOKUP(A28,'Evaluación de riesgos'!$B$16:$F$160,5,0)),"",VLOOKUP(A28,'Evaluación de riesgos'!$B$16:$F$160,5,0))</f>
        <v>3</v>
      </c>
      <c r="L28" s="572" t="n">
        <f aca="false">+IF(ISBLANK(VLOOKUP(A28,'Evaluación de riesgos'!$B$16:$J$160,9,9)),"",VLOOKUP(A28,'Evaluación de riesgos'!$B$16:$J$160,9,9))</f>
        <v>3</v>
      </c>
      <c r="M28" s="572" t="n">
        <f aca="false">+IF(OR(AND(K28=1,L28=1),AND(ISBLANK(K28),ISBLANK(L28)),K28="",L28=""),0,IF(OR(AND(K28=1,L28=2),AND(K28=1,L28=3)),0.25,IF(OR(AND(K28=2,L28=2),AND(K28=3,L28=1),AND(K28=3,L28=2),AND(K28=2,L28=1)),0.5,IF(AND(K28=2,L28=3),0.75,1))))</f>
        <v>1</v>
      </c>
      <c r="N28" s="572" t="n">
        <f aca="false">+AVERAGEIF($D$2:$D$82,D28,$M$2:$M$82)</f>
        <v>0.941176470588235</v>
      </c>
      <c r="O28" s="572"/>
      <c r="P28" s="572"/>
    </row>
    <row r="29" customFormat="false" ht="12.75" hidden="false" customHeight="false" outlineLevel="0" collapsed="false">
      <c r="A29" s="572" t="s">
        <v>642</v>
      </c>
      <c r="B29" s="572" t="str">
        <f aca="false">+LEFT(A29,1)</f>
        <v>7</v>
      </c>
      <c r="C29" s="572" t="str">
        <f aca="false">+MID(VLOOKUP(A29,'Evaluación de riesgos'!$B$13:$C$160,2,0),4,LEN(VLOOKUP(A29,'Evaluación de riesgos'!$B$13:$C$160,2,0))-4)</f>
        <v>Teniendo en cuenta la estructura de la política de Administración del Riesgo, su alcance define lineamientos para toda la entidad, incluyendo regionales, áreas tercerizadas u otras instancias que afectan la prestación del servicio</v>
      </c>
      <c r="D29" s="572" t="s">
        <v>509</v>
      </c>
      <c r="E29" s="572" t="str">
        <f aca="false">+VLOOKUP(A29,'Evaluación de riesgos'!$B$13:$K$160,3,0)</f>
        <v>Dimension de Direccionamiento Estratetegico y Planeacion.
Politica de Planeacion Institucional</v>
      </c>
      <c r="F29" s="572" t="str">
        <f aca="false">+VLOOKUP(A29,'Evaluación de riesgos'!$B$13:$K$160,10,0)</f>
        <v>Mantenimiento del control</v>
      </c>
      <c r="G29" s="572" t="n">
        <f aca="false">+VLOOKUP(A29,'Evaluación de riesgos'!$B$13:$O$160,13,0)</f>
        <v>142.0896</v>
      </c>
      <c r="H29" s="573" t="n">
        <f aca="false">+_xlfn.RANK.EQ(G29,$G$2:$G$82,1)</f>
        <v>30</v>
      </c>
      <c r="I29" s="572" t="str">
        <f aca="false">+IF(F29=$F$2,$P$4,IF(F29=$F$3,$P$2,$P$3))</f>
        <v>Cuando en el análisis de los requerimientos en los diferenes componentes del MECI se cuente con aspectos evaluados en nivel 1 (presente) y 1 (funcionando); 2 (presente) y 1 (funcionando).</v>
      </c>
      <c r="J29" s="572" t="s">
        <v>643</v>
      </c>
      <c r="K29" s="572" t="n">
        <f aca="false">+IF(ISBLANK(VLOOKUP(A29,'Evaluación de riesgos'!$B$16:$F$160,5,0)),"",VLOOKUP(A29,'Evaluación de riesgos'!$B$16:$F$160,5,0))</f>
        <v>3</v>
      </c>
      <c r="L29" s="572" t="n">
        <f aca="false">+IF(ISBLANK(VLOOKUP(A29,'Evaluación de riesgos'!$B$16:$J$160,9,9)),"",VLOOKUP(A29,'Evaluación de riesgos'!$B$16:$J$160,9,9))</f>
        <v>3</v>
      </c>
      <c r="M29" s="572" t="n">
        <f aca="false">+IF(OR(AND(K29=1,L29=1),AND(ISBLANK(K29),ISBLANK(L29)),K29="",L29=""),0,IF(OR(AND(K29=1,L29=2),AND(K29=1,L29=3)),0.25,IF(OR(AND(K29=2,L29=2),AND(K29=3,L29=1),AND(K29=3,L29=2),AND(K29=2,L29=1)),0.5,IF(AND(K29=2,L29=3),0.75,1))))</f>
        <v>1</v>
      </c>
      <c r="N29" s="572" t="n">
        <f aca="false">+AVERAGEIF($D$2:$D$82,D29,$M$2:$M$82)</f>
        <v>0.941176470588235</v>
      </c>
      <c r="O29" s="572"/>
      <c r="P29" s="572"/>
    </row>
    <row r="30" customFormat="false" ht="12.75" hidden="false" customHeight="false" outlineLevel="0" collapsed="false">
      <c r="A30" s="572" t="s">
        <v>644</v>
      </c>
      <c r="B30" s="572" t="str">
        <f aca="false">+LEFT(A30,1)</f>
        <v>7</v>
      </c>
      <c r="C30" s="572" t="str">
        <f aca="false">+MID(VLOOKUP(A30,'Evaluación de riesgos'!$B$13:$C$160,2,0),4,LEN(VLOOKUP(A30,'Evaluación de riesgos'!$B$13:$C$160,2,0))-4)</f>
        <v>La Oficina de Planeación, Gerencia de Riesgos (donde existan), como 2a línea de defensa, consolidan información clave frente a la gestión del riesgo</v>
      </c>
      <c r="D30" s="572" t="s">
        <v>509</v>
      </c>
      <c r="E30" s="572" t="str">
        <f aca="false">+VLOOKUP(A30,'Evaluación de riesgos'!$B$13:$K$160,3,0)</f>
        <v>Dimension Control Interno 
Lineas de Defensa</v>
      </c>
      <c r="F30" s="572" t="str">
        <f aca="false">+VLOOKUP(A30,'Evaluación de riesgos'!$B$13:$K$160,10,0)</f>
        <v>Mantenimiento del control</v>
      </c>
      <c r="G30" s="572" t="n">
        <f aca="false">+VLOOKUP(A30,'Evaluación de riesgos'!$B$13:$O$160,13,0)</f>
        <v>142.1456</v>
      </c>
      <c r="H30" s="573" t="n">
        <f aca="false">+_xlfn.RANK.EQ(G30,$G$2:$G$82,1)</f>
        <v>31</v>
      </c>
      <c r="I30" s="572" t="str">
        <f aca="false">+IF(F30=$F$2,$P$4,IF(F30=$F$3,$P$2,$P$3))</f>
        <v>Cuando en el análisis de los requerimientos en los diferenes componentes del MECI se cuente con aspectos evaluados en nivel 1 (presente) y 1 (funcionando); 2 (presente) y 1 (funcionando).</v>
      </c>
      <c r="J30" s="572" t="s">
        <v>643</v>
      </c>
      <c r="K30" s="572" t="n">
        <f aca="false">+IF(ISBLANK(VLOOKUP(A30,'Evaluación de riesgos'!$B$16:$F$160,5,0)),"",VLOOKUP(A30,'Evaluación de riesgos'!$B$16:$F$160,5,0))</f>
        <v>3</v>
      </c>
      <c r="L30" s="572" t="n">
        <f aca="false">+IF(ISBLANK(VLOOKUP(A30,'Evaluación de riesgos'!$B$16:$J$160,9,9)),"",VLOOKUP(A30,'Evaluación de riesgos'!$B$16:$J$160,9,9))</f>
        <v>3</v>
      </c>
      <c r="M30" s="572" t="n">
        <f aca="false">+IF(OR(AND(K30=1,L30=1),AND(ISBLANK(K30),ISBLANK(L30)),K30="",L30=""),0,IF(OR(AND(K30=1,L30=2),AND(K30=1,L30=3)),0.25,IF(OR(AND(K30=2,L30=2),AND(K30=3,L30=1),AND(K30=3,L30=2),AND(K30=2,L30=1)),0.5,IF(AND(K30=2,L30=3),0.75,1))))</f>
        <v>1</v>
      </c>
      <c r="N30" s="572" t="n">
        <f aca="false">+AVERAGEIF($D$2:$D$82,D30,$M$2:$M$82)</f>
        <v>0.941176470588235</v>
      </c>
      <c r="O30" s="572"/>
      <c r="P30" s="572"/>
    </row>
    <row r="31" customFormat="false" ht="12.75" hidden="false" customHeight="false" outlineLevel="0" collapsed="false">
      <c r="A31" s="572" t="s">
        <v>645</v>
      </c>
      <c r="B31" s="572" t="str">
        <f aca="false">+LEFT(A31,1)</f>
        <v>7</v>
      </c>
      <c r="C31" s="572" t="str">
        <f aca="false">+MID(VLOOKUP(A31,'Evaluación de riesgos'!$B$13:$C$160,2,0),4,LEN(VLOOKUP(A31,'Evaluación de riesgos'!$B$13:$C$160,2,0))-4)</f>
        <v>A partir de la información consolidada y reportada por la 2a línea de defensa (7.2), la Alta Dirección analiza sus resultados y en especial considera si se han presentado materializaciones de riesgo</v>
      </c>
      <c r="D31" s="572" t="s">
        <v>509</v>
      </c>
      <c r="E31" s="572" t="str">
        <f aca="false">+VLOOKUP(A31,'Evaluación de riesgos'!$B$13:$K$160,3,0)</f>
        <v>Dimension Control Interno 
Lineas de Defensa</v>
      </c>
      <c r="F31" s="572" t="str">
        <f aca="false">+VLOOKUP(A31,'Evaluación de riesgos'!$B$13:$K$160,10,0)</f>
        <v>Mantenimiento del control</v>
      </c>
      <c r="G31" s="572" t="n">
        <f aca="false">+VLOOKUP(A31,'Evaluación de riesgos'!$B$13:$O$160,13,0)</f>
        <v>142.2365</v>
      </c>
      <c r="H31" s="573" t="n">
        <f aca="false">+_xlfn.RANK.EQ(G31,$G$2:$G$82,1)</f>
        <v>32</v>
      </c>
      <c r="I31" s="572" t="str">
        <f aca="false">+IF(F31=$F$2,$P$4,IF(F31=$F$3,$P$2,$P$3))</f>
        <v>Cuando en el análisis de los requerimientos en los diferenes componentes del MECI se cuente con aspectos evaluados en nivel 1 (presente) y 1 (funcionando); 2 (presente) y 1 (funcionando).</v>
      </c>
      <c r="J31" s="572" t="s">
        <v>643</v>
      </c>
      <c r="K31" s="572" t="n">
        <f aca="false">+IF(ISBLANK(VLOOKUP(A31,'Evaluación de riesgos'!$B$16:$F$160,5,0)),"",VLOOKUP(A31,'Evaluación de riesgos'!$B$16:$F$160,5,0))</f>
        <v>3</v>
      </c>
      <c r="L31" s="572" t="n">
        <f aca="false">+IF(ISBLANK(VLOOKUP(A31,'Evaluación de riesgos'!$B$16:$J$160,9,9)),"",VLOOKUP(A31,'Evaluación de riesgos'!$B$16:$J$160,9,9))</f>
        <v>3</v>
      </c>
      <c r="M31" s="572" t="n">
        <f aca="false">+IF(OR(AND(K31=1,L31=1),AND(ISBLANK(K31),ISBLANK(L31)),K31="",L31=""),0,IF(OR(AND(K31=1,L31=2),AND(K31=1,L31=3)),0.25,IF(OR(AND(K31=2,L31=2),AND(K31=3,L31=1),AND(K31=3,L31=2),AND(K31=2,L31=1)),0.5,IF(AND(K31=2,L31=3),0.75,1))))</f>
        <v>1</v>
      </c>
      <c r="N31" s="572" t="n">
        <f aca="false">+AVERAGEIF($D$2:$D$82,D31,$M$2:$M$82)</f>
        <v>0.941176470588235</v>
      </c>
      <c r="O31" s="572"/>
      <c r="P31" s="572"/>
    </row>
    <row r="32" customFormat="false" ht="12.75" hidden="false" customHeight="false" outlineLevel="0" collapsed="false">
      <c r="A32" s="572" t="s">
        <v>646</v>
      </c>
      <c r="B32" s="572" t="str">
        <f aca="false">+LEFT(A32,1)</f>
        <v>7</v>
      </c>
      <c r="C32" s="572" t="str">
        <f aca="false">+MID(VLOOKUP(A32,'Evaluación de riesgos'!$B$13:$C$160,2,0),4,LEN(VLOOKUP(A32,'Evaluación de riesgos'!$B$13:$C$160,2,0))-4)</f>
        <v>Cuando se detectan materializaciones de riesgo, se definen los cursos de acción en relación con la revisión y actualización del mapa de riesgos correspondiente</v>
      </c>
      <c r="D32" s="572" t="s">
        <v>509</v>
      </c>
      <c r="E32" s="572" t="str">
        <f aca="false">+VLOOKUP(A32,'Evaluación de riesgos'!$B$13:$K$160,3,0)</f>
        <v>Dimension de Direccionamiento Estratetegico y Planeacion.
Politica de Planeacion Institucional
Dimension Control Interno 
Lineas de Defensa</v>
      </c>
      <c r="F32" s="572" t="str">
        <f aca="false">+VLOOKUP(A32,'Evaluación de riesgos'!$B$13:$K$160,10,0)</f>
        <v>Mantenimiento del control</v>
      </c>
      <c r="G32" s="572" t="n">
        <f aca="false">+VLOOKUP(A32,'Evaluación de riesgos'!$B$13:$O$160,13,0)</f>
        <v>142.3896</v>
      </c>
      <c r="H32" s="573" t="n">
        <f aca="false">+_xlfn.RANK.EQ(G32,$G$2:$G$82,1)</f>
        <v>33</v>
      </c>
      <c r="I32" s="572" t="str">
        <f aca="false">+IF(F32=$F$2,$P$4,IF(F32=$F$3,$P$2,$P$3))</f>
        <v>Cuando en el análisis de los requerimientos en los diferenes componentes del MECI se cuente con aspectos evaluados en nivel 1 (presente) y 1 (funcionando); 2 (presente) y 1 (funcionando).</v>
      </c>
      <c r="J32" s="572" t="s">
        <v>643</v>
      </c>
      <c r="K32" s="572" t="n">
        <f aca="false">+IF(ISBLANK(VLOOKUP(A32,'Evaluación de riesgos'!$B$16:$F$160,5,0)),"",VLOOKUP(A32,'Evaluación de riesgos'!$B$16:$F$160,5,0))</f>
        <v>3</v>
      </c>
      <c r="L32" s="572" t="n">
        <f aca="false">+IF(ISBLANK(VLOOKUP(A32,'Evaluación de riesgos'!$B$16:$J$160,9,9)),"",VLOOKUP(A32,'Evaluación de riesgos'!$B$16:$J$160,9,9))</f>
        <v>3</v>
      </c>
      <c r="M32" s="572" t="n">
        <f aca="false">+IF(OR(AND(K32=1,L32=1),AND(ISBLANK(K32),ISBLANK(L32)),K32="",L32=""),0,IF(OR(AND(K32=1,L32=2),AND(K32=1,L32=3)),0.25,IF(OR(AND(K32=2,L32=2),AND(K32=3,L32=1),AND(K32=3,L32=2),AND(K32=2,L32=1)),0.5,IF(AND(K32=2,L32=3),0.75,1))))</f>
        <v>1</v>
      </c>
      <c r="N32" s="572" t="n">
        <f aca="false">+AVERAGEIF($D$2:$D$82,D32,$M$2:$M$82)</f>
        <v>0.941176470588235</v>
      </c>
      <c r="O32" s="572"/>
      <c r="P32" s="572"/>
    </row>
    <row r="33" customFormat="false" ht="12.75" hidden="false" customHeight="false" outlineLevel="0" collapsed="false">
      <c r="A33" s="572" t="s">
        <v>647</v>
      </c>
      <c r="B33" s="572" t="str">
        <f aca="false">+LEFT(A33,1)</f>
        <v>7</v>
      </c>
      <c r="C33" s="572" t="str">
        <f aca="false">+MID(VLOOKUP(A33,'Evaluación de riesgos'!$B$13:$C$160,2,0),4,LEN(VLOOKUP(A33,'Evaluación de riesgos'!$B$13:$C$160,2,0))-4)</f>
        <v>Se llevan a cabo seguimientos a las acciones definidas para resolver materializaciones de riesgo detectadas</v>
      </c>
      <c r="D33" s="572" t="s">
        <v>509</v>
      </c>
      <c r="E33" s="572" t="str">
        <f aca="false">+VLOOKUP(A33,'Evaluación de riesgos'!$B$13:$K$160,3,0)</f>
        <v>Dimension de Evaluacion de Resultados 
Politica de Seguimiento y evaluacion al Desempeño Institucional.
Dimension Control Interno 
Lineas de Defensa</v>
      </c>
      <c r="F33" s="572" t="str">
        <f aca="false">+VLOOKUP(A33,'Evaluación de riesgos'!$B$13:$K$160,10,0)</f>
        <v>Mantenimiento del control</v>
      </c>
      <c r="G33" s="572" t="n">
        <f aca="false">+VLOOKUP(A33,'Evaluación de riesgos'!$B$13:$O$160,13,0)</f>
        <v>142.4563</v>
      </c>
      <c r="H33" s="573" t="n">
        <f aca="false">+_xlfn.RANK.EQ(G33,$G$2:$G$82,1)</f>
        <v>34</v>
      </c>
      <c r="I33" s="572" t="str">
        <f aca="false">+IF(F33=$F$2,$P$4,IF(F33=$F$3,$P$2,$P$3))</f>
        <v>Cuando en el análisis de los requerimientos en los diferenes componentes del MECI se cuente con aspectos evaluados en nivel 1 (presente) y 1 (funcionando); 2 (presente) y 1 (funcionando).</v>
      </c>
      <c r="J33" s="572" t="s">
        <v>643</v>
      </c>
      <c r="K33" s="572" t="n">
        <f aca="false">+IF(ISBLANK(VLOOKUP(A33,'Evaluación de riesgos'!$B$16:$F$160,5,0)),"",VLOOKUP(A33,'Evaluación de riesgos'!$B$16:$F$160,5,0))</f>
        <v>3</v>
      </c>
      <c r="L33" s="572" t="n">
        <f aca="false">+IF(ISBLANK(VLOOKUP(A33,'Evaluación de riesgos'!$B$16:$J$160,9,9)),"",VLOOKUP(A33,'Evaluación de riesgos'!$B$16:$J$160,9,9))</f>
        <v>3</v>
      </c>
      <c r="M33" s="572" t="n">
        <f aca="false">+IF(OR(AND(K33=1,L33=1),AND(ISBLANK(K33),ISBLANK(L33)),K33="",L33=""),0,IF(OR(AND(K33=1,L33=2),AND(K33=1,L33=3)),0.25,IF(OR(AND(K33=2,L33=2),AND(K33=3,L33=1),AND(K33=3,L33=2),AND(K33=2,L33=1)),0.5,IF(AND(K33=2,L33=3),0.75,1))))</f>
        <v>1</v>
      </c>
      <c r="N33" s="572" t="n">
        <f aca="false">+AVERAGEIF($D$2:$D$82,D33,$M$2:$M$82)</f>
        <v>0.941176470588235</v>
      </c>
      <c r="O33" s="572"/>
      <c r="P33" s="572"/>
    </row>
    <row r="34" customFormat="false" ht="204" hidden="false" customHeight="false" outlineLevel="0" collapsed="false">
      <c r="A34" s="572" t="s">
        <v>648</v>
      </c>
      <c r="B34" s="572" t="str">
        <f aca="false">+LEFT(A34,1)</f>
        <v>8</v>
      </c>
      <c r="C34" s="572" t="str">
        <f aca="false">+MID(VLOOKUP(A34,'Evaluación de riesgos'!$B$13:$C$160,2,0),4,LEN(VLOOKUP(A34,'Evaluación de riesgos'!$B$13:$C$160,2,0))-4)</f>
        <v>La Alta Dirección acorde con el análisis del entorno interno y externo, define los procesos, programas o proyectos (según aplique), susceptibles de posibles actos de corrupción</v>
      </c>
      <c r="D34" s="572" t="s">
        <v>509</v>
      </c>
      <c r="E34" s="572" t="str">
        <f aca="false">+VLOOKUP(A34,'Evaluación de riesgos'!$B$13:$K$160,3,0)</f>
        <v>Dimension de Direccionamiento Estratetegico y Planeacion.
Politica de Planeacion Institucional</v>
      </c>
      <c r="F34" s="572" t="str">
        <f aca="false">+VLOOKUP(A34,'Evaluación de riesgos'!$B$13:$K$160,10,0)</f>
        <v>Mantenimiento del control</v>
      </c>
      <c r="G34" s="572" t="n">
        <f aca="false">+VLOOKUP(A34,'Evaluación de riesgos'!$B$13:$O$160,13,0)</f>
        <v>142.5458</v>
      </c>
      <c r="H34" s="573" t="n">
        <f aca="false">+_xlfn.RANK.EQ(G34,$G$2:$G$82,1)</f>
        <v>35</v>
      </c>
      <c r="I34" s="572" t="str">
        <f aca="false">+IF(F34=$F$2,$P$4,IF(F34=$F$3,$P$2,$P$3))</f>
        <v>Cuando en el análisis de los requerimientos en los diferenes componentes del MECI se cuente con aspectos evaluados en nivel 1 (presente) y 1 (funcionando); 2 (presente) y 1 (funcionando).</v>
      </c>
      <c r="J34" s="577" t="s">
        <v>649</v>
      </c>
      <c r="K34" s="572" t="n">
        <f aca="false">+IF(ISBLANK(VLOOKUP(A34,'Evaluación de riesgos'!$B$16:$F$160,5,0)),"",VLOOKUP(A34,'Evaluación de riesgos'!$B$16:$F$160,5,0))</f>
        <v>3</v>
      </c>
      <c r="L34" s="572" t="n">
        <f aca="false">+IF(ISBLANK(VLOOKUP(A34,'Evaluación de riesgos'!$B$16:$J$160,9,9)),"",VLOOKUP(A34,'Evaluación de riesgos'!$B$16:$J$160,9,9))</f>
        <v>3</v>
      </c>
      <c r="M34" s="572" t="n">
        <f aca="false">+IF(OR(AND(K34=1,L34=1),AND(ISBLANK(K34),ISBLANK(L34)),K34="",L34=""),0,IF(OR(AND(K34=1,L34=2),AND(K34=1,L34=3)),0.25,IF(OR(AND(K34=2,L34=2),AND(K34=3,L34=1),AND(K34=3,L34=2),AND(K34=2,L34=1)),0.5,IF(AND(K34=2,L34=3),0.75,1))))</f>
        <v>1</v>
      </c>
      <c r="N34" s="572" t="n">
        <f aca="false">+AVERAGEIF($D$2:$D$82,D34,$M$2:$M$82)</f>
        <v>0.941176470588235</v>
      </c>
      <c r="O34" s="572"/>
      <c r="P34" s="572"/>
    </row>
    <row r="35" customFormat="false" ht="204" hidden="false" customHeight="false" outlineLevel="0" collapsed="false">
      <c r="A35" s="572" t="s">
        <v>650</v>
      </c>
      <c r="B35" s="572" t="str">
        <f aca="false">+LEFT(A35,1)</f>
        <v>8</v>
      </c>
      <c r="C35" s="572" t="str">
        <f aca="false">+MID(VLOOKUP(A35,'Evaluación de riesgos'!$B$13:$C$160,2,0),4,LEN(VLOOKUP(A35,'Evaluación de riesgos'!$B$13:$C$160,2,0))-4)</f>
        <v>La Alta Dirección monitorea los riesgos de corrupción con la periodicidad establecida en la Política de Administración del Riesgo</v>
      </c>
      <c r="D35" s="572" t="s">
        <v>509</v>
      </c>
      <c r="E35" s="572" t="str">
        <f aca="false">+VLOOKUP(A35,'Evaluación de riesgos'!$B$13:$K$160,3,0)</f>
        <v>Dimension de Control Interno
Linea Estrategica</v>
      </c>
      <c r="F35" s="572" t="str">
        <f aca="false">+VLOOKUP(A35,'Evaluación de riesgos'!$B$13:$K$160,10,0)</f>
        <v>Mantenimiento del control</v>
      </c>
      <c r="G35" s="572" t="n">
        <f aca="false">+VLOOKUP(A35,'Evaluación de riesgos'!$B$13:$O$160,13,0)</f>
        <v>142.6321</v>
      </c>
      <c r="H35" s="573" t="n">
        <f aca="false">+_xlfn.RANK.EQ(G35,$G$2:$G$82,1)</f>
        <v>36</v>
      </c>
      <c r="I35" s="572" t="str">
        <f aca="false">+IF(F35=$F$2,$P$4,IF(F35=$F$3,$P$2,$P$3))</f>
        <v>Cuando en el análisis de los requerimientos en los diferenes componentes del MECI se cuente con aspectos evaluados en nivel 1 (presente) y 1 (funcionando); 2 (presente) y 1 (funcionando).</v>
      </c>
      <c r="J35" s="577" t="s">
        <v>649</v>
      </c>
      <c r="K35" s="572" t="n">
        <f aca="false">+IF(ISBLANK(VLOOKUP(A35,'Evaluación de riesgos'!$B$16:$F$160,5,0)),"",VLOOKUP(A35,'Evaluación de riesgos'!$B$16:$F$160,5,0))</f>
        <v>3</v>
      </c>
      <c r="L35" s="572" t="n">
        <f aca="false">+IF(ISBLANK(VLOOKUP(A35,'Evaluación de riesgos'!$B$16:$J$160,9,9)),"",VLOOKUP(A35,'Evaluación de riesgos'!$B$16:$J$160,9,9))</f>
        <v>3</v>
      </c>
      <c r="M35" s="572" t="n">
        <f aca="false">+IF(OR(AND(K35=1,L35=1),AND(ISBLANK(K35),ISBLANK(L35)),K35="",L35=""),0,IF(OR(AND(K35=1,L35=2),AND(K35=1,L35=3)),0.25,IF(OR(AND(K35=2,L35=2),AND(K35=3,L35=1),AND(K35=3,L35=2),AND(K35=2,L35=1)),0.5,IF(AND(K35=2,L35=3),0.75,1))))</f>
        <v>1</v>
      </c>
      <c r="N35" s="572" t="n">
        <f aca="false">+AVERAGEIF($D$2:$D$82,D35,$M$2:$M$82)</f>
        <v>0.941176470588235</v>
      </c>
      <c r="O35" s="572"/>
      <c r="P35" s="572"/>
    </row>
    <row r="36" customFormat="false" ht="204" hidden="false" customHeight="false" outlineLevel="0" collapsed="false">
      <c r="A36" s="572" t="s">
        <v>651</v>
      </c>
      <c r="B36" s="572" t="str">
        <f aca="false">+LEFT(A36,1)</f>
        <v>8</v>
      </c>
      <c r="C36" s="572" t="str">
        <f aca="false">+MID(VLOOKUP(A36,'Evaluación de riesgos'!$B$13:$C$160,2,0),4,LEN(VLOOKUP(A36,'Evaluación de riesgos'!$B$13:$C$160,2,0))-4)</f>
        <v>Para el desarrollo de las actividades de control, la entidad considera la adecuada división de las funciones y que éstas se encuentren segregadas en diferentes personas para reducir el riesgo de acciones fraudulentas</v>
      </c>
      <c r="D36" s="572" t="s">
        <v>509</v>
      </c>
      <c r="E36" s="572" t="str">
        <f aca="false">+VLOOKUP(A36,'Evaluación de riesgos'!$B$13:$K$160,3,0)</f>
        <v>Dimension de Contro Interno
Lineas de Defensa</v>
      </c>
      <c r="F36" s="572" t="str">
        <f aca="false">+VLOOKUP(A36,'Evaluación de riesgos'!$B$13:$K$160,10,0)</f>
        <v>Mantenimiento del control</v>
      </c>
      <c r="G36" s="572" t="n">
        <f aca="false">+VLOOKUP(A36,'Evaluación de riesgos'!$B$13:$O$160,13,0)</f>
        <v>142.7456</v>
      </c>
      <c r="H36" s="573" t="n">
        <f aca="false">+_xlfn.RANK.EQ(G36,$G$2:$G$82,1)</f>
        <v>37</v>
      </c>
      <c r="I36" s="572" t="str">
        <f aca="false">+IF(F36=$F$2,$P$4,IF(F36=$F$3,$P$2,$P$3))</f>
        <v>Cuando en el análisis de los requerimientos en los diferenes componentes del MECI se cuente con aspectos evaluados en nivel 1 (presente) y 1 (funcionando); 2 (presente) y 1 (funcionando).</v>
      </c>
      <c r="J36" s="577" t="s">
        <v>649</v>
      </c>
      <c r="K36" s="572" t="n">
        <f aca="false">+IF(ISBLANK(VLOOKUP(A36,'Evaluación de riesgos'!$B$16:$F$160,5,0)),"",VLOOKUP(A36,'Evaluación de riesgos'!$B$16:$F$160,5,0))</f>
        <v>3</v>
      </c>
      <c r="L36" s="572" t="n">
        <f aca="false">+IF(ISBLANK(VLOOKUP(A36,'Evaluación de riesgos'!$B$16:$J$160,9,9)),"",VLOOKUP(A36,'Evaluación de riesgos'!$B$16:$J$160,9,9))</f>
        <v>3</v>
      </c>
      <c r="M36" s="572" t="n">
        <f aca="false">+IF(OR(AND(K36=1,L36=1),AND(ISBLANK(K36),ISBLANK(L36)),K36="",L36=""),0,IF(OR(AND(K36=1,L36=2),AND(K36=1,L36=3)),0.25,IF(OR(AND(K36=2,L36=2),AND(K36=3,L36=1),AND(K36=3,L36=2),AND(K36=2,L36=1)),0.5,IF(AND(K36=2,L36=3),0.75,1))))</f>
        <v>1</v>
      </c>
      <c r="N36" s="572" t="n">
        <f aca="false">+AVERAGEIF($D$2:$D$82,D36,$M$2:$M$82)</f>
        <v>0.941176470588235</v>
      </c>
      <c r="O36" s="572"/>
      <c r="P36" s="572"/>
    </row>
    <row r="37" customFormat="false" ht="204" hidden="false" customHeight="false" outlineLevel="0" collapsed="false">
      <c r="A37" s="572" t="s">
        <v>652</v>
      </c>
      <c r="B37" s="572" t="str">
        <f aca="false">+LEFT(A37,1)</f>
        <v>8</v>
      </c>
      <c r="C37" s="572" t="str">
        <f aca="false">+MID(VLOOKUP(A37,'Evaluación de riesgos'!$B$13:$C$160,2,0),4,LEN(VLOOKUP(A37,'Evaluación de riesgos'!$B$13:$C$160,2,0))-4)</f>
        <v>La Alta Dirección evalúa fallas en los controles (diseño y ejecución) para definir cursos de acción apropiados para su mejora</v>
      </c>
      <c r="D37" s="572" t="s">
        <v>509</v>
      </c>
      <c r="E37" s="572" t="str">
        <f aca="false">+VLOOKUP(A37,'Evaluación de riesgos'!$B$13:$K$160,3,0)</f>
        <v>Dimension de Control Interno
Linea Estrategica</v>
      </c>
      <c r="F37" s="572" t="str">
        <f aca="false">+VLOOKUP(A37,'Evaluación de riesgos'!$B$13:$K$160,10,0)</f>
        <v>Mantenimiento del control</v>
      </c>
      <c r="G37" s="572" t="n">
        <f aca="false">+VLOOKUP(A37,'Evaluación de riesgos'!$B$13:$O$160,13,0)</f>
        <v>142.8745</v>
      </c>
      <c r="H37" s="573" t="n">
        <f aca="false">+_xlfn.RANK.EQ(G37,$G$2:$G$82,1)</f>
        <v>38</v>
      </c>
      <c r="I37" s="572" t="str">
        <f aca="false">+IF(F37=$F$2,$P$4,IF(F37=$F$3,$P$2,$P$3))</f>
        <v>Cuando en el análisis de los requerimientos en los diferenes componentes del MECI se cuente con aspectos evaluados en nivel 1 (presente) y 1 (funcionando); 2 (presente) y 1 (funcionando).</v>
      </c>
      <c r="J37" s="577" t="s">
        <v>649</v>
      </c>
      <c r="K37" s="572" t="n">
        <f aca="false">+IF(ISBLANK(VLOOKUP(A37,'Evaluación de riesgos'!$B$16:$F$160,5,0)),"",VLOOKUP(A37,'Evaluación de riesgos'!$B$16:$F$160,5,0))</f>
        <v>3</v>
      </c>
      <c r="L37" s="572" t="n">
        <f aca="false">+IF(ISBLANK(VLOOKUP(A37,'Evaluación de riesgos'!$B$16:$J$160,9,9)),"",VLOOKUP(A37,'Evaluación de riesgos'!$B$16:$J$160,9,9))</f>
        <v>3</v>
      </c>
      <c r="M37" s="572" t="n">
        <f aca="false">+IF(OR(AND(K37=1,L37=1),AND(ISBLANK(K37),ISBLANK(L37)),K37="",L37=""),0,IF(OR(AND(K37=1,L37=2),AND(K37=1,L37=3)),0.25,IF(OR(AND(K37=2,L37=2),AND(K37=3,L37=1),AND(K37=3,L37=2),AND(K37=2,L37=1)),0.5,IF(AND(K37=2,L37=3),0.75,1))))</f>
        <v>1</v>
      </c>
      <c r="N37" s="572" t="n">
        <f aca="false">+AVERAGEIF($D$2:$D$82,D37,$M$2:$M$82)</f>
        <v>0.941176470588235</v>
      </c>
      <c r="O37" s="572"/>
      <c r="P37" s="572"/>
    </row>
    <row r="38" customFormat="false" ht="12.75" hidden="false" customHeight="false" outlineLevel="0" collapsed="false">
      <c r="A38" s="572" t="s">
        <v>653</v>
      </c>
      <c r="B38" s="572" t="str">
        <f aca="false">+LEFT(A38,1)</f>
        <v>9</v>
      </c>
      <c r="C38" s="572" t="str">
        <f aca="false">+MID(VLOOKUP(A38,'Evaluación de riesgos'!$B$13:$C$160,2,0),4,LEN(VLOOKUP(A38,'Evaluación de riesgos'!$B$13:$C$160,2,0))-4)</f>
        <v>Acorde con lo establecido en la política de Administración del Riesgo, se monitorean los factores internos y externos definidos para la entidad, a fin de establecer cambios en el entorno que determinen nuevos riesgos o ajustes a los existentes</v>
      </c>
      <c r="D38" s="572" t="s">
        <v>509</v>
      </c>
      <c r="E38" s="572" t="str">
        <f aca="false">+VLOOKUP(A38,'Evaluación de riesgos'!$B$13:$K$160,3,0)</f>
        <v>Dimension de Direccionamiento Estrategico 
Politica de Planeacion Institucional</v>
      </c>
      <c r="F38" s="572" t="str">
        <f aca="false">+VLOOKUP(A38,'Evaluación de riesgos'!$B$13:$K$160,10,0)</f>
        <v>Mantenimiento del control</v>
      </c>
      <c r="G38" s="572" t="n">
        <f aca="false">+VLOOKUP(A38,'Evaluación de riesgos'!$B$13:$O$160,13,0)</f>
        <v>142.9635</v>
      </c>
      <c r="H38" s="573" t="n">
        <f aca="false">+_xlfn.RANK.EQ(G38,$G$2:$G$82,1)</f>
        <v>39</v>
      </c>
      <c r="I38" s="572" t="str">
        <f aca="false">+IF(F38=$F$2,$P$4,IF(F38=$F$3,$P$2,$P$3))</f>
        <v>Cuando en el análisis de los requerimientos en los diferenes componentes del MECI se cuente con aspectos evaluados en nivel 1 (presente) y 1 (funcionando); 2 (presente) y 1 (funcionando).</v>
      </c>
      <c r="J38" s="572" t="s">
        <v>654</v>
      </c>
      <c r="K38" s="572" t="n">
        <f aca="false">+IF(ISBLANK(VLOOKUP(A38,'Evaluación de riesgos'!$B$16:$F$160,5,0)),"",VLOOKUP(A38,'Evaluación de riesgos'!$B$16:$F$160,5,0))</f>
        <v>3</v>
      </c>
      <c r="L38" s="572" t="n">
        <f aca="false">+IF(ISBLANK(VLOOKUP(A38,'Evaluación de riesgos'!$B$16:$J$160,9,9)),"",VLOOKUP(A38,'Evaluación de riesgos'!$B$16:$J$160,9,9))</f>
        <v>3</v>
      </c>
      <c r="M38" s="572" t="n">
        <f aca="false">+IF(OR(AND(K38=1,L38=1),AND(ISBLANK(K38),ISBLANK(L38)),K38="",L38=""),0,IF(OR(AND(K38=1,L38=2),AND(K38=1,L38=3)),0.25,IF(OR(AND(K38=2,L38=2),AND(K38=3,L38=1),AND(K38=3,L38=2),AND(K38=2,L38=1)),0.5,IF(AND(K38=2,L38=3),0.75,1))))</f>
        <v>1</v>
      </c>
      <c r="N38" s="572" t="n">
        <f aca="false">+AVERAGEIF($D$2:$D$82,D38,$M$2:$M$82)</f>
        <v>0.941176470588235</v>
      </c>
      <c r="O38" s="572"/>
      <c r="P38" s="572"/>
    </row>
    <row r="39" customFormat="false" ht="12.75" hidden="false" customHeight="false" outlineLevel="0" collapsed="false">
      <c r="A39" s="572" t="s">
        <v>655</v>
      </c>
      <c r="B39" s="572" t="str">
        <f aca="false">+LEFT(A39,1)</f>
        <v>9</v>
      </c>
      <c r="C39" s="572" t="str">
        <f aca="false">+MID(VLOOKUP(A39,'Evaluación de riesgos'!$B$13:$C$160,2,0),4,LEN(VLOOKUP(A39,'Evaluación de riesgos'!$B$13:$C$160,2,0))-4)</f>
        <v>La Alta Dirección analiza los riesgos asociados a actividades tercerizadas, regionales u otras figuras externas que afecten la prestación del servicio a los usuarios, basados en los informes de la segunda y tercera linea de defensa</v>
      </c>
      <c r="D39" s="572" t="s">
        <v>509</v>
      </c>
      <c r="E39" s="572" t="str">
        <f aca="false">+VLOOKUP(A39,'Evaluación de riesgos'!$B$13:$K$160,3,0)</f>
        <v>Dimension de Control Interno
Lineas de Defensa</v>
      </c>
      <c r="F39" s="572" t="str">
        <f aca="false">+VLOOKUP(A39,'Evaluación de riesgos'!$B$13:$K$160,10,0)</f>
        <v>Deficiencia de control (diseño o ejecución)</v>
      </c>
      <c r="G39" s="572" t="n">
        <f aca="false">+VLOOKUP(A39,'Evaluación de riesgos'!$B$13:$O$160,13,0)</f>
        <v>103.0125</v>
      </c>
      <c r="H39" s="573" t="n">
        <f aca="false">+_xlfn.RANK.EQ(G39,$G$2:$G$82,1)</f>
        <v>25</v>
      </c>
      <c r="I39" s="572" t="str">
        <f aca="false">+IF(F39=$F$2,$P$4,IF(F39=$F$3,$P$2,$P$3))</f>
        <v>Cuando en el análisis de los requerimientos en los diferenes componentes del MECI se cuente con aspectos evaluados en nivel 2 (presente) y 3 (funcionando).</v>
      </c>
      <c r="J39" s="572" t="s">
        <v>654</v>
      </c>
      <c r="K39" s="572" t="n">
        <f aca="false">+IF(ISBLANK(VLOOKUP(A39,'Evaluación de riesgos'!$B$16:$F$160,5,0)),"",VLOOKUP(A39,'Evaluación de riesgos'!$B$16:$F$160,5,0))</f>
        <v>3</v>
      </c>
      <c r="L39" s="572" t="n">
        <f aca="false">+IF(ISBLANK(VLOOKUP(A39,'Evaluación de riesgos'!$B$16:$J$160,9,9)),"",VLOOKUP(A39,'Evaluación de riesgos'!$B$16:$J$160,9,9))</f>
        <v>2</v>
      </c>
      <c r="M39" s="572" t="n">
        <f aca="false">+IF(OR(AND(K39=1,L39=1),AND(ISBLANK(K39),ISBLANK(L39)),K39="",L39=""),0,IF(OR(AND(K39=1,L39=2),AND(K39=1,L39=3)),0.25,IF(OR(AND(K39=2,L39=2),AND(K39=3,L39=1),AND(K39=3,L39=2),AND(K39=2,L39=1)),0.5,IF(AND(K39=2,L39=3),0.75,1))))</f>
        <v>0.5</v>
      </c>
      <c r="N39" s="572" t="n">
        <f aca="false">+AVERAGEIF($D$2:$D$82,D39,$M$2:$M$82)</f>
        <v>0.941176470588235</v>
      </c>
      <c r="O39" s="572"/>
      <c r="P39" s="572"/>
    </row>
    <row r="40" customFormat="false" ht="12.75" hidden="false" customHeight="false" outlineLevel="0" collapsed="false">
      <c r="A40" s="572" t="s">
        <v>656</v>
      </c>
      <c r="B40" s="572" t="str">
        <f aca="false">+LEFT(A40,1)</f>
        <v>9</v>
      </c>
      <c r="C40" s="572" t="str">
        <f aca="false">+MID(VLOOKUP(A40,'Evaluación de riesgos'!$B$13:$C$160,2,0),4,LEN(VLOOKUP(A40,'Evaluación de riesgos'!$B$13:$C$160,2,0))-4)</f>
        <v>La Alta Dirección monitorea los riesgos aceptados revisando que sus condiciones no hayan cambiado y definir su pertinencia para sostenerlos o ajustarlos</v>
      </c>
      <c r="D40" s="572" t="s">
        <v>509</v>
      </c>
      <c r="E40" s="572" t="str">
        <f aca="false">+VLOOKUP(A40,'Evaluación de riesgos'!$B$13:$K$160,3,0)</f>
        <v>Dimension de Control Interno
Linea Estrategica</v>
      </c>
      <c r="F40" s="572" t="str">
        <f aca="false">+VLOOKUP(A40,'Evaluación de riesgos'!$B$13:$K$160,10,0)</f>
        <v>Deficiencia de control (diseño o ejecución)</v>
      </c>
      <c r="G40" s="572" t="n">
        <f aca="false">+VLOOKUP(A40,'Evaluación de riesgos'!$B$13:$O$160,13,0)</f>
        <v>103.1236</v>
      </c>
      <c r="H40" s="573" t="n">
        <f aca="false">+_xlfn.RANK.EQ(G40,$G$2:$G$82,1)</f>
        <v>26</v>
      </c>
      <c r="I40" s="572" t="str">
        <f aca="false">+IF(F40=$F$2,$P$4,IF(F40=$F$3,$P$2,$P$3))</f>
        <v>Cuando en el análisis de los requerimientos en los diferenes componentes del MECI se cuente con aspectos evaluados en nivel 2 (presente) y 3 (funcionando).</v>
      </c>
      <c r="J40" s="572" t="s">
        <v>654</v>
      </c>
      <c r="K40" s="572" t="n">
        <f aca="false">+IF(ISBLANK(VLOOKUP(A40,'Evaluación de riesgos'!$B$16:$F$160,5,0)),"",VLOOKUP(A40,'Evaluación de riesgos'!$B$16:$F$160,5,0))</f>
        <v>3</v>
      </c>
      <c r="L40" s="572" t="n">
        <f aca="false">+IF(ISBLANK(VLOOKUP(A40,'Evaluación de riesgos'!$B$16:$J$160,9,9)),"",VLOOKUP(A40,'Evaluación de riesgos'!$B$16:$J$160,9,9))</f>
        <v>2</v>
      </c>
      <c r="M40" s="572" t="n">
        <f aca="false">+IF(OR(AND(K40=1,L40=1),AND(ISBLANK(K40),ISBLANK(L40)),K40="",L40=""),0,IF(OR(AND(K40=1,L40=2),AND(K40=1,L40=3)),0.25,IF(OR(AND(K40=2,L40=2),AND(K40=3,L40=1),AND(K40=3,L40=2),AND(K40=2,L40=1)),0.5,IF(AND(K40=2,L40=3),0.75,1))))</f>
        <v>0.5</v>
      </c>
      <c r="N40" s="572" t="n">
        <f aca="false">+AVERAGEIF($D$2:$D$82,D40,$M$2:$M$82)</f>
        <v>0.941176470588235</v>
      </c>
      <c r="O40" s="572"/>
      <c r="P40" s="572"/>
    </row>
    <row r="41" customFormat="false" ht="12.75" hidden="false" customHeight="false" outlineLevel="0" collapsed="false">
      <c r="A41" s="572" t="s">
        <v>657</v>
      </c>
      <c r="B41" s="572" t="str">
        <f aca="false">+LEFT(A41,1)</f>
        <v>9</v>
      </c>
      <c r="C41" s="572" t="str">
        <f aca="false">+MID(VLOOKUP(A41,'Evaluación de riesgos'!$B$13:$C$160,2,0),4,LEN(VLOOKUP(A41,'Evaluación de riesgos'!$B$13:$C$160,2,0))-4)</f>
        <v>La Alta Dirección evalúa fallas en los controles (diseño y ejecución) para definir cursos de acción apropiados para su mejora, basados en los informes de la segunda y tercera linea de defensa</v>
      </c>
      <c r="D41" s="572" t="s">
        <v>509</v>
      </c>
      <c r="E41" s="572" t="str">
        <f aca="false">+VLOOKUP(A41,'Evaluación de riesgos'!$B$13:$K$160,3,0)</f>
        <v>Dimension de Control Interno
Lineas de Defensa</v>
      </c>
      <c r="F41" s="572" t="str">
        <f aca="false">+VLOOKUP(A41,'Evaluación de riesgos'!$B$13:$K$160,10,0)</f>
        <v>Mantenimiento del control</v>
      </c>
      <c r="G41" s="572" t="n">
        <f aca="false">+VLOOKUP(A41,'Evaluación de riesgos'!$B$13:$O$160,13,0)</f>
        <v>143.2456</v>
      </c>
      <c r="H41" s="573" t="n">
        <f aca="false">+_xlfn.RANK.EQ(G41,$G$2:$G$82,1)</f>
        <v>40</v>
      </c>
      <c r="I41" s="572" t="str">
        <f aca="false">+IF(F41=$F$2,$P$4,IF(F41=$F$3,$P$2,$P$3))</f>
        <v>Cuando en el análisis de los requerimientos en los diferenes componentes del MECI se cuente con aspectos evaluados en nivel 1 (presente) y 1 (funcionando); 2 (presente) y 1 (funcionando).</v>
      </c>
      <c r="J41" s="572" t="s">
        <v>654</v>
      </c>
      <c r="K41" s="572" t="n">
        <f aca="false">+IF(ISBLANK(VLOOKUP(A41,'Evaluación de riesgos'!$B$16:$F$160,5,0)),"",VLOOKUP(A41,'Evaluación de riesgos'!$B$16:$F$160,5,0))</f>
        <v>3</v>
      </c>
      <c r="L41" s="572" t="n">
        <f aca="false">+IF(ISBLANK(VLOOKUP(A41,'Evaluación de riesgos'!$B$16:$J$160,9,9)),"",VLOOKUP(A41,'Evaluación de riesgos'!$B$16:$J$160,9,9))</f>
        <v>3</v>
      </c>
      <c r="M41" s="572" t="n">
        <f aca="false">+IF(OR(AND(K41=1,L41=1),AND(ISBLANK(K41),ISBLANK(L41)),K41="",L41=""),0,IF(OR(AND(K41=1,L41=2),AND(K41=1,L41=3)),0.25,IF(OR(AND(K41=2,L41=2),AND(K41=3,L41=1),AND(K41=3,L41=2),AND(K41=2,L41=1)),0.5,IF(AND(K41=2,L41=3),0.75,1))))</f>
        <v>1</v>
      </c>
      <c r="N41" s="572" t="n">
        <f aca="false">+AVERAGEIF($D$2:$D$82,D41,$M$2:$M$82)</f>
        <v>0.941176470588235</v>
      </c>
      <c r="O41" s="572"/>
      <c r="P41" s="572"/>
    </row>
    <row r="42" customFormat="false" ht="12.75" hidden="false" customHeight="false" outlineLevel="0" collapsed="false">
      <c r="A42" s="572" t="s">
        <v>658</v>
      </c>
      <c r="B42" s="572" t="str">
        <f aca="false">+LEFT(A42,1)</f>
        <v>9</v>
      </c>
      <c r="C42" s="572" t="str">
        <f aca="false">+MID(VLOOKUP(A42,'Evaluación de riesgos'!$B$13:$C$160,2,0),4,LEN(VLOOKUP(A42,'Evaluación de riesgos'!$B$13:$C$160,2,0))-4)</f>
        <v>La entidad analiza el impacto sobre el control interno por cambios en los diferentes niveles organizacionales</v>
      </c>
      <c r="D42" s="572" t="s">
        <v>509</v>
      </c>
      <c r="E42" s="572" t="str">
        <f aca="false">+VLOOKUP(A42,'Evaluación de riesgos'!$B$13:$K$160,3,0)</f>
        <v>Dimension de Direccionamiento Estrategico y Planeacion
Politica de Planeacion Institucional
Dimension de Control Interno
Linea Estrategica</v>
      </c>
      <c r="F42" s="572" t="str">
        <f aca="false">+VLOOKUP(A42,'Evaluación de riesgos'!$B$13:$K$160,10,0)</f>
        <v>Mantenimiento del control</v>
      </c>
      <c r="G42" s="572" t="n">
        <f aca="false">+VLOOKUP(A42,'Evaluación de riesgos'!$B$13:$O$160,13,0)</f>
        <v>143.3654</v>
      </c>
      <c r="H42" s="573" t="n">
        <f aca="false">+_xlfn.RANK.EQ(G42,$G$2:$G$82,1)</f>
        <v>41</v>
      </c>
      <c r="I42" s="572" t="str">
        <f aca="false">+IF(F42=$F$2,$P$4,IF(F42=$F$3,$P$2,$P$3))</f>
        <v>Cuando en el análisis de los requerimientos en los diferenes componentes del MECI se cuente con aspectos evaluados en nivel 1 (presente) y 1 (funcionando); 2 (presente) y 1 (funcionando).</v>
      </c>
      <c r="J42" s="572" t="s">
        <v>654</v>
      </c>
      <c r="K42" s="572" t="n">
        <f aca="false">+IF(ISBLANK(VLOOKUP(A42,'Evaluación de riesgos'!$B$16:$F$160,5,0)),"",VLOOKUP(A42,'Evaluación de riesgos'!$B$16:$F$160,5,0))</f>
        <v>3</v>
      </c>
      <c r="L42" s="572" t="n">
        <f aca="false">+IF(ISBLANK(VLOOKUP(A42,'Evaluación de riesgos'!$B$16:$J$160,9,9)),"",VLOOKUP(A42,'Evaluación de riesgos'!$B$16:$J$160,9,9))</f>
        <v>3</v>
      </c>
      <c r="M42" s="572" t="n">
        <f aca="false">+IF(OR(AND(K42=1,L42=1),AND(ISBLANK(K42),ISBLANK(L42)),K42="",L42=""),0,IF(OR(AND(K42=1,L42=2),AND(K42=1,L42=3)),0.25,IF(OR(AND(K42=2,L42=2),AND(K42=3,L42=1),AND(K42=3,L42=2),AND(K42=2,L42=1)),0.5,IF(AND(K42=2,L42=3),0.75,1))))</f>
        <v>1</v>
      </c>
      <c r="N42" s="572" t="n">
        <f aca="false">+AVERAGEIF($D$2:$D$82,D42,$M$2:$M$82)</f>
        <v>0.941176470588235</v>
      </c>
      <c r="O42" s="572"/>
      <c r="P42" s="572"/>
    </row>
    <row r="43" customFormat="false" ht="12.75" hidden="false" customHeight="false" outlineLevel="0" collapsed="false">
      <c r="A43" s="572" t="s">
        <v>659</v>
      </c>
      <c r="B43" s="572" t="str">
        <f aca="false">+LEFT(A43,2)</f>
        <v>10</v>
      </c>
      <c r="C43" s="572" t="str">
        <f aca="false">+MID(VLOOKUP(A43,'Actividades de control'!$B$13:$C$176,2,0),5,LEN(VLOOKUP(A43,'Actividades de control'!$B$13:$C$176,2,0))-5)</f>
        <v>Para el desarrollo de las actividades de control, la entidad considera la adecuada división de las funciones y que éstas se encuentren segregadas en diferentes personas para reducir el riesgo de error o de incumplimientos de alto impacto en la operación</v>
      </c>
      <c r="D43" s="572" t="s">
        <v>512</v>
      </c>
      <c r="E43" s="572" t="str">
        <f aca="false">+VLOOKUP(A43,'Actividades de control'!$B$18:$K$122,3,0)</f>
        <v>Dimension de Control Interno
Lineas de Defensa</v>
      </c>
      <c r="F43" s="572" t="str">
        <f aca="false">+VLOOKUP(A43,'Actividades de control'!$B$18:$K$122,10,0)</f>
        <v>Mantenimiento del control</v>
      </c>
      <c r="G43" s="572" t="n">
        <f aca="false">+VLOOKUP(A43,'Actividades de control'!$B$13:$N$176,13,0)</f>
        <v>223.4569</v>
      </c>
      <c r="H43" s="573" t="n">
        <f aca="false">+_xlfn.RANK.EQ(G43,$G$2:$G$82,1)</f>
        <v>44</v>
      </c>
      <c r="I43" s="572" t="str">
        <f aca="false">+IF(F43=$F$2,$P$4,IF(F43=$F$3,$P$2,$P$3))</f>
        <v>Cuando en el análisis de los requerimientos en los diferenes componentes del MECI se cuente con aspectos evaluados en nivel 1 (presente) y 1 (funcionando); 2 (presente) y 1 (funcionando).</v>
      </c>
      <c r="J43" s="572" t="s">
        <v>660</v>
      </c>
      <c r="K43" s="572" t="n">
        <f aca="false">+IF(ISBLANK(VLOOKUP(A43,'Actividades de control'!$B$21:$F$122,5,0)),"",VLOOKUP(A43,'Actividades de control'!$B$21:$F$122,5,0))</f>
        <v>3</v>
      </c>
      <c r="L43" s="572" t="n">
        <f aca="false">+IF(ISBLANK(VLOOKUP(A43,'Actividades de control'!$B$21:$J$122,9,0)),"",VLOOKUP(A43,'Actividades de control'!$B$21:$J$122,9,0))</f>
        <v>3</v>
      </c>
      <c r="M43" s="572" t="n">
        <f aca="false">+IF(OR(AND(K43=1,L43=1),AND(ISBLANK(K43),ISBLANK(L43)),K43="",L43=""),0,IF(OR(AND(K43=1,L43=2),AND(K43=1,L43=3)),0.25,IF(OR(AND(K43=2,L43=2),AND(K43=3,L43=1),AND(K43=3,L43=2),AND(K43=2,L43=1)),0.5,IF(AND(K43=2,L43=3),0.75,1))))</f>
        <v>1</v>
      </c>
      <c r="N43" s="572" t="n">
        <f aca="false">+AVERAGEIF($D$2:$D$82,D43,$M$2:$M$82)</f>
        <v>0.916666666666667</v>
      </c>
      <c r="O43" s="572"/>
      <c r="P43" s="572"/>
    </row>
    <row r="44" customFormat="false" ht="12.75" hidden="false" customHeight="false" outlineLevel="0" collapsed="false">
      <c r="A44" s="572" t="s">
        <v>661</v>
      </c>
      <c r="B44" s="572" t="str">
        <f aca="false">+LEFT(A44,2)</f>
        <v>10</v>
      </c>
      <c r="C44" s="572" t="str">
        <f aca="false">+MID(VLOOKUP(A44,'Actividades de control'!$B$13:$C$176,2,0),5,LEN(VLOOKUP(A44,'Actividades de control'!$B$13:$C$176,2,0))-5)</f>
        <v>Se han idenfificado y documentado las situaciones específicas en donde no es posible segregar adecuadamente las funciones (ej: falta de personal, presupuesto), con el fin de definir actividades de control alternativas para cubrir los riesgos identificados.</v>
      </c>
      <c r="D44" s="572" t="s">
        <v>512</v>
      </c>
      <c r="E44" s="572" t="str">
        <f aca="false">+VLOOKUP(A44,'Actividades de control'!$B$18:$K$122,3,0)</f>
        <v>Dimension de Control Interno
Lineas de Defensa</v>
      </c>
      <c r="F44" s="572" t="str">
        <f aca="false">+VLOOKUP(A44,'Actividades de control'!$B$18:$K$122,10,0)</f>
        <v>Mantenimiento del control</v>
      </c>
      <c r="G44" s="572" t="n">
        <f aca="false">+VLOOKUP(A44,'Actividades de control'!$B$13:$N$176,13,0)</f>
        <v>223.5478</v>
      </c>
      <c r="H44" s="573" t="n">
        <f aca="false">+_xlfn.RANK.EQ(G44,$G$2:$G$82,1)</f>
        <v>45</v>
      </c>
      <c r="I44" s="572" t="str">
        <f aca="false">+IF(F44=$F$2,$P$4,IF(F44=$F$3,$P$2,$P$3))</f>
        <v>Cuando en el análisis de los requerimientos en los diferenes componentes del MECI se cuente con aspectos evaluados en nivel 1 (presente) y 1 (funcionando); 2 (presente) y 1 (funcionando).</v>
      </c>
      <c r="J44" s="572" t="s">
        <v>660</v>
      </c>
      <c r="K44" s="572" t="n">
        <f aca="false">+IF(ISBLANK(VLOOKUP(A44,'Actividades de control'!$B$21:$F$122,5,0)),"",VLOOKUP(A44,'Actividades de control'!$B$21:$F$122,5,0))</f>
        <v>3</v>
      </c>
      <c r="L44" s="572" t="n">
        <f aca="false">+IF(ISBLANK(VLOOKUP(A44,'Actividades de control'!$B$21:$J$122,9,0)),"",VLOOKUP(A44,'Actividades de control'!$B$21:$J$122,9,0))</f>
        <v>3</v>
      </c>
      <c r="M44" s="572" t="n">
        <f aca="false">+IF(OR(AND(K44=1,L44=1),AND(ISBLANK(K44),ISBLANK(L44)),K44="",L44=""),0,IF(OR(AND(K44=1,L44=2),AND(K44=1,L44=3)),0.25,IF(OR(AND(K44=2,L44=2),AND(K44=3,L44=1),AND(K44=3,L44=2),AND(K44=2,L44=1)),0.5,IF(AND(K44=2,L44=3),0.75,1))))</f>
        <v>1</v>
      </c>
      <c r="N44" s="572" t="n">
        <f aca="false">+AVERAGEIF($D$2:$D$82,D44,$M$2:$M$82)</f>
        <v>0.916666666666667</v>
      </c>
      <c r="O44" s="572"/>
      <c r="P44" s="572"/>
    </row>
    <row r="45" customFormat="false" ht="12.75" hidden="false" customHeight="false" outlineLevel="0" collapsed="false">
      <c r="A45" s="572" t="s">
        <v>662</v>
      </c>
      <c r="B45" s="572" t="str">
        <f aca="false">+LEFT(A45,2)</f>
        <v>10</v>
      </c>
      <c r="C45" s="572" t="str">
        <f aca="false">+MID(VLOOKUP(A45,'Actividades de control'!$B$13:$C$176,2,0),5,LEN(VLOOKUP(A45,'Actividades de control'!$B$13:$C$176,2,0))-5)</f>
        <v>El diseño de otros  sistemas de gestión (bajo normas o estándares internacionales como la ISO), se intregan de forma adecuada a la estructura de control de la entidad</v>
      </c>
      <c r="D45" s="572" t="s">
        <v>512</v>
      </c>
      <c r="E45" s="572" t="str">
        <f aca="false">+VLOOKUP(A45,'Actividades de control'!$B$18:$K$122,3,0)</f>
        <v>Dimension de Gestion con Valores para Resultados
Dimension de Control Interno
Lineas de Defensa</v>
      </c>
      <c r="F45" s="572" t="str">
        <f aca="false">+VLOOKUP(A45,'Actividades de control'!$B$18:$K$122,10,0)</f>
        <v>Mantenimiento del control</v>
      </c>
      <c r="G45" s="572" t="n">
        <f aca="false">+VLOOKUP(A45,'Actividades de control'!$B$13:$N$176,13,0)</f>
        <v>223.6458</v>
      </c>
      <c r="H45" s="573" t="n">
        <f aca="false">+_xlfn.RANK.EQ(G45,$G$2:$G$82,1)</f>
        <v>46</v>
      </c>
      <c r="I45" s="572" t="str">
        <f aca="false">+IF(F45=$F$2,$P$4,IF(F45=$F$3,$P$2,$P$3))</f>
        <v>Cuando en el análisis de los requerimientos en los diferenes componentes del MECI se cuente con aspectos evaluados en nivel 1 (presente) y 1 (funcionando); 2 (presente) y 1 (funcionando).</v>
      </c>
      <c r="J45" s="572" t="s">
        <v>660</v>
      </c>
      <c r="K45" s="572" t="n">
        <f aca="false">+IF(ISBLANK(VLOOKUP(A45,'Actividades de control'!$B$21:$F$122,5,0)),"",VLOOKUP(A45,'Actividades de control'!$B$21:$F$122,5,0))</f>
        <v>3</v>
      </c>
      <c r="L45" s="572" t="n">
        <f aca="false">+IF(ISBLANK(VLOOKUP(A45,'Actividades de control'!$B$21:$J$122,9,0)),"",VLOOKUP(A45,'Actividades de control'!$B$21:$J$122,9,0))</f>
        <v>3</v>
      </c>
      <c r="M45" s="572" t="n">
        <f aca="false">+IF(OR(AND(K45=1,L45=1),AND(ISBLANK(K45),ISBLANK(L45)),K45="",L45=""),0,IF(OR(AND(K45=1,L45=2),AND(K45=1,L45=3)),0.25,IF(OR(AND(K45=2,L45=2),AND(K45=3,L45=1),AND(K45=3,L45=2),AND(K45=2,L45=1)),0.5,IF(AND(K45=2,L45=3),0.75,1))))</f>
        <v>1</v>
      </c>
      <c r="N45" s="572" t="n">
        <f aca="false">+AVERAGEIF($D$2:$D$82,D45,$M$2:$M$82)</f>
        <v>0.916666666666667</v>
      </c>
      <c r="O45" s="572"/>
      <c r="P45" s="572"/>
    </row>
    <row r="46" customFormat="false" ht="12.75" hidden="false" customHeight="false" outlineLevel="0" collapsed="false">
      <c r="A46" s="572" t="s">
        <v>663</v>
      </c>
      <c r="B46" s="572" t="str">
        <f aca="false">+LEFT(A46,2)</f>
        <v>11</v>
      </c>
      <c r="C46" s="572" t="str">
        <f aca="false">+MID(VLOOKUP(A46,'Actividades de control'!$B$13:$C$176,2,0),5,LEN(VLOOKUP(A46,'Actividades de control'!$B$13:$C$176,2,0))-5)</f>
        <v>La entidad establece actividades de control relevantes sobre las infraestructuras tecnológicas; los procesos de gestión de la seguridad y sobre los procesos de adquisición, desarrollo y mantenimiento de tecnologías</v>
      </c>
      <c r="D46" s="572" t="s">
        <v>512</v>
      </c>
      <c r="E46" s="572" t="str">
        <f aca="false">+VLOOKUP(A46,'Actividades de control'!$B$18:$K$122,3,0)</f>
        <v>Dimension de Gestion con Valores para el Resultado
Politica de Gobierno Digital 
Politica de Seguridad Digital</v>
      </c>
      <c r="F46" s="572" t="str">
        <f aca="false">+VLOOKUP(A46,'Actividades de control'!$B$18:$K$122,10,0)</f>
        <v>Deficiencia de control (diseño o ejecución)</v>
      </c>
      <c r="G46" s="572" t="n">
        <f aca="false">+VLOOKUP(A46,'Actividades de control'!$B$13:$N$176,13,0)</f>
        <v>183.7896</v>
      </c>
      <c r="H46" s="573" t="n">
        <f aca="false">+_xlfn.RANK.EQ(G46,$G$2:$G$82,1)</f>
        <v>42</v>
      </c>
      <c r="I46" s="572" t="str">
        <f aca="false">+IF(F46=$F$2,$P$4,IF(F46=$F$3,$P$2,$P$3))</f>
        <v>Cuando en el análisis de los requerimientos en los diferenes componentes del MECI se cuente con aspectos evaluados en nivel 2 (presente) y 3 (funcionando).</v>
      </c>
      <c r="J46" s="572" t="s">
        <v>664</v>
      </c>
      <c r="K46" s="572" t="n">
        <f aca="false">+IF(ISBLANK(VLOOKUP(A46,'Actividades de control'!$B$21:$F$122,5,0)),"",VLOOKUP(A46,'Actividades de control'!$B$21:$F$122,5,0))</f>
        <v>3</v>
      </c>
      <c r="L46" s="572" t="n">
        <f aca="false">+IF(ISBLANK(VLOOKUP(A46,'Actividades de control'!$B$21:$J$122,9,0)),"",VLOOKUP(A46,'Actividades de control'!$B$21:$J$122,9,0))</f>
        <v>2</v>
      </c>
      <c r="M46" s="572" t="n">
        <f aca="false">+IF(OR(AND(K46=1,L46=1),AND(ISBLANK(K46),ISBLANK(L46)),K46="",L46=""),0,IF(OR(AND(K46=1,L46=2),AND(K46=1,L46=3)),0.25,IF(OR(AND(K46=2,L46=2),AND(K46=3,L46=1),AND(K46=3,L46=2),AND(K46=2,L46=1)),0.5,IF(AND(K46=2,L46=3),0.75,1))))</f>
        <v>0.5</v>
      </c>
      <c r="N46" s="572" t="n">
        <f aca="false">+AVERAGEIF($D$2:$D$82,D46,$M$2:$M$82)</f>
        <v>0.916666666666667</v>
      </c>
      <c r="O46" s="572"/>
      <c r="P46" s="572"/>
    </row>
    <row r="47" customFormat="false" ht="12.75" hidden="false" customHeight="false" outlineLevel="0" collapsed="false">
      <c r="A47" s="572" t="s">
        <v>665</v>
      </c>
      <c r="B47" s="572" t="str">
        <f aca="false">+LEFT(A47,2)</f>
        <v>11</v>
      </c>
      <c r="C47" s="572" t="str">
        <f aca="false">+MID(VLOOKUP(A47,'Actividades de control'!$B$13:$C$176,2,0),5,LEN(VLOOKUP(A47,'Actividades de control'!$B$13:$C$176,2,0))-5)</f>
        <v>Para los proveedores de tecnología  selecciona y desarrolla actividades de control internas sobre las actividades realizadas por el proveedor de servicios</v>
      </c>
      <c r="D47" s="572" t="s">
        <v>512</v>
      </c>
      <c r="E47" s="572" t="str">
        <f aca="false">+VLOOKUP(A47,'Actividades de control'!$B$18:$K$122,3,0)</f>
        <v>Dimension de Gestion con Valores para el Resultado
Politica de Gobierno Digital 
Politica de Seguridad Digital</v>
      </c>
      <c r="F47" s="572" t="str">
        <f aca="false">+VLOOKUP(A47,'Actividades de control'!$B$18:$K$122,10,0)</f>
        <v>Deficiencia de control (diseño o ejecución)</v>
      </c>
      <c r="G47" s="572" t="n">
        <f aca="false">+VLOOKUP(A47,'Actividades de control'!$B$13:$N$176,13,0)</f>
        <v>183.8456</v>
      </c>
      <c r="H47" s="573" t="n">
        <f aca="false">+_xlfn.RANK.EQ(G47,$G$2:$G$82,1)</f>
        <v>43</v>
      </c>
      <c r="I47" s="572" t="str">
        <f aca="false">+IF(F47=$F$2,$P$4,IF(F47=$F$3,$P$2,$P$3))</f>
        <v>Cuando en el análisis de los requerimientos en los diferenes componentes del MECI se cuente con aspectos evaluados en nivel 2 (presente) y 3 (funcionando).</v>
      </c>
      <c r="J47" s="572" t="s">
        <v>664</v>
      </c>
      <c r="K47" s="572" t="n">
        <f aca="false">+IF(ISBLANK(VLOOKUP(A47,'Actividades de control'!$B$21:$F$122,5,0)),"",VLOOKUP(A47,'Actividades de control'!$B$21:$F$122,5,0))</f>
        <v>3</v>
      </c>
      <c r="L47" s="572" t="n">
        <f aca="false">+IF(ISBLANK(VLOOKUP(A47,'Actividades de control'!$B$21:$J$122,9,0)),"",VLOOKUP(A47,'Actividades de control'!$B$21:$J$122,9,0))</f>
        <v>2</v>
      </c>
      <c r="M47" s="572" t="n">
        <f aca="false">+IF(OR(AND(K47=1,L47=1),AND(ISBLANK(K47),ISBLANK(L47)),K47="",L47=""),0,IF(OR(AND(K47=1,L47=2),AND(K47=1,L47=3)),0.25,IF(OR(AND(K47=2,L47=2),AND(K47=3,L47=1),AND(K47=3,L47=2),AND(K47=2,L47=1)),0.5,IF(AND(K47=2,L47=3),0.75,1))))</f>
        <v>0.5</v>
      </c>
      <c r="N47" s="572" t="n">
        <f aca="false">+AVERAGEIF($D$2:$D$82,D47,$M$2:$M$82)</f>
        <v>0.916666666666667</v>
      </c>
      <c r="O47" s="572"/>
      <c r="P47" s="572"/>
    </row>
    <row r="48" customFormat="false" ht="12.75" hidden="false" customHeight="false" outlineLevel="0" collapsed="false">
      <c r="A48" s="572" t="s">
        <v>666</v>
      </c>
      <c r="B48" s="572" t="str">
        <f aca="false">+LEFT(A48,2)</f>
        <v>11</v>
      </c>
      <c r="C48" s="572" t="str">
        <f aca="false">+MID(VLOOKUP(A48,'Actividades de control'!$B$13:$C$176,2,0),5,LEN(VLOOKUP(A48,'Actividades de control'!$B$13:$C$176,2,0))-5)</f>
        <v>Se cuenta con matrices de roles y usuarios siguiendo los principios de segregación de funciones.</v>
      </c>
      <c r="D48" s="572" t="s">
        <v>512</v>
      </c>
      <c r="E48" s="572" t="str">
        <f aca="false">+VLOOKUP(A48,'Actividades de control'!$B$18:$K$122,3,0)</f>
        <v>Dimension de Gestion con Valores para el Resultado
Politica de Fortalecimiento Organizacional y Simplificacion de Procesos.</v>
      </c>
      <c r="F48" s="572" t="str">
        <f aca="false">+VLOOKUP(A48,'Actividades de control'!$B$18:$K$122,10,0)</f>
        <v>Mantenimiento del control</v>
      </c>
      <c r="G48" s="572" t="n">
        <f aca="false">+VLOOKUP(A48,'Actividades de control'!$B$13:$N$176,13,0)</f>
        <v>223.9654</v>
      </c>
      <c r="H48" s="573" t="n">
        <f aca="false">+_xlfn.RANK.EQ(G48,$G$2:$G$82,1)</f>
        <v>47</v>
      </c>
      <c r="I48" s="572" t="str">
        <f aca="false">+IF(F48=$F$2,$P$4,IF(F48=$F$3,$P$2,$P$3))</f>
        <v>Cuando en el análisis de los requerimientos en los diferenes componentes del MECI se cuente con aspectos evaluados en nivel 1 (presente) y 1 (funcionando); 2 (presente) y 1 (funcionando).</v>
      </c>
      <c r="J48" s="572" t="s">
        <v>664</v>
      </c>
      <c r="K48" s="572" t="n">
        <f aca="false">+IF(ISBLANK(VLOOKUP(A48,'Actividades de control'!$B$21:$F$122,5,0)),"",VLOOKUP(A48,'Actividades de control'!$B$21:$F$122,5,0))</f>
        <v>3</v>
      </c>
      <c r="L48" s="572" t="n">
        <f aca="false">+IF(ISBLANK(VLOOKUP(A48,'Actividades de control'!$B$21:$J$122,9,0)),"",VLOOKUP(A48,'Actividades de control'!$B$21:$J$122,9,0))</f>
        <v>3</v>
      </c>
      <c r="M48" s="572" t="n">
        <f aca="false">+IF(OR(AND(K48=1,L48=1),AND(ISBLANK(K48),ISBLANK(L48)),K48="",L48=""),0,IF(OR(AND(K48=1,L48=2),AND(K48=1,L48=3)),0.25,IF(OR(AND(K48=2,L48=2),AND(K48=3,L48=1),AND(K48=3,L48=2),AND(K48=2,L48=1)),0.5,IF(AND(K48=2,L48=3),0.75,1))))</f>
        <v>1</v>
      </c>
      <c r="N48" s="572" t="n">
        <f aca="false">+AVERAGEIF($D$2:$D$82,D48,$M$2:$M$82)</f>
        <v>0.916666666666667</v>
      </c>
      <c r="O48" s="572"/>
      <c r="P48" s="572"/>
    </row>
    <row r="49" customFormat="false" ht="12.75" hidden="false" customHeight="false" outlineLevel="0" collapsed="false">
      <c r="A49" s="572" t="s">
        <v>667</v>
      </c>
      <c r="B49" s="572" t="str">
        <f aca="false">+LEFT(A49,2)</f>
        <v>11</v>
      </c>
      <c r="C49" s="572" t="str">
        <f aca="false">+MID(VLOOKUP(A49,'Actividades de control'!$B$13:$C$176,2,0),5,LEN(VLOOKUP(A49,'Actividades de control'!$B$13:$C$176,2,0))-5)</f>
        <v>Se cuenta con información de la 3a línea de defensa, como evaluador independiente en relación con los controles implementados por el proveedor de servicios, para  asegurar que los riesgos relacionados se mitigan.</v>
      </c>
      <c r="D49" s="572" t="s">
        <v>512</v>
      </c>
      <c r="E49" s="572" t="str">
        <f aca="false">+VLOOKUP(A49,'Actividades de control'!$B$18:$K$122,3,0)</f>
        <v>Dimension Control Interno
Tercera Linea de Defensa</v>
      </c>
      <c r="F49" s="572" t="str">
        <f aca="false">+VLOOKUP(A49,'Actividades de control'!$B$18:$K$122,10,0)</f>
        <v>Mantenimiento del control</v>
      </c>
      <c r="G49" s="572" t="n">
        <f aca="false">+VLOOKUP(A49,'Actividades de control'!$B$13:$N$176,13,0)</f>
        <v>224.0123</v>
      </c>
      <c r="H49" s="573" t="n">
        <f aca="false">+_xlfn.RANK.EQ(G49,$G$2:$G$82,1)</f>
        <v>48</v>
      </c>
      <c r="I49" s="572" t="str">
        <f aca="false">+IF(F49=$F$2,$P$4,IF(F49=$F$3,$P$2,$P$3))</f>
        <v>Cuando en el análisis de los requerimientos en los diferenes componentes del MECI se cuente con aspectos evaluados en nivel 1 (presente) y 1 (funcionando); 2 (presente) y 1 (funcionando).</v>
      </c>
      <c r="J49" s="572" t="s">
        <v>664</v>
      </c>
      <c r="K49" s="572" t="n">
        <f aca="false">+IF(ISBLANK(VLOOKUP(A49,'Actividades de control'!$B$21:$F$122,5,0)),"",VLOOKUP(A49,'Actividades de control'!$B$21:$F$122,5,0))</f>
        <v>3</v>
      </c>
      <c r="L49" s="572" t="n">
        <f aca="false">+IF(ISBLANK(VLOOKUP(A49,'Actividades de control'!$B$21:$J$122,9,0)),"",VLOOKUP(A49,'Actividades de control'!$B$21:$J$122,9,0))</f>
        <v>3</v>
      </c>
      <c r="M49" s="572" t="n">
        <f aca="false">+IF(OR(AND(K49=1,L49=1),AND(ISBLANK(K49),ISBLANK(L49)),K49="",L49=""),0,IF(OR(AND(K49=1,L49=2),AND(K49=1,L49=3)),0.25,IF(OR(AND(K49=2,L49=2),AND(K49=3,L49=1),AND(K49=3,L49=2),AND(K49=2,L49=1)),0.5,IF(AND(K49=2,L49=3),0.75,1))))</f>
        <v>1</v>
      </c>
      <c r="N49" s="572" t="n">
        <f aca="false">+AVERAGEIF($D$2:$D$82,D49,$M$2:$M$82)</f>
        <v>0.916666666666667</v>
      </c>
      <c r="O49" s="572"/>
      <c r="P49" s="572"/>
    </row>
    <row r="50" customFormat="false" ht="12.75" hidden="false" customHeight="false" outlineLevel="0" collapsed="false">
      <c r="A50" s="572" t="s">
        <v>668</v>
      </c>
      <c r="B50" s="572" t="str">
        <f aca="false">+LEFT(A50,2)</f>
        <v>12</v>
      </c>
      <c r="C50" s="572" t="str">
        <f aca="false">+MID(VLOOKUP(A50,'Actividades de control'!$B$13:$C$176,2,0),5,LEN(VLOOKUP(A50,'Actividades de control'!$B$13:$C$176,2,0))-5)</f>
        <v>Se evalúa la actualización de procesos, procedimientos, políticas de operación, instructivos, manuales u otras herramientas para garantizar la aplicación adecuada de las principales actividades de control.</v>
      </c>
      <c r="D50" s="572" t="s">
        <v>512</v>
      </c>
      <c r="E50" s="572" t="str">
        <f aca="false">+VLOOKUP(A50,'Actividades de control'!$B$18:$K$122,3,0)</f>
        <v>Dimension de Gestion con Valores para el Resultado
Politica de Fortalecimiento Organizacional y Simplificacion de Procesos.</v>
      </c>
      <c r="F50" s="572" t="str">
        <f aca="false">+VLOOKUP(A50,'Actividades de control'!$B$18:$K$122,10,0)</f>
        <v>Mantenimiento del control</v>
      </c>
      <c r="G50" s="572" t="n">
        <f aca="false">+VLOOKUP(A50,'Actividades de control'!$B$13:$N$176,13,0)</f>
        <v>224.1236</v>
      </c>
      <c r="H50" s="573" t="n">
        <f aca="false">+_xlfn.RANK.EQ(G50,$G$2:$G$82,1)</f>
        <v>49</v>
      </c>
      <c r="I50" s="572" t="str">
        <f aca="false">+IF(F50=$F$2,$P$4,IF(F50=$F$3,$P$2,$P$3))</f>
        <v>Cuando en el análisis de los requerimientos en los diferenes componentes del MECI se cuente con aspectos evaluados en nivel 1 (presente) y 1 (funcionando); 2 (presente) y 1 (funcionando).</v>
      </c>
      <c r="J50" s="572" t="s">
        <v>669</v>
      </c>
      <c r="K50" s="572" t="n">
        <f aca="false">+IF(ISBLANK(VLOOKUP(A50,'Actividades de control'!$B$21:$F$122,5,0)),"",VLOOKUP(A50,'Actividades de control'!$B$21:$F$122,5,0))</f>
        <v>3</v>
      </c>
      <c r="L50" s="572" t="n">
        <f aca="false">+IF(ISBLANK(VLOOKUP(A50,'Actividades de control'!$B$21:$J$122,9,0)),"",VLOOKUP(A50,'Actividades de control'!$B$21:$J$122,9,0))</f>
        <v>3</v>
      </c>
      <c r="M50" s="572" t="n">
        <f aca="false">+IF(OR(AND(K50=1,L50=1),AND(ISBLANK(K50),ISBLANK(L50)),K50="",L50=""),0,IF(OR(AND(K50=1,L50=2),AND(K50=1,L50=3)),0.25,IF(OR(AND(K50=2,L50=2),AND(K50=3,L50=1),AND(K50=3,L50=2),AND(K50=2,L50=1)),0.5,IF(AND(K50=2,L50=3),0.75,1))))</f>
        <v>1</v>
      </c>
      <c r="N50" s="572" t="n">
        <f aca="false">+AVERAGEIF($D$2:$D$82,D50,$M$2:$M$82)</f>
        <v>0.916666666666667</v>
      </c>
      <c r="O50" s="572"/>
      <c r="P50" s="572"/>
    </row>
    <row r="51" customFormat="false" ht="12.75" hidden="false" customHeight="false" outlineLevel="0" collapsed="false">
      <c r="A51" s="572" t="s">
        <v>670</v>
      </c>
      <c r="B51" s="572" t="str">
        <f aca="false">+LEFT(A51,2)</f>
        <v>12</v>
      </c>
      <c r="C51" s="572" t="str">
        <f aca="false">+MID(VLOOKUP(A51,'Actividades de control'!$B$13:$C$176,2,0),6,LEN(VLOOKUP(A51,'Actividades de control'!$B$13:$C$176,2,0))-6)</f>
        <v>El diseño de controles se evalúa frente a la gestión del riesgo</v>
      </c>
      <c r="D51" s="572" t="s">
        <v>512</v>
      </c>
      <c r="E51" s="572" t="str">
        <f aca="false">+VLOOKUP(A51,'Actividades de control'!$B$18:$K$122,3,0)</f>
        <v>Todas las Dimensiones de MIPG</v>
      </c>
      <c r="F51" s="572" t="str">
        <f aca="false">+VLOOKUP(A51,'Actividades de control'!$B$18:$K$122,10,0)</f>
        <v>Mantenimiento del control</v>
      </c>
      <c r="G51" s="572" t="n">
        <f aca="false">+VLOOKUP(A51,'Actividades de control'!$B$13:$N$176,13,0)</f>
        <v>224.2365</v>
      </c>
      <c r="H51" s="573" t="n">
        <f aca="false">+_xlfn.RANK.EQ(G51,$G$2:$G$82,1)</f>
        <v>50</v>
      </c>
      <c r="I51" s="572" t="str">
        <f aca="false">+IF(F51=$F$2,$P$4,IF(F51=$F$3,$P$2,$P$3))</f>
        <v>Cuando en el análisis de los requerimientos en los diferenes componentes del MECI se cuente con aspectos evaluados en nivel 1 (presente) y 1 (funcionando); 2 (presente) y 1 (funcionando).</v>
      </c>
      <c r="J51" s="572" t="s">
        <v>669</v>
      </c>
      <c r="K51" s="572" t="n">
        <f aca="false">+IF(ISBLANK(VLOOKUP(A51,'Actividades de control'!$B$21:$F$122,5,0)),"",VLOOKUP(A51,'Actividades de control'!$B$21:$F$122,5,0))</f>
        <v>3</v>
      </c>
      <c r="L51" s="572" t="n">
        <f aca="false">+IF(ISBLANK(VLOOKUP(A51,'Actividades de control'!$B$21:$J$122,9,0)),"",VLOOKUP(A51,'Actividades de control'!$B$21:$J$122,9,0))</f>
        <v>3</v>
      </c>
      <c r="M51" s="572" t="n">
        <f aca="false">+IF(OR(AND(K51=1,L51=1),AND(ISBLANK(K51),ISBLANK(L51)),K51="",L51=""),0,IF(OR(AND(K51=1,L51=2),AND(K51=1,L51=3)),0.25,IF(OR(AND(K51=2,L51=2),AND(K51=3,L51=1),AND(K51=3,L51=2),AND(K51=2,L51=1)),0.5,IF(AND(K51=2,L51=3),0.75,1))))</f>
        <v>1</v>
      </c>
      <c r="N51" s="572" t="n">
        <f aca="false">+AVERAGEIF($D$2:$D$82,D51,$M$2:$M$82)</f>
        <v>0.916666666666667</v>
      </c>
      <c r="O51" s="572"/>
      <c r="P51" s="572"/>
    </row>
    <row r="52" customFormat="false" ht="12.75" hidden="false" customHeight="false" outlineLevel="0" collapsed="false">
      <c r="A52" s="572" t="s">
        <v>671</v>
      </c>
      <c r="B52" s="572" t="str">
        <f aca="false">+LEFT(A52,2)</f>
        <v>12</v>
      </c>
      <c r="C52" s="572" t="str">
        <f aca="false">+MID(VLOOKUP(A52,'Actividades de control'!$B$13:$C$176,2,0),6,LEN(VLOOKUP(A52,'Actividades de control'!$B$13:$C$176,2,0))-6)</f>
        <v>Monitoreo a los riesgos acorde con la política de administración de riesgo establecida para la entidad.</v>
      </c>
      <c r="D52" s="572" t="s">
        <v>512</v>
      </c>
      <c r="E52" s="572" t="str">
        <f aca="false">+VLOOKUP(A52,'Actividades de control'!$B$18:$K$122,3,0)</f>
        <v>Dimension de Direccionamiento Estrategico y Planeacion
Politica de Planeacion Institucional.</v>
      </c>
      <c r="F52" s="572" t="str">
        <f aca="false">+VLOOKUP(A52,'Actividades de control'!$B$18:$K$122,10,0)</f>
        <v>Mantenimiento del control</v>
      </c>
      <c r="G52" s="572" t="n">
        <f aca="false">+VLOOKUP(A52,'Actividades de control'!$B$13:$N$176,13,0)</f>
        <v>224.23656</v>
      </c>
      <c r="H52" s="573" t="n">
        <f aca="false">+_xlfn.RANK.EQ(G52,$G$2:$G$82,1)</f>
        <v>51</v>
      </c>
      <c r="I52" s="572" t="str">
        <f aca="false">+IF(F52=$F$2,$P$4,IF(F52=$F$3,$P$2,$P$3))</f>
        <v>Cuando en el análisis de los requerimientos en los diferenes componentes del MECI se cuente con aspectos evaluados en nivel 1 (presente) y 1 (funcionando); 2 (presente) y 1 (funcionando).</v>
      </c>
      <c r="J52" s="572" t="s">
        <v>669</v>
      </c>
      <c r="K52" s="572" t="n">
        <f aca="false">+IF(ISBLANK(VLOOKUP(A52,'Actividades de control'!$B$21:$F$122,5,0)),"",VLOOKUP(A52,'Actividades de control'!$B$21:$F$122,5,0))</f>
        <v>3</v>
      </c>
      <c r="L52" s="572" t="n">
        <f aca="false">+IF(ISBLANK(VLOOKUP(A52,'Actividades de control'!$B$21:$J$122,9,0)),"",VLOOKUP(A52,'Actividades de control'!$B$21:$J$122,9,0))</f>
        <v>3</v>
      </c>
      <c r="M52" s="572" t="n">
        <f aca="false">+IF(OR(AND(K52=1,L52=1),AND(ISBLANK(K52),ISBLANK(L52)),K52="",L52=""),0,IF(OR(AND(K52=1,L52=2),AND(K52=1,L52=3)),0.25,IF(OR(AND(K52=2,L52=2),AND(K52=3,L52=1),AND(K52=3,L52=2),AND(K52=2,L52=1)),0.5,IF(AND(K52=2,L52=3),0.75,1))))</f>
        <v>1</v>
      </c>
      <c r="N52" s="572" t="n">
        <f aca="false">+AVERAGEIF($D$2:$D$82,D52,$M$2:$M$82)</f>
        <v>0.916666666666667</v>
      </c>
      <c r="O52" s="572"/>
      <c r="P52" s="572"/>
    </row>
    <row r="53" customFormat="false" ht="12.75" hidden="false" customHeight="false" outlineLevel="0" collapsed="false">
      <c r="A53" s="572" t="s">
        <v>672</v>
      </c>
      <c r="B53" s="572" t="str">
        <f aca="false">+LEFT(A53,2)</f>
        <v>12</v>
      </c>
      <c r="C53" s="572" t="str">
        <f aca="false">+MID(VLOOKUP(A53,'Actividades de control'!$B$13:$C$176,2,0),6,LEN(VLOOKUP(A53,'Actividades de control'!$B$13:$C$176,2,0))-6)</f>
        <v>Verificación de que los responsables estén ejecutando los controles tal como han sido diseñados</v>
      </c>
      <c r="D53" s="572" t="s">
        <v>512</v>
      </c>
      <c r="E53" s="572" t="str">
        <f aca="false">+VLOOKUP(A53,'Actividades de control'!$B$18:$K$122,3,0)</f>
        <v>Dimension Control Interno
Segunda Linea de Defensa</v>
      </c>
      <c r="F53" s="572" t="str">
        <f aca="false">+VLOOKUP(A53,'Actividades de control'!$B$18:$K$122,10,0)</f>
        <v>Mantenimiento del control</v>
      </c>
      <c r="G53" s="572" t="n">
        <f aca="false">+VLOOKUP(A53,'Actividades de control'!$B$13:$N$176,13,0)</f>
        <v>224.236568</v>
      </c>
      <c r="H53" s="573" t="n">
        <f aca="false">+_xlfn.RANK.EQ(G53,$G$2:$G$82,1)</f>
        <v>52</v>
      </c>
      <c r="I53" s="572" t="str">
        <f aca="false">+IF(F53=$F$2,$P$4,IF(F53=$F$3,$P$2,$P$3))</f>
        <v>Cuando en el análisis de los requerimientos en los diferenes componentes del MECI se cuente con aspectos evaluados en nivel 1 (presente) y 1 (funcionando); 2 (presente) y 1 (funcionando).</v>
      </c>
      <c r="J53" s="572" t="s">
        <v>669</v>
      </c>
      <c r="K53" s="572" t="n">
        <f aca="false">+IF(ISBLANK(VLOOKUP(A53,'Actividades de control'!$B$21:$F$122,5,0)),"",VLOOKUP(A53,'Actividades de control'!$B$21:$F$122,5,0))</f>
        <v>3</v>
      </c>
      <c r="L53" s="572" t="n">
        <f aca="false">+IF(ISBLANK(VLOOKUP(A53,'Actividades de control'!$B$21:$J$122,9,0)),"",VLOOKUP(A53,'Actividades de control'!$B$21:$J$122,9,0))</f>
        <v>3</v>
      </c>
      <c r="M53" s="572" t="n">
        <f aca="false">+IF(OR(AND(K53=1,L53=1),AND(ISBLANK(K53),ISBLANK(L53)),K53="",L53=""),0,IF(OR(AND(K53=1,L53=2),AND(K53=1,L53=3)),0.25,IF(OR(AND(K53=2,L53=2),AND(K53=3,L53=1),AND(K53=3,L53=2),AND(K53=2,L53=1)),0.5,IF(AND(K53=2,L53=3),0.75,1))))</f>
        <v>1</v>
      </c>
      <c r="N53" s="572" t="n">
        <f aca="false">+AVERAGEIF($D$2:$D$82,D53,$M$2:$M$82)</f>
        <v>0.916666666666667</v>
      </c>
      <c r="O53" s="572"/>
      <c r="P53" s="572"/>
    </row>
    <row r="54" customFormat="false" ht="12.75" hidden="false" customHeight="false" outlineLevel="0" collapsed="false">
      <c r="A54" s="572" t="s">
        <v>673</v>
      </c>
      <c r="B54" s="572" t="str">
        <f aca="false">+LEFT(A54,2)</f>
        <v>12</v>
      </c>
      <c r="C54" s="572" t="str">
        <f aca="false">+MID(VLOOKUP(A54,'Actividades de control'!$B$13:$C$176,2,0),6,LEN(VLOOKUP(A54,'Actividades de control'!$B$13:$C$176,2,0))-6)</f>
        <v>Se evalúa la adecuación de los controles a las especificidades de cada proceso, considerando cambios en regulaciones, estructuras internas u otros aspectos que determinen cambios en su diseño</v>
      </c>
      <c r="D54" s="572" t="s">
        <v>512</v>
      </c>
      <c r="E54" s="572" t="str">
        <f aca="false">+VLOOKUP(A54,'Actividades de control'!$B$18:$K$122,3,0)</f>
        <v>Dimension Control Interno
 Lineas de Defensa</v>
      </c>
      <c r="F54" s="572" t="str">
        <f aca="false">+VLOOKUP(A54,'Actividades de control'!$B$18:$K$122,10,0)</f>
        <v>Mantenimiento del control</v>
      </c>
      <c r="G54" s="572" t="n">
        <f aca="false">+VLOOKUP(A54,'Actividades de control'!$B$13:$N$176,13,0)</f>
        <v>224.3569</v>
      </c>
      <c r="H54" s="573" t="n">
        <f aca="false">+_xlfn.RANK.EQ(G54,$G$2:$G$82,1)</f>
        <v>53</v>
      </c>
      <c r="I54" s="572" t="str">
        <f aca="false">+IF(F54=$F$2,$P$4,IF(F54=$F$3,$P$2,$P$3))</f>
        <v>Cuando en el análisis de los requerimientos en los diferenes componentes del MECI se cuente con aspectos evaluados en nivel 1 (presente) y 1 (funcionando); 2 (presente) y 1 (funcionando).</v>
      </c>
      <c r="J54" s="572" t="s">
        <v>669</v>
      </c>
      <c r="K54" s="572" t="n">
        <f aca="false">+IF(ISBLANK(VLOOKUP(A54,'Actividades de control'!$B$21:$F$122,5,0)),"",VLOOKUP(A54,'Actividades de control'!$B$21:$F$122,5,0))</f>
        <v>3</v>
      </c>
      <c r="L54" s="572" t="n">
        <f aca="false">+IF(ISBLANK(VLOOKUP(A54,'Actividades de control'!$B$21:$J$122,9,0)),"",VLOOKUP(A54,'Actividades de control'!$B$21:$J$122,9,0))</f>
        <v>3</v>
      </c>
      <c r="M54" s="572" t="n">
        <f aca="false">+IF(OR(AND(K54=1,L54=1),AND(ISBLANK(K54),ISBLANK(L54)),K54="",L54=""),0,IF(OR(AND(K54=1,L54=2),AND(K54=1,L54=3)),0.25,IF(OR(AND(K54=2,L54=2),AND(K54=3,L54=1),AND(K54=3,L54=2),AND(K54=2,L54=1)),0.5,IF(AND(K54=2,L54=3),0.75,1))))</f>
        <v>1</v>
      </c>
      <c r="N54" s="572" t="n">
        <f aca="false">+AVERAGEIF($D$2:$D$82,D54,$M$2:$M$82)</f>
        <v>0.916666666666667</v>
      </c>
      <c r="O54" s="572"/>
      <c r="P54" s="572"/>
    </row>
    <row r="55" customFormat="false" ht="12.75" hidden="false" customHeight="true" outlineLevel="0" collapsed="false">
      <c r="A55" s="572" t="s">
        <v>674</v>
      </c>
      <c r="B55" s="572" t="str">
        <f aca="false">+LEFT(A55,2)</f>
        <v>13</v>
      </c>
      <c r="C55" s="572" t="str">
        <f aca="false">+MID(VLOOKUP(A55,'Info y Comunicación'!$B$13:$C$160,2,0),6,LEN(VLOOKUP(A55,'Info y Comunicación'!$B$13:$C$160,2,0))-6)</f>
        <v>La entidad ha diseñado sistemas de información para capturar y procesar datos y transformarlos en información para alcanzar los requerimientos de información definidos</v>
      </c>
      <c r="D55" s="572" t="s">
        <v>675</v>
      </c>
      <c r="E55" s="572" t="str">
        <f aca="false">+VLOOKUP(A55,'Info y Comunicación'!$B$15:$K$138,3,0)</f>
        <v>Dimension de Informacion y comunicación</v>
      </c>
      <c r="F55" s="572" t="str">
        <f aca="false">+VLOOKUP(A55,'Info y Comunicación'!$B$15:$K$138,10,0)</f>
        <v>Mantenimiento del control</v>
      </c>
      <c r="G55" s="572" t="n">
        <f aca="false">+VLOOKUP(A55,'Info y Comunicación'!$B$13:$N$160,13,0)</f>
        <v>304.4569</v>
      </c>
      <c r="H55" s="573" t="n">
        <f aca="false">+_xlfn.RANK.EQ(G55,$G$2:$G$82,1)</f>
        <v>57</v>
      </c>
      <c r="I55" s="572" t="str">
        <f aca="false">+IF(F55=$F$2,$P$4,IF(F55=$F$3,$P$2,$P$3))</f>
        <v>Cuando en el análisis de los requerimientos en los diferenes componentes del MECI se cuente con aspectos evaluados en nivel 1 (presente) y 1 (funcionando); 2 (presente) y 1 (funcionando).</v>
      </c>
      <c r="J55" s="572" t="s">
        <v>676</v>
      </c>
      <c r="K55" s="572" t="n">
        <f aca="false">+IF(ISBLANK(VLOOKUP(A55,'Info y Comunicación'!$B$19:$F$138,5,0)),"",VLOOKUP(A55,'Info y Comunicación'!$B$19:$F$138,5,0))</f>
        <v>3</v>
      </c>
      <c r="L55" s="572" t="n">
        <f aca="false">+IF(ISBLANK(VLOOKUP(A55,'Info y Comunicación'!$B$19:$J$138,9,0)),"",VLOOKUP(A55,'Info y Comunicación'!$B$19:$J$138,9,0))</f>
        <v>3</v>
      </c>
      <c r="M55" s="572" t="n">
        <f aca="false">+IF(OR(AND(K55=1,L55=1),AND(ISBLANK(K55),ISBLANK(L55)),K55="",L55=""),0,IF(OR(AND(K55=1,L55=2),AND(K55=1,L55=3)),0.25,IF(OR(AND(K55=2,L55=2),AND(K55=3,L55=1),AND(K55=3,L55=2),AND(K55=2,L55=1)),0.5,IF(AND(K55=2,L55=3),0.75,1))))</f>
        <v>1</v>
      </c>
      <c r="N55" s="572" t="n">
        <f aca="false">+AVERAGEIF($D$2:$D$82,D55,$M$2:$M$82)</f>
        <v>0.892857142857143</v>
      </c>
      <c r="O55" s="572"/>
      <c r="P55" s="572"/>
    </row>
    <row r="56" customFormat="false" ht="12.75" hidden="false" customHeight="true" outlineLevel="0" collapsed="false">
      <c r="A56" s="572" t="s">
        <v>677</v>
      </c>
      <c r="B56" s="572" t="str">
        <f aca="false">+LEFT(A56,2)</f>
        <v>13</v>
      </c>
      <c r="C56" s="572" t="str">
        <f aca="false">+MID(VLOOKUP(A56,'Info y Comunicación'!$B$13:$C$160,2,0),6,LEN(VLOOKUP(A56,'Info y Comunicación'!$B$13:$C$160,2,0))-6)</f>
        <v>La entidad cuenta con el inventario de información relevante (interno/externa) y cuenta con un mecanismo que permita su actualización</v>
      </c>
      <c r="D56" s="572" t="s">
        <v>675</v>
      </c>
      <c r="E56" s="572" t="str">
        <f aca="false">+VLOOKUP(A56,'Info y Comunicación'!$B$15:$K$138,3,0)</f>
        <v>Dimension de Informacion y comunicación 
Politica de Transparencia y Acceso a la Informaciòn Publica</v>
      </c>
      <c r="F56" s="572" t="str">
        <f aca="false">+VLOOKUP(A56,'Info y Comunicación'!$B$15:$K$138,10,0)</f>
        <v>Deficiencia de control (diseño o ejecución)</v>
      </c>
      <c r="G56" s="572" t="n">
        <f aca="false">+VLOOKUP(A56,'Info y Comunicación'!$B$13:$N$160,13,0)</f>
        <v>264.5632</v>
      </c>
      <c r="H56" s="573" t="n">
        <f aca="false">+_xlfn.RANK.EQ(G56,$G$2:$G$82,1)</f>
        <v>54</v>
      </c>
      <c r="I56" s="572" t="str">
        <f aca="false">+IF(F56=$F$2,$P$4,IF(F56=$F$3,$P$2,$P$3))</f>
        <v>Cuando en el análisis de los requerimientos en los diferenes componentes del MECI se cuente con aspectos evaluados en nivel 2 (presente) y 3 (funcionando).</v>
      </c>
      <c r="J56" s="572" t="s">
        <v>676</v>
      </c>
      <c r="K56" s="572" t="n">
        <f aca="false">+IF(ISBLANK(VLOOKUP(A56,'Info y Comunicación'!$B$19:$F$138,5,0)),"",VLOOKUP(A56,'Info y Comunicación'!$B$19:$F$138,5,0))</f>
        <v>3</v>
      </c>
      <c r="L56" s="572" t="n">
        <f aca="false">+IF(ISBLANK(VLOOKUP(A56,'Info y Comunicación'!$B$19:$J$138,9,0)),"",VLOOKUP(A56,'Info y Comunicación'!$B$19:$J$138,9,0))</f>
        <v>2</v>
      </c>
      <c r="M56" s="572" t="n">
        <f aca="false">+IF(OR(AND(K56=1,L56=1),AND(ISBLANK(K56),ISBLANK(L56)),K56="",L56=""),0,IF(OR(AND(K56=1,L56=2),AND(K56=1,L56=3)),0.25,IF(OR(AND(K56=2,L56=2),AND(K56=3,L56=1),AND(K56=3,L56=2),AND(K56=2,L56=1)),0.5,IF(AND(K56=2,L56=3),0.75,1))))</f>
        <v>0.5</v>
      </c>
      <c r="N56" s="572" t="n">
        <f aca="false">+AVERAGEIF($D$2:$D$82,D56,$M$2:$M$82)</f>
        <v>0.892857142857143</v>
      </c>
      <c r="O56" s="572"/>
      <c r="P56" s="572"/>
    </row>
    <row r="57" customFormat="false" ht="12.75" hidden="false" customHeight="true" outlineLevel="0" collapsed="false">
      <c r="A57" s="572" t="s">
        <v>678</v>
      </c>
      <c r="B57" s="572" t="str">
        <f aca="false">+LEFT(A57,2)</f>
        <v>13</v>
      </c>
      <c r="C57" s="572" t="str">
        <f aca="false">+MID(VLOOKUP(A57,'Info y Comunicación'!$B$13:$C$160,2,0),6,LEN(VLOOKUP(A57,'Info y Comunicación'!$B$13:$C$160,2,0))-6)</f>
        <v>La entidad considera un ámbito amplio de fuentes de datos (internas y externas), para la captura y procesamiento posterior de información clave para la consecución de metas y objetivos</v>
      </c>
      <c r="D57" s="572" t="s">
        <v>675</v>
      </c>
      <c r="E57" s="572" t="str">
        <f aca="false">+VLOOKUP(A57,'Info y Comunicación'!$B$15:$K$138,3,0)</f>
        <v>Dimension de Informacion y comunicación 
Politica de Transparencia y Acceso a la Informaciòn Publica</v>
      </c>
      <c r="F57" s="572" t="str">
        <f aca="false">+VLOOKUP(A57,'Info y Comunicación'!$B$15:$K$138,10,0)</f>
        <v>Mantenimiento del control</v>
      </c>
      <c r="G57" s="572" t="n">
        <f aca="false">+VLOOKUP(A57,'Info y Comunicación'!$B$13:$N$160,13,0)</f>
        <v>304.6321</v>
      </c>
      <c r="H57" s="573" t="n">
        <f aca="false">+_xlfn.RANK.EQ(G57,$G$2:$G$82,1)</f>
        <v>58</v>
      </c>
      <c r="I57" s="572" t="str">
        <f aca="false">+IF(F57=$F$2,$P$4,IF(F57=$F$3,$P$2,$P$3))</f>
        <v>Cuando en el análisis de los requerimientos en los diferenes componentes del MECI se cuente con aspectos evaluados en nivel 1 (presente) y 1 (funcionando); 2 (presente) y 1 (funcionando).</v>
      </c>
      <c r="J57" s="572" t="s">
        <v>676</v>
      </c>
      <c r="K57" s="572" t="n">
        <f aca="false">+IF(ISBLANK(VLOOKUP(A57,'Info y Comunicación'!$B$19:$F$138,5,0)),"",VLOOKUP(A57,'Info y Comunicación'!$B$19:$F$138,5,0))</f>
        <v>3</v>
      </c>
      <c r="L57" s="572" t="n">
        <f aca="false">+IF(ISBLANK(VLOOKUP(A57,'Info y Comunicación'!$B$19:$J$138,9,0)),"",VLOOKUP(A57,'Info y Comunicación'!$B$19:$J$138,9,0))</f>
        <v>3</v>
      </c>
      <c r="M57" s="572" t="n">
        <f aca="false">+IF(OR(AND(K57=1,L57=1),AND(ISBLANK(K57),ISBLANK(L57)),K57="",L57=""),0,IF(OR(AND(K57=1,L57=2),AND(K57=1,L57=3)),0.25,IF(OR(AND(K57=2,L57=2),AND(K57=3,L57=1),AND(K57=3,L57=2),AND(K57=2,L57=1)),0.5,IF(AND(K57=2,L57=3),0.75,1))))</f>
        <v>1</v>
      </c>
      <c r="N57" s="572" t="n">
        <f aca="false">+AVERAGEIF($D$2:$D$82,D57,$M$2:$M$82)</f>
        <v>0.892857142857143</v>
      </c>
      <c r="O57" s="572"/>
      <c r="P57" s="572"/>
    </row>
    <row r="58" customFormat="false" ht="12.75" hidden="false" customHeight="true" outlineLevel="0" collapsed="false">
      <c r="A58" s="572" t="s">
        <v>679</v>
      </c>
      <c r="B58" s="572" t="str">
        <f aca="false">+LEFT(A58,2)</f>
        <v>13</v>
      </c>
      <c r="C58" s="572" t="str">
        <f aca="false">+MID(VLOOKUP(A58,'Info y Comunicación'!$B$13:$C$160,2,0),6,LEN(VLOOKUP(A58,'Info y Comunicación'!$B$13:$C$160,2,0))-6)</f>
        <v>La entidad ha desarrollado e implementado actividades de control sobre la integridad, confidencialidad y disponibilidad de los datos e información definidos como relevantes</v>
      </c>
      <c r="D58" s="572" t="s">
        <v>675</v>
      </c>
      <c r="E58" s="572" t="str">
        <f aca="false">+VLOOKUP(A58,'Info y Comunicación'!$B$15:$K$138,3,0)</f>
        <v>Dimension de Informacion y comunicación 
Politica de Transparencia y Acceso a la Informaciòn Publica</v>
      </c>
      <c r="F58" s="572" t="str">
        <f aca="false">+VLOOKUP(A58,'Info y Comunicación'!$B$15:$K$138,10,0)</f>
        <v>Deficiencia de control (diseño o ejecución)</v>
      </c>
      <c r="G58" s="572" t="n">
        <f aca="false">+VLOOKUP(A58,'Info y Comunicación'!$B$13:$N$160,13,0)</f>
        <v>264.7896</v>
      </c>
      <c r="H58" s="573" t="n">
        <f aca="false">+_xlfn.RANK.EQ(G58,$G$2:$G$82,1)</f>
        <v>55</v>
      </c>
      <c r="I58" s="572" t="str">
        <f aca="false">+IF(F58=$F$2,$P$4,IF(F58=$F$3,$P$2,$P$3))</f>
        <v>Cuando en el análisis de los requerimientos en los diferenes componentes del MECI se cuente con aspectos evaluados en nivel 2 (presente) y 3 (funcionando).</v>
      </c>
      <c r="J58" s="572" t="s">
        <v>676</v>
      </c>
      <c r="K58" s="572" t="n">
        <f aca="false">+IF(ISBLANK(VLOOKUP(A58,'Info y Comunicación'!$B$19:$F$138,5,0)),"",VLOOKUP(A58,'Info y Comunicación'!$B$19:$F$138,5,0))</f>
        <v>2</v>
      </c>
      <c r="L58" s="572" t="n">
        <f aca="false">+IF(ISBLANK(VLOOKUP(A58,'Info y Comunicación'!$B$19:$J$138,9,0)),"",VLOOKUP(A58,'Info y Comunicación'!$B$19:$J$138,9,0))</f>
        <v>2</v>
      </c>
      <c r="M58" s="572" t="n">
        <f aca="false">+IF(OR(AND(K58=1,L58=1),AND(ISBLANK(K58),ISBLANK(L58)),K58="",L58=""),0,IF(OR(AND(K58=1,L58=2),AND(K58=1,L58=3)),0.25,IF(OR(AND(K58=2,L58=2),AND(K58=3,L58=1),AND(K58=3,L58=2),AND(K58=2,L58=1)),0.5,IF(AND(K58=2,L58=3),0.75,1))))</f>
        <v>0.5</v>
      </c>
      <c r="N58" s="572" t="n">
        <f aca="false">+AVERAGEIF($D$2:$D$82,D58,$M$2:$M$82)</f>
        <v>0.892857142857143</v>
      </c>
      <c r="O58" s="572"/>
      <c r="P58" s="572"/>
    </row>
    <row r="59" customFormat="false" ht="12.75" hidden="false" customHeight="true" outlineLevel="0" collapsed="false">
      <c r="A59" s="572" t="s">
        <v>680</v>
      </c>
      <c r="B59" s="572" t="str">
        <f aca="false">+LEFT(A59,2)</f>
        <v>14</v>
      </c>
      <c r="C59" s="572" t="str">
        <f aca="false">+MID(VLOOKUP(A59,'Info y Comunicación'!$B$13:$C$160,2,0),6,LEN(VLOOKUP(A59,'Info y Comunicación'!$B$13:$C$160,2,0))-6)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572" t="s">
        <v>675</v>
      </c>
      <c r="E59" s="572" t="str">
        <f aca="false">+VLOOKUP(A59,'Info y Comunicación'!$B$15:$K$138,3,0)</f>
        <v>Dimension de Informacion y comunicación</v>
      </c>
      <c r="F59" s="572" t="str">
        <f aca="false">+VLOOKUP(A59,'Info y Comunicación'!$B$15:$K$138,10,0)</f>
        <v>Mantenimiento del control</v>
      </c>
      <c r="G59" s="572" t="n">
        <f aca="false">+VLOOKUP(A59,'Info y Comunicación'!$B$13:$N$160,13,0)</f>
        <v>304.8965</v>
      </c>
      <c r="H59" s="573" t="n">
        <f aca="false">+_xlfn.RANK.EQ(G59,$G$2:$G$82,1)</f>
        <v>59</v>
      </c>
      <c r="I59" s="572" t="str">
        <f aca="false">+IF(F59=$F$2,$P$4,IF(F59=$F$3,$P$2,$P$3))</f>
        <v>Cuando en el análisis de los requerimientos en los diferenes componentes del MECI se cuente con aspectos evaluados en nivel 1 (presente) y 1 (funcionando); 2 (presente) y 1 (funcionando).</v>
      </c>
      <c r="J59" s="572" t="s">
        <v>681</v>
      </c>
      <c r="K59" s="572" t="n">
        <f aca="false">+IF(ISBLANK(VLOOKUP(A59,'Info y Comunicación'!$B$19:$F$138,5,0)),"",VLOOKUP(A59,'Info y Comunicación'!$B$19:$F$138,5,0))</f>
        <v>3</v>
      </c>
      <c r="L59" s="572" t="n">
        <f aca="false">+IF(ISBLANK(VLOOKUP(A59,'Info y Comunicación'!$B$19:$J$138,9,0)),"",VLOOKUP(A59,'Info y Comunicación'!$B$19:$J$138,9,0))</f>
        <v>3</v>
      </c>
      <c r="M59" s="572" t="n">
        <f aca="false">+IF(OR(AND(K59=1,L59=1),AND(ISBLANK(K59),ISBLANK(L59)),K59="",L59=""),0,IF(OR(AND(K59=1,L59=2),AND(K59=1,L59=3)),0.25,IF(OR(AND(K59=2,L59=2),AND(K59=3,L59=1),AND(K59=3,L59=2),AND(K59=2,L59=1)),0.5,IF(AND(K59=2,L59=3),0.75,1))))</f>
        <v>1</v>
      </c>
      <c r="N59" s="572" t="n">
        <f aca="false">+AVERAGEIF($D$2:$D$82,D59,$M$2:$M$82)</f>
        <v>0.892857142857143</v>
      </c>
      <c r="O59" s="572"/>
      <c r="P59" s="572"/>
    </row>
    <row r="60" customFormat="false" ht="12.75" hidden="false" customHeight="true" outlineLevel="0" collapsed="false">
      <c r="A60" s="572" t="s">
        <v>682</v>
      </c>
      <c r="B60" s="572" t="str">
        <f aca="false">+LEFT(A60,2)</f>
        <v>14</v>
      </c>
      <c r="C60" s="572" t="str">
        <f aca="false">+MID(VLOOKUP(A60,'Info y Comunicación'!$B$13:$C$160,2,0),6,LEN(VLOOKUP(A60,'Info y Comunicación'!$B$13:$C$160,2,0))-6)</f>
        <v>La entidad cuenta con políticas de operación relacionadas con la administración de la información (niveles de autoridad y responsabilidad</v>
      </c>
      <c r="D60" s="572" t="s">
        <v>675</v>
      </c>
      <c r="E60" s="572" t="str">
        <f aca="false">+VLOOKUP(A60,'Info y Comunicación'!$B$15:$K$138,3,0)</f>
        <v>Dimension de Informacion y comunicación</v>
      </c>
      <c r="F60" s="572" t="str">
        <f aca="false">+VLOOKUP(A60,'Info y Comunicación'!$B$15:$K$138,10,0)</f>
        <v>Mantenimiento del control</v>
      </c>
      <c r="G60" s="572" t="n">
        <f aca="false">+VLOOKUP(A60,'Info y Comunicación'!$B$13:$N$160,13,0)</f>
        <v>304.9854</v>
      </c>
      <c r="H60" s="573" t="n">
        <f aca="false">+_xlfn.RANK.EQ(G60,$G$2:$G$82,1)</f>
        <v>60</v>
      </c>
      <c r="I60" s="572" t="str">
        <f aca="false">+IF(F60=$F$2,$P$4,IF(F60=$F$3,$P$2,$P$3))</f>
        <v>Cuando en el análisis de los requerimientos en los diferenes componentes del MECI se cuente con aspectos evaluados en nivel 1 (presente) y 1 (funcionando); 2 (presente) y 1 (funcionando).</v>
      </c>
      <c r="J60" s="572" t="s">
        <v>681</v>
      </c>
      <c r="K60" s="572" t="n">
        <f aca="false">+IF(ISBLANK(VLOOKUP(A60,'Info y Comunicación'!$B$19:$F$138,5,0)),"",VLOOKUP(A60,'Info y Comunicación'!$B$19:$F$138,5,0))</f>
        <v>3</v>
      </c>
      <c r="L60" s="572" t="n">
        <f aca="false">+IF(ISBLANK(VLOOKUP(A60,'Info y Comunicación'!$B$19:$J$138,9,0)),"",VLOOKUP(A60,'Info y Comunicación'!$B$19:$J$138,9,0))</f>
        <v>3</v>
      </c>
      <c r="M60" s="572" t="n">
        <f aca="false">+IF(OR(AND(K60=1,L60=1),AND(ISBLANK(K60),ISBLANK(L60)),K60="",L60=""),0,IF(OR(AND(K60=1,L60=2),AND(K60=1,L60=3)),0.25,IF(OR(AND(K60=2,L60=2),AND(K60=3,L60=1),AND(K60=3,L60=2),AND(K60=2,L60=1)),0.5,IF(AND(K60=2,L60=3),0.75,1))))</f>
        <v>1</v>
      </c>
      <c r="N60" s="572" t="n">
        <f aca="false">+AVERAGEIF($D$2:$D$82,D60,$M$2:$M$82)</f>
        <v>0.892857142857143</v>
      </c>
      <c r="O60" s="572"/>
      <c r="P60" s="572"/>
    </row>
    <row r="61" customFormat="false" ht="12.75" hidden="false" customHeight="true" outlineLevel="0" collapsed="false">
      <c r="A61" s="572" t="s">
        <v>683</v>
      </c>
      <c r="B61" s="572" t="str">
        <f aca="false">+LEFT(A61,2)</f>
        <v>14</v>
      </c>
      <c r="C61" s="572" t="str">
        <f aca="false">+MID(VLOOKUP(A61,'Info y Comunicación'!$B$13:$C$160,2,0),6,LEN(VLOOKUP(A61,'Info y Comunicación'!$B$13:$C$160,2,0))-6)</f>
        <v>La entidad cuenta con canales de información internos para la denuncia anónima o confidencial de posibles situaciones irregulares y se cuenta con mecanismos específicos para su manejo, de manera tal que generen la confianza para utilizarlos</v>
      </c>
      <c r="D61" s="572" t="s">
        <v>675</v>
      </c>
      <c r="E61" s="572" t="str">
        <f aca="false">+VLOOKUP(A61,'Info y Comunicación'!$B$15:$K$138,3,0)</f>
        <v>Dimension de Informacion y comunicación</v>
      </c>
      <c r="F61" s="572" t="str">
        <f aca="false">+VLOOKUP(A61,'Info y Comunicación'!$B$15:$K$138,10,0)</f>
        <v>Deficiencia de control (diseño o ejecución)</v>
      </c>
      <c r="G61" s="572" t="n">
        <f aca="false">+VLOOKUP(A61,'Info y Comunicación'!$B$13:$N$160,13,0)</f>
        <v>265.0123</v>
      </c>
      <c r="H61" s="573" t="n">
        <f aca="false">+_xlfn.RANK.EQ(G61,$G$2:$G$82,1)</f>
        <v>56</v>
      </c>
      <c r="I61" s="572" t="str">
        <f aca="false">+IF(F61=$F$2,$P$4,IF(F61=$F$3,$P$2,$P$3))</f>
        <v>Cuando en el análisis de los requerimientos en los diferenes componentes del MECI se cuente con aspectos evaluados en nivel 2 (presente) y 3 (funcionando).</v>
      </c>
      <c r="J61" s="572" t="s">
        <v>681</v>
      </c>
      <c r="K61" s="572" t="n">
        <f aca="false">+IF(ISBLANK(VLOOKUP(A61,'Info y Comunicación'!$B$19:$F$138,5,0)),"",VLOOKUP(A61,'Info y Comunicación'!$B$19:$F$138,5,0))</f>
        <v>3</v>
      </c>
      <c r="L61" s="572" t="n">
        <f aca="false">+IF(ISBLANK(VLOOKUP(A61,'Info y Comunicación'!$B$19:$J$138,9,0)),"",VLOOKUP(A61,'Info y Comunicación'!$B$19:$J$138,9,0))</f>
        <v>2</v>
      </c>
      <c r="M61" s="572" t="n">
        <f aca="false">+IF(OR(AND(K61=1,L61=1),AND(ISBLANK(K61),ISBLANK(L61)),K61="",L61=""),0,IF(OR(AND(K61=1,L61=2),AND(K61=1,L61=3)),0.25,IF(OR(AND(K61=2,L61=2),AND(K61=3,L61=1),AND(K61=3,L61=2),AND(K61=2,L61=1)),0.5,IF(AND(K61=2,L61=3),0.75,1))))</f>
        <v>0.5</v>
      </c>
      <c r="N61" s="572" t="n">
        <f aca="false">+AVERAGEIF($D$2:$D$82,D61,$M$2:$M$82)</f>
        <v>0.892857142857143</v>
      </c>
      <c r="O61" s="572"/>
      <c r="P61" s="572"/>
    </row>
    <row r="62" customFormat="false" ht="12.75" hidden="false" customHeight="true" outlineLevel="0" collapsed="false">
      <c r="A62" s="572" t="s">
        <v>684</v>
      </c>
      <c r="B62" s="572" t="str">
        <f aca="false">+LEFT(A62,2)</f>
        <v>14</v>
      </c>
      <c r="C62" s="572" t="str">
        <f aca="false">+MID(VLOOKUP(A62,'Info y Comunicación'!$B$13:$C$160,2,0),6,LEN(VLOOKUP(A62,'Info y Comunicación'!$B$13:$C$160,2,0))-6)</f>
        <v>La entidad establece e implementa políticas y procedimientos para facilitar una comunicación interna efectiva</v>
      </c>
      <c r="D62" s="572" t="s">
        <v>675</v>
      </c>
      <c r="E62" s="572" t="str">
        <f aca="false">+VLOOKUP(A62,'Info y Comunicación'!$B$15:$K$138,3,0)</f>
        <v>Dimension de Informacion y comunicación</v>
      </c>
      <c r="F62" s="572" t="str">
        <f aca="false">+VLOOKUP(A62,'Info y Comunicación'!$B$15:$K$138,10,0)</f>
        <v>Mantenimiento del control</v>
      </c>
      <c r="G62" s="572" t="n">
        <f aca="false">+VLOOKUP(A62,'Info y Comunicación'!$B$13:$N$160,13,0)</f>
        <v>305.1236</v>
      </c>
      <c r="H62" s="573" t="n">
        <f aca="false">+_xlfn.RANK.EQ(G62,$G$2:$G$82,1)</f>
        <v>61</v>
      </c>
      <c r="I62" s="572" t="str">
        <f aca="false">+IF(F62=$F$2,$P$4,IF(F62=$F$3,$P$2,$P$3))</f>
        <v>Cuando en el análisis de los requerimientos en los diferenes componentes del MECI se cuente con aspectos evaluados en nivel 1 (presente) y 1 (funcionando); 2 (presente) y 1 (funcionando).</v>
      </c>
      <c r="J62" s="572" t="s">
        <v>681</v>
      </c>
      <c r="K62" s="572" t="n">
        <f aca="false">+IF(ISBLANK(VLOOKUP(A62,'Info y Comunicación'!$B$19:$F$138,5,0)),"",VLOOKUP(A62,'Info y Comunicación'!$B$19:$F$138,5,0))</f>
        <v>3</v>
      </c>
      <c r="L62" s="572" t="n">
        <f aca="false">+IF(ISBLANK(VLOOKUP(A62,'Info y Comunicación'!$B$19:$J$138,9,0)),"",VLOOKUP(A62,'Info y Comunicación'!$B$19:$J$138,9,0))</f>
        <v>3</v>
      </c>
      <c r="M62" s="572" t="n">
        <f aca="false">+IF(OR(AND(K62=1,L62=1),AND(ISBLANK(K62),ISBLANK(L62)),K62="",L62=""),0,IF(OR(AND(K62=1,L62=2),AND(K62=1,L62=3)),0.25,IF(OR(AND(K62=2,L62=2),AND(K62=3,L62=1),AND(K62=3,L62=2),AND(K62=2,L62=1)),0.5,IF(AND(K62=2,L62=3),0.75,1))))</f>
        <v>1</v>
      </c>
      <c r="N62" s="572" t="n">
        <f aca="false">+AVERAGEIF($D$2:$D$82,D62,$M$2:$M$82)</f>
        <v>0.892857142857143</v>
      </c>
      <c r="O62" s="572"/>
      <c r="P62" s="572"/>
    </row>
    <row r="63" customFormat="false" ht="12.75" hidden="false" customHeight="true" outlineLevel="0" collapsed="false">
      <c r="A63" s="572" t="s">
        <v>685</v>
      </c>
      <c r="B63" s="572" t="str">
        <f aca="false">+LEFT(A63,2)</f>
        <v>15</v>
      </c>
      <c r="C63" s="572" t="str">
        <f aca="false">+MID(VLOOKUP(A63,'Info y Comunicación'!$B$13:$C$160,2,0),6,LEN(VLOOKUP(A63,'Info y Comunicación'!$B$13:$C$160,2,0))-6)</f>
        <v>La entidad desarrolla e implementa controles que facilitan la comunicación externa, la cual incluye  políticas y procedimientos. 
Incluye contratistas y proveedores de servicios tercerizados (cuando aplique).</v>
      </c>
      <c r="D63" s="572" t="s">
        <v>675</v>
      </c>
      <c r="E63" s="572" t="str">
        <f aca="false">+VLOOKUP(A63,'Info y Comunicación'!$B$15:$K$138,3,0)</f>
        <v>Dimension de Informacion y Comunicación
Dimension de Control Interno
Primera Linea de Defensa</v>
      </c>
      <c r="F63" s="572" t="str">
        <f aca="false">+VLOOKUP(A63,'Info y Comunicación'!$B$15:$K$138,10,0)</f>
        <v>Mantenimiento del control</v>
      </c>
      <c r="G63" s="572" t="n">
        <f aca="false">+VLOOKUP(A63,'Info y Comunicación'!$B$13:$N$160,13,0)</f>
        <v>305.2369</v>
      </c>
      <c r="H63" s="573" t="n">
        <f aca="false">+_xlfn.RANK.EQ(G63,$G$2:$G$82,1)</f>
        <v>62</v>
      </c>
      <c r="I63" s="572" t="str">
        <f aca="false">+IF(F63=$F$2,$P$4,IF(F63=$F$3,$P$2,$P$3))</f>
        <v>Cuando en el análisis de los requerimientos en los diferenes componentes del MECI se cuente con aspectos evaluados en nivel 1 (presente) y 1 (funcionando); 2 (presente) y 1 (funcionando).</v>
      </c>
      <c r="J63" s="572" t="s">
        <v>686</v>
      </c>
      <c r="K63" s="572" t="n">
        <f aca="false">+IF(ISBLANK(VLOOKUP(A63,'Info y Comunicación'!$B$19:$F$138,5,0)),"",VLOOKUP(A63,'Info y Comunicación'!$B$19:$F$138,5,0))</f>
        <v>3</v>
      </c>
      <c r="L63" s="572" t="n">
        <f aca="false">+IF(ISBLANK(VLOOKUP(A63,'Info y Comunicación'!$B$19:$J$138,9,0)),"",VLOOKUP(A63,'Info y Comunicación'!$B$19:$J$138,9,0))</f>
        <v>3</v>
      </c>
      <c r="M63" s="572" t="n">
        <f aca="false">+IF(OR(AND(K63=1,L63=1),AND(ISBLANK(K63),ISBLANK(L63)),K63="",L63=""),0,IF(OR(AND(K63=1,L63=2),AND(K63=1,L63=3)),0.25,IF(OR(AND(K63=2,L63=2),AND(K63=3,L63=1),AND(K63=3,L63=2),AND(K63=2,L63=1)),0.5,IF(AND(K63=2,L63=3),0.75,1))))</f>
        <v>1</v>
      </c>
      <c r="N63" s="572" t="n">
        <f aca="false">+AVERAGEIF($D$2:$D$82,D63,$M$2:$M$82)</f>
        <v>0.892857142857143</v>
      </c>
      <c r="O63" s="572"/>
      <c r="P63" s="572"/>
    </row>
    <row r="64" customFormat="false" ht="12.75" hidden="false" customHeight="false" outlineLevel="0" collapsed="false">
      <c r="A64" s="572" t="s">
        <v>687</v>
      </c>
      <c r="B64" s="572" t="str">
        <f aca="false">+LEFT(A64,2)</f>
        <v>15</v>
      </c>
      <c r="C64" s="572" t="str">
        <f aca="false">+MID(VLOOKUP(A64,'Info y Comunicación'!$B$13:$C$160,2,0),6,LEN(VLOOKUP(A64,'Info y Comunicación'!$B$13:$C$160,2,0))-6)</f>
        <v>La entidad cuenta con canales externos definidos de comunicación, asociados con el tipo de información a divulgar, y éstos son reconocidos a todo nivel de la organización.</v>
      </c>
      <c r="D64" s="572" t="s">
        <v>675</v>
      </c>
      <c r="E64" s="572" t="str">
        <f aca="false">+VLOOKUP(A64,'Info y Comunicación'!$B$15:$K$138,3,0)</f>
        <v>Dimension de Informacion y Comunicación
Politica de Transparencia, acceso a la información pública y lucha
contra la corrupción</v>
      </c>
      <c r="F64" s="572" t="str">
        <f aca="false">+VLOOKUP(A64,'Info y Comunicación'!$B$15:$K$138,10,0)</f>
        <v>Mantenimiento del control</v>
      </c>
      <c r="G64" s="572" t="n">
        <f aca="false">+VLOOKUP(A64,'Info y Comunicación'!$B$13:$N$160,13,0)</f>
        <v>305.3654</v>
      </c>
      <c r="H64" s="573" t="n">
        <f aca="false">+_xlfn.RANK.EQ(G64,$G$2:$G$82,1)</f>
        <v>63</v>
      </c>
      <c r="I64" s="572" t="str">
        <f aca="false">+IF(F64=$F$2,$P$4,IF(F64=$F$3,$P$2,$P$3))</f>
        <v>Cuando en el análisis de los requerimientos en los diferenes componentes del MECI se cuente con aspectos evaluados en nivel 1 (presente) y 1 (funcionando); 2 (presente) y 1 (funcionando).</v>
      </c>
      <c r="J64" s="572" t="s">
        <v>686</v>
      </c>
      <c r="K64" s="572" t="n">
        <f aca="false">+IF(ISBLANK(VLOOKUP(A64,'Info y Comunicación'!$B$19:$F$138,5,0)),"",VLOOKUP(A64,'Info y Comunicación'!$B$19:$F$138,5,0))</f>
        <v>3</v>
      </c>
      <c r="L64" s="572" t="n">
        <f aca="false">+IF(ISBLANK(VLOOKUP(A64,'Info y Comunicación'!$B$19:$J$138,9,0)),"",VLOOKUP(A64,'Info y Comunicación'!$B$19:$J$138,9,0))</f>
        <v>3</v>
      </c>
      <c r="M64" s="572" t="n">
        <f aca="false">+IF(OR(AND(K64=1,L64=1),AND(ISBLANK(K64),ISBLANK(L64)),K64="",L64=""),0,IF(OR(AND(K64=1,L64=2),AND(K64=1,L64=3)),0.25,IF(OR(AND(K64=2,L64=2),AND(K64=3,L64=1),AND(K64=3,L64=2),AND(K64=2,L64=1)),0.5,IF(AND(K64=2,L64=3),0.75,1))))</f>
        <v>1</v>
      </c>
      <c r="N64" s="572" t="n">
        <f aca="false">+AVERAGEIF($D$2:$D$82,D64,$M$2:$M$82)</f>
        <v>0.892857142857143</v>
      </c>
      <c r="O64" s="572"/>
      <c r="P64" s="572"/>
    </row>
    <row r="65" customFormat="false" ht="12.75" hidden="false" customHeight="false" outlineLevel="0" collapsed="false">
      <c r="A65" s="572" t="s">
        <v>688</v>
      </c>
      <c r="B65" s="572" t="str">
        <f aca="false">+LEFT(A65,2)</f>
        <v>15</v>
      </c>
      <c r="C65" s="572" t="str">
        <f aca="false">+MID(VLOOKUP(A65,'Info y Comunicación'!$B$13:$C$160,2,0),6,LEN(VLOOKUP(A65,'Info y Comunicación'!$B$13:$C$160,2,0))-6)</f>
        <v>La entidad cuenta con procesos o procedimiento para el manejo de la información entrante (quién la recibe, quién la clasifica, quién la analiza), y a la respuesta requierida (quién la canaliza y la responde)</v>
      </c>
      <c r="D65" s="572" t="s">
        <v>675</v>
      </c>
      <c r="E65" s="572" t="str">
        <f aca="false">+VLOOKUP(A65,'Info y Comunicación'!$B$15:$K$138,3,0)</f>
        <v>Dimension de Informacion y Comunicación
Politica de Gestion Documental
Politica de Transparencia, acceso a la información pública y lucha
contra la corrupción</v>
      </c>
      <c r="F65" s="572" t="str">
        <f aca="false">+VLOOKUP(A65,'Info y Comunicación'!$B$15:$K$138,10,0)</f>
        <v>Mantenimiento del control</v>
      </c>
      <c r="G65" s="572" t="n">
        <f aca="false">+VLOOKUP(A65,'Info y Comunicación'!$B$13:$N$160,13,0)</f>
        <v>305.4563</v>
      </c>
      <c r="H65" s="573" t="n">
        <f aca="false">+_xlfn.RANK.EQ(G65,$G$2:$G$82,1)</f>
        <v>64</v>
      </c>
      <c r="I65" s="572" t="str">
        <f aca="false">+IF(F65=$F$2,$P$4,IF(F65=$F$3,$P$2,$P$3))</f>
        <v>Cuando en el análisis de los requerimientos en los diferenes componentes del MECI se cuente con aspectos evaluados en nivel 1 (presente) y 1 (funcionando); 2 (presente) y 1 (funcionando).</v>
      </c>
      <c r="J65" s="572" t="s">
        <v>686</v>
      </c>
      <c r="K65" s="572" t="n">
        <f aca="false">+IF(ISBLANK(VLOOKUP(A65,'Info y Comunicación'!$B$19:$F$138,5,0)),"",VLOOKUP(A65,'Info y Comunicación'!$B$19:$F$138,5,0))</f>
        <v>3</v>
      </c>
      <c r="L65" s="572" t="n">
        <f aca="false">+IF(ISBLANK(VLOOKUP(A65,'Info y Comunicación'!$B$19:$J$138,9,0)),"",VLOOKUP(A65,'Info y Comunicación'!$B$19:$J$138,9,0))</f>
        <v>3</v>
      </c>
      <c r="M65" s="572" t="n">
        <f aca="false">+IF(OR(AND(K65=1,L65=1),AND(ISBLANK(K65),ISBLANK(L65)),K65="",L65=""),0,IF(OR(AND(K65=1,L65=2),AND(K65=1,L65=3)),0.25,IF(OR(AND(K65=2,L65=2),AND(K65=3,L65=1),AND(K65=3,L65=2),AND(K65=2,L65=1)),0.5,IF(AND(K65=2,L65=3),0.75,1))))</f>
        <v>1</v>
      </c>
      <c r="N65" s="572" t="n">
        <f aca="false">+AVERAGEIF($D$2:$D$82,D65,$M$2:$M$82)</f>
        <v>0.892857142857143</v>
      </c>
      <c r="O65" s="572"/>
      <c r="P65" s="572"/>
    </row>
    <row r="66" customFormat="false" ht="12.75" hidden="false" customHeight="false" outlineLevel="0" collapsed="false">
      <c r="A66" s="572" t="s">
        <v>689</v>
      </c>
      <c r="B66" s="572" t="str">
        <f aca="false">+LEFT(A66,2)</f>
        <v>15</v>
      </c>
      <c r="C66" s="572" t="str">
        <f aca="false">+MID(VLOOKUP(A66,'Info y Comunicación'!$B$13:$C$160,2,0),6,LEN(VLOOKUP(A66,'Info y Comunicación'!$B$13:$C$160,2,0))-6)</f>
        <v>La entidad cuenta con procesos o procedimientos encaminados a evaluar periodicamente la efectividad de los canales de comunicación con partes externas, así como sus contenidos, de tal forma que se puedan mejorar.</v>
      </c>
      <c r="D66" s="572" t="s">
        <v>675</v>
      </c>
      <c r="E66" s="572" t="str">
        <f aca="false">+VLOOKUP(A66,'Info y Comunicación'!$B$15:$K$138,3,0)</f>
        <v>Dimension de Informacion y Comunicación
Politica deControl Interno
Lineas de Defensa</v>
      </c>
      <c r="F66" s="572" t="str">
        <f aca="false">+VLOOKUP(A66,'Info y Comunicación'!$B$15:$K$138,10,0)</f>
        <v>Mantenimiento del control</v>
      </c>
      <c r="G66" s="572" t="n">
        <f aca="false">+VLOOKUP(A66,'Info y Comunicación'!$B$13:$N$160,13,0)</f>
        <v>305.5632</v>
      </c>
      <c r="H66" s="573" t="n">
        <f aca="false">+_xlfn.RANK.EQ(G66,$G$2:$G$82,1)</f>
        <v>65</v>
      </c>
      <c r="I66" s="572" t="str">
        <f aca="false">+IF(F66=$F$2,$P$4,IF(F66=$F$3,$P$2,$P$3))</f>
        <v>Cuando en el análisis de los requerimientos en los diferenes componentes del MECI se cuente con aspectos evaluados en nivel 1 (presente) y 1 (funcionando); 2 (presente) y 1 (funcionando).</v>
      </c>
      <c r="J66" s="572" t="s">
        <v>686</v>
      </c>
      <c r="K66" s="572" t="n">
        <f aca="false">+IF(ISBLANK(VLOOKUP(A66,'Info y Comunicación'!$B$19:$F$138,5,0)),"",VLOOKUP(A66,'Info y Comunicación'!$B$19:$F$138,5,0))</f>
        <v>3</v>
      </c>
      <c r="L66" s="572" t="n">
        <f aca="false">+IF(ISBLANK(VLOOKUP(A66,'Info y Comunicación'!$B$19:$J$138,9,0)),"",VLOOKUP(A66,'Info y Comunicación'!$B$19:$J$138,9,0))</f>
        <v>3</v>
      </c>
      <c r="M66" s="572" t="n">
        <f aca="false">+IF(OR(AND(K66=1,L66=1),AND(ISBLANK(K66),ISBLANK(L66)),K66="",L66=""),0,IF(OR(AND(K66=1,L66=2),AND(K66=1,L66=3)),0.25,IF(OR(AND(K66=2,L66=2),AND(K66=3,L66=1),AND(K66=3,L66=2),AND(K66=2,L66=1)),0.5,IF(AND(K66=2,L66=3),0.75,1))))</f>
        <v>1</v>
      </c>
      <c r="N66" s="572" t="n">
        <f aca="false">+AVERAGEIF($D$2:$D$82,D66,$M$2:$M$82)</f>
        <v>0.892857142857143</v>
      </c>
      <c r="O66" s="572"/>
      <c r="P66" s="572"/>
    </row>
    <row r="67" customFormat="false" ht="12.75" hidden="false" customHeight="false" outlineLevel="0" collapsed="false">
      <c r="A67" s="572" t="s">
        <v>690</v>
      </c>
      <c r="B67" s="572" t="str">
        <f aca="false">+LEFT(A67,2)</f>
        <v>15</v>
      </c>
      <c r="C67" s="572" t="str">
        <f aca="false">+MID(VLOOKUP(A67,'Info y Comunicación'!$B$13:$C$160,2,0),6,LEN(VLOOKUP(A67,'Info y Comunicación'!$B$13:$C$160,2,0))-6)</f>
        <v>La entidad analiza periodicamente su caracterización de usuarios o grupos de valor, a fin de actualizarla cuando sea pertinente</v>
      </c>
      <c r="D67" s="572" t="s">
        <v>675</v>
      </c>
      <c r="E67" s="572" t="str">
        <f aca="false">+VLOOKUP(A67,'Info y Comunicación'!$B$15:$K$138,3,0)</f>
        <v>Dimension de Direccionamiento Estrategico y Planeaciòn
Politica de Planeacion Institucional</v>
      </c>
      <c r="F67" s="572" t="str">
        <f aca="false">+VLOOKUP(A67,'Info y Comunicación'!$B$15:$K$138,10,0)</f>
        <v>Mantenimiento del control</v>
      </c>
      <c r="G67" s="572" t="n">
        <f aca="false">+VLOOKUP(A67,'Info y Comunicación'!$B$13:$N$160,13,0)</f>
        <v>305.6321</v>
      </c>
      <c r="H67" s="573" t="n">
        <f aca="false">+_xlfn.RANK.EQ(G67,$G$2:$G$82,1)</f>
        <v>66</v>
      </c>
      <c r="I67" s="572" t="str">
        <f aca="false">+IF(F67=$F$2,$P$4,IF(F67=$F$3,$P$2,$P$3))</f>
        <v>Cuando en el análisis de los requerimientos en los diferenes componentes del MECI se cuente con aspectos evaluados en nivel 1 (presente) y 1 (funcionando); 2 (presente) y 1 (funcionando).</v>
      </c>
      <c r="J67" s="572" t="s">
        <v>686</v>
      </c>
      <c r="K67" s="572" t="n">
        <f aca="false">+IF(ISBLANK(VLOOKUP(A67,'Info y Comunicación'!$B$19:$F$138,5,0)),"",VLOOKUP(A67,'Info y Comunicación'!$B$19:$F$138,5,0))</f>
        <v>3</v>
      </c>
      <c r="L67" s="572" t="n">
        <f aca="false">+IF(ISBLANK(VLOOKUP(A67,'Info y Comunicación'!$B$19:$J$138,9,0)),"",VLOOKUP(A67,'Info y Comunicación'!$B$19:$J$138,9,0))</f>
        <v>3</v>
      </c>
      <c r="M67" s="572" t="n">
        <f aca="false">+IF(OR(AND(K67=1,L67=1),AND(ISBLANK(K67),ISBLANK(L67)),K67="",L67=""),0,IF(OR(AND(K67=1,L67=2),AND(K67=1,L67=3)),0.25,IF(OR(AND(K67=2,L67=2),AND(K67=3,L67=1),AND(K67=3,L67=2),AND(K67=2,L67=1)),0.5,IF(AND(K67=2,L67=3),0.75,1))))</f>
        <v>1</v>
      </c>
      <c r="N67" s="572" t="n">
        <f aca="false">+AVERAGEIF($D$2:$D$82,D67,$M$2:$M$82)</f>
        <v>0.892857142857143</v>
      </c>
      <c r="O67" s="572"/>
      <c r="P67" s="572"/>
    </row>
    <row r="68" customFormat="false" ht="12.75" hidden="false" customHeight="false" outlineLevel="0" collapsed="false">
      <c r="A68" s="572" t="s">
        <v>691</v>
      </c>
      <c r="B68" s="572" t="str">
        <f aca="false">+LEFT(A68,2)</f>
        <v>15</v>
      </c>
      <c r="C68" s="572" t="str">
        <f aca="false">+MID(VLOOKUP(A68,'Info y Comunicación'!$B$13:$C$160,2,0),6,LEN(VLOOKUP(A68,'Info y Comunicación'!$B$13:$C$160,2,0))-6)</f>
        <v>La entidad analiza periodicamente los resultados frente a la evaluación de percepción por parte de los usuarios o grupos de valor para la incorporación de las mejoras correspondientes</v>
      </c>
      <c r="D68" s="572" t="s">
        <v>675</v>
      </c>
      <c r="E68" s="572" t="str">
        <f aca="false">+VLOOKUP(A68,'Info y Comunicación'!$B$15:$K$138,3,0)</f>
        <v>Dimension de Direccionamiento Estrategico y Planeaciòn
Politica de Planeacion Institucional</v>
      </c>
      <c r="F68" s="572" t="str">
        <f aca="false">+VLOOKUP(A68,'Info y Comunicación'!$B$15:$K$138,10,0)</f>
        <v>Mantenimiento del control</v>
      </c>
      <c r="G68" s="572" t="n">
        <f aca="false">+VLOOKUP(A68,'Info y Comunicación'!$B$13:$N$160,13,0)</f>
        <v>305.7896</v>
      </c>
      <c r="H68" s="573" t="n">
        <f aca="false">+_xlfn.RANK.EQ(G68,$G$2:$G$82,1)</f>
        <v>67</v>
      </c>
      <c r="I68" s="572" t="str">
        <f aca="false">+IF(F68=$F$2,$P$4,IF(F68=$F$3,$P$2,$P$3))</f>
        <v>Cuando en el análisis de los requerimientos en los diferenes componentes del MECI se cuente con aspectos evaluados en nivel 1 (presente) y 1 (funcionando); 2 (presente) y 1 (funcionando).</v>
      </c>
      <c r="J68" s="572" t="s">
        <v>686</v>
      </c>
      <c r="K68" s="572" t="n">
        <f aca="false">+IF(ISBLANK(VLOOKUP(A68,'Info y Comunicación'!$B$19:$F$138,5,0)),"",VLOOKUP(A68,'Info y Comunicación'!$B$19:$F$138,5,0))</f>
        <v>3</v>
      </c>
      <c r="L68" s="572" t="n">
        <f aca="false">+IF(ISBLANK(VLOOKUP(A68,'Info y Comunicación'!$B$19:$J$138,9,0)),"",VLOOKUP(A68,'Info y Comunicación'!$B$19:$J$138,9,0))</f>
        <v>3</v>
      </c>
      <c r="M68" s="572" t="n">
        <f aca="false">+IF(OR(AND(K68=1,L68=1),AND(ISBLANK(K68),ISBLANK(L68)),K68="",L68=""),0,IF(OR(AND(K68=1,L68=2),AND(K68=1,L68=3)),0.25,IF(OR(AND(K68=2,L68=2),AND(K68=3,L68=1),AND(K68=3,L68=2),AND(K68=2,L68=1)),0.5,IF(AND(K68=2,L68=3),0.75,1))))</f>
        <v>1</v>
      </c>
      <c r="N68" s="572" t="n">
        <f aca="false">+AVERAGEIF($D$2:$D$82,D68,$M$2:$M$82)</f>
        <v>0.892857142857143</v>
      </c>
      <c r="O68" s="572"/>
      <c r="P68" s="572"/>
    </row>
    <row r="69" customFormat="false" ht="12.75" hidden="false" customHeight="false" outlineLevel="0" collapsed="false">
      <c r="A69" s="572" t="s">
        <v>692</v>
      </c>
      <c r="B69" s="572" t="str">
        <f aca="false">+LEFT(A69,2)</f>
        <v>16</v>
      </c>
      <c r="C69" s="572" t="str">
        <f aca="false">+MID(VLOOKUP(A69,'Actividades de Monitoreo'!$B$13:$C$176,2,0),6,LEN(VLOOKUP(A69,'Actividades de Monitoreo'!$B$13:$C$176,2,0))-6)</f>
        <v>El comité Institucional de Coordinación de Control Interno aprueba anualmente el Plan Anual de Auditoría presentado por parte del Jefe de Control Interno o quien haga sus veces y hace el correspondiente seguimiento a sus ejecución</v>
      </c>
      <c r="D69" s="572" t="s">
        <v>693</v>
      </c>
      <c r="E69" s="572" t="str">
        <f aca="false">+VLOOKUP(A69,'Actividades de Monitoreo'!$B$17:$K$134,3,0)</f>
        <v>Dimension de Control Interno
Lineas Estrategica</v>
      </c>
      <c r="F69" s="572" t="str">
        <f aca="false">+VLOOKUP(A69,'Actividades de Monitoreo'!$B$17:$K$134,10,0)</f>
        <v>Mantenimiento del control</v>
      </c>
      <c r="G69" s="572" t="n">
        <f aca="false">+VLOOKUP(A69,'Actividades de Monitoreo'!$B$13:$N$176,13,0)</f>
        <v>385.8745</v>
      </c>
      <c r="H69" s="573" t="n">
        <f aca="false">+_xlfn.RANK.EQ(G69,$G$2:$G$82,1)</f>
        <v>70</v>
      </c>
      <c r="I69" s="572" t="str">
        <f aca="false">+IF(F69=$F$2,$P$4,IF(F69=$F$3,$P$2,$P$3))</f>
        <v>Cuando en el análisis de los requerimientos en los diferenes componentes del MECI se cuente con aspectos evaluados en nivel 1 (presente) y 1 (funcionando); 2 (presente) y 1 (funcionando).</v>
      </c>
      <c r="J69" s="572" t="s">
        <v>694</v>
      </c>
      <c r="K69" s="572" t="n">
        <f aca="false">+IF(ISBLANK(VLOOKUP(A69,'Actividades de Monitoreo'!$B$20:$F$134,5,0)),"",VLOOKUP(A69,'Actividades de Monitoreo'!$B$20:$F$134,5,0))</f>
        <v>3</v>
      </c>
      <c r="L69" s="572" t="n">
        <f aca="false">+IF(ISBLANK(VLOOKUP(A69,'Actividades de Monitoreo'!$B$20:$J$134,9,0)),"",VLOOKUP(A69,'Actividades de Monitoreo'!$B$20:$J$134,9,0))</f>
        <v>3</v>
      </c>
      <c r="M69" s="572" t="n">
        <f aca="false">+IF(OR(AND(K69=1,L69=1),AND(ISBLANK(K69),ISBLANK(L69)),K69="",L69=""),0,IF(OR(AND(K69=1,L69=2),AND(K69=1,L69=3)),0.25,IF(OR(AND(K69=2,L69=2),AND(K69=3,L69=1),AND(K69=3,L69=2),AND(K69=2,L69=1)),0.5,IF(AND(K69=2,L69=3),0.75,1))))</f>
        <v>1</v>
      </c>
      <c r="N69" s="572" t="n">
        <f aca="false">+AVERAGEIF($D$2:$D$82,D69,$M$2:$M$82)</f>
        <v>0.928571428571429</v>
      </c>
      <c r="O69" s="572"/>
      <c r="P69" s="572"/>
    </row>
    <row r="70" customFormat="false" ht="12.75" hidden="false" customHeight="false" outlineLevel="0" collapsed="false">
      <c r="A70" s="572" t="s">
        <v>695</v>
      </c>
      <c r="B70" s="572" t="str">
        <f aca="false">+LEFT(A70,2)</f>
        <v>16</v>
      </c>
      <c r="C70" s="572" t="str">
        <f aca="false">+MID(VLOOKUP(A70,'Actividades de Monitoreo'!$B$13:$C$176,2,0),6,LEN(VLOOKUP(A70,'Actividades de Monitoreo'!$B$13:$C$176,2,0))-6)</f>
        <v>La Alta Dirección periódicamente evalúa los resultados de las evaluaciones (contínuas e independientes)  para concluir acerca de la efectividad del Sistema de Control Intern</v>
      </c>
      <c r="D70" s="572" t="s">
        <v>693</v>
      </c>
      <c r="E70" s="572" t="str">
        <f aca="false">+VLOOKUP(A70,'Actividades de Monitoreo'!$B$17:$K$134,3,0)</f>
        <v>Dimension de Control Interno
Lineas Estrategica</v>
      </c>
      <c r="F70" s="572" t="str">
        <f aca="false">+VLOOKUP(A70,'Actividades de Monitoreo'!$B$17:$K$134,10,0)</f>
        <v>Mantenimiento del control</v>
      </c>
      <c r="G70" s="572" t="n">
        <f aca="false">+VLOOKUP(A70,'Actividades de Monitoreo'!$B$13:$N$176,13,0)</f>
        <v>385.9654</v>
      </c>
      <c r="H70" s="573" t="n">
        <f aca="false">+_xlfn.RANK.EQ(G70,$G$2:$G$82,1)</f>
        <v>71</v>
      </c>
      <c r="I70" s="572" t="str">
        <f aca="false">+IF(F70=$F$2,$P$4,IF(F70=$F$3,$P$2,$P$3))</f>
        <v>Cuando en el análisis de los requerimientos en los diferenes componentes del MECI se cuente con aspectos evaluados en nivel 1 (presente) y 1 (funcionando); 2 (presente) y 1 (funcionando).</v>
      </c>
      <c r="J70" s="572" t="s">
        <v>694</v>
      </c>
      <c r="K70" s="572" t="n">
        <f aca="false">+IF(ISBLANK(VLOOKUP(A70,'Actividades de Monitoreo'!$B$20:$F$134,5,0)),"",VLOOKUP(A70,'Actividades de Monitoreo'!$B$20:$F$134,5,0))</f>
        <v>3</v>
      </c>
      <c r="L70" s="572" t="n">
        <f aca="false">+IF(ISBLANK(VLOOKUP(A70,'Actividades de Monitoreo'!$B$20:$J$134,9,0)),"",VLOOKUP(A70,'Actividades de Monitoreo'!$B$20:$J$134,9,0))</f>
        <v>3</v>
      </c>
      <c r="M70" s="572" t="n">
        <f aca="false">+IF(OR(AND(K70=1,L70=1),AND(ISBLANK(K70),ISBLANK(L70)),K70="",L70=""),0,IF(OR(AND(K70=1,L70=2),AND(K70=1,L70=3)),0.25,IF(OR(AND(K70=2,L70=2),AND(K70=3,L70=1),AND(K70=3,L70=2),AND(K70=2,L70=1)),0.5,IF(AND(K70=2,L70=3),0.75,1))))</f>
        <v>1</v>
      </c>
      <c r="N70" s="572" t="n">
        <f aca="false">+AVERAGEIF($D$2:$D$82,D70,$M$2:$M$82)</f>
        <v>0.928571428571429</v>
      </c>
      <c r="O70" s="572"/>
      <c r="P70" s="572"/>
    </row>
    <row r="71" customFormat="false" ht="12.75" hidden="false" customHeight="false" outlineLevel="0" collapsed="false">
      <c r="A71" s="572" t="s">
        <v>696</v>
      </c>
      <c r="B71" s="572" t="str">
        <f aca="false">+LEFT(A71,2)</f>
        <v>16</v>
      </c>
      <c r="C71" s="572" t="str">
        <f aca="false">+MID(VLOOKUP(A71,'Actividades de Monitoreo'!$B$13:$C$176,2,0),6,LEN(VLOOKUP(A71,'Actividades de Monitoreo'!$B$13:$C$176,2,0))-6)</f>
        <v>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572" t="s">
        <v>693</v>
      </c>
      <c r="E71" s="572" t="str">
        <f aca="false">+VLOOKUP(A71,'Actividades de Monitoreo'!$B$17:$K$134,3,0)</f>
        <v>Dimension de Control Interno
Tercera Linea de Defensa</v>
      </c>
      <c r="F71" s="572" t="str">
        <f aca="false">+VLOOKUP(A71,'Actividades de Monitoreo'!$B$17:$K$134,10,0)</f>
        <v>Mantenimiento del control</v>
      </c>
      <c r="G71" s="572" t="n">
        <f aca="false">+VLOOKUP(A71,'Actividades de Monitoreo'!$B$13:$N$176,13,0)</f>
        <v>386.0123</v>
      </c>
      <c r="H71" s="573" t="n">
        <f aca="false">+_xlfn.RANK.EQ(G71,$G$2:$G$82,1)</f>
        <v>72</v>
      </c>
      <c r="I71" s="572" t="str">
        <f aca="false">+IF(F71=$F$2,$P$4,IF(F71=$F$3,$P$2,$P$3))</f>
        <v>Cuando en el análisis de los requerimientos en los diferenes componentes del MECI se cuente con aspectos evaluados en nivel 1 (presente) y 1 (funcionando); 2 (presente) y 1 (funcionando).</v>
      </c>
      <c r="J71" s="572" t="s">
        <v>694</v>
      </c>
      <c r="K71" s="572" t="n">
        <f aca="false">+IF(ISBLANK(VLOOKUP(A71,'Actividades de Monitoreo'!$B$20:$F$134,5,0)),"",VLOOKUP(A71,'Actividades de Monitoreo'!$B$20:$F$134,5,0))</f>
        <v>3</v>
      </c>
      <c r="L71" s="572" t="n">
        <f aca="false">+IF(ISBLANK(VLOOKUP(A71,'Actividades de Monitoreo'!$B$20:$J$134,9,0)),"",VLOOKUP(A71,'Actividades de Monitoreo'!$B$20:$J$134,9,0))</f>
        <v>3</v>
      </c>
      <c r="M71" s="572" t="n">
        <f aca="false">+IF(OR(AND(K71=1,L71=1),AND(ISBLANK(K71),ISBLANK(L71)),K71="",L71=""),0,IF(OR(AND(K71=1,L71=2),AND(K71=1,L71=3)),0.25,IF(OR(AND(K71=2,L71=2),AND(K71=3,L71=1),AND(K71=3,L71=2),AND(K71=2,L71=1)),0.5,IF(AND(K71=2,L71=3),0.75,1))))</f>
        <v>1</v>
      </c>
      <c r="N71" s="572" t="n">
        <f aca="false">+AVERAGEIF($D$2:$D$82,D71,$M$2:$M$82)</f>
        <v>0.928571428571429</v>
      </c>
      <c r="O71" s="572"/>
      <c r="P71" s="572"/>
    </row>
    <row r="72" customFormat="false" ht="12.75" hidden="false" customHeight="false" outlineLevel="0" collapsed="false">
      <c r="A72" s="572" t="s">
        <v>697</v>
      </c>
      <c r="B72" s="572" t="str">
        <f aca="false">+LEFT(A72,2)</f>
        <v>16</v>
      </c>
      <c r="C72" s="572" t="str">
        <f aca="false">+MID(VLOOKUP(A72,'Actividades de Monitoreo'!$B$13:$C$176,2,0),6,LEN(VLOOKUP(A72,'Actividades de Monitoreo'!$B$13:$C$176,2,0))-6)</f>
        <v>Acorde con el Esquema de Líneas de Defensa se han implementado procedimientos de monitoreo continuo como parte de las actividades de la 2a línea de defensa, a fin de contar con información clave para la toma de decisiones</v>
      </c>
      <c r="D72" s="572" t="s">
        <v>693</v>
      </c>
      <c r="E72" s="572" t="str">
        <f aca="false">+VLOOKUP(A72,'Actividades de Monitoreo'!$B$17:$K$134,3,0)</f>
        <v>Dimension de Control Interno
Segunda Linea de Defensa</v>
      </c>
      <c r="F72" s="572" t="str">
        <f aca="false">+VLOOKUP(A72,'Actividades de Monitoreo'!$B$17:$K$134,10,0)</f>
        <v>Mantenimiento del control</v>
      </c>
      <c r="G72" s="572" t="n">
        <f aca="false">+VLOOKUP(A72,'Actividades de Monitoreo'!$B$13:$N$176,13,0)</f>
        <v>386.1236</v>
      </c>
      <c r="H72" s="573" t="n">
        <f aca="false">+_xlfn.RANK.EQ(G72,$G$2:$G$82,1)</f>
        <v>73</v>
      </c>
      <c r="I72" s="572" t="str">
        <f aca="false">+IF(F72=$F$2,$P$4,IF(F72=$F$3,$P$2,$P$3))</f>
        <v>Cuando en el análisis de los requerimientos en los diferenes componentes del MECI se cuente con aspectos evaluados en nivel 1 (presente) y 1 (funcionando); 2 (presente) y 1 (funcionando).</v>
      </c>
      <c r="J72" s="572" t="s">
        <v>694</v>
      </c>
      <c r="K72" s="572" t="n">
        <f aca="false">+IF(ISBLANK(VLOOKUP(A72,'Actividades de Monitoreo'!$B$20:$F$134,5,0)),"",VLOOKUP(A72,'Actividades de Monitoreo'!$B$20:$F$134,5,0))</f>
        <v>3</v>
      </c>
      <c r="L72" s="572" t="n">
        <f aca="false">+IF(ISBLANK(VLOOKUP(A72,'Actividades de Monitoreo'!$B$20:$J$134,9,0)),"",VLOOKUP(A72,'Actividades de Monitoreo'!$B$20:$J$134,9,0))</f>
        <v>3</v>
      </c>
      <c r="M72" s="572" t="n">
        <f aca="false">+IF(OR(AND(K72=1,L72=1),AND(ISBLANK(K72),ISBLANK(L72)),K72="",L72=""),0,IF(OR(AND(K72=1,L72=2),AND(K72=1,L72=3)),0.25,IF(OR(AND(K72=2,L72=2),AND(K72=3,L72=1),AND(K72=3,L72=2),AND(K72=2,L72=1)),0.5,IF(AND(K72=2,L72=3),0.75,1))))</f>
        <v>1</v>
      </c>
      <c r="N72" s="572" t="n">
        <f aca="false">+AVERAGEIF($D$2:$D$82,D72,$M$2:$M$82)</f>
        <v>0.928571428571429</v>
      </c>
      <c r="O72" s="572"/>
      <c r="P72" s="572"/>
    </row>
    <row r="73" customFormat="false" ht="12.75" hidden="false" customHeight="false" outlineLevel="0" collapsed="false">
      <c r="A73" s="572" t="s">
        <v>698</v>
      </c>
      <c r="B73" s="572" t="str">
        <f aca="false">+LEFT(A73,2)</f>
        <v>16</v>
      </c>
      <c r="C73" s="572" t="str">
        <f aca="false">+MID(VLOOKUP(A73,'Actividades de Monitoreo'!$B$13:$C$176,2,0),6,LEN(VLOOKUP(A73,'Actividades de Monitoreo'!$B$13:$C$176,2,0))-6)</f>
        <v>Frente a las evaluaciones independientes la entidad considera evaluaciones externas de organismos de control, de vigilancia, certificadores, ONG´s u otros que permitan tener una mirada independiente de las operaciones</v>
      </c>
      <c r="D73" s="572" t="s">
        <v>693</v>
      </c>
      <c r="E73" s="572" t="str">
        <f aca="false">+VLOOKUP(A73,'Actividades de Monitoreo'!$B$17:$K$134,3,0)</f>
        <v>Dimension de Control Interno
Lineas de Defensa</v>
      </c>
      <c r="F73" s="572" t="str">
        <f aca="false">+VLOOKUP(A73,'Actividades de Monitoreo'!$B$17:$K$134,10,0)</f>
        <v>Mantenimiento del control</v>
      </c>
      <c r="G73" s="572" t="n">
        <f aca="false">+VLOOKUP(A73,'Actividades de Monitoreo'!$B$13:$N$176,13,0)</f>
        <v>386.2136</v>
      </c>
      <c r="H73" s="573" t="n">
        <f aca="false">+_xlfn.RANK.EQ(G73,$G$2:$G$82,1)</f>
        <v>74</v>
      </c>
      <c r="I73" s="572" t="str">
        <f aca="false">+IF(F73=$F$2,$P$4,IF(F73=$F$3,$P$2,$P$3))</f>
        <v>Cuando en el análisis de los requerimientos en los diferenes componentes del MECI se cuente con aspectos evaluados en nivel 1 (presente) y 1 (funcionando); 2 (presente) y 1 (funcionando).</v>
      </c>
      <c r="J73" s="572" t="s">
        <v>694</v>
      </c>
      <c r="K73" s="572" t="n">
        <f aca="false">+IF(ISBLANK(VLOOKUP(A73,'Actividades de Monitoreo'!$B$20:$F$134,5,0)),"",VLOOKUP(A73,'Actividades de Monitoreo'!$B$20:$F$134,5,0))</f>
        <v>3</v>
      </c>
      <c r="L73" s="572" t="n">
        <f aca="false">+IF(ISBLANK(VLOOKUP(A73,'Actividades de Monitoreo'!$B$20:$J$134,9,0)),"",VLOOKUP(A73,'Actividades de Monitoreo'!$B$20:$J$134,9,0))</f>
        <v>3</v>
      </c>
      <c r="M73" s="572" t="n">
        <f aca="false">+IF(OR(AND(K73=1,L73=1),AND(ISBLANK(K73),ISBLANK(L73)),K73="",L73=""),0,IF(OR(AND(K73=1,L73=2),AND(K73=1,L73=3)),0.25,IF(OR(AND(K73=2,L73=2),AND(K73=3,L73=1),AND(K73=3,L73=2),AND(K73=2,L73=1)),0.5,IF(AND(K73=2,L73=3),0.75,1))))</f>
        <v>1</v>
      </c>
      <c r="N73" s="572" t="n">
        <f aca="false">+AVERAGEIF($D$2:$D$82,D73,$M$2:$M$82)</f>
        <v>0.928571428571429</v>
      </c>
      <c r="O73" s="572"/>
      <c r="P73" s="572"/>
    </row>
    <row r="74" customFormat="false" ht="12.75" hidden="false" customHeight="false" outlineLevel="0" collapsed="false">
      <c r="A74" s="572" t="s">
        <v>699</v>
      </c>
      <c r="B74" s="572" t="str">
        <f aca="false">+LEFT(A74,2)</f>
        <v>17</v>
      </c>
      <c r="C74" s="572" t="str">
        <f aca="false">+MID(VLOOKUP(A74,'Actividades de Monitoreo'!$B$13:$C$176,2,0),6,LEN(VLOOKUP(A74,'Actividades de Monitoreo'!$B$13:$C$176,2,0))-6)</f>
        <v>A partir de la información de las evaluaciones independientes, se evalúan para determinar su efecto en el Sistema de Control Interno de la entidad y su impacto en el logro de los objetivos, a fin de determinar cursos de acción para su mejora</v>
      </c>
      <c r="D74" s="572" t="s">
        <v>693</v>
      </c>
      <c r="E74" s="572" t="str">
        <f aca="false">+VLOOKUP(A74,'Actividades de Monitoreo'!$B$17:$K$134,3,0)</f>
        <v>Dimension de Control Interno
Lineas de Defensa</v>
      </c>
      <c r="F74" s="572" t="str">
        <f aca="false">+VLOOKUP(A74,'Actividades de Monitoreo'!$B$17:$K$134,10,0)</f>
        <v>Mantenimiento del control</v>
      </c>
      <c r="G74" s="572" t="n">
        <f aca="false">+VLOOKUP(A74,'Actividades de Monitoreo'!$B$13:$N$176,13,0)</f>
        <v>386.3258</v>
      </c>
      <c r="H74" s="573" t="n">
        <f aca="false">+_xlfn.RANK.EQ(G74,$G$2:$G$82,1)</f>
        <v>75</v>
      </c>
      <c r="I74" s="572" t="str">
        <f aca="false">+IF(F74=$F$2,$P$4,IF(F74=$F$3,$P$2,$P$3))</f>
        <v>Cuando en el análisis de los requerimientos en los diferenes componentes del MECI se cuente con aspectos evaluados en nivel 1 (presente) y 1 (funcionando); 2 (presente) y 1 (funcionando).</v>
      </c>
      <c r="J74" s="572" t="s">
        <v>700</v>
      </c>
      <c r="K74" s="572" t="n">
        <f aca="false">+IF(ISBLANK(VLOOKUP(A74,'Actividades de Monitoreo'!$B$20:$F$134,5,0)),"",VLOOKUP(A74,'Actividades de Monitoreo'!$B$20:$F$134,5,0))</f>
        <v>3</v>
      </c>
      <c r="L74" s="572" t="n">
        <f aca="false">+IF(ISBLANK(VLOOKUP(A74,'Actividades de Monitoreo'!$B$20:$J$134,9,0)),"",VLOOKUP(A74,'Actividades de Monitoreo'!$B$20:$J$134,9,0))</f>
        <v>3</v>
      </c>
      <c r="M74" s="572" t="n">
        <f aca="false">+IF(OR(AND(K74=1,L74=1),AND(ISBLANK(K74),ISBLANK(L74)),K74="",L74=""),0,IF(OR(AND(K74=1,L74=2),AND(K74=1,L74=3)),0.25,IF(OR(AND(K74=2,L74=2),AND(K74=3,L74=1),AND(K74=3,L74=2),AND(K74=2,L74=1)),0.5,IF(AND(K74=2,L74=3),0.75,1))))</f>
        <v>1</v>
      </c>
      <c r="N74" s="572" t="n">
        <f aca="false">+AVERAGEIF($D$2:$D$82,D74,$M$2:$M$82)</f>
        <v>0.928571428571429</v>
      </c>
      <c r="O74" s="572"/>
      <c r="P74" s="572"/>
    </row>
    <row r="75" customFormat="false" ht="12.75" hidden="false" customHeight="false" outlineLevel="0" collapsed="false">
      <c r="A75" s="572" t="s">
        <v>701</v>
      </c>
      <c r="B75" s="572" t="str">
        <f aca="false">+LEFT(A75,2)</f>
        <v>17</v>
      </c>
      <c r="C75" s="572" t="str">
        <f aca="false">+MID(VLOOKUP(A75,'Actividades de Monitoreo'!$B$13:$C$176,2,0),6,LEN(VLOOKUP(A75,'Actividades de Monitoreo'!$B$13:$C$176,2,0))-6)</f>
        <v>Los informes recibidos de entes externos (organismos de control, auditores externos, entidades de vigilancia entre otros) se consolidan y se concluye sobre el impacto en el Sistema de Control Interno, a fin de determinar los cursos de acción</v>
      </c>
      <c r="D75" s="572" t="s">
        <v>693</v>
      </c>
      <c r="E75" s="572" t="str">
        <f aca="false">+VLOOKUP(A75,'Actividades de Monitoreo'!$B$17:$K$134,3,0)</f>
        <v>Dimension de Control Interno
Lineas de Defensa</v>
      </c>
      <c r="F75" s="572" t="str">
        <f aca="false">+VLOOKUP(A75,'Actividades de Monitoreo'!$B$17:$K$134,10,0)</f>
        <v>Mantenimiento del control</v>
      </c>
      <c r="G75" s="572" t="n">
        <f aca="false">+VLOOKUP(A75,'Actividades de Monitoreo'!$B$13:$N$176,13,0)</f>
        <v>386.4569</v>
      </c>
      <c r="H75" s="573" t="n">
        <f aca="false">+_xlfn.RANK.EQ(G75,$G$2:$G$82,1)</f>
        <v>76</v>
      </c>
      <c r="I75" s="572" t="str">
        <f aca="false">+IF(F75=$F$2,$P$4,IF(F75=$F$3,$P$2,$P$3))</f>
        <v>Cuando en el análisis de los requerimientos en los diferenes componentes del MECI se cuente con aspectos evaluados en nivel 1 (presente) y 1 (funcionando); 2 (presente) y 1 (funcionando).</v>
      </c>
      <c r="J75" s="572" t="s">
        <v>700</v>
      </c>
      <c r="K75" s="572" t="n">
        <f aca="false">+IF(ISBLANK(VLOOKUP(A75,'Actividades de Monitoreo'!$B$20:$F$134,5,0)),"",VLOOKUP(A75,'Actividades de Monitoreo'!$B$20:$F$134,5,0))</f>
        <v>3</v>
      </c>
      <c r="L75" s="572" t="n">
        <f aca="false">+IF(ISBLANK(VLOOKUP(A75,'Actividades de Monitoreo'!$B$20:$J$134,9,0)),"",VLOOKUP(A75,'Actividades de Monitoreo'!$B$20:$J$134,9,0))</f>
        <v>3</v>
      </c>
      <c r="M75" s="572" t="n">
        <f aca="false">+IF(OR(AND(K75=1,L75=1),AND(ISBLANK(K75),ISBLANK(L75)),K75="",L75=""),0,IF(OR(AND(K75=1,L75=2),AND(K75=1,L75=3)),0.25,IF(OR(AND(K75=2,L75=2),AND(K75=3,L75=1),AND(K75=3,L75=2),AND(K75=2,L75=1)),0.5,IF(AND(K75=2,L75=3),0.75,1))))</f>
        <v>1</v>
      </c>
      <c r="N75" s="572" t="n">
        <f aca="false">+AVERAGEIF($D$2:$D$82,D75,$M$2:$M$82)</f>
        <v>0.928571428571429</v>
      </c>
      <c r="O75" s="572"/>
      <c r="P75" s="572"/>
    </row>
    <row r="76" customFormat="false" ht="12.75" hidden="false" customHeight="false" outlineLevel="0" collapsed="false">
      <c r="A76" s="572" t="s">
        <v>702</v>
      </c>
      <c r="B76" s="572" t="str">
        <f aca="false">+LEFT(A76,2)</f>
        <v>17</v>
      </c>
      <c r="C76" s="572" t="str">
        <f aca="false">+MID(VLOOKUP(A76,'Actividades de Monitoreo'!$B$13:$C$176,2,0),6,LEN(VLOOKUP(A76,'Actividades de Monitoreo'!$B$13:$C$176,2,0))-6)</f>
        <v>La entidad cuenta con políticas donde se establezca a quién reportar las deficiencias de control interno como resultado del monitoreo continuo</v>
      </c>
      <c r="D76" s="572" t="s">
        <v>693</v>
      </c>
      <c r="E76" s="572" t="str">
        <f aca="false">+VLOOKUP(A76,'Actividades de Monitoreo'!$B$17:$K$134,3,0)</f>
        <v>Dimension de Control Interno
Lineas de Defensa</v>
      </c>
      <c r="F76" s="572" t="str">
        <f aca="false">+VLOOKUP(A76,'Actividades de Monitoreo'!$B$17:$K$134,10,0)</f>
        <v>Mantenimiento del control</v>
      </c>
      <c r="G76" s="572" t="n">
        <f aca="false">+VLOOKUP(A76,'Actividades de Monitoreo'!$B$13:$N$176,13,0)</f>
        <v>386.5632</v>
      </c>
      <c r="H76" s="573" t="n">
        <f aca="false">+_xlfn.RANK.EQ(G76,$G$2:$G$82,1)</f>
        <v>77</v>
      </c>
      <c r="I76" s="572" t="str">
        <f aca="false">+IF(F76=$F$2,$P$4,IF(F76=$F$3,$P$2,$P$3))</f>
        <v>Cuando en el análisis de los requerimientos en los diferenes componentes del MECI se cuente con aspectos evaluados en nivel 1 (presente) y 1 (funcionando); 2 (presente) y 1 (funcionando).</v>
      </c>
      <c r="J76" s="572" t="s">
        <v>700</v>
      </c>
      <c r="K76" s="572" t="n">
        <f aca="false">+IF(ISBLANK(VLOOKUP(A76,'Actividades de Monitoreo'!$B$20:$F$134,5,0)),"",VLOOKUP(A76,'Actividades de Monitoreo'!$B$20:$F$134,5,0))</f>
        <v>3</v>
      </c>
      <c r="L76" s="572" t="n">
        <f aca="false">+IF(ISBLANK(VLOOKUP(A76,'Actividades de Monitoreo'!$B$20:$J$134,9,0)),"",VLOOKUP(A76,'Actividades de Monitoreo'!$B$20:$J$134,9,0))</f>
        <v>3</v>
      </c>
      <c r="M76" s="572" t="n">
        <f aca="false">+IF(OR(AND(K76=1,L76=1),AND(ISBLANK(K76),ISBLANK(L76)),K76="",L76=""),0,IF(OR(AND(K76=1,L76=2),AND(K76=1,L76=3)),0.25,IF(OR(AND(K76=2,L76=2),AND(K76=3,L76=1),AND(K76=3,L76=2),AND(K76=2,L76=1)),0.5,IF(AND(K76=2,L76=3),0.75,1))))</f>
        <v>1</v>
      </c>
      <c r="N76" s="572" t="n">
        <f aca="false">+AVERAGEIF($D$2:$D$82,D76,$M$2:$M$82)</f>
        <v>0.928571428571429</v>
      </c>
      <c r="O76" s="572"/>
      <c r="P76" s="572"/>
    </row>
    <row r="77" customFormat="false" ht="12.75" hidden="false" customHeight="false" outlineLevel="0" collapsed="false">
      <c r="A77" s="572" t="s">
        <v>703</v>
      </c>
      <c r="B77" s="572" t="str">
        <f aca="false">+LEFT(A77,2)</f>
        <v>17</v>
      </c>
      <c r="C77" s="572" t="str">
        <f aca="false">+MID(VLOOKUP(A77,'Actividades de Monitoreo'!$B$13:$C$176,2,0),6,LEN(VLOOKUP(A77,'Actividades de Monitoreo'!$B$13:$C$176,2,0))-6)</f>
        <v>La Alta Dirección hace seguimiento a las acciones correctivas relacionadas con las deficiencias comunicadas sobre el Sistema de Control Interno y si se han cumplido en el tiempo establecido</v>
      </c>
      <c r="D77" s="572" t="s">
        <v>693</v>
      </c>
      <c r="E77" s="572" t="str">
        <f aca="false">+VLOOKUP(A77,'Actividades de Monitoreo'!$B$17:$K$134,3,0)</f>
        <v>Dimension de Control Interno
Lineas de Defensa</v>
      </c>
      <c r="F77" s="572" t="str">
        <f aca="false">+VLOOKUP(A77,'Actividades de Monitoreo'!$B$17:$K$134,10,0)</f>
        <v>Mantenimiento del control</v>
      </c>
      <c r="G77" s="572" t="n">
        <f aca="false">+VLOOKUP(A77,'Actividades de Monitoreo'!$B$13:$N$176,13,0)</f>
        <v>386.7854</v>
      </c>
      <c r="H77" s="573" t="n">
        <f aca="false">+_xlfn.RANK.EQ(G77,$G$2:$G$82,1)</f>
        <v>78</v>
      </c>
      <c r="I77" s="572" t="str">
        <f aca="false">+IF(F77=$F$2,$P$4,IF(F77=$F$3,$P$2,$P$3))</f>
        <v>Cuando en el análisis de los requerimientos en los diferenes componentes del MECI se cuente con aspectos evaluados en nivel 1 (presente) y 1 (funcionando); 2 (presente) y 1 (funcionando).</v>
      </c>
      <c r="J77" s="572" t="s">
        <v>700</v>
      </c>
      <c r="K77" s="572" t="n">
        <f aca="false">+IF(ISBLANK(VLOOKUP(A77,'Actividades de Monitoreo'!$B$20:$F$134,5,0)),"",VLOOKUP(A77,'Actividades de Monitoreo'!$B$20:$F$134,5,0))</f>
        <v>3</v>
      </c>
      <c r="L77" s="572" t="n">
        <f aca="false">+IF(ISBLANK(VLOOKUP(A77,'Actividades de Monitoreo'!$B$20:$J$134,9,0)),"",VLOOKUP(A77,'Actividades de Monitoreo'!$B$20:$J$134,9,0))</f>
        <v>3</v>
      </c>
      <c r="M77" s="572" t="n">
        <f aca="false">+IF(OR(AND(K77=1,L77=1),AND(ISBLANK(K77),ISBLANK(L77)),K77="",L77=""),0,IF(OR(AND(K77=1,L77=2),AND(K77=1,L77=3)),0.25,IF(OR(AND(K77=2,L77=2),AND(K77=3,L77=1),AND(K77=3,L77=2),AND(K77=2,L77=1)),0.5,IF(AND(K77=2,L77=3),0.75,1))))</f>
        <v>1</v>
      </c>
      <c r="N77" s="572" t="n">
        <f aca="false">+AVERAGEIF($D$2:$D$82,D77,$M$2:$M$82)</f>
        <v>0.928571428571429</v>
      </c>
      <c r="O77" s="572"/>
      <c r="P77" s="572"/>
    </row>
    <row r="78" customFormat="false" ht="12.75" hidden="false" customHeight="false" outlineLevel="0" collapsed="false">
      <c r="A78" s="572" t="s">
        <v>704</v>
      </c>
      <c r="B78" s="572" t="str">
        <f aca="false">+LEFT(A78,2)</f>
        <v>17</v>
      </c>
      <c r="C78" s="572" t="str">
        <f aca="false">+MID(VLOOKUP(A78,'Actividades de Monitoreo'!$B$13:$C$176,2,0),6,LEN(VLOOKUP(A78,'Actividades de Monitoreo'!$B$13:$C$176,2,0))-6)</f>
        <v>Los procesos y/o servicios tercerizados, son evaluados acorde con su nivel de riesgos</v>
      </c>
      <c r="D78" s="572" t="s">
        <v>693</v>
      </c>
      <c r="E78" s="572" t="str">
        <f aca="false">+VLOOKUP(A78,'Actividades de Monitoreo'!$B$17:$K$134,3,0)</f>
        <v>Dimension de Control Interno
Lineas de Defensa</v>
      </c>
      <c r="F78" s="572" t="str">
        <f aca="false">+VLOOKUP(A78,'Actividades de Monitoreo'!$B$17:$K$134,10,0)</f>
        <v>Deficiencia de control (diseño o ejecución)</v>
      </c>
      <c r="G78" s="572" t="n">
        <f aca="false">+VLOOKUP(A78,'Actividades de Monitoreo'!$B$13:$N$176,13,0)</f>
        <v>346.8745</v>
      </c>
      <c r="H78" s="573" t="n">
        <f aca="false">+_xlfn.RANK.EQ(G78,$G$2:$G$82,1)</f>
        <v>68</v>
      </c>
      <c r="I78" s="572" t="str">
        <f aca="false">+IF(F78=$F$2,$P$4,IF(F78=$F$3,$P$2,$P$3))</f>
        <v>Cuando en el análisis de los requerimientos en los diferenes componentes del MECI se cuente con aspectos evaluados en nivel 2 (presente) y 3 (funcionando).</v>
      </c>
      <c r="J78" s="572" t="s">
        <v>700</v>
      </c>
      <c r="K78" s="572" t="n">
        <f aca="false">+IF(ISBLANK(VLOOKUP(A78,'Actividades de Monitoreo'!$B$20:$F$134,5,0)),"",VLOOKUP(A78,'Actividades de Monitoreo'!$B$20:$F$134,5,0))</f>
        <v>3</v>
      </c>
      <c r="L78" s="572" t="n">
        <f aca="false">+IF(ISBLANK(VLOOKUP(A78,'Actividades de Monitoreo'!$B$20:$J$134,9,0)),"",VLOOKUP(A78,'Actividades de Monitoreo'!$B$20:$J$134,9,0))</f>
        <v>2</v>
      </c>
      <c r="M78" s="572" t="n">
        <f aca="false">+IF(OR(AND(K78=1,L78=1),AND(ISBLANK(K78),ISBLANK(L78)),K78="",L78=""),0,IF(OR(AND(K78=1,L78=2),AND(K78=1,L78=3)),0.25,IF(OR(AND(K78=2,L78=2),AND(K78=3,L78=1),AND(K78=3,L78=2),AND(K78=2,L78=1)),0.5,IF(AND(K78=2,L78=3),0.75,1))))</f>
        <v>0.5</v>
      </c>
      <c r="N78" s="572" t="n">
        <f aca="false">+AVERAGEIF($D$2:$D$82,D78,$M$2:$M$82)</f>
        <v>0.928571428571429</v>
      </c>
      <c r="O78" s="572"/>
      <c r="P78" s="572"/>
    </row>
    <row r="79" customFormat="false" ht="12.75" hidden="false" customHeight="false" outlineLevel="0" collapsed="false">
      <c r="A79" s="572" t="s">
        <v>705</v>
      </c>
      <c r="B79" s="572" t="str">
        <f aca="false">+LEFT(A79,2)</f>
        <v>17</v>
      </c>
      <c r="C79" s="572" t="str">
        <f aca="false">+MID(VLOOKUP(A79,'Actividades de Monitoreo'!$B$13:$C$176,2,0),6,LEN(VLOOKUP(A79,'Actividades de Monitoreo'!$B$13:$C$176,2,0))-6)</f>
        <v>Se evalúa la información suministrada por los usuarios (Sistema PQRD), así como de otras partes interesadas para la mejora del  Sistema de Control Interno de la Entidad</v>
      </c>
      <c r="D79" s="572" t="s">
        <v>693</v>
      </c>
      <c r="E79" s="572" t="str">
        <f aca="false">+VLOOKUP(A79,'Actividades de Monitoreo'!$B$17:$K$134,3,0)</f>
        <v>Dimension de Informacion y Comunicación 
Dimension de Control Interno
Lineas de Defensa</v>
      </c>
      <c r="F79" s="572" t="str">
        <f aca="false">+VLOOKUP(A79,'Actividades de Monitoreo'!$B$17:$K$134,10,0)</f>
        <v>Mantenimiento del control</v>
      </c>
      <c r="G79" s="572" t="n">
        <f aca="false">+VLOOKUP(A79,'Actividades de Monitoreo'!$B$13:$N$176,13,0)</f>
        <v>386.9874</v>
      </c>
      <c r="H79" s="573" t="n">
        <f aca="false">+_xlfn.RANK.EQ(G79,$G$2:$G$82,1)</f>
        <v>79</v>
      </c>
      <c r="I79" s="572" t="str">
        <f aca="false">+IF(F79=$F$2,$P$4,IF(F79=$F$3,$P$2,$P$3))</f>
        <v>Cuando en el análisis de los requerimientos en los diferenes componentes del MECI se cuente con aspectos evaluados en nivel 1 (presente) y 1 (funcionando); 2 (presente) y 1 (funcionando).</v>
      </c>
      <c r="J79" s="572" t="s">
        <v>700</v>
      </c>
      <c r="K79" s="572" t="n">
        <f aca="false">+IF(ISBLANK(VLOOKUP(A79,'Actividades de Monitoreo'!$B$20:$F$134,5,0)),"",VLOOKUP(A79,'Actividades de Monitoreo'!$B$20:$F$134,5,0))</f>
        <v>3</v>
      </c>
      <c r="L79" s="572" t="n">
        <f aca="false">+IF(ISBLANK(VLOOKUP(A79,'Actividades de Monitoreo'!$B$20:$J$134,9,0)),"",VLOOKUP(A79,'Actividades de Monitoreo'!$B$20:$J$134,9,0))</f>
        <v>3</v>
      </c>
      <c r="M79" s="572" t="n">
        <f aca="false">+IF(OR(AND(K79=1,L79=1),AND(ISBLANK(K79),ISBLANK(L79)),K79="",L79=""),0,IF(OR(AND(K79=1,L79=2),AND(K79=1,L79=3)),0.25,IF(OR(AND(K79=2,L79=2),AND(K79=3,L79=1),AND(K79=3,L79=2),AND(K79=2,L79=1)),0.5,IF(AND(K79=2,L79=3),0.75,1))))</f>
        <v>1</v>
      </c>
      <c r="N79" s="572" t="n">
        <f aca="false">+AVERAGEIF($D$2:$D$82,D79,$M$2:$M$82)</f>
        <v>0.928571428571429</v>
      </c>
      <c r="O79" s="572"/>
      <c r="P79" s="572"/>
    </row>
    <row r="80" customFormat="false" ht="12.75" hidden="false" customHeight="false" outlineLevel="0" collapsed="false">
      <c r="A80" s="572" t="s">
        <v>706</v>
      </c>
      <c r="B80" s="572" t="str">
        <f aca="false">+LEFT(A80,2)</f>
        <v>17</v>
      </c>
      <c r="C80" s="572" t="str">
        <f aca="false">+MID(VLOOKUP(A80,'Actividades de Monitoreo'!$B$13:$C$176,2,0),6,LEN(VLOOKUP(A80,'Actividades de Monitoreo'!$B$13:$C$176,2,0))-6)</f>
        <v>Verificación del avance y cumplimiento de las acciones incluidas en los planes de mejoramiento producto de las autoevaluaciones. (2ª Línea).</v>
      </c>
      <c r="D80" s="572" t="s">
        <v>693</v>
      </c>
      <c r="E80" s="572" t="str">
        <f aca="false">+VLOOKUP(A80,'Actividades de Monitoreo'!$B$17:$K$134,3,0)</f>
        <v>Dimension de Control Interno
Lineas de Defensa</v>
      </c>
      <c r="F80" s="572" t="str">
        <f aca="false">+VLOOKUP(A80,'Actividades de Monitoreo'!$B$17:$K$134,10,0)</f>
        <v>Deficiencia de control (diseño o ejecución)</v>
      </c>
      <c r="G80" s="572" t="n">
        <f aca="false">+VLOOKUP(A80,'Actividades de Monitoreo'!$B$13:$N$176,13,0)</f>
        <v>346.98745</v>
      </c>
      <c r="H80" s="573" t="n">
        <f aca="false">+_xlfn.RANK.EQ(G80,$G$2:$G$82,1)</f>
        <v>69</v>
      </c>
      <c r="I80" s="572" t="str">
        <f aca="false">+IF(F80=$F$2,$P$4,IF(F80=$F$3,$P$2,$P$3))</f>
        <v>Cuando en el análisis de los requerimientos en los diferenes componentes del MECI se cuente con aspectos evaluados en nivel 2 (presente) y 3 (funcionando).</v>
      </c>
      <c r="J80" s="572" t="s">
        <v>700</v>
      </c>
      <c r="K80" s="572" t="n">
        <f aca="false">+IF(ISBLANK(VLOOKUP(A80,'Actividades de Monitoreo'!$B$20:$F$134,5,0)),"",VLOOKUP(A80,'Actividades de Monitoreo'!$B$20:$F$134,5,0))</f>
        <v>3</v>
      </c>
      <c r="L80" s="572" t="n">
        <f aca="false">+IF(ISBLANK(VLOOKUP(A80,'Actividades de Monitoreo'!$B$20:$J$134,9,0)),"",VLOOKUP(A80,'Actividades de Monitoreo'!$B$20:$J$134,9,0))</f>
        <v>2</v>
      </c>
      <c r="M80" s="572" t="n">
        <f aca="false">+IF(OR(AND(K80=1,L80=1),AND(ISBLANK(K80),ISBLANK(L80)),K80="",L80=""),0,IF(OR(AND(K80=1,L80=2),AND(K80=1,L80=3)),0.25,IF(OR(AND(K80=2,L80=2),AND(K80=3,L80=1),AND(K80=3,L80=2),AND(K80=2,L80=1)),0.5,IF(AND(K80=2,L80=3),0.75,1))))</f>
        <v>0.5</v>
      </c>
      <c r="N80" s="572" t="n">
        <f aca="false">+AVERAGEIF($D$2:$D$82,D80,$M$2:$M$82)</f>
        <v>0.928571428571429</v>
      </c>
      <c r="O80" s="572"/>
      <c r="P80" s="572"/>
    </row>
    <row r="81" customFormat="false" ht="12.75" hidden="false" customHeight="false" outlineLevel="0" collapsed="false">
      <c r="A81" s="572" t="s">
        <v>707</v>
      </c>
      <c r="B81" s="572" t="str">
        <f aca="false">+LEFT(A81,2)</f>
        <v>17</v>
      </c>
      <c r="C81" s="572" t="str">
        <f aca="false">+MID(VLOOKUP(A81,'Actividades de Monitoreo'!$B$13:$C$176,2,0),6,LEN(VLOOKUP(A81,'Actividades de Monitoreo'!$B$13:$C$176,2,0))-6)</f>
        <v>Evaluación de la efectividad de las acciones incluidas en los Planes de mejoramiento producto de las auditorías internas y de entes externos. (3ª Línea</v>
      </c>
      <c r="D81" s="572" t="s">
        <v>693</v>
      </c>
      <c r="E81" s="572" t="str">
        <f aca="false">+VLOOKUP(A81,'Actividades de Monitoreo'!$B$17:$K$134,3,0)</f>
        <v>Dimension de Control Interno
Lineas de Defensa</v>
      </c>
      <c r="F81" s="572" t="str">
        <f aca="false">+VLOOKUP(A81,'Actividades de Monitoreo'!$B$17:$K$134,10,0)</f>
        <v>Mantenimiento del control</v>
      </c>
      <c r="G81" s="572" t="n">
        <f aca="false">+VLOOKUP(A81,'Actividades de Monitoreo'!$B$13:$N$176,13,0)</f>
        <v>386.987456</v>
      </c>
      <c r="H81" s="573" t="n">
        <f aca="false">+_xlfn.RANK.EQ(G81,$G$2:$G$82,1)</f>
        <v>80</v>
      </c>
      <c r="I81" s="572" t="str">
        <f aca="false">+IF(F81=$F$2,$P$4,IF(F81=$F$3,$P$2,$P$3))</f>
        <v>Cuando en el análisis de los requerimientos en los diferenes componentes del MECI se cuente con aspectos evaluados en nivel 1 (presente) y 1 (funcionando); 2 (presente) y 1 (funcionando).</v>
      </c>
      <c r="J81" s="572" t="s">
        <v>700</v>
      </c>
      <c r="K81" s="572" t="n">
        <f aca="false">+IF(ISBLANK(VLOOKUP(A81,'Actividades de Monitoreo'!$B$20:$F$134,5,0)),"",VLOOKUP(A81,'Actividades de Monitoreo'!$B$20:$F$134,5,0))</f>
        <v>3</v>
      </c>
      <c r="L81" s="572" t="n">
        <f aca="false">+IF(ISBLANK(VLOOKUP(A81,'Actividades de Monitoreo'!$B$20:$J$134,9,0)),"",VLOOKUP(A81,'Actividades de Monitoreo'!$B$20:$J$134,9,0))</f>
        <v>3</v>
      </c>
      <c r="M81" s="572" t="n">
        <f aca="false">+IF(OR(AND(K81=1,L81=1),AND(ISBLANK(K81),ISBLANK(L81)),K81="",L81=""),0,IF(OR(AND(K81=1,L81=2),AND(K81=1,L81=3)),0.25,IF(OR(AND(K81=2,L81=2),AND(K81=3,L81=1),AND(K81=3,L81=2),AND(K81=2,L81=1)),0.5,IF(AND(K81=2,L81=3),0.75,1))))</f>
        <v>1</v>
      </c>
      <c r="N81" s="572" t="n">
        <f aca="false">+AVERAGEIF($D$2:$D$82,D81,$M$2:$M$82)</f>
        <v>0.928571428571429</v>
      </c>
      <c r="O81" s="572"/>
      <c r="P81" s="572"/>
    </row>
    <row r="82" customFormat="false" ht="12.75" hidden="false" customHeight="false" outlineLevel="0" collapsed="false">
      <c r="A82" s="572" t="s">
        <v>708</v>
      </c>
      <c r="B82" s="572" t="str">
        <f aca="false">+LEFT(A82,2)</f>
        <v>17</v>
      </c>
      <c r="C82" s="572" t="str">
        <f aca="false">+MID(VLOOKUP(A82,'Actividades de Monitoreo'!$B$13:$C$176,2,0),6,LEN(VLOOKUP(A82,'Actividades de Monitoreo'!$B$13:$C$176,2,0))-6)</f>
        <v>Las deficiencias de control interno son reportadas a los responsables de nivel jerárquico superior, para tomar la acciones correspondientes</v>
      </c>
      <c r="D82" s="572" t="s">
        <v>693</v>
      </c>
      <c r="E82" s="572" t="str">
        <f aca="false">+VLOOKUP(A82,'Actividades de Monitoreo'!$B$17:$K$134,3,0)</f>
        <v>Dimension de Control Interno
Lineas de Defensa</v>
      </c>
      <c r="F82" s="572" t="str">
        <f aca="false">+VLOOKUP(A82,'Actividades de Monitoreo'!$B$17:$K$134,10,0)</f>
        <v>Mantenimiento del control</v>
      </c>
      <c r="G82" s="572" t="n">
        <f aca="false">+VLOOKUP(A82,'Actividades de Monitoreo'!$B$13:$N$176,13,0)</f>
        <v>387.0123</v>
      </c>
      <c r="H82" s="573" t="n">
        <f aca="false">+_xlfn.RANK.EQ(G82,$G$2:$G$82,1)</f>
        <v>81</v>
      </c>
      <c r="I82" s="572" t="str">
        <f aca="false">+IF(F82=$F$2,$P$4,IF(F82=$F$3,$P$2,$P$3))</f>
        <v>Cuando en el análisis de los requerimientos en los diferenes componentes del MECI se cuente con aspectos evaluados en nivel 1 (presente) y 1 (funcionando); 2 (presente) y 1 (funcionando).</v>
      </c>
      <c r="J82" s="572" t="s">
        <v>700</v>
      </c>
      <c r="K82" s="572" t="n">
        <f aca="false">+IF(ISBLANK(VLOOKUP(A82,'Actividades de Monitoreo'!$B$20:$F$134,5,0)),"",VLOOKUP(A82,'Actividades de Monitoreo'!$B$20:$F$134,5,0))</f>
        <v>3</v>
      </c>
      <c r="L82" s="572" t="n">
        <f aca="false">+IF(ISBLANK(VLOOKUP(A82,'Actividades de Monitoreo'!$B$20:$J$134,9,0)),"",VLOOKUP(A82,'Actividades de Monitoreo'!$B$20:$J$134,9,0))</f>
        <v>3</v>
      </c>
      <c r="M82" s="572" t="n">
        <f aca="false">+IF(OR(AND(K82=1,L82=1),AND(ISBLANK(K82),ISBLANK(L82)),K82="",L82=""),0,IF(OR(AND(K82=1,L82=2),AND(K82=1,L82=3)),0.25,IF(OR(AND(K82=2,L82=2),AND(K82=3,L82=1),AND(K82=3,L82=2),AND(K82=2,L82=1)),0.5,IF(AND(K82=2,L82=3),0.75,1))))</f>
        <v>1</v>
      </c>
      <c r="N82" s="572" t="n">
        <f aca="false">+AVERAGEIF($D$2:$D$82,D82,$M$2:$M$82)</f>
        <v>0.928571428571429</v>
      </c>
      <c r="O82" s="572"/>
      <c r="P82" s="572"/>
    </row>
  </sheetData>
  <sheetProtection sheet="true" password="d72a" objects="true" scenarios="true"/>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L39"/>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pane xSplit="1" ySplit="4" topLeftCell="B38" activePane="bottomRight" state="frozen"/>
      <selection pane="topLeft" activeCell="A1" activeCellId="0" sqref="A1"/>
      <selection pane="topRight" activeCell="B1" activeCellId="0" sqref="B1"/>
      <selection pane="bottomLeft" activeCell="A38" activeCellId="0" sqref="A38"/>
      <selection pane="bottomRight" activeCell="C39" activeCellId="0" sqref="C39"/>
    </sheetView>
  </sheetViews>
  <sheetFormatPr defaultColWidth="11.43359375" defaultRowHeight="16.5" zeroHeight="false" outlineLevelRow="0" outlineLevelCol="0"/>
  <cols>
    <col collapsed="false" customWidth="true" hidden="false" outlineLevel="0" max="1" min="1" style="48" width="3.57"/>
    <col collapsed="false" customWidth="true" hidden="false" outlineLevel="0" max="2" min="2" style="48" width="36.42"/>
    <col collapsed="false" customWidth="true" hidden="false" outlineLevel="0" max="3" min="3" style="49" width="67.14"/>
    <col collapsed="false" customWidth="false" hidden="false" outlineLevel="0" max="1024" min="4" style="48" width="11.42"/>
  </cols>
  <sheetData>
    <row r="2" customFormat="false" ht="16.5" hidden="false" customHeight="true" outlineLevel="0" collapsed="false">
      <c r="B2" s="50" t="s">
        <v>38</v>
      </c>
      <c r="C2" s="50"/>
      <c r="D2" s="51"/>
      <c r="E2" s="51"/>
      <c r="F2" s="51"/>
      <c r="G2" s="51"/>
      <c r="H2" s="51"/>
      <c r="I2" s="51"/>
      <c r="J2" s="51"/>
      <c r="K2" s="51"/>
      <c r="L2" s="51"/>
    </row>
    <row r="4" customFormat="false" ht="16.5" hidden="false" customHeight="false" outlineLevel="0" collapsed="false">
      <c r="B4" s="52" t="s">
        <v>39</v>
      </c>
      <c r="C4" s="53" t="s">
        <v>5</v>
      </c>
    </row>
    <row r="5" customFormat="false" ht="66" hidden="false" customHeight="false" outlineLevel="0" collapsed="false">
      <c r="B5" s="54" t="s">
        <v>40</v>
      </c>
      <c r="C5" s="55" t="s">
        <v>41</v>
      </c>
    </row>
    <row r="6" customFormat="false" ht="46.5" hidden="false" customHeight="true" outlineLevel="0" collapsed="false">
      <c r="B6" s="56" t="s">
        <v>42</v>
      </c>
      <c r="C6" s="57" t="s">
        <v>43</v>
      </c>
    </row>
    <row r="7" customFormat="false" ht="66" hidden="false" customHeight="false" outlineLevel="0" collapsed="false">
      <c r="B7" s="58" t="s">
        <v>44</v>
      </c>
      <c r="C7" s="59" t="s">
        <v>45</v>
      </c>
    </row>
    <row r="8" customFormat="false" ht="49.5" hidden="false" customHeight="false" outlineLevel="0" collapsed="false">
      <c r="B8" s="60" t="s">
        <v>46</v>
      </c>
      <c r="C8" s="59" t="s">
        <v>47</v>
      </c>
    </row>
    <row r="9" customFormat="false" ht="49.5" hidden="false" customHeight="false" outlineLevel="0" collapsed="false">
      <c r="B9" s="60" t="s">
        <v>48</v>
      </c>
      <c r="C9" s="59" t="s">
        <v>49</v>
      </c>
    </row>
    <row r="10" customFormat="false" ht="16.5" hidden="false" customHeight="false" outlineLevel="0" collapsed="false">
      <c r="B10" s="58" t="s">
        <v>50</v>
      </c>
      <c r="C10" s="59" t="s">
        <v>51</v>
      </c>
    </row>
    <row r="11" customFormat="false" ht="132" hidden="false" customHeight="false" outlineLevel="0" collapsed="false">
      <c r="B11" s="58" t="s">
        <v>52</v>
      </c>
      <c r="C11" s="59" t="s">
        <v>53</v>
      </c>
    </row>
    <row r="12" customFormat="false" ht="66" hidden="false" customHeight="false" outlineLevel="0" collapsed="false">
      <c r="B12" s="58" t="s">
        <v>54</v>
      </c>
      <c r="C12" s="59" t="s">
        <v>55</v>
      </c>
    </row>
    <row r="13" customFormat="false" ht="49.5" hidden="false" customHeight="false" outlineLevel="0" collapsed="false">
      <c r="B13" s="58" t="s">
        <v>56</v>
      </c>
      <c r="C13" s="59" t="s">
        <v>57</v>
      </c>
    </row>
    <row r="14" customFormat="false" ht="49.5" hidden="false" customHeight="false" outlineLevel="0" collapsed="false">
      <c r="B14" s="60" t="s">
        <v>58</v>
      </c>
      <c r="C14" s="61" t="s">
        <v>59</v>
      </c>
    </row>
    <row r="15" customFormat="false" ht="33" hidden="false" customHeight="false" outlineLevel="0" collapsed="false">
      <c r="B15" s="60" t="s">
        <v>60</v>
      </c>
      <c r="C15" s="61" t="s">
        <v>61</v>
      </c>
    </row>
    <row r="16" customFormat="false" ht="66" hidden="false" customHeight="false" outlineLevel="0" collapsed="false">
      <c r="B16" s="60" t="s">
        <v>62</v>
      </c>
      <c r="C16" s="61" t="s">
        <v>63</v>
      </c>
    </row>
    <row r="17" customFormat="false" ht="33" hidden="false" customHeight="false" outlineLevel="0" collapsed="false">
      <c r="B17" s="60" t="s">
        <v>64</v>
      </c>
      <c r="C17" s="61" t="s">
        <v>65</v>
      </c>
    </row>
    <row r="18" customFormat="false" ht="16.5" hidden="false" customHeight="false" outlineLevel="0" collapsed="false">
      <c r="B18" s="60" t="s">
        <v>66</v>
      </c>
      <c r="C18" s="61" t="s">
        <v>67</v>
      </c>
    </row>
    <row r="19" customFormat="false" ht="33" hidden="false" customHeight="false" outlineLevel="0" collapsed="false">
      <c r="B19" s="60" t="s">
        <v>68</v>
      </c>
      <c r="C19" s="61" t="s">
        <v>69</v>
      </c>
    </row>
    <row r="20" customFormat="false" ht="33" hidden="false" customHeight="false" outlineLevel="0" collapsed="false">
      <c r="B20" s="58" t="s">
        <v>70</v>
      </c>
      <c r="C20" s="59" t="s">
        <v>71</v>
      </c>
    </row>
    <row r="21" customFormat="false" ht="66" hidden="false" customHeight="false" outlineLevel="0" collapsed="false">
      <c r="B21" s="58" t="s">
        <v>72</v>
      </c>
      <c r="C21" s="59" t="s">
        <v>73</v>
      </c>
    </row>
    <row r="22" customFormat="false" ht="82.5" hidden="false" customHeight="false" outlineLevel="0" collapsed="false">
      <c r="B22" s="58" t="s">
        <v>74</v>
      </c>
      <c r="C22" s="59" t="s">
        <v>75</v>
      </c>
    </row>
    <row r="23" customFormat="false" ht="66" hidden="false" customHeight="false" outlineLevel="0" collapsed="false">
      <c r="B23" s="58" t="s">
        <v>76</v>
      </c>
      <c r="C23" s="59" t="s">
        <v>77</v>
      </c>
    </row>
    <row r="24" customFormat="false" ht="99" hidden="false" customHeight="false" outlineLevel="0" collapsed="false">
      <c r="B24" s="58" t="s">
        <v>78</v>
      </c>
      <c r="C24" s="59" t="s">
        <v>79</v>
      </c>
    </row>
    <row r="25" customFormat="false" ht="33" hidden="false" customHeight="false" outlineLevel="0" collapsed="false">
      <c r="B25" s="58" t="s">
        <v>80</v>
      </c>
      <c r="C25" s="59" t="s">
        <v>81</v>
      </c>
    </row>
    <row r="26" customFormat="false" ht="33" hidden="false" customHeight="false" outlineLevel="0" collapsed="false">
      <c r="B26" s="60" t="s">
        <v>82</v>
      </c>
      <c r="C26" s="61" t="s">
        <v>83</v>
      </c>
    </row>
    <row r="27" customFormat="false" ht="33" hidden="false" customHeight="false" outlineLevel="0" collapsed="false">
      <c r="B27" s="60" t="s">
        <v>84</v>
      </c>
      <c r="C27" s="61" t="s">
        <v>85</v>
      </c>
    </row>
    <row r="28" customFormat="false" ht="49.5" hidden="false" customHeight="false" outlineLevel="0" collapsed="false">
      <c r="B28" s="60" t="s">
        <v>27</v>
      </c>
      <c r="C28" s="61" t="s">
        <v>86</v>
      </c>
    </row>
    <row r="29" customFormat="false" ht="33" hidden="false" customHeight="false" outlineLevel="0" collapsed="false">
      <c r="B29" s="58" t="s">
        <v>87</v>
      </c>
      <c r="C29" s="59" t="s">
        <v>88</v>
      </c>
    </row>
    <row r="30" customFormat="false" ht="33" hidden="false" customHeight="false" outlineLevel="0" collapsed="false">
      <c r="B30" s="58" t="s">
        <v>89</v>
      </c>
      <c r="C30" s="59" t="s">
        <v>90</v>
      </c>
    </row>
    <row r="31" customFormat="false" ht="33" hidden="false" customHeight="false" outlineLevel="0" collapsed="false">
      <c r="B31" s="58" t="s">
        <v>91</v>
      </c>
      <c r="C31" s="59" t="s">
        <v>92</v>
      </c>
    </row>
    <row r="32" customFormat="false" ht="49.5" hidden="false" customHeight="false" outlineLevel="0" collapsed="false">
      <c r="B32" s="58" t="s">
        <v>93</v>
      </c>
      <c r="C32" s="59" t="s">
        <v>94</v>
      </c>
    </row>
    <row r="33" customFormat="false" ht="33" hidden="false" customHeight="false" outlineLevel="0" collapsed="false">
      <c r="B33" s="58" t="s">
        <v>95</v>
      </c>
      <c r="C33" s="59" t="s">
        <v>96</v>
      </c>
    </row>
    <row r="34" customFormat="false" ht="33" hidden="false" customHeight="false" outlineLevel="0" collapsed="false">
      <c r="B34" s="58" t="s">
        <v>97</v>
      </c>
      <c r="C34" s="59" t="s">
        <v>98</v>
      </c>
    </row>
    <row r="35" customFormat="false" ht="33" hidden="false" customHeight="false" outlineLevel="0" collapsed="false">
      <c r="B35" s="58" t="s">
        <v>99</v>
      </c>
      <c r="C35" s="59" t="s">
        <v>100</v>
      </c>
    </row>
    <row r="36" customFormat="false" ht="49.5" hidden="false" customHeight="false" outlineLevel="0" collapsed="false">
      <c r="B36" s="58" t="s">
        <v>101</v>
      </c>
      <c r="C36" s="59" t="s">
        <v>102</v>
      </c>
    </row>
    <row r="37" customFormat="false" ht="49.5" hidden="false" customHeight="false" outlineLevel="0" collapsed="false">
      <c r="B37" s="58" t="s">
        <v>103</v>
      </c>
      <c r="C37" s="59" t="s">
        <v>104</v>
      </c>
    </row>
    <row r="38" customFormat="false" ht="49.5" hidden="false" customHeight="false" outlineLevel="0" collapsed="false">
      <c r="B38" s="60" t="s">
        <v>105</v>
      </c>
      <c r="C38" s="61" t="s">
        <v>106</v>
      </c>
    </row>
    <row r="39" customFormat="false" ht="82.5" hidden="false" customHeight="true" outlineLevel="0" collapsed="false">
      <c r="B39" s="60" t="s">
        <v>107</v>
      </c>
      <c r="C39" s="61" t="s">
        <v>108</v>
      </c>
    </row>
  </sheetData>
  <mergeCells count="1">
    <mergeCell ref="B2:C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3:O237"/>
  <sheetViews>
    <sheetView showFormulas="false" showGridLines="false" showRowColHeaders="true" showZeros="true" rightToLeft="false" tabSelected="false" showOutlineSymbols="true" defaultGridColor="true" view="normal" topLeftCell="E217" colorId="64" zoomScale="95" zoomScaleNormal="95" zoomScalePageLayoutView="100" workbookViewId="0">
      <selection pane="topLeft" activeCell="J237" activeCellId="0" sqref="J237"/>
    </sheetView>
  </sheetViews>
  <sheetFormatPr defaultColWidth="3.1484375" defaultRowHeight="15" zeroHeight="false" outlineLevelRow="0" outlineLevelCol="0"/>
  <cols>
    <col collapsed="false" customWidth="true" hidden="false" outlineLevel="0" max="1" min="1" style="62" width="1.29"/>
    <col collapsed="false" customWidth="true" hidden="true" outlineLevel="0" max="2" min="2" style="63" width="3.57"/>
    <col collapsed="false" customWidth="true" hidden="false" outlineLevel="0" max="3" min="3" style="62" width="29.29"/>
    <col collapsed="false" customWidth="true" hidden="false" outlineLevel="0" max="4" min="4" style="62" width="14.57"/>
    <col collapsed="false" customWidth="true" hidden="false" outlineLevel="0" max="5" min="5" style="62" width="58"/>
    <col collapsed="false" customWidth="true" hidden="false" outlineLevel="0" max="6" min="6" style="62" width="8.14"/>
    <col collapsed="false" customWidth="true" hidden="false" outlineLevel="0" max="7" min="7" style="62" width="3.57"/>
    <col collapsed="false" customWidth="true" hidden="false" outlineLevel="0" max="8" min="8" style="62" width="43.85"/>
    <col collapsed="false" customWidth="true" hidden="false" outlineLevel="0" max="9" min="9" style="62" width="52.71"/>
    <col collapsed="false" customWidth="true" hidden="false" outlineLevel="0" max="10" min="10" style="62" width="7.41"/>
    <col collapsed="false" customWidth="true" hidden="false" outlineLevel="0" max="11" min="11" style="62" width="19"/>
    <col collapsed="false" customWidth="false" hidden="false" outlineLevel="0" max="12" min="12" style="64" width="3.14"/>
    <col collapsed="false" customWidth="true" hidden="false" outlineLevel="0" max="13" min="13" style="64" width="7.29"/>
    <col collapsed="false" customWidth="true" hidden="false" outlineLevel="0" max="14" min="14" style="65" width="12.29"/>
    <col collapsed="false" customWidth="true" hidden="false" outlineLevel="0" max="15" min="15" style="66" width="12.29"/>
    <col collapsed="false" customWidth="false" hidden="false" outlineLevel="0" max="1024" min="16" style="62" width="3.14"/>
  </cols>
  <sheetData>
    <row r="13" customFormat="false" ht="15" hidden="false" customHeight="true" outlineLevel="0" collapsed="false">
      <c r="E13" s="67"/>
      <c r="F13" s="68"/>
      <c r="G13" s="68"/>
      <c r="H13" s="68"/>
      <c r="I13" s="68"/>
      <c r="J13" s="68"/>
    </row>
    <row r="14" customFormat="false" ht="15" hidden="false" customHeight="true" outlineLevel="0" collapsed="false">
      <c r="E14" s="67"/>
      <c r="F14" s="68"/>
      <c r="G14" s="68"/>
      <c r="H14" s="68"/>
      <c r="I14" s="68"/>
      <c r="J14" s="68"/>
    </row>
    <row r="15" customFormat="false" ht="15" hidden="false" customHeight="true" outlineLevel="0" collapsed="false">
      <c r="E15" s="69"/>
      <c r="F15" s="70"/>
      <c r="G15" s="70"/>
      <c r="H15" s="70"/>
      <c r="I15" s="70"/>
      <c r="J15" s="70"/>
    </row>
    <row r="18" customFormat="false" ht="15" hidden="false" customHeight="true" outlineLevel="0" collapsed="false">
      <c r="C18" s="71" t="s">
        <v>109</v>
      </c>
      <c r="D18" s="71"/>
      <c r="E18" s="71"/>
      <c r="F18" s="71"/>
      <c r="G18" s="71"/>
      <c r="H18" s="71"/>
      <c r="I18" s="71"/>
      <c r="J18" s="71"/>
      <c r="K18" s="71"/>
    </row>
    <row r="19" customFormat="false" ht="15" hidden="false" customHeight="true" outlineLevel="0" collapsed="false">
      <c r="C19" s="72" t="s">
        <v>110</v>
      </c>
      <c r="D19" s="72"/>
      <c r="E19" s="72"/>
      <c r="F19" s="72"/>
      <c r="G19" s="72"/>
      <c r="H19" s="72"/>
      <c r="I19" s="72"/>
      <c r="J19" s="72"/>
      <c r="K19" s="72"/>
    </row>
    <row r="20" customFormat="false" ht="15" hidden="false" customHeight="true" outlineLevel="0" collapsed="false">
      <c r="B20" s="73"/>
      <c r="C20" s="74"/>
      <c r="D20" s="74"/>
      <c r="F20" s="75"/>
    </row>
    <row r="21" customFormat="false" ht="15" hidden="false" customHeight="true" outlineLevel="0" collapsed="false">
      <c r="B21" s="76" t="s">
        <v>111</v>
      </c>
      <c r="C21" s="77" t="s">
        <v>112</v>
      </c>
      <c r="D21" s="78" t="s">
        <v>113</v>
      </c>
      <c r="E21" s="79" t="s">
        <v>114</v>
      </c>
      <c r="F21" s="80" t="s">
        <v>115</v>
      </c>
      <c r="G21" s="81" t="s">
        <v>116</v>
      </c>
      <c r="H21" s="81"/>
      <c r="I21" s="81"/>
      <c r="J21" s="80" t="s">
        <v>117</v>
      </c>
      <c r="K21" s="80" t="s">
        <v>118</v>
      </c>
      <c r="L21" s="82"/>
      <c r="M21" s="82"/>
      <c r="N21" s="83"/>
      <c r="O21" s="84"/>
    </row>
    <row r="22" customFormat="false" ht="15" hidden="false" customHeight="true" outlineLevel="0" collapsed="false">
      <c r="B22" s="76"/>
      <c r="C22" s="77"/>
      <c r="D22" s="78"/>
      <c r="E22" s="78"/>
      <c r="F22" s="80"/>
      <c r="G22" s="85" t="s">
        <v>13</v>
      </c>
      <c r="H22" s="78" t="s">
        <v>15</v>
      </c>
      <c r="I22" s="78" t="s">
        <v>17</v>
      </c>
      <c r="J22" s="80"/>
      <c r="K22" s="80"/>
      <c r="L22" s="82"/>
      <c r="M22" s="82"/>
      <c r="N22" s="83"/>
      <c r="O22" s="84"/>
    </row>
    <row r="23" customFormat="false" ht="15" hidden="false" customHeight="true" outlineLevel="0" collapsed="false">
      <c r="B23" s="76"/>
      <c r="C23" s="77"/>
      <c r="D23" s="78"/>
      <c r="E23" s="78"/>
      <c r="F23" s="80"/>
      <c r="G23" s="85"/>
      <c r="H23" s="78"/>
      <c r="I23" s="78"/>
      <c r="J23" s="80"/>
      <c r="K23" s="80"/>
      <c r="L23" s="82"/>
      <c r="M23" s="82"/>
      <c r="N23" s="83"/>
      <c r="O23" s="84"/>
    </row>
    <row r="24" customFormat="false" ht="15" hidden="true" customHeight="true" outlineLevel="0" collapsed="false">
      <c r="A24" s="86" t="s">
        <v>119</v>
      </c>
      <c r="B24" s="87" t="str">
        <f aca="false">+LEFT(C24,3)</f>
        <v>Ap</v>
      </c>
      <c r="C24" s="88" t="s">
        <v>120</v>
      </c>
      <c r="D24" s="88" t="s">
        <v>121</v>
      </c>
      <c r="E24" s="88" t="s">
        <v>122</v>
      </c>
      <c r="F24" s="89" t="n">
        <v>3</v>
      </c>
      <c r="G24" s="90" t="n">
        <v>1</v>
      </c>
      <c r="H24" s="88" t="s">
        <v>123</v>
      </c>
      <c r="I24" s="88" t="s">
        <v>124</v>
      </c>
      <c r="J24" s="89" t="n">
        <v>3</v>
      </c>
      <c r="K24" s="91" t="str">
        <f aca="false">+IF(OR(ISBLANK(F24),ISBLANK(J24)),"",IF(OR(AND(F24=1,J24=1),AND(F24=1,J24=2),AND(F24=1,J24=3)),"Deficiencia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92"/>
      <c r="M24" s="92"/>
      <c r="N24" s="93"/>
      <c r="O24" s="94"/>
    </row>
    <row r="25" s="95" customFormat="true" ht="15" hidden="true" customHeight="true" outlineLevel="0" collapsed="false">
      <c r="A25" s="86"/>
      <c r="B25" s="87"/>
      <c r="C25" s="88"/>
      <c r="D25" s="88"/>
      <c r="E25" s="88"/>
      <c r="F25" s="89"/>
      <c r="G25" s="90" t="n">
        <v>2</v>
      </c>
      <c r="H25" s="88" t="s">
        <v>125</v>
      </c>
      <c r="I25" s="88"/>
      <c r="J25" s="89"/>
      <c r="K25" s="91"/>
      <c r="L25" s="92"/>
      <c r="M25" s="92"/>
      <c r="N25" s="93"/>
      <c r="O25" s="94"/>
    </row>
    <row r="26" s="95" customFormat="true" ht="15" hidden="true" customHeight="true" outlineLevel="0" collapsed="false">
      <c r="A26" s="86"/>
      <c r="B26" s="87"/>
      <c r="C26" s="88"/>
      <c r="D26" s="88"/>
      <c r="E26" s="88"/>
      <c r="F26" s="89"/>
      <c r="G26" s="90" t="n">
        <v>3</v>
      </c>
      <c r="H26" s="88" t="s">
        <v>126</v>
      </c>
      <c r="I26" s="88"/>
      <c r="J26" s="89"/>
      <c r="K26" s="91"/>
      <c r="L26" s="92"/>
      <c r="M26" s="92"/>
      <c r="N26" s="93"/>
      <c r="O26" s="94"/>
    </row>
    <row r="27" s="95" customFormat="true" ht="15" hidden="true" customHeight="true" outlineLevel="0" collapsed="false">
      <c r="A27" s="86"/>
      <c r="B27" s="87"/>
      <c r="C27" s="88"/>
      <c r="D27" s="88"/>
      <c r="E27" s="88"/>
      <c r="F27" s="89"/>
      <c r="G27" s="90" t="n">
        <v>4</v>
      </c>
      <c r="H27" s="96"/>
      <c r="I27" s="88"/>
      <c r="J27" s="89"/>
      <c r="K27" s="91"/>
      <c r="L27" s="92"/>
      <c r="M27" s="92"/>
      <c r="N27" s="93"/>
      <c r="O27" s="94"/>
    </row>
    <row r="28" s="95" customFormat="true" ht="15" hidden="true" customHeight="true" outlineLevel="0" collapsed="false">
      <c r="A28" s="86"/>
      <c r="B28" s="87"/>
      <c r="C28" s="88"/>
      <c r="D28" s="88"/>
      <c r="E28" s="88"/>
      <c r="F28" s="89"/>
      <c r="G28" s="90" t="n">
        <v>5</v>
      </c>
      <c r="H28" s="96"/>
      <c r="I28" s="88"/>
      <c r="J28" s="89"/>
      <c r="K28" s="91"/>
      <c r="L28" s="92"/>
      <c r="M28" s="92"/>
      <c r="N28" s="93"/>
      <c r="O28" s="94"/>
    </row>
    <row r="29" s="95" customFormat="true" ht="15" hidden="true" customHeight="true" outlineLevel="0" collapsed="false">
      <c r="A29" s="86"/>
      <c r="B29" s="87"/>
      <c r="C29" s="88"/>
      <c r="D29" s="88"/>
      <c r="E29" s="88"/>
      <c r="F29" s="89"/>
      <c r="G29" s="90" t="n">
        <v>6</v>
      </c>
      <c r="H29" s="96"/>
      <c r="I29" s="88"/>
      <c r="J29" s="89"/>
      <c r="K29" s="91"/>
      <c r="L29" s="92"/>
      <c r="M29" s="92"/>
      <c r="N29" s="93"/>
      <c r="O29" s="94"/>
    </row>
    <row r="30" s="95" customFormat="true" ht="15" hidden="true" customHeight="true" outlineLevel="0" collapsed="false">
      <c r="A30" s="86"/>
      <c r="B30" s="87"/>
      <c r="C30" s="88"/>
      <c r="D30" s="88"/>
      <c r="E30" s="88"/>
      <c r="F30" s="89"/>
      <c r="G30" s="90" t="n">
        <v>7</v>
      </c>
      <c r="H30" s="96"/>
      <c r="I30" s="88"/>
      <c r="J30" s="89"/>
      <c r="K30" s="91"/>
      <c r="L30" s="92"/>
      <c r="M30" s="92"/>
      <c r="N30" s="93"/>
      <c r="O30" s="94"/>
    </row>
    <row r="31" s="95" customFormat="true" ht="15" hidden="true" customHeight="true" outlineLevel="0" collapsed="false">
      <c r="A31" s="86"/>
      <c r="B31" s="87"/>
      <c r="C31" s="88"/>
      <c r="D31" s="88"/>
      <c r="E31" s="88"/>
      <c r="F31" s="89"/>
      <c r="G31" s="90" t="n">
        <v>8</v>
      </c>
      <c r="H31" s="96"/>
      <c r="I31" s="88"/>
      <c r="J31" s="89"/>
      <c r="K31" s="91"/>
      <c r="L31" s="92"/>
      <c r="M31" s="92"/>
      <c r="N31" s="93"/>
      <c r="O31" s="94"/>
    </row>
    <row r="32" s="95" customFormat="true" ht="15" hidden="false" customHeight="true" outlineLevel="0" collapsed="false">
      <c r="B32" s="97" t="str">
        <f aca="false">+LEFT(C32,3)</f>
        <v>1.1</v>
      </c>
      <c r="C32" s="98" t="s">
        <v>127</v>
      </c>
      <c r="D32" s="99" t="s">
        <v>121</v>
      </c>
      <c r="E32" s="100" t="s">
        <v>128</v>
      </c>
      <c r="F32" s="101" t="n">
        <v>3</v>
      </c>
      <c r="G32" s="102" t="n">
        <v>1</v>
      </c>
      <c r="H32" s="103" t="s">
        <v>129</v>
      </c>
      <c r="I32" s="104" t="s">
        <v>130</v>
      </c>
      <c r="J32" s="105" t="n">
        <v>3</v>
      </c>
      <c r="K32" s="106" t="str">
        <f aca="false">+IF(OR(ISBLANK(F32),ISBLANK(J32)),"",IF(OR(AND(F32=1,J32=1),AND(F32=1,J32=2),AND(F32=1,J32=3)),"Deficiencia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92" t="n">
        <f aca="false">+IF(K32="",0,IF(K32="Deficiencia de control mayor (diseño y ejecución)",4,IF(K32="Deficiencia de control (diseño o ejecución)",20,IF(K32="Oportunidad de mejora",40,60))))</f>
        <v>60</v>
      </c>
      <c r="M32" s="92" t="n">
        <v>0.04587</v>
      </c>
      <c r="N32" s="93" t="n">
        <f aca="false">+L32+M32</f>
        <v>60.04587</v>
      </c>
      <c r="O32" s="94"/>
    </row>
    <row r="33" s="95" customFormat="true" ht="15" hidden="false" customHeight="true" outlineLevel="0" collapsed="false">
      <c r="B33" s="97"/>
      <c r="C33" s="98"/>
      <c r="D33" s="99"/>
      <c r="E33" s="100"/>
      <c r="F33" s="101"/>
      <c r="G33" s="107" t="n">
        <v>2</v>
      </c>
      <c r="H33" s="108"/>
      <c r="I33" s="104"/>
      <c r="J33" s="105"/>
      <c r="K33" s="106"/>
      <c r="L33" s="92"/>
      <c r="M33" s="92"/>
      <c r="N33" s="93"/>
      <c r="O33" s="94"/>
    </row>
    <row r="34" s="95" customFormat="true" ht="15" hidden="false" customHeight="true" outlineLevel="0" collapsed="false">
      <c r="B34" s="97"/>
      <c r="C34" s="98"/>
      <c r="D34" s="99"/>
      <c r="E34" s="100"/>
      <c r="F34" s="101"/>
      <c r="G34" s="107" t="n">
        <v>3</v>
      </c>
      <c r="H34" s="109"/>
      <c r="I34" s="104"/>
      <c r="J34" s="105"/>
      <c r="K34" s="106"/>
      <c r="L34" s="92"/>
      <c r="M34" s="92"/>
      <c r="N34" s="93"/>
      <c r="O34" s="94"/>
    </row>
    <row r="35" s="95" customFormat="true" ht="15" hidden="false" customHeight="true" outlineLevel="0" collapsed="false">
      <c r="B35" s="97"/>
      <c r="C35" s="98"/>
      <c r="D35" s="99"/>
      <c r="E35" s="100"/>
      <c r="F35" s="101"/>
      <c r="G35" s="107" t="n">
        <v>4</v>
      </c>
      <c r="H35" s="110"/>
      <c r="I35" s="104"/>
      <c r="J35" s="105"/>
      <c r="K35" s="106"/>
      <c r="L35" s="92"/>
      <c r="M35" s="92"/>
      <c r="N35" s="93"/>
      <c r="O35" s="94"/>
    </row>
    <row r="36" s="95" customFormat="true" ht="15" hidden="false" customHeight="true" outlineLevel="0" collapsed="false">
      <c r="B36" s="97"/>
      <c r="C36" s="98"/>
      <c r="D36" s="99"/>
      <c r="E36" s="100"/>
      <c r="F36" s="101"/>
      <c r="G36" s="107" t="n">
        <v>5</v>
      </c>
      <c r="H36" s="110"/>
      <c r="I36" s="104"/>
      <c r="J36" s="105"/>
      <c r="K36" s="106"/>
      <c r="L36" s="92"/>
      <c r="M36" s="92"/>
      <c r="N36" s="93"/>
      <c r="O36" s="94"/>
    </row>
    <row r="37" s="95" customFormat="true" ht="15" hidden="false" customHeight="true" outlineLevel="0" collapsed="false">
      <c r="B37" s="97"/>
      <c r="C37" s="98"/>
      <c r="D37" s="99"/>
      <c r="E37" s="100"/>
      <c r="F37" s="101"/>
      <c r="G37" s="107" t="n">
        <v>6</v>
      </c>
      <c r="H37" s="110"/>
      <c r="I37" s="104"/>
      <c r="J37" s="105"/>
      <c r="K37" s="106"/>
      <c r="L37" s="92"/>
      <c r="M37" s="92"/>
      <c r="N37" s="93"/>
      <c r="O37" s="94"/>
    </row>
    <row r="38" s="95" customFormat="true" ht="15" hidden="false" customHeight="true" outlineLevel="0" collapsed="false">
      <c r="B38" s="97"/>
      <c r="C38" s="98"/>
      <c r="D38" s="99"/>
      <c r="E38" s="100"/>
      <c r="F38" s="101"/>
      <c r="G38" s="107" t="n">
        <v>7</v>
      </c>
      <c r="H38" s="111"/>
      <c r="I38" s="104"/>
      <c r="J38" s="105"/>
      <c r="K38" s="106"/>
      <c r="L38" s="92"/>
      <c r="M38" s="92"/>
      <c r="N38" s="93"/>
      <c r="O38" s="94"/>
    </row>
    <row r="39" s="95" customFormat="true" ht="15" hidden="false" customHeight="true" outlineLevel="0" collapsed="false">
      <c r="B39" s="97"/>
      <c r="C39" s="98"/>
      <c r="D39" s="99"/>
      <c r="E39" s="100"/>
      <c r="F39" s="101"/>
      <c r="G39" s="112" t="n">
        <v>8</v>
      </c>
      <c r="H39" s="111"/>
      <c r="I39" s="104"/>
      <c r="J39" s="105"/>
      <c r="K39" s="106"/>
      <c r="L39" s="92"/>
      <c r="M39" s="92"/>
      <c r="N39" s="93"/>
      <c r="O39" s="94"/>
    </row>
    <row r="40" s="95" customFormat="true" ht="15" hidden="false" customHeight="true" outlineLevel="0" collapsed="false">
      <c r="B40" s="113" t="str">
        <f aca="false">+LEFT(C40,3)</f>
        <v>1.2</v>
      </c>
      <c r="C40" s="114" t="s">
        <v>131</v>
      </c>
      <c r="D40" s="115" t="s">
        <v>121</v>
      </c>
      <c r="E40" s="104" t="s">
        <v>132</v>
      </c>
      <c r="F40" s="116" t="n">
        <v>3</v>
      </c>
      <c r="G40" s="102" t="n">
        <v>1</v>
      </c>
      <c r="H40" s="110" t="s">
        <v>133</v>
      </c>
      <c r="I40" s="117" t="s">
        <v>134</v>
      </c>
      <c r="J40" s="118" t="n">
        <v>2</v>
      </c>
      <c r="K40" s="119" t="str">
        <f aca="false">+IF(OR(ISBLANK(F40),ISBLANK(J40)),"",IF(OR(AND(F40=1,J40=1),AND(F40=1,J40=2),AND(F40=1,J40=3)),"Deficiencia de control mayor (diseño y ejecución)",IF(OR(AND(F40=2,J40=2),AND(F40=3,J40=1),AND(F40=3,J40=2),AND(F40=2,J40=1)),"Deficiencia de control (diseño o ejecución)",IF(AND(F40=2,J40=3),"Oportunidad de mejora","Mantenimiento del control"))))</f>
        <v>Deficiencia de control (diseño o ejecución)</v>
      </c>
      <c r="L40" s="92" t="n">
        <f aca="false">+IF(K40="",0,IF(K40="Deficiencia de control mayor (diseño y ejecución)",4,IF(K40="Deficiencia de control (diseño o ejecución)",20,IF(K40="Oportunidad de mejora",40,60))))</f>
        <v>20</v>
      </c>
      <c r="M40" s="92" t="n">
        <v>0.05569</v>
      </c>
      <c r="N40" s="93" t="n">
        <f aca="false">+L40+M40</f>
        <v>20.05569</v>
      </c>
      <c r="O40" s="94"/>
    </row>
    <row r="41" s="95" customFormat="true" ht="15" hidden="false" customHeight="true" outlineLevel="0" collapsed="false">
      <c r="B41" s="113"/>
      <c r="C41" s="114"/>
      <c r="D41" s="115"/>
      <c r="E41" s="104"/>
      <c r="F41" s="116"/>
      <c r="G41" s="107" t="n">
        <v>2</v>
      </c>
      <c r="H41" s="110"/>
      <c r="I41" s="117"/>
      <c r="J41" s="118"/>
      <c r="K41" s="119"/>
      <c r="L41" s="92"/>
      <c r="M41" s="92"/>
      <c r="N41" s="93"/>
      <c r="O41" s="94"/>
    </row>
    <row r="42" s="95" customFormat="true" ht="15" hidden="false" customHeight="true" outlineLevel="0" collapsed="false">
      <c r="B42" s="113"/>
      <c r="C42" s="114"/>
      <c r="D42" s="115"/>
      <c r="E42" s="104"/>
      <c r="F42" s="116"/>
      <c r="G42" s="107" t="n">
        <v>3</v>
      </c>
      <c r="H42" s="110"/>
      <c r="I42" s="117"/>
      <c r="J42" s="118"/>
      <c r="K42" s="119"/>
      <c r="L42" s="92"/>
      <c r="M42" s="92"/>
      <c r="N42" s="93"/>
      <c r="O42" s="94"/>
    </row>
    <row r="43" s="95" customFormat="true" ht="15" hidden="false" customHeight="true" outlineLevel="0" collapsed="false">
      <c r="B43" s="113"/>
      <c r="C43" s="114"/>
      <c r="D43" s="115"/>
      <c r="E43" s="104"/>
      <c r="F43" s="116"/>
      <c r="G43" s="107" t="n">
        <v>4</v>
      </c>
      <c r="H43" s="110"/>
      <c r="I43" s="117"/>
      <c r="J43" s="118"/>
      <c r="K43" s="119"/>
      <c r="L43" s="92"/>
      <c r="M43" s="92"/>
      <c r="N43" s="93"/>
      <c r="O43" s="94"/>
    </row>
    <row r="44" s="95" customFormat="true" ht="15" hidden="false" customHeight="true" outlineLevel="0" collapsed="false">
      <c r="B44" s="113"/>
      <c r="C44" s="114"/>
      <c r="D44" s="115"/>
      <c r="E44" s="104"/>
      <c r="F44" s="116"/>
      <c r="G44" s="107" t="n">
        <v>5</v>
      </c>
      <c r="H44" s="110"/>
      <c r="I44" s="117"/>
      <c r="J44" s="118"/>
      <c r="K44" s="119"/>
      <c r="L44" s="92"/>
      <c r="M44" s="92"/>
      <c r="N44" s="93"/>
      <c r="O44" s="94"/>
    </row>
    <row r="45" s="95" customFormat="true" ht="15" hidden="false" customHeight="true" outlineLevel="0" collapsed="false">
      <c r="B45" s="113"/>
      <c r="C45" s="114"/>
      <c r="D45" s="115"/>
      <c r="E45" s="104"/>
      <c r="F45" s="116"/>
      <c r="G45" s="107" t="n">
        <v>6</v>
      </c>
      <c r="H45" s="120"/>
      <c r="I45" s="117"/>
      <c r="J45" s="118"/>
      <c r="K45" s="119"/>
      <c r="L45" s="92"/>
      <c r="M45" s="92"/>
      <c r="N45" s="93"/>
      <c r="O45" s="94"/>
    </row>
    <row r="46" s="95" customFormat="true" ht="15" hidden="false" customHeight="true" outlineLevel="0" collapsed="false">
      <c r="B46" s="113"/>
      <c r="C46" s="114"/>
      <c r="D46" s="115"/>
      <c r="E46" s="104"/>
      <c r="F46" s="116"/>
      <c r="G46" s="107" t="n">
        <v>7</v>
      </c>
      <c r="H46" s="120"/>
      <c r="I46" s="117"/>
      <c r="J46" s="118"/>
      <c r="K46" s="119"/>
      <c r="L46" s="92"/>
      <c r="M46" s="92"/>
      <c r="N46" s="93"/>
      <c r="O46" s="94"/>
    </row>
    <row r="47" s="95" customFormat="true" ht="15" hidden="false" customHeight="true" outlineLevel="0" collapsed="false">
      <c r="B47" s="113"/>
      <c r="C47" s="114"/>
      <c r="D47" s="115"/>
      <c r="E47" s="104"/>
      <c r="F47" s="116"/>
      <c r="G47" s="121" t="n">
        <v>8</v>
      </c>
      <c r="H47" s="122"/>
      <c r="I47" s="117"/>
      <c r="J47" s="118"/>
      <c r="K47" s="119"/>
      <c r="L47" s="92"/>
      <c r="M47" s="92"/>
      <c r="N47" s="93"/>
      <c r="O47" s="94"/>
    </row>
    <row r="48" s="123" customFormat="true" ht="15" hidden="false" customHeight="true" outlineLevel="0" collapsed="false">
      <c r="B48" s="124" t="str">
        <f aca="false">+LEFT(C48,3)</f>
        <v>1.3</v>
      </c>
      <c r="C48" s="125" t="s">
        <v>135</v>
      </c>
      <c r="D48" s="126" t="s">
        <v>136</v>
      </c>
      <c r="E48" s="127" t="s">
        <v>137</v>
      </c>
      <c r="F48" s="128" t="n">
        <v>3</v>
      </c>
      <c r="G48" s="129" t="n">
        <v>1</v>
      </c>
      <c r="H48" s="103" t="s">
        <v>138</v>
      </c>
      <c r="I48" s="127" t="s">
        <v>139</v>
      </c>
      <c r="J48" s="130" t="n">
        <v>3</v>
      </c>
      <c r="K48" s="131" t="str">
        <f aca="false">+IF(OR(ISBLANK(F48),ISBLANK(J48)),"",IF(OR(AND(F48=1,J48=1),AND(F48=1,J48=2),AND(F48=1,J48=3)),"Deficiencia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132" t="n">
        <f aca="false">+IF(K48="",0,IF(K48="Deficiencia de control mayor (diseño y ejecución)",4,IF(K48="Deficiencia de control (diseño o ejecución)",20,IF(K48="Oportunidad de mejora",40,60))))</f>
        <v>60</v>
      </c>
      <c r="M48" s="132" t="n">
        <v>0.066896</v>
      </c>
      <c r="N48" s="133" t="n">
        <f aca="false">+L48+M48</f>
        <v>60.066896</v>
      </c>
      <c r="O48" s="134"/>
    </row>
    <row r="49" s="123" customFormat="true" ht="15" hidden="false" customHeight="true" outlineLevel="0" collapsed="false">
      <c r="B49" s="124"/>
      <c r="C49" s="125"/>
      <c r="D49" s="126"/>
      <c r="E49" s="127"/>
      <c r="F49" s="128"/>
      <c r="G49" s="135" t="n">
        <v>2</v>
      </c>
      <c r="H49" s="136"/>
      <c r="I49" s="127"/>
      <c r="J49" s="130"/>
      <c r="K49" s="131"/>
      <c r="L49" s="132"/>
      <c r="M49" s="132"/>
      <c r="N49" s="133"/>
      <c r="O49" s="134"/>
    </row>
    <row r="50" s="123" customFormat="true" ht="15" hidden="false" customHeight="true" outlineLevel="0" collapsed="false">
      <c r="B50" s="124"/>
      <c r="C50" s="125"/>
      <c r="D50" s="126"/>
      <c r="E50" s="127"/>
      <c r="F50" s="128"/>
      <c r="G50" s="135" t="n">
        <v>3</v>
      </c>
      <c r="H50" s="136"/>
      <c r="I50" s="127"/>
      <c r="J50" s="130"/>
      <c r="K50" s="131"/>
      <c r="L50" s="132"/>
      <c r="M50" s="132"/>
      <c r="N50" s="133"/>
      <c r="O50" s="134"/>
    </row>
    <row r="51" s="123" customFormat="true" ht="15" hidden="false" customHeight="true" outlineLevel="0" collapsed="false">
      <c r="B51" s="124"/>
      <c r="C51" s="125"/>
      <c r="D51" s="126"/>
      <c r="E51" s="127"/>
      <c r="F51" s="128"/>
      <c r="G51" s="135" t="n">
        <v>4</v>
      </c>
      <c r="H51" s="137"/>
      <c r="I51" s="127"/>
      <c r="J51" s="130"/>
      <c r="K51" s="131"/>
      <c r="L51" s="132"/>
      <c r="M51" s="132"/>
      <c r="N51" s="133"/>
      <c r="O51" s="134"/>
    </row>
    <row r="52" s="123" customFormat="true" ht="15" hidden="false" customHeight="true" outlineLevel="0" collapsed="false">
      <c r="B52" s="124"/>
      <c r="C52" s="125"/>
      <c r="D52" s="126"/>
      <c r="E52" s="127"/>
      <c r="F52" s="128"/>
      <c r="G52" s="135" t="n">
        <v>5</v>
      </c>
      <c r="H52" s="137"/>
      <c r="I52" s="127"/>
      <c r="J52" s="130"/>
      <c r="K52" s="131"/>
      <c r="L52" s="132"/>
      <c r="M52" s="132"/>
      <c r="N52" s="133"/>
      <c r="O52" s="134"/>
    </row>
    <row r="53" s="123" customFormat="true" ht="15" hidden="false" customHeight="true" outlineLevel="0" collapsed="false">
      <c r="B53" s="124"/>
      <c r="C53" s="125"/>
      <c r="D53" s="126"/>
      <c r="E53" s="127"/>
      <c r="F53" s="128"/>
      <c r="G53" s="135" t="n">
        <v>6</v>
      </c>
      <c r="H53" s="137"/>
      <c r="I53" s="127"/>
      <c r="J53" s="130"/>
      <c r="K53" s="131"/>
      <c r="L53" s="132"/>
      <c r="M53" s="132"/>
      <c r="N53" s="133"/>
      <c r="O53" s="134"/>
    </row>
    <row r="54" s="123" customFormat="true" ht="15" hidden="false" customHeight="true" outlineLevel="0" collapsed="false">
      <c r="B54" s="124"/>
      <c r="C54" s="125"/>
      <c r="D54" s="126"/>
      <c r="E54" s="127"/>
      <c r="F54" s="128"/>
      <c r="G54" s="135" t="n">
        <v>7</v>
      </c>
      <c r="H54" s="137"/>
      <c r="I54" s="127"/>
      <c r="J54" s="130"/>
      <c r="K54" s="131"/>
      <c r="L54" s="132"/>
      <c r="M54" s="132"/>
      <c r="N54" s="133"/>
      <c r="O54" s="134"/>
    </row>
    <row r="55" s="123" customFormat="true" ht="15" hidden="false" customHeight="true" outlineLevel="0" collapsed="false">
      <c r="B55" s="124"/>
      <c r="C55" s="125"/>
      <c r="D55" s="126"/>
      <c r="E55" s="127"/>
      <c r="F55" s="128"/>
      <c r="G55" s="138" t="n">
        <v>8</v>
      </c>
      <c r="H55" s="139"/>
      <c r="I55" s="127"/>
      <c r="J55" s="130"/>
      <c r="K55" s="131"/>
      <c r="L55" s="132"/>
      <c r="M55" s="132"/>
      <c r="N55" s="133"/>
      <c r="O55" s="134"/>
    </row>
    <row r="56" s="95" customFormat="true" ht="15" hidden="false" customHeight="true" outlineLevel="0" collapsed="false">
      <c r="B56" s="113" t="str">
        <f aca="false">+LEFT(C56,3)</f>
        <v>1.4</v>
      </c>
      <c r="C56" s="125" t="s">
        <v>140</v>
      </c>
      <c r="D56" s="126" t="s">
        <v>141</v>
      </c>
      <c r="E56" s="140" t="s">
        <v>142</v>
      </c>
      <c r="F56" s="116" t="n">
        <v>3</v>
      </c>
      <c r="G56" s="141" t="n">
        <v>1</v>
      </c>
      <c r="H56" s="142" t="s">
        <v>143</v>
      </c>
      <c r="I56" s="140" t="s">
        <v>144</v>
      </c>
      <c r="J56" s="143" t="n">
        <v>3</v>
      </c>
      <c r="K56" s="119" t="str">
        <f aca="false">+IF(OR(ISBLANK(F56),ISBLANK(J56)),"",IF(OR(AND(F56=1,J56=1),AND(F56=1,J56=2),AND(F56=1,J56=3)),"Deficiencia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92" t="n">
        <f aca="false">+IF(K56="",0,IF(K56="Deficiencia de control mayor (diseño y ejecución)",4,IF(K56="Deficiencia de control (diseño o ejecución)",20,IF(K56="Oportunidad de mejora",40,60))))</f>
        <v>60</v>
      </c>
      <c r="M56" s="92" t="n">
        <v>0.06691</v>
      </c>
      <c r="N56" s="144" t="n">
        <f aca="false">+L56+M56</f>
        <v>60.06691</v>
      </c>
      <c r="O56" s="145"/>
    </row>
    <row r="57" s="95" customFormat="true" ht="15" hidden="false" customHeight="true" outlineLevel="0" collapsed="false">
      <c r="B57" s="113"/>
      <c r="C57" s="125"/>
      <c r="D57" s="126"/>
      <c r="E57" s="140"/>
      <c r="F57" s="116"/>
      <c r="G57" s="107" t="n">
        <v>2</v>
      </c>
      <c r="H57" s="142" t="s">
        <v>145</v>
      </c>
      <c r="I57" s="140"/>
      <c r="J57" s="143"/>
      <c r="K57" s="119"/>
      <c r="L57" s="92"/>
      <c r="M57" s="92"/>
      <c r="N57" s="144"/>
      <c r="O57" s="145"/>
    </row>
    <row r="58" s="95" customFormat="true" ht="15" hidden="false" customHeight="true" outlineLevel="0" collapsed="false">
      <c r="B58" s="113"/>
      <c r="C58" s="125"/>
      <c r="D58" s="126"/>
      <c r="E58" s="140"/>
      <c r="F58" s="116"/>
      <c r="G58" s="107" t="n">
        <v>3</v>
      </c>
      <c r="H58" s="142"/>
      <c r="I58" s="140"/>
      <c r="J58" s="143"/>
      <c r="K58" s="119"/>
      <c r="L58" s="92"/>
      <c r="M58" s="92"/>
      <c r="N58" s="144"/>
      <c r="O58" s="145"/>
    </row>
    <row r="59" s="95" customFormat="true" ht="15" hidden="false" customHeight="true" outlineLevel="0" collapsed="false">
      <c r="B59" s="113"/>
      <c r="C59" s="125"/>
      <c r="D59" s="126"/>
      <c r="E59" s="140"/>
      <c r="F59" s="116"/>
      <c r="G59" s="107" t="n">
        <v>4</v>
      </c>
      <c r="H59" s="142"/>
      <c r="I59" s="140"/>
      <c r="J59" s="143"/>
      <c r="K59" s="119"/>
      <c r="L59" s="92"/>
      <c r="M59" s="92"/>
      <c r="N59" s="144"/>
      <c r="O59" s="145"/>
    </row>
    <row r="60" s="95" customFormat="true" ht="15" hidden="false" customHeight="true" outlineLevel="0" collapsed="false">
      <c r="B60" s="113"/>
      <c r="C60" s="125"/>
      <c r="D60" s="126"/>
      <c r="E60" s="140"/>
      <c r="F60" s="116"/>
      <c r="G60" s="107" t="n">
        <v>5</v>
      </c>
      <c r="H60" s="120"/>
      <c r="I60" s="140"/>
      <c r="J60" s="143"/>
      <c r="K60" s="119"/>
      <c r="L60" s="92"/>
      <c r="M60" s="92"/>
      <c r="N60" s="144"/>
      <c r="O60" s="145"/>
    </row>
    <row r="61" s="95" customFormat="true" ht="15" hidden="false" customHeight="true" outlineLevel="0" collapsed="false">
      <c r="B61" s="113"/>
      <c r="C61" s="125"/>
      <c r="D61" s="126"/>
      <c r="E61" s="140"/>
      <c r="F61" s="116"/>
      <c r="G61" s="107" t="n">
        <v>6</v>
      </c>
      <c r="H61" s="120"/>
      <c r="I61" s="140"/>
      <c r="J61" s="143"/>
      <c r="K61" s="119"/>
      <c r="L61" s="92"/>
      <c r="M61" s="92"/>
      <c r="N61" s="144"/>
      <c r="O61" s="145"/>
    </row>
    <row r="62" s="95" customFormat="true" ht="15" hidden="false" customHeight="true" outlineLevel="0" collapsed="false">
      <c r="B62" s="113"/>
      <c r="C62" s="125"/>
      <c r="D62" s="126"/>
      <c r="E62" s="140"/>
      <c r="F62" s="116"/>
      <c r="G62" s="107" t="n">
        <v>7</v>
      </c>
      <c r="H62" s="120"/>
      <c r="I62" s="140"/>
      <c r="J62" s="143"/>
      <c r="K62" s="119"/>
      <c r="L62" s="92"/>
      <c r="M62" s="92"/>
      <c r="N62" s="144"/>
      <c r="O62" s="145"/>
    </row>
    <row r="63" s="95" customFormat="true" ht="15" hidden="false" customHeight="true" outlineLevel="0" collapsed="false">
      <c r="B63" s="113"/>
      <c r="C63" s="125"/>
      <c r="D63" s="126"/>
      <c r="E63" s="140"/>
      <c r="F63" s="116"/>
      <c r="G63" s="121" t="n">
        <v>8</v>
      </c>
      <c r="H63" s="122"/>
      <c r="I63" s="140"/>
      <c r="J63" s="143"/>
      <c r="K63" s="119"/>
      <c r="L63" s="92"/>
      <c r="M63" s="92"/>
      <c r="N63" s="144"/>
      <c r="O63" s="145"/>
    </row>
    <row r="64" customFormat="false" ht="15" hidden="false" customHeight="true" outlineLevel="0" collapsed="false">
      <c r="B64" s="113" t="str">
        <f aca="false">+LEFT(C64,3)</f>
        <v>1.5</v>
      </c>
      <c r="C64" s="114" t="s">
        <v>146</v>
      </c>
      <c r="D64" s="115" t="s">
        <v>147</v>
      </c>
      <c r="E64" s="140" t="s">
        <v>148</v>
      </c>
      <c r="F64" s="116" t="n">
        <v>3</v>
      </c>
      <c r="G64" s="141" t="n">
        <v>1</v>
      </c>
      <c r="H64" s="110" t="s">
        <v>149</v>
      </c>
      <c r="I64" s="140" t="s">
        <v>150</v>
      </c>
      <c r="J64" s="146" t="n">
        <v>2</v>
      </c>
      <c r="K64" s="119" t="str">
        <f aca="false">+IF(OR(ISBLANK(F64),ISBLANK(J64)),"",IF(OR(AND(F64=1,J64=1),AND(F64=1,J64=2),AND(F64=1,J64=3)),"Deficiencia de control mayor (diseño y ejecución)",IF(OR(AND(F64=2,J64=2),AND(F64=3,J64=1),AND(F64=3,J64=2),AND(F64=2,J64=1)),"Deficiencia de control (diseño o ejecución)",IF(AND(F64=2,J64=3),"Oportunidad de mejora","Mantenimiento del control"))))</f>
        <v>Deficiencia de control (diseño o ejecución)</v>
      </c>
      <c r="L64" s="92" t="n">
        <f aca="false">+IF(K64="",0,IF(K64="Deficiencia de control mayor (diseño y ejecución)",4,IF(K64="Deficiencia de control (diseño o ejecución)",20,IF(K64="Oportunidad de mejora",40,60))))</f>
        <v>20</v>
      </c>
      <c r="M64" s="92" t="n">
        <v>0.073569</v>
      </c>
      <c r="N64" s="93" t="n">
        <f aca="false">+L64+M64</f>
        <v>20.073569</v>
      </c>
      <c r="O64" s="94"/>
    </row>
    <row r="65" s="95" customFormat="true" ht="15" hidden="false" customHeight="true" outlineLevel="0" collapsed="false">
      <c r="B65" s="113"/>
      <c r="C65" s="114"/>
      <c r="D65" s="115"/>
      <c r="E65" s="140"/>
      <c r="F65" s="116"/>
      <c r="G65" s="107" t="n">
        <v>2</v>
      </c>
      <c r="H65" s="110"/>
      <c r="I65" s="140"/>
      <c r="J65" s="146"/>
      <c r="K65" s="119"/>
      <c r="L65" s="92"/>
      <c r="M65" s="92"/>
      <c r="N65" s="93"/>
      <c r="O65" s="94"/>
    </row>
    <row r="66" s="95" customFormat="true" ht="15" hidden="false" customHeight="true" outlineLevel="0" collapsed="false">
      <c r="B66" s="113"/>
      <c r="C66" s="114"/>
      <c r="D66" s="115"/>
      <c r="E66" s="140"/>
      <c r="F66" s="116"/>
      <c r="G66" s="107" t="n">
        <v>3</v>
      </c>
      <c r="H66" s="120"/>
      <c r="I66" s="140"/>
      <c r="J66" s="146"/>
      <c r="K66" s="119"/>
      <c r="L66" s="92"/>
      <c r="M66" s="92"/>
      <c r="N66" s="93"/>
      <c r="O66" s="94"/>
    </row>
    <row r="67" s="95" customFormat="true" ht="15" hidden="false" customHeight="true" outlineLevel="0" collapsed="false">
      <c r="B67" s="113"/>
      <c r="C67" s="114"/>
      <c r="D67" s="115"/>
      <c r="E67" s="140"/>
      <c r="F67" s="116"/>
      <c r="G67" s="107" t="n">
        <v>4</v>
      </c>
      <c r="H67" s="120"/>
      <c r="I67" s="140"/>
      <c r="J67" s="146"/>
      <c r="K67" s="119"/>
      <c r="L67" s="92"/>
      <c r="M67" s="92"/>
      <c r="N67" s="93"/>
      <c r="O67" s="94"/>
    </row>
    <row r="68" s="95" customFormat="true" ht="15" hidden="false" customHeight="true" outlineLevel="0" collapsed="false">
      <c r="B68" s="113"/>
      <c r="C68" s="114"/>
      <c r="D68" s="115"/>
      <c r="E68" s="140"/>
      <c r="F68" s="116"/>
      <c r="G68" s="107" t="n">
        <v>5</v>
      </c>
      <c r="H68" s="120"/>
      <c r="I68" s="140"/>
      <c r="J68" s="146"/>
      <c r="K68" s="119"/>
      <c r="L68" s="92"/>
      <c r="M68" s="92"/>
      <c r="N68" s="93"/>
      <c r="O68" s="94"/>
    </row>
    <row r="69" s="95" customFormat="true" ht="15" hidden="false" customHeight="true" outlineLevel="0" collapsed="false">
      <c r="B69" s="113"/>
      <c r="C69" s="114"/>
      <c r="D69" s="115"/>
      <c r="E69" s="140"/>
      <c r="F69" s="116"/>
      <c r="G69" s="107" t="n">
        <v>6</v>
      </c>
      <c r="H69" s="120"/>
      <c r="I69" s="140"/>
      <c r="J69" s="146"/>
      <c r="K69" s="119"/>
      <c r="L69" s="92"/>
      <c r="M69" s="92"/>
      <c r="N69" s="93"/>
      <c r="O69" s="94"/>
    </row>
    <row r="70" s="95" customFormat="true" ht="15" hidden="false" customHeight="true" outlineLevel="0" collapsed="false">
      <c r="B70" s="113"/>
      <c r="C70" s="114"/>
      <c r="D70" s="115"/>
      <c r="E70" s="140"/>
      <c r="F70" s="116"/>
      <c r="G70" s="107" t="n">
        <v>7</v>
      </c>
      <c r="H70" s="120"/>
      <c r="I70" s="140"/>
      <c r="J70" s="146"/>
      <c r="K70" s="119"/>
      <c r="L70" s="92"/>
      <c r="M70" s="92"/>
      <c r="N70" s="93"/>
      <c r="O70" s="94"/>
    </row>
    <row r="71" s="95" customFormat="true" ht="15" hidden="false" customHeight="true" outlineLevel="0" collapsed="false">
      <c r="B71" s="113"/>
      <c r="C71" s="114"/>
      <c r="D71" s="115"/>
      <c r="E71" s="140"/>
      <c r="F71" s="116"/>
      <c r="G71" s="121" t="n">
        <v>8</v>
      </c>
      <c r="H71" s="110"/>
      <c r="I71" s="140"/>
      <c r="J71" s="146"/>
      <c r="K71" s="119"/>
      <c r="L71" s="92"/>
      <c r="M71" s="92"/>
      <c r="N71" s="93"/>
      <c r="O71" s="94"/>
    </row>
    <row r="72" customFormat="false" ht="15" hidden="false" customHeight="true" outlineLevel="0" collapsed="false">
      <c r="B72" s="147"/>
      <c r="C72" s="148" t="s">
        <v>151</v>
      </c>
      <c r="D72" s="149" t="s">
        <v>8</v>
      </c>
      <c r="E72" s="150" t="s">
        <v>114</v>
      </c>
      <c r="F72" s="151" t="s">
        <v>115</v>
      </c>
      <c r="G72" s="152" t="s">
        <v>116</v>
      </c>
      <c r="H72" s="152"/>
      <c r="I72" s="152"/>
      <c r="J72" s="151" t="s">
        <v>117</v>
      </c>
      <c r="K72" s="153" t="s">
        <v>152</v>
      </c>
      <c r="L72" s="154"/>
      <c r="M72" s="154"/>
      <c r="N72" s="155"/>
      <c r="O72" s="84"/>
    </row>
    <row r="73" customFormat="false" ht="15" hidden="false" customHeight="true" outlineLevel="0" collapsed="false">
      <c r="B73" s="147"/>
      <c r="C73" s="148"/>
      <c r="D73" s="149"/>
      <c r="E73" s="150"/>
      <c r="F73" s="151"/>
      <c r="G73" s="156" t="s">
        <v>13</v>
      </c>
      <c r="H73" s="157" t="s">
        <v>15</v>
      </c>
      <c r="I73" s="158" t="s">
        <v>17</v>
      </c>
      <c r="J73" s="151"/>
      <c r="K73" s="153"/>
      <c r="L73" s="154"/>
      <c r="M73" s="154"/>
      <c r="N73" s="155"/>
      <c r="O73" s="84"/>
    </row>
    <row r="74" customFormat="false" ht="15" hidden="false" customHeight="true" outlineLevel="0" collapsed="false">
      <c r="B74" s="147"/>
      <c r="C74" s="148"/>
      <c r="D74" s="149"/>
      <c r="E74" s="150"/>
      <c r="F74" s="151"/>
      <c r="G74" s="156"/>
      <c r="H74" s="157"/>
      <c r="I74" s="158"/>
      <c r="J74" s="151"/>
      <c r="K74" s="153"/>
      <c r="L74" s="154"/>
      <c r="M74" s="154"/>
      <c r="N74" s="155"/>
      <c r="O74" s="84"/>
    </row>
    <row r="75" s="95" customFormat="true" ht="15" hidden="false" customHeight="true" outlineLevel="0" collapsed="false">
      <c r="B75" s="113" t="str">
        <f aca="false">+LEFT(C75,3)</f>
        <v>2.1</v>
      </c>
      <c r="C75" s="159" t="s">
        <v>153</v>
      </c>
      <c r="D75" s="160" t="s">
        <v>154</v>
      </c>
      <c r="E75" s="161" t="s">
        <v>155</v>
      </c>
      <c r="F75" s="116" t="n">
        <v>3</v>
      </c>
      <c r="G75" s="162" t="n">
        <v>1</v>
      </c>
      <c r="H75" s="163" t="s">
        <v>156</v>
      </c>
      <c r="I75" s="161" t="s">
        <v>157</v>
      </c>
      <c r="J75" s="118" t="n">
        <v>3</v>
      </c>
      <c r="K75" s="164" t="str">
        <f aca="false">+IF(OR(ISBLANK(F75),ISBLANK(J75)),"",IF(OR(AND(F75=1,J75=1),AND(F75=1,J75=2),AND(F75=1,J75=3)),"Deficiencia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92" t="n">
        <f aca="false">+IF(K75="",0,IF(K75="Deficiencia de control mayor (diseño y ejecución)",4,IF(K75="Deficiencia de control (diseño o ejecución)",20,IF(K75="Oportunidad de mejora",40,60))))</f>
        <v>60</v>
      </c>
      <c r="M75" s="92" t="n">
        <v>0.0889653</v>
      </c>
      <c r="N75" s="93" t="n">
        <f aca="false">+L75+M75</f>
        <v>60.0889653</v>
      </c>
      <c r="O75" s="94"/>
    </row>
    <row r="76" s="95" customFormat="true" ht="15" hidden="false" customHeight="true" outlineLevel="0" collapsed="false">
      <c r="B76" s="113"/>
      <c r="C76" s="159"/>
      <c r="D76" s="160"/>
      <c r="E76" s="161"/>
      <c r="F76" s="116"/>
      <c r="G76" s="165" t="n">
        <v>2</v>
      </c>
      <c r="H76" s="163"/>
      <c r="I76" s="161"/>
      <c r="J76" s="118"/>
      <c r="K76" s="164"/>
      <c r="L76" s="92"/>
      <c r="M76" s="92"/>
      <c r="N76" s="93"/>
      <c r="O76" s="94"/>
    </row>
    <row r="77" s="95" customFormat="true" ht="15" hidden="false" customHeight="true" outlineLevel="0" collapsed="false">
      <c r="B77" s="113"/>
      <c r="C77" s="159"/>
      <c r="D77" s="160"/>
      <c r="E77" s="161"/>
      <c r="F77" s="116"/>
      <c r="G77" s="165" t="n">
        <v>3</v>
      </c>
      <c r="H77" s="166"/>
      <c r="I77" s="161"/>
      <c r="J77" s="118"/>
      <c r="K77" s="164"/>
      <c r="L77" s="92"/>
      <c r="M77" s="92"/>
      <c r="N77" s="93"/>
      <c r="O77" s="94"/>
    </row>
    <row r="78" s="95" customFormat="true" ht="15" hidden="false" customHeight="true" outlineLevel="0" collapsed="false">
      <c r="B78" s="113"/>
      <c r="C78" s="159"/>
      <c r="D78" s="160"/>
      <c r="E78" s="161"/>
      <c r="F78" s="116"/>
      <c r="G78" s="165" t="n">
        <v>4</v>
      </c>
      <c r="H78" s="166"/>
      <c r="I78" s="161"/>
      <c r="J78" s="118"/>
      <c r="K78" s="164"/>
      <c r="L78" s="92"/>
      <c r="M78" s="92"/>
      <c r="N78" s="93"/>
      <c r="O78" s="94"/>
    </row>
    <row r="79" s="95" customFormat="true" ht="15" hidden="false" customHeight="true" outlineLevel="0" collapsed="false">
      <c r="B79" s="113"/>
      <c r="C79" s="159"/>
      <c r="D79" s="160"/>
      <c r="E79" s="161"/>
      <c r="F79" s="116"/>
      <c r="G79" s="165" t="n">
        <v>5</v>
      </c>
      <c r="H79" s="166"/>
      <c r="I79" s="161"/>
      <c r="J79" s="118"/>
      <c r="K79" s="164"/>
      <c r="L79" s="92"/>
      <c r="M79" s="92"/>
      <c r="N79" s="93"/>
      <c r="O79" s="94"/>
    </row>
    <row r="80" s="95" customFormat="true" ht="15" hidden="false" customHeight="true" outlineLevel="0" collapsed="false">
      <c r="B80" s="113"/>
      <c r="C80" s="159"/>
      <c r="D80" s="160"/>
      <c r="E80" s="161"/>
      <c r="F80" s="116"/>
      <c r="G80" s="165" t="n">
        <v>6</v>
      </c>
      <c r="H80" s="166"/>
      <c r="I80" s="161"/>
      <c r="J80" s="118"/>
      <c r="K80" s="164"/>
      <c r="L80" s="92"/>
      <c r="M80" s="92"/>
      <c r="N80" s="93"/>
      <c r="O80" s="94"/>
    </row>
    <row r="81" s="95" customFormat="true" ht="15" hidden="false" customHeight="true" outlineLevel="0" collapsed="false">
      <c r="B81" s="113"/>
      <c r="C81" s="159"/>
      <c r="D81" s="160"/>
      <c r="E81" s="161"/>
      <c r="F81" s="116"/>
      <c r="G81" s="165" t="n">
        <v>7</v>
      </c>
      <c r="H81" s="166"/>
      <c r="I81" s="161"/>
      <c r="J81" s="118"/>
      <c r="K81" s="164"/>
      <c r="L81" s="92"/>
      <c r="M81" s="92"/>
      <c r="N81" s="93"/>
      <c r="O81" s="94"/>
    </row>
    <row r="82" s="95" customFormat="true" ht="15" hidden="false" customHeight="true" outlineLevel="0" collapsed="false">
      <c r="B82" s="113"/>
      <c r="C82" s="159"/>
      <c r="D82" s="160"/>
      <c r="E82" s="161"/>
      <c r="F82" s="116"/>
      <c r="G82" s="167" t="n">
        <v>8</v>
      </c>
      <c r="H82" s="168"/>
      <c r="I82" s="161"/>
      <c r="J82" s="118"/>
      <c r="K82" s="164"/>
      <c r="L82" s="92"/>
      <c r="M82" s="92"/>
      <c r="N82" s="93"/>
      <c r="O82" s="94"/>
    </row>
    <row r="83" s="95" customFormat="true" ht="15" hidden="false" customHeight="true" outlineLevel="0" collapsed="false">
      <c r="B83" s="113" t="str">
        <f aca="false">+LEFT(C83,3)</f>
        <v>2.2</v>
      </c>
      <c r="C83" s="169" t="s">
        <v>158</v>
      </c>
      <c r="D83" s="160" t="s">
        <v>159</v>
      </c>
      <c r="E83" s="161" t="s">
        <v>160</v>
      </c>
      <c r="F83" s="116" t="n">
        <v>3</v>
      </c>
      <c r="G83" s="162" t="n">
        <v>1</v>
      </c>
      <c r="H83" s="170" t="s">
        <v>161</v>
      </c>
      <c r="I83" s="161" t="s">
        <v>162</v>
      </c>
      <c r="J83" s="118" t="n">
        <v>3</v>
      </c>
      <c r="K83" s="164" t="str">
        <f aca="false">+IF(OR(ISBLANK(F83),ISBLANK(J83)),"",IF(OR(AND(F83=1,J83=1),AND(F83=1,J83=2),AND(F83=1,J83=3)),"Deficiencia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92" t="n">
        <f aca="false">+IF(K83="",0,IF(K83="Deficiencia de control mayor (diseño y ejecución)",4,IF(K83="Deficiencia de control (diseño o ejecución)",20,IF(K83="Oportunidad de mejora",40,60))))</f>
        <v>60</v>
      </c>
      <c r="M83" s="92" t="n">
        <v>0.0989653</v>
      </c>
      <c r="N83" s="93" t="n">
        <f aca="false">+L83+M83</f>
        <v>60.0989653</v>
      </c>
      <c r="O83" s="94"/>
    </row>
    <row r="84" s="95" customFormat="true" ht="15" hidden="false" customHeight="true" outlineLevel="0" collapsed="false">
      <c r="B84" s="113"/>
      <c r="C84" s="169"/>
      <c r="D84" s="160"/>
      <c r="E84" s="161"/>
      <c r="F84" s="116"/>
      <c r="G84" s="165" t="n">
        <v>2</v>
      </c>
      <c r="H84" s="170"/>
      <c r="I84" s="161"/>
      <c r="J84" s="118"/>
      <c r="K84" s="164"/>
      <c r="L84" s="92"/>
      <c r="M84" s="92"/>
      <c r="N84" s="93"/>
      <c r="O84" s="94"/>
    </row>
    <row r="85" s="95" customFormat="true" ht="15" hidden="false" customHeight="true" outlineLevel="0" collapsed="false">
      <c r="B85" s="113"/>
      <c r="C85" s="169"/>
      <c r="D85" s="160"/>
      <c r="E85" s="161"/>
      <c r="F85" s="116"/>
      <c r="G85" s="165" t="n">
        <v>3</v>
      </c>
      <c r="H85" s="166"/>
      <c r="I85" s="161"/>
      <c r="J85" s="118"/>
      <c r="K85" s="164"/>
      <c r="L85" s="92"/>
      <c r="M85" s="92"/>
      <c r="N85" s="93"/>
      <c r="O85" s="94"/>
    </row>
    <row r="86" s="95" customFormat="true" ht="15" hidden="false" customHeight="true" outlineLevel="0" collapsed="false">
      <c r="B86" s="113"/>
      <c r="C86" s="169"/>
      <c r="D86" s="160"/>
      <c r="E86" s="161"/>
      <c r="F86" s="116"/>
      <c r="G86" s="165" t="n">
        <v>4</v>
      </c>
      <c r="H86" s="166"/>
      <c r="I86" s="161"/>
      <c r="J86" s="118"/>
      <c r="K86" s="164"/>
      <c r="L86" s="92"/>
      <c r="M86" s="92"/>
      <c r="N86" s="93"/>
      <c r="O86" s="94"/>
    </row>
    <row r="87" s="95" customFormat="true" ht="15" hidden="false" customHeight="true" outlineLevel="0" collapsed="false">
      <c r="B87" s="113"/>
      <c r="C87" s="169"/>
      <c r="D87" s="160"/>
      <c r="E87" s="161"/>
      <c r="F87" s="116"/>
      <c r="G87" s="165" t="n">
        <v>5</v>
      </c>
      <c r="H87" s="166"/>
      <c r="I87" s="161"/>
      <c r="J87" s="118"/>
      <c r="K87" s="164"/>
      <c r="L87" s="92"/>
      <c r="M87" s="92"/>
      <c r="N87" s="93"/>
      <c r="O87" s="94"/>
    </row>
    <row r="88" s="95" customFormat="true" ht="15" hidden="false" customHeight="true" outlineLevel="0" collapsed="false">
      <c r="B88" s="113"/>
      <c r="C88" s="169"/>
      <c r="D88" s="160"/>
      <c r="E88" s="161"/>
      <c r="F88" s="116"/>
      <c r="G88" s="165" t="n">
        <v>6</v>
      </c>
      <c r="H88" s="166"/>
      <c r="I88" s="161"/>
      <c r="J88" s="118"/>
      <c r="K88" s="164"/>
      <c r="L88" s="92"/>
      <c r="M88" s="92"/>
      <c r="N88" s="93"/>
      <c r="O88" s="94"/>
    </row>
    <row r="89" s="95" customFormat="true" ht="15" hidden="false" customHeight="true" outlineLevel="0" collapsed="false">
      <c r="B89" s="113"/>
      <c r="C89" s="169"/>
      <c r="D89" s="160"/>
      <c r="E89" s="161"/>
      <c r="F89" s="116"/>
      <c r="G89" s="165" t="n">
        <v>7</v>
      </c>
      <c r="H89" s="166"/>
      <c r="I89" s="161"/>
      <c r="J89" s="118"/>
      <c r="K89" s="164"/>
      <c r="L89" s="92"/>
      <c r="M89" s="92"/>
      <c r="N89" s="93"/>
      <c r="O89" s="94"/>
    </row>
    <row r="90" s="95" customFormat="true" ht="15" hidden="false" customHeight="true" outlineLevel="0" collapsed="false">
      <c r="B90" s="113"/>
      <c r="C90" s="169"/>
      <c r="D90" s="160"/>
      <c r="E90" s="161"/>
      <c r="F90" s="116"/>
      <c r="G90" s="167" t="n">
        <v>8</v>
      </c>
      <c r="H90" s="168"/>
      <c r="I90" s="161"/>
      <c r="J90" s="118"/>
      <c r="K90" s="164"/>
      <c r="L90" s="92"/>
      <c r="M90" s="92"/>
      <c r="N90" s="93"/>
      <c r="O90" s="94"/>
    </row>
    <row r="91" customFormat="false" ht="15" hidden="false" customHeight="true" outlineLevel="0" collapsed="false">
      <c r="B91" s="113" t="str">
        <f aca="false">+LEFT(C91,3)</f>
        <v>2.3</v>
      </c>
      <c r="C91" s="159" t="s">
        <v>163</v>
      </c>
      <c r="D91" s="160" t="s">
        <v>164</v>
      </c>
      <c r="E91" s="161" t="s">
        <v>165</v>
      </c>
      <c r="F91" s="116" t="n">
        <v>3</v>
      </c>
      <c r="G91" s="162" t="n">
        <v>1</v>
      </c>
      <c r="H91" s="170" t="s">
        <v>166</v>
      </c>
      <c r="I91" s="161" t="s">
        <v>167</v>
      </c>
      <c r="J91" s="118" t="n">
        <v>3</v>
      </c>
      <c r="K91" s="164" t="str">
        <f aca="false">+IF(OR(ISBLANK(F91),ISBLANK(J91)),"",IF(OR(AND(F91=1,J91=1),AND(F91=1,J91=2),AND(F91=1,J91=3)),"Deficiencia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92" t="n">
        <f aca="false">+IF(K91="",0,IF(K91="Deficiencia de control mayor (diseño y ejecución)",4,IF(K91="Deficiencia de control (diseño o ejecución)",20,IF(K91="Oportunidad de mejora",40,60))))</f>
        <v>60</v>
      </c>
      <c r="M91" s="92" t="n">
        <v>0.15698</v>
      </c>
      <c r="N91" s="93" t="n">
        <f aca="false">+L91+M91</f>
        <v>60.15698</v>
      </c>
      <c r="O91" s="94"/>
    </row>
    <row r="92" s="95" customFormat="true" ht="15" hidden="false" customHeight="true" outlineLevel="0" collapsed="false">
      <c r="B92" s="113"/>
      <c r="C92" s="159"/>
      <c r="D92" s="160"/>
      <c r="E92" s="161"/>
      <c r="F92" s="116"/>
      <c r="G92" s="165" t="n">
        <v>2</v>
      </c>
      <c r="H92" s="166"/>
      <c r="I92" s="161"/>
      <c r="J92" s="118"/>
      <c r="K92" s="164"/>
      <c r="L92" s="92"/>
      <c r="M92" s="92"/>
      <c r="N92" s="93"/>
      <c r="O92" s="94"/>
    </row>
    <row r="93" s="95" customFormat="true" ht="15" hidden="false" customHeight="true" outlineLevel="0" collapsed="false">
      <c r="B93" s="113"/>
      <c r="C93" s="159"/>
      <c r="D93" s="160"/>
      <c r="E93" s="161"/>
      <c r="F93" s="116"/>
      <c r="G93" s="165" t="n">
        <v>3</v>
      </c>
      <c r="H93" s="166"/>
      <c r="I93" s="161"/>
      <c r="J93" s="118"/>
      <c r="K93" s="164"/>
      <c r="L93" s="92"/>
      <c r="M93" s="92"/>
      <c r="N93" s="93"/>
      <c r="O93" s="94"/>
    </row>
    <row r="94" s="95" customFormat="true" ht="15" hidden="false" customHeight="true" outlineLevel="0" collapsed="false">
      <c r="B94" s="113"/>
      <c r="C94" s="159"/>
      <c r="D94" s="160"/>
      <c r="E94" s="161"/>
      <c r="F94" s="116"/>
      <c r="G94" s="165" t="n">
        <v>4</v>
      </c>
      <c r="H94" s="166"/>
      <c r="I94" s="161"/>
      <c r="J94" s="118"/>
      <c r="K94" s="164"/>
      <c r="L94" s="92"/>
      <c r="M94" s="92"/>
      <c r="N94" s="93"/>
      <c r="O94" s="94"/>
    </row>
    <row r="95" s="95" customFormat="true" ht="15" hidden="false" customHeight="true" outlineLevel="0" collapsed="false">
      <c r="B95" s="113"/>
      <c r="C95" s="159"/>
      <c r="D95" s="160"/>
      <c r="E95" s="161"/>
      <c r="F95" s="116"/>
      <c r="G95" s="165" t="n">
        <v>5</v>
      </c>
      <c r="H95" s="166"/>
      <c r="I95" s="161"/>
      <c r="J95" s="118"/>
      <c r="K95" s="164"/>
      <c r="L95" s="92"/>
      <c r="M95" s="92"/>
      <c r="N95" s="93"/>
      <c r="O95" s="94"/>
    </row>
    <row r="96" s="95" customFormat="true" ht="15" hidden="false" customHeight="true" outlineLevel="0" collapsed="false">
      <c r="B96" s="113"/>
      <c r="C96" s="159"/>
      <c r="D96" s="160"/>
      <c r="E96" s="161"/>
      <c r="F96" s="116"/>
      <c r="G96" s="165" t="n">
        <v>6</v>
      </c>
      <c r="H96" s="166"/>
      <c r="I96" s="161"/>
      <c r="J96" s="118"/>
      <c r="K96" s="164"/>
      <c r="L96" s="92"/>
      <c r="M96" s="92"/>
      <c r="N96" s="93"/>
      <c r="O96" s="94"/>
    </row>
    <row r="97" s="95" customFormat="true" ht="15" hidden="false" customHeight="true" outlineLevel="0" collapsed="false">
      <c r="B97" s="113"/>
      <c r="C97" s="159"/>
      <c r="D97" s="160"/>
      <c r="E97" s="161"/>
      <c r="F97" s="116"/>
      <c r="G97" s="165" t="n">
        <v>7</v>
      </c>
      <c r="H97" s="166"/>
      <c r="I97" s="161"/>
      <c r="J97" s="118"/>
      <c r="K97" s="164"/>
      <c r="L97" s="92"/>
      <c r="M97" s="92"/>
      <c r="N97" s="93"/>
      <c r="O97" s="94"/>
    </row>
    <row r="98" s="95" customFormat="true" ht="15" hidden="false" customHeight="true" outlineLevel="0" collapsed="false">
      <c r="B98" s="113"/>
      <c r="C98" s="159"/>
      <c r="D98" s="160"/>
      <c r="E98" s="161"/>
      <c r="F98" s="116"/>
      <c r="G98" s="167" t="n">
        <v>8</v>
      </c>
      <c r="H98" s="168"/>
      <c r="I98" s="161"/>
      <c r="J98" s="118"/>
      <c r="K98" s="164"/>
      <c r="L98" s="92"/>
      <c r="M98" s="92"/>
      <c r="N98" s="93"/>
      <c r="O98" s="94"/>
    </row>
    <row r="99" customFormat="false" ht="15" hidden="false" customHeight="true" outlineLevel="0" collapsed="false">
      <c r="B99" s="171"/>
      <c r="C99" s="148" t="s">
        <v>168</v>
      </c>
      <c r="D99" s="149" t="s">
        <v>8</v>
      </c>
      <c r="E99" s="172" t="s">
        <v>114</v>
      </c>
      <c r="F99" s="151" t="s">
        <v>115</v>
      </c>
      <c r="G99" s="152" t="s">
        <v>116</v>
      </c>
      <c r="H99" s="152"/>
      <c r="I99" s="152"/>
      <c r="J99" s="151" t="s">
        <v>117</v>
      </c>
      <c r="K99" s="153" t="s">
        <v>152</v>
      </c>
      <c r="L99" s="154"/>
      <c r="M99" s="154"/>
      <c r="N99" s="155"/>
      <c r="O99" s="84"/>
    </row>
    <row r="100" customFormat="false" ht="15" hidden="false" customHeight="true" outlineLevel="0" collapsed="false">
      <c r="B100" s="171"/>
      <c r="C100" s="148"/>
      <c r="D100" s="149"/>
      <c r="E100" s="172"/>
      <c r="F100" s="151"/>
      <c r="G100" s="156" t="s">
        <v>13</v>
      </c>
      <c r="H100" s="157" t="s">
        <v>15</v>
      </c>
      <c r="I100" s="158" t="s">
        <v>17</v>
      </c>
      <c r="J100" s="151"/>
      <c r="K100" s="153"/>
      <c r="L100" s="154"/>
      <c r="M100" s="154"/>
      <c r="N100" s="155"/>
      <c r="O100" s="84"/>
    </row>
    <row r="101" customFormat="false" ht="15" hidden="false" customHeight="true" outlineLevel="0" collapsed="false">
      <c r="B101" s="171"/>
      <c r="C101" s="148"/>
      <c r="D101" s="149"/>
      <c r="E101" s="172"/>
      <c r="F101" s="151"/>
      <c r="G101" s="156"/>
      <c r="H101" s="157"/>
      <c r="I101" s="158"/>
      <c r="J101" s="151"/>
      <c r="K101" s="153"/>
      <c r="L101" s="154"/>
      <c r="M101" s="154"/>
      <c r="N101" s="155"/>
      <c r="O101" s="84"/>
    </row>
    <row r="102" s="95" customFormat="true" ht="15" hidden="false" customHeight="true" outlineLevel="0" collapsed="false">
      <c r="B102" s="113" t="str">
        <f aca="false">+LEFT(C102,3)</f>
        <v>3.1</v>
      </c>
      <c r="C102" s="159" t="s">
        <v>169</v>
      </c>
      <c r="D102" s="160" t="s">
        <v>170</v>
      </c>
      <c r="E102" s="173" t="s">
        <v>171</v>
      </c>
      <c r="F102" s="116" t="n">
        <v>3</v>
      </c>
      <c r="G102" s="162" t="n">
        <v>1</v>
      </c>
      <c r="H102" s="170" t="s">
        <v>172</v>
      </c>
      <c r="I102" s="173" t="s">
        <v>173</v>
      </c>
      <c r="J102" s="118" t="n">
        <v>3</v>
      </c>
      <c r="K102" s="164" t="str">
        <f aca="false">+IF(OR(ISBLANK(F102),ISBLANK(J102)),"",IF(OR(AND(F102=1,J102=1),AND(F102=1,J102=2),AND(F102=1,J102=3)),"Deficiencia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92" t="n">
        <f aca="false">+IF(K102="",0,IF(K102="Deficiencia de control mayor (diseño y ejecución)",4,IF(K102="Deficiencia de control (diseño o ejecución)",20,IF(K102="Oportunidad de mejora",40,60))))</f>
        <v>60</v>
      </c>
      <c r="M102" s="92" t="n">
        <v>0.28965</v>
      </c>
      <c r="N102" s="93" t="n">
        <f aca="false">+L102+M102</f>
        <v>60.28965</v>
      </c>
      <c r="O102" s="94"/>
    </row>
    <row r="103" s="95" customFormat="true" ht="15" hidden="false" customHeight="true" outlineLevel="0" collapsed="false">
      <c r="B103" s="113"/>
      <c r="C103" s="159"/>
      <c r="D103" s="160"/>
      <c r="E103" s="173"/>
      <c r="F103" s="116"/>
      <c r="G103" s="165" t="n">
        <v>2</v>
      </c>
      <c r="H103" s="174"/>
      <c r="I103" s="173"/>
      <c r="J103" s="118"/>
      <c r="K103" s="164"/>
      <c r="L103" s="92"/>
      <c r="M103" s="92"/>
      <c r="N103" s="93"/>
      <c r="O103" s="94"/>
    </row>
    <row r="104" s="95" customFormat="true" ht="15" hidden="false" customHeight="true" outlineLevel="0" collapsed="false">
      <c r="B104" s="113"/>
      <c r="C104" s="159"/>
      <c r="D104" s="160"/>
      <c r="E104" s="173"/>
      <c r="F104" s="116"/>
      <c r="G104" s="165" t="n">
        <v>3</v>
      </c>
      <c r="H104" s="175"/>
      <c r="I104" s="173"/>
      <c r="J104" s="118"/>
      <c r="K104" s="164"/>
      <c r="L104" s="92"/>
      <c r="M104" s="92"/>
      <c r="N104" s="93"/>
      <c r="O104" s="94"/>
    </row>
    <row r="105" s="95" customFormat="true" ht="15" hidden="false" customHeight="true" outlineLevel="0" collapsed="false">
      <c r="B105" s="113"/>
      <c r="C105" s="159"/>
      <c r="D105" s="160"/>
      <c r="E105" s="173"/>
      <c r="F105" s="116"/>
      <c r="G105" s="165" t="n">
        <v>4</v>
      </c>
      <c r="H105" s="175"/>
      <c r="I105" s="173"/>
      <c r="J105" s="118"/>
      <c r="K105" s="164"/>
      <c r="L105" s="92"/>
      <c r="M105" s="92"/>
      <c r="N105" s="93"/>
      <c r="O105" s="94"/>
    </row>
    <row r="106" s="95" customFormat="true" ht="15" hidden="false" customHeight="true" outlineLevel="0" collapsed="false">
      <c r="B106" s="113"/>
      <c r="C106" s="159"/>
      <c r="D106" s="160"/>
      <c r="E106" s="173"/>
      <c r="F106" s="116"/>
      <c r="G106" s="165" t="n">
        <v>5</v>
      </c>
      <c r="H106" s="175"/>
      <c r="I106" s="173"/>
      <c r="J106" s="118"/>
      <c r="K106" s="164"/>
      <c r="L106" s="92"/>
      <c r="M106" s="92"/>
      <c r="N106" s="93"/>
      <c r="O106" s="94"/>
    </row>
    <row r="107" s="95" customFormat="true" ht="15" hidden="false" customHeight="true" outlineLevel="0" collapsed="false">
      <c r="B107" s="113"/>
      <c r="C107" s="159"/>
      <c r="D107" s="160"/>
      <c r="E107" s="173"/>
      <c r="F107" s="116"/>
      <c r="G107" s="165" t="n">
        <v>6</v>
      </c>
      <c r="H107" s="166"/>
      <c r="I107" s="173"/>
      <c r="J107" s="118"/>
      <c r="K107" s="164"/>
      <c r="L107" s="92"/>
      <c r="M107" s="92"/>
      <c r="N107" s="93"/>
      <c r="O107" s="94"/>
    </row>
    <row r="108" s="95" customFormat="true" ht="15" hidden="false" customHeight="true" outlineLevel="0" collapsed="false">
      <c r="B108" s="113"/>
      <c r="C108" s="159"/>
      <c r="D108" s="160"/>
      <c r="E108" s="173"/>
      <c r="F108" s="116"/>
      <c r="G108" s="165" t="n">
        <v>7</v>
      </c>
      <c r="H108" s="166"/>
      <c r="I108" s="173"/>
      <c r="J108" s="118"/>
      <c r="K108" s="164"/>
      <c r="L108" s="92"/>
      <c r="M108" s="92"/>
      <c r="N108" s="93"/>
      <c r="O108" s="94"/>
    </row>
    <row r="109" s="95" customFormat="true" ht="15" hidden="false" customHeight="true" outlineLevel="0" collapsed="false">
      <c r="B109" s="113"/>
      <c r="C109" s="159"/>
      <c r="D109" s="160"/>
      <c r="E109" s="173"/>
      <c r="F109" s="116"/>
      <c r="G109" s="167" t="n">
        <v>8</v>
      </c>
      <c r="H109" s="168"/>
      <c r="I109" s="173"/>
      <c r="J109" s="118"/>
      <c r="K109" s="164"/>
      <c r="L109" s="92"/>
      <c r="M109" s="92"/>
      <c r="N109" s="93"/>
      <c r="O109" s="94"/>
    </row>
    <row r="110" s="95" customFormat="true" ht="15" hidden="false" customHeight="true" outlineLevel="0" collapsed="false">
      <c r="B110" s="113" t="str">
        <f aca="false">+LEFT(C110,3)</f>
        <v>3.2</v>
      </c>
      <c r="C110" s="159" t="s">
        <v>174</v>
      </c>
      <c r="D110" s="160" t="s">
        <v>175</v>
      </c>
      <c r="E110" s="173" t="s">
        <v>176</v>
      </c>
      <c r="F110" s="116" t="n">
        <v>3</v>
      </c>
      <c r="G110" s="162" t="n">
        <v>1</v>
      </c>
      <c r="H110" s="174" t="s">
        <v>177</v>
      </c>
      <c r="I110" s="173" t="s">
        <v>178</v>
      </c>
      <c r="J110" s="118" t="n">
        <v>3</v>
      </c>
      <c r="K110" s="164" t="str">
        <f aca="false">+IF(OR(ISBLANK(F110),ISBLANK(J110)),"",IF(OR(AND(F110=1,J110=1),AND(F110=1,J110=2),AND(F110=1,J110=3)),"Deficiencia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92" t="n">
        <f aca="false">+IF(K110="",0,IF(K110="Deficiencia de control mayor (diseño y ejecución)",4,IF(K110="Deficiencia de control (diseño o ejecución)",20,IF(K110="Oportunidad de mejora",40,60))))</f>
        <v>60</v>
      </c>
      <c r="M110" s="92" t="n">
        <v>0.389653</v>
      </c>
      <c r="N110" s="93" t="n">
        <f aca="false">+L110+M110</f>
        <v>60.389653</v>
      </c>
      <c r="O110" s="94"/>
    </row>
    <row r="111" s="95" customFormat="true" ht="15" hidden="false" customHeight="true" outlineLevel="0" collapsed="false">
      <c r="B111" s="113"/>
      <c r="C111" s="159"/>
      <c r="D111" s="160"/>
      <c r="E111" s="173"/>
      <c r="F111" s="116"/>
      <c r="G111" s="165" t="n">
        <v>2</v>
      </c>
      <c r="H111" s="174"/>
      <c r="I111" s="173"/>
      <c r="J111" s="118"/>
      <c r="K111" s="164"/>
      <c r="L111" s="92"/>
      <c r="M111" s="92"/>
      <c r="N111" s="93"/>
      <c r="O111" s="94"/>
    </row>
    <row r="112" s="95" customFormat="true" ht="15" hidden="false" customHeight="true" outlineLevel="0" collapsed="false">
      <c r="B112" s="113"/>
      <c r="C112" s="159"/>
      <c r="D112" s="160"/>
      <c r="E112" s="173"/>
      <c r="F112" s="116"/>
      <c r="G112" s="165" t="n">
        <v>3</v>
      </c>
      <c r="H112" s="175"/>
      <c r="I112" s="173"/>
      <c r="J112" s="118"/>
      <c r="K112" s="164"/>
      <c r="L112" s="92"/>
      <c r="M112" s="92"/>
      <c r="N112" s="93"/>
      <c r="O112" s="94"/>
    </row>
    <row r="113" s="95" customFormat="true" ht="15" hidden="false" customHeight="true" outlineLevel="0" collapsed="false">
      <c r="B113" s="113"/>
      <c r="C113" s="159"/>
      <c r="D113" s="160"/>
      <c r="E113" s="173"/>
      <c r="F113" s="116"/>
      <c r="G113" s="165" t="n">
        <v>4</v>
      </c>
      <c r="H113" s="175"/>
      <c r="I113" s="173"/>
      <c r="J113" s="118"/>
      <c r="K113" s="164"/>
      <c r="L113" s="92"/>
      <c r="M113" s="92"/>
      <c r="N113" s="93"/>
      <c r="O113" s="94"/>
    </row>
    <row r="114" s="95" customFormat="true" ht="15" hidden="false" customHeight="true" outlineLevel="0" collapsed="false">
      <c r="B114" s="113"/>
      <c r="C114" s="159"/>
      <c r="D114" s="160"/>
      <c r="E114" s="173"/>
      <c r="F114" s="116"/>
      <c r="G114" s="165" t="n">
        <v>5</v>
      </c>
      <c r="H114" s="175"/>
      <c r="I114" s="173"/>
      <c r="J114" s="118"/>
      <c r="K114" s="164"/>
      <c r="L114" s="92"/>
      <c r="M114" s="92"/>
      <c r="N114" s="93"/>
      <c r="O114" s="94"/>
    </row>
    <row r="115" s="95" customFormat="true" ht="15" hidden="false" customHeight="true" outlineLevel="0" collapsed="false">
      <c r="B115" s="113"/>
      <c r="C115" s="159"/>
      <c r="D115" s="160"/>
      <c r="E115" s="173"/>
      <c r="F115" s="116"/>
      <c r="G115" s="165" t="n">
        <v>6</v>
      </c>
      <c r="H115" s="166"/>
      <c r="I115" s="173"/>
      <c r="J115" s="118"/>
      <c r="K115" s="164"/>
      <c r="L115" s="92"/>
      <c r="M115" s="92"/>
      <c r="N115" s="93"/>
      <c r="O115" s="94"/>
    </row>
    <row r="116" s="95" customFormat="true" ht="15" hidden="false" customHeight="true" outlineLevel="0" collapsed="false">
      <c r="B116" s="113"/>
      <c r="C116" s="159"/>
      <c r="D116" s="160"/>
      <c r="E116" s="173"/>
      <c r="F116" s="116"/>
      <c r="G116" s="165" t="n">
        <v>7</v>
      </c>
      <c r="H116" s="166"/>
      <c r="I116" s="173"/>
      <c r="J116" s="118"/>
      <c r="K116" s="164"/>
      <c r="L116" s="92"/>
      <c r="M116" s="92"/>
      <c r="N116" s="93"/>
      <c r="O116" s="94"/>
    </row>
    <row r="117" s="95" customFormat="true" ht="15" hidden="false" customHeight="true" outlineLevel="0" collapsed="false">
      <c r="B117" s="113"/>
      <c r="C117" s="159"/>
      <c r="D117" s="160"/>
      <c r="E117" s="173"/>
      <c r="F117" s="116"/>
      <c r="G117" s="167" t="n">
        <v>8</v>
      </c>
      <c r="H117" s="168"/>
      <c r="I117" s="173"/>
      <c r="J117" s="118"/>
      <c r="K117" s="164"/>
      <c r="L117" s="92"/>
      <c r="M117" s="92"/>
      <c r="N117" s="93"/>
      <c r="O117" s="94"/>
    </row>
    <row r="118" s="95" customFormat="true" ht="15" hidden="false" customHeight="true" outlineLevel="0" collapsed="false">
      <c r="B118" s="113" t="str">
        <f aca="false">+LEFT(C118,3)</f>
        <v>3.3</v>
      </c>
      <c r="C118" s="159" t="s">
        <v>179</v>
      </c>
      <c r="D118" s="160" t="s">
        <v>180</v>
      </c>
      <c r="E118" s="173" t="s">
        <v>181</v>
      </c>
      <c r="F118" s="116" t="n">
        <v>3</v>
      </c>
      <c r="G118" s="162" t="n">
        <v>1</v>
      </c>
      <c r="H118" s="176" t="s">
        <v>182</v>
      </c>
      <c r="I118" s="177" t="s">
        <v>183</v>
      </c>
      <c r="J118" s="178" t="n">
        <v>3</v>
      </c>
      <c r="K118" s="164" t="str">
        <f aca="false">+IF(OR(ISBLANK(F118),ISBLANK(J118)),"",IF(OR(AND(F118=1,J118=1),AND(F118=1,J118=2),AND(F118=1,J118=3)),"Deficiencia de control mayor (diseño y ejecución)",IF(OR(AND(F118=2,J118=2),AND(F118=3,J118=1),AND(F118=3,J118=2),AND(F118=2,J118=1)),"Deficiencia de control (diseño o ejecución)",IF(AND(F118=2,J118=3),"Oportunidad de mejora","Mantenimiento del control"))))</f>
        <v>Mantenimiento del control</v>
      </c>
      <c r="L118" s="92" t="n">
        <f aca="false">+IF(K118="",0,IF(K118="Deficiencia de control mayor (diseño y ejecución)",4,IF(K118="Deficiencia de control (diseño o ejecución)",20,IF(K118="Oportunidad de mejora",40,60))))</f>
        <v>60</v>
      </c>
      <c r="M118" s="92" t="n">
        <v>0.48965</v>
      </c>
      <c r="N118" s="93" t="n">
        <f aca="false">+L118+M118</f>
        <v>60.48965</v>
      </c>
      <c r="O118" s="94"/>
    </row>
    <row r="119" s="95" customFormat="true" ht="15" hidden="false" customHeight="true" outlineLevel="0" collapsed="false">
      <c r="B119" s="113"/>
      <c r="C119" s="159"/>
      <c r="D119" s="160"/>
      <c r="E119" s="173"/>
      <c r="F119" s="116"/>
      <c r="G119" s="165" t="n">
        <v>2</v>
      </c>
      <c r="H119" s="179" t="s">
        <v>184</v>
      </c>
      <c r="I119" s="177"/>
      <c r="J119" s="178"/>
      <c r="K119" s="164"/>
      <c r="L119" s="92"/>
      <c r="M119" s="92"/>
      <c r="N119" s="93"/>
      <c r="O119" s="94"/>
    </row>
    <row r="120" s="95" customFormat="true" ht="15" hidden="false" customHeight="true" outlineLevel="0" collapsed="false">
      <c r="B120" s="113"/>
      <c r="C120" s="159"/>
      <c r="D120" s="160"/>
      <c r="E120" s="173"/>
      <c r="F120" s="116"/>
      <c r="G120" s="165" t="n">
        <v>3</v>
      </c>
      <c r="H120" s="179" t="s">
        <v>184</v>
      </c>
      <c r="I120" s="177"/>
      <c r="J120" s="178"/>
      <c r="K120" s="164"/>
      <c r="L120" s="92"/>
      <c r="M120" s="92"/>
      <c r="N120" s="93"/>
      <c r="O120" s="94"/>
    </row>
    <row r="121" s="95" customFormat="true" ht="15" hidden="false" customHeight="true" outlineLevel="0" collapsed="false">
      <c r="B121" s="113"/>
      <c r="C121" s="159"/>
      <c r="D121" s="160"/>
      <c r="E121" s="173"/>
      <c r="F121" s="116"/>
      <c r="G121" s="165" t="n">
        <v>4</v>
      </c>
      <c r="H121" s="179" t="s">
        <v>184</v>
      </c>
      <c r="I121" s="177"/>
      <c r="J121" s="178"/>
      <c r="K121" s="164"/>
      <c r="L121" s="92"/>
      <c r="M121" s="92"/>
      <c r="N121" s="93"/>
      <c r="O121" s="94"/>
    </row>
    <row r="122" s="95" customFormat="true" ht="15" hidden="false" customHeight="true" outlineLevel="0" collapsed="false">
      <c r="B122" s="113"/>
      <c r="C122" s="159"/>
      <c r="D122" s="160"/>
      <c r="E122" s="173"/>
      <c r="F122" s="116"/>
      <c r="G122" s="165" t="n">
        <v>5</v>
      </c>
      <c r="H122" s="166"/>
      <c r="I122" s="177"/>
      <c r="J122" s="178"/>
      <c r="K122" s="164"/>
      <c r="L122" s="92"/>
      <c r="M122" s="92"/>
      <c r="N122" s="93"/>
      <c r="O122" s="94"/>
    </row>
    <row r="123" s="95" customFormat="true" ht="15" hidden="false" customHeight="true" outlineLevel="0" collapsed="false">
      <c r="B123" s="113"/>
      <c r="C123" s="159"/>
      <c r="D123" s="160"/>
      <c r="E123" s="173"/>
      <c r="F123" s="116"/>
      <c r="G123" s="165" t="n">
        <v>6</v>
      </c>
      <c r="H123" s="166"/>
      <c r="I123" s="177"/>
      <c r="J123" s="178"/>
      <c r="K123" s="164"/>
      <c r="L123" s="92"/>
      <c r="M123" s="92"/>
      <c r="N123" s="93"/>
      <c r="O123" s="94"/>
    </row>
    <row r="124" s="95" customFormat="true" ht="15" hidden="false" customHeight="true" outlineLevel="0" collapsed="false">
      <c r="B124" s="113"/>
      <c r="C124" s="159"/>
      <c r="D124" s="160"/>
      <c r="E124" s="173"/>
      <c r="F124" s="116"/>
      <c r="G124" s="165" t="n">
        <v>7</v>
      </c>
      <c r="H124" s="166"/>
      <c r="I124" s="177"/>
      <c r="J124" s="178"/>
      <c r="K124" s="164"/>
      <c r="L124" s="92"/>
      <c r="M124" s="92"/>
      <c r="N124" s="93"/>
      <c r="O124" s="94"/>
    </row>
    <row r="125" s="95" customFormat="true" ht="15" hidden="false" customHeight="true" outlineLevel="0" collapsed="false">
      <c r="B125" s="113"/>
      <c r="C125" s="159"/>
      <c r="D125" s="160"/>
      <c r="E125" s="173"/>
      <c r="F125" s="116"/>
      <c r="G125" s="167" t="n">
        <v>8</v>
      </c>
      <c r="H125" s="168"/>
      <c r="I125" s="177"/>
      <c r="J125" s="178"/>
      <c r="K125" s="164"/>
      <c r="L125" s="92"/>
      <c r="M125" s="92"/>
      <c r="N125" s="93"/>
      <c r="O125" s="94"/>
    </row>
    <row r="126" customFormat="false" ht="15" hidden="false" customHeight="true" outlineLevel="0" collapsed="false">
      <c r="B126" s="180"/>
      <c r="C126" s="181" t="s">
        <v>185</v>
      </c>
      <c r="D126" s="149" t="s">
        <v>8</v>
      </c>
      <c r="E126" s="172" t="s">
        <v>114</v>
      </c>
      <c r="F126" s="151" t="s">
        <v>115</v>
      </c>
      <c r="G126" s="152" t="s">
        <v>116</v>
      </c>
      <c r="H126" s="152"/>
      <c r="I126" s="152"/>
      <c r="J126" s="151" t="s">
        <v>117</v>
      </c>
      <c r="K126" s="182" t="s">
        <v>152</v>
      </c>
      <c r="L126" s="154"/>
      <c r="M126" s="154"/>
      <c r="N126" s="155"/>
      <c r="O126" s="84"/>
    </row>
    <row r="127" customFormat="false" ht="15" hidden="false" customHeight="true" outlineLevel="0" collapsed="false">
      <c r="B127" s="180"/>
      <c r="C127" s="181"/>
      <c r="D127" s="149"/>
      <c r="E127" s="172"/>
      <c r="F127" s="151"/>
      <c r="G127" s="156" t="s">
        <v>13</v>
      </c>
      <c r="H127" s="157" t="s">
        <v>15</v>
      </c>
      <c r="I127" s="158" t="s">
        <v>17</v>
      </c>
      <c r="J127" s="151"/>
      <c r="K127" s="182"/>
      <c r="L127" s="154"/>
      <c r="M127" s="154"/>
      <c r="N127" s="155"/>
      <c r="O127" s="84"/>
    </row>
    <row r="128" customFormat="false" ht="15" hidden="false" customHeight="true" outlineLevel="0" collapsed="false">
      <c r="B128" s="180"/>
      <c r="C128" s="181"/>
      <c r="D128" s="149"/>
      <c r="E128" s="172"/>
      <c r="F128" s="151"/>
      <c r="G128" s="156"/>
      <c r="H128" s="157"/>
      <c r="I128" s="158"/>
      <c r="J128" s="151"/>
      <c r="K128" s="182"/>
      <c r="L128" s="154"/>
      <c r="M128" s="154"/>
      <c r="N128" s="155"/>
      <c r="O128" s="84"/>
    </row>
    <row r="129" customFormat="false" ht="15" hidden="false" customHeight="true" outlineLevel="0" collapsed="false">
      <c r="B129" s="113" t="str">
        <f aca="false">+LEFT(C129,3)</f>
        <v>4.1</v>
      </c>
      <c r="C129" s="114" t="s">
        <v>186</v>
      </c>
      <c r="D129" s="126" t="s">
        <v>187</v>
      </c>
      <c r="E129" s="183" t="s">
        <v>188</v>
      </c>
      <c r="F129" s="184" t="n">
        <v>3</v>
      </c>
      <c r="G129" s="141" t="n">
        <v>1</v>
      </c>
      <c r="H129" s="185" t="s">
        <v>189</v>
      </c>
      <c r="I129" s="127" t="s">
        <v>190</v>
      </c>
      <c r="J129" s="116" t="n">
        <v>3</v>
      </c>
      <c r="K129" s="186" t="str">
        <f aca="false">+IF(OR(ISBLANK(F129),ISBLANK(J129)),"",IF(OR(AND(F129=1,J129=1),AND(F129=1,J129=2),AND(F129=1,J129=3)),"Deficiencia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92" t="n">
        <f aca="false">+IF(K129="",0,IF(K129="Deficiencia de control mayor (diseño y ejecución)",4,IF(K129="Deficiencia de control (diseño o ejecución)",20,IF(K129="Oportunidad de mejora",40,60))))</f>
        <v>60</v>
      </c>
      <c r="M129" s="92" t="n">
        <v>0.58965</v>
      </c>
      <c r="N129" s="93" t="n">
        <f aca="false">+L129+M129</f>
        <v>60.58965</v>
      </c>
      <c r="O129" s="94"/>
    </row>
    <row r="130" s="95" customFormat="true" ht="15" hidden="false" customHeight="true" outlineLevel="0" collapsed="false">
      <c r="B130" s="113"/>
      <c r="C130" s="114"/>
      <c r="D130" s="126"/>
      <c r="E130" s="183"/>
      <c r="F130" s="184"/>
      <c r="G130" s="107" t="n">
        <v>2</v>
      </c>
      <c r="H130" s="187"/>
      <c r="I130" s="127"/>
      <c r="J130" s="116"/>
      <c r="K130" s="186"/>
      <c r="L130" s="92"/>
      <c r="M130" s="92"/>
      <c r="N130" s="93"/>
      <c r="O130" s="94"/>
    </row>
    <row r="131" s="95" customFormat="true" ht="15" hidden="false" customHeight="true" outlineLevel="0" collapsed="false">
      <c r="B131" s="113"/>
      <c r="C131" s="114"/>
      <c r="D131" s="126"/>
      <c r="E131" s="183"/>
      <c r="F131" s="184"/>
      <c r="G131" s="107" t="n">
        <v>3</v>
      </c>
      <c r="H131" s="187"/>
      <c r="I131" s="127"/>
      <c r="J131" s="116"/>
      <c r="K131" s="186"/>
      <c r="L131" s="92"/>
      <c r="M131" s="92"/>
      <c r="N131" s="93"/>
      <c r="O131" s="94"/>
    </row>
    <row r="132" s="95" customFormat="true" ht="15" hidden="false" customHeight="true" outlineLevel="0" collapsed="false">
      <c r="B132" s="113"/>
      <c r="C132" s="114"/>
      <c r="D132" s="126"/>
      <c r="E132" s="183"/>
      <c r="F132" s="184"/>
      <c r="G132" s="107" t="n">
        <v>4</v>
      </c>
      <c r="H132" s="120"/>
      <c r="I132" s="127"/>
      <c r="J132" s="116"/>
      <c r="K132" s="186"/>
      <c r="L132" s="92"/>
      <c r="M132" s="92"/>
      <c r="N132" s="93"/>
      <c r="O132" s="94"/>
    </row>
    <row r="133" s="95" customFormat="true" ht="15" hidden="false" customHeight="true" outlineLevel="0" collapsed="false">
      <c r="B133" s="113"/>
      <c r="C133" s="114"/>
      <c r="D133" s="126"/>
      <c r="E133" s="183"/>
      <c r="F133" s="184"/>
      <c r="G133" s="107" t="n">
        <v>5</v>
      </c>
      <c r="H133" s="120"/>
      <c r="I133" s="127"/>
      <c r="J133" s="116"/>
      <c r="K133" s="186"/>
      <c r="L133" s="92"/>
      <c r="M133" s="92"/>
      <c r="N133" s="93"/>
      <c r="O133" s="94"/>
    </row>
    <row r="134" s="95" customFormat="true" ht="15" hidden="false" customHeight="true" outlineLevel="0" collapsed="false">
      <c r="B134" s="113"/>
      <c r="C134" s="114"/>
      <c r="D134" s="126"/>
      <c r="E134" s="183"/>
      <c r="F134" s="184"/>
      <c r="G134" s="107" t="n">
        <v>6</v>
      </c>
      <c r="H134" s="120"/>
      <c r="I134" s="127"/>
      <c r="J134" s="116"/>
      <c r="K134" s="186"/>
      <c r="L134" s="92"/>
      <c r="M134" s="92"/>
      <c r="N134" s="93"/>
      <c r="O134" s="94"/>
    </row>
    <row r="135" s="95" customFormat="true" ht="15" hidden="false" customHeight="true" outlineLevel="0" collapsed="false">
      <c r="B135" s="113"/>
      <c r="C135" s="114"/>
      <c r="D135" s="126"/>
      <c r="E135" s="183"/>
      <c r="F135" s="184"/>
      <c r="G135" s="107" t="n">
        <v>7</v>
      </c>
      <c r="H135" s="120"/>
      <c r="I135" s="127"/>
      <c r="J135" s="116"/>
      <c r="K135" s="186"/>
      <c r="L135" s="92"/>
      <c r="M135" s="92"/>
      <c r="N135" s="93"/>
      <c r="O135" s="94"/>
    </row>
    <row r="136" s="95" customFormat="true" ht="15" hidden="false" customHeight="true" outlineLevel="0" collapsed="false">
      <c r="B136" s="113"/>
      <c r="C136" s="114"/>
      <c r="D136" s="126"/>
      <c r="E136" s="183"/>
      <c r="F136" s="184"/>
      <c r="G136" s="121" t="n">
        <v>8</v>
      </c>
      <c r="H136" s="122"/>
      <c r="I136" s="127"/>
      <c r="J136" s="116"/>
      <c r="K136" s="186"/>
      <c r="L136" s="92"/>
      <c r="M136" s="92"/>
      <c r="N136" s="93"/>
      <c r="O136" s="94"/>
    </row>
    <row r="137" s="95" customFormat="true" ht="15" hidden="false" customHeight="true" outlineLevel="0" collapsed="false">
      <c r="B137" s="113" t="str">
        <f aca="false">+LEFT(C137,3)</f>
        <v>4.2</v>
      </c>
      <c r="C137" s="114" t="s">
        <v>191</v>
      </c>
      <c r="D137" s="126" t="s">
        <v>187</v>
      </c>
      <c r="E137" s="127" t="s">
        <v>192</v>
      </c>
      <c r="F137" s="184" t="n">
        <v>3</v>
      </c>
      <c r="G137" s="141" t="n">
        <v>1</v>
      </c>
      <c r="H137" s="187" t="s">
        <v>193</v>
      </c>
      <c r="I137" s="127" t="s">
        <v>194</v>
      </c>
      <c r="J137" s="184" t="n">
        <v>3</v>
      </c>
      <c r="K137" s="186" t="str">
        <f aca="false">+IF(OR(ISBLANK(F137),ISBLANK(J137)),"",IF(OR(AND(F137=1,J137=1),AND(F137=1,J137=2),AND(F137=1,J137=3)),"Deficiencia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92" t="n">
        <f aca="false">+IF(K137="",0,IF(K137="Deficiencia de control mayor (diseño y ejecución)",4,IF(K137="Deficiencia de control (diseño o ejecución)",20,IF(K137="Oportunidad de mejora",40,60))))</f>
        <v>60</v>
      </c>
      <c r="M137" s="92" t="n">
        <v>0.68965</v>
      </c>
      <c r="N137" s="93" t="n">
        <f aca="false">+L137+M137</f>
        <v>60.68965</v>
      </c>
      <c r="O137" s="94"/>
    </row>
    <row r="138" s="95" customFormat="true" ht="15" hidden="false" customHeight="true" outlineLevel="0" collapsed="false">
      <c r="B138" s="113"/>
      <c r="C138" s="114"/>
      <c r="D138" s="126"/>
      <c r="E138" s="127"/>
      <c r="F138" s="184"/>
      <c r="G138" s="107" t="n">
        <v>2</v>
      </c>
      <c r="H138" s="187"/>
      <c r="I138" s="127"/>
      <c r="J138" s="184"/>
      <c r="K138" s="186"/>
      <c r="L138" s="92"/>
      <c r="M138" s="92"/>
      <c r="N138" s="93"/>
      <c r="O138" s="94"/>
    </row>
    <row r="139" s="95" customFormat="true" ht="15" hidden="false" customHeight="true" outlineLevel="0" collapsed="false">
      <c r="B139" s="113"/>
      <c r="C139" s="114"/>
      <c r="D139" s="126"/>
      <c r="E139" s="127"/>
      <c r="F139" s="184"/>
      <c r="G139" s="107" t="n">
        <v>3</v>
      </c>
      <c r="H139" s="120"/>
      <c r="I139" s="127"/>
      <c r="J139" s="184"/>
      <c r="K139" s="186"/>
      <c r="L139" s="92"/>
      <c r="M139" s="92"/>
      <c r="N139" s="93"/>
      <c r="O139" s="94"/>
    </row>
    <row r="140" s="95" customFormat="true" ht="15" hidden="false" customHeight="true" outlineLevel="0" collapsed="false">
      <c r="B140" s="113"/>
      <c r="C140" s="114"/>
      <c r="D140" s="126"/>
      <c r="E140" s="127"/>
      <c r="F140" s="184"/>
      <c r="G140" s="107" t="n">
        <v>4</v>
      </c>
      <c r="H140" s="120"/>
      <c r="I140" s="127"/>
      <c r="J140" s="184"/>
      <c r="K140" s="186"/>
      <c r="L140" s="92"/>
      <c r="M140" s="92"/>
      <c r="N140" s="93"/>
      <c r="O140" s="94"/>
    </row>
    <row r="141" s="95" customFormat="true" ht="15" hidden="false" customHeight="true" outlineLevel="0" collapsed="false">
      <c r="B141" s="113"/>
      <c r="C141" s="114"/>
      <c r="D141" s="126"/>
      <c r="E141" s="127"/>
      <c r="F141" s="184"/>
      <c r="G141" s="107" t="n">
        <v>5</v>
      </c>
      <c r="H141" s="120"/>
      <c r="I141" s="127"/>
      <c r="J141" s="184"/>
      <c r="K141" s="186"/>
      <c r="L141" s="92"/>
      <c r="M141" s="92"/>
      <c r="N141" s="93"/>
      <c r="O141" s="94"/>
    </row>
    <row r="142" s="95" customFormat="true" ht="15" hidden="false" customHeight="true" outlineLevel="0" collapsed="false">
      <c r="B142" s="113"/>
      <c r="C142" s="114"/>
      <c r="D142" s="126"/>
      <c r="E142" s="127"/>
      <c r="F142" s="184"/>
      <c r="G142" s="107" t="n">
        <v>6</v>
      </c>
      <c r="H142" s="120"/>
      <c r="I142" s="127"/>
      <c r="J142" s="184"/>
      <c r="K142" s="186"/>
      <c r="L142" s="92"/>
      <c r="M142" s="92"/>
      <c r="N142" s="93"/>
      <c r="O142" s="94"/>
    </row>
    <row r="143" s="95" customFormat="true" ht="15" hidden="false" customHeight="true" outlineLevel="0" collapsed="false">
      <c r="B143" s="113"/>
      <c r="C143" s="114"/>
      <c r="D143" s="126"/>
      <c r="E143" s="127"/>
      <c r="F143" s="184"/>
      <c r="G143" s="107" t="n">
        <v>7</v>
      </c>
      <c r="H143" s="120"/>
      <c r="I143" s="127"/>
      <c r="J143" s="184"/>
      <c r="K143" s="186"/>
      <c r="L143" s="92"/>
      <c r="M143" s="92"/>
      <c r="N143" s="93"/>
      <c r="O143" s="94"/>
    </row>
    <row r="144" s="95" customFormat="true" ht="15" hidden="false" customHeight="true" outlineLevel="0" collapsed="false">
      <c r="B144" s="113"/>
      <c r="C144" s="114"/>
      <c r="D144" s="126"/>
      <c r="E144" s="127"/>
      <c r="F144" s="184"/>
      <c r="G144" s="121" t="n">
        <v>8</v>
      </c>
      <c r="H144" s="122"/>
      <c r="I144" s="127"/>
      <c r="J144" s="184"/>
      <c r="K144" s="186"/>
      <c r="L144" s="92"/>
      <c r="M144" s="92"/>
      <c r="N144" s="93"/>
      <c r="O144" s="94"/>
    </row>
    <row r="145" s="95" customFormat="true" ht="15" hidden="false" customHeight="true" outlineLevel="0" collapsed="false">
      <c r="B145" s="113" t="str">
        <f aca="false">+LEFT(C145,3)</f>
        <v>4.3</v>
      </c>
      <c r="C145" s="114" t="s">
        <v>195</v>
      </c>
      <c r="D145" s="126" t="s">
        <v>187</v>
      </c>
      <c r="E145" s="188" t="s">
        <v>196</v>
      </c>
      <c r="F145" s="184" t="n">
        <v>3</v>
      </c>
      <c r="G145" s="141" t="n">
        <v>1</v>
      </c>
      <c r="H145" s="187" t="s">
        <v>193</v>
      </c>
      <c r="I145" s="127" t="s">
        <v>197</v>
      </c>
      <c r="J145" s="184" t="n">
        <v>3</v>
      </c>
      <c r="K145" s="186" t="str">
        <f aca="false">+IF(OR(ISBLANK(F145),ISBLANK(J145)),"",IF(OR(AND(F145=1,J145=1),AND(F145=1,J145=2),AND(F145=1,J145=3)),"Deficiencia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92" t="n">
        <f aca="false">+IF(K145="",0,IF(K145="Deficiencia de control mayor (diseño y ejecución)",4,IF(K145="Deficiencia de control (diseño o ejecución)",20,IF(K145="Oportunidad de mejora",40,60))))</f>
        <v>60</v>
      </c>
      <c r="M145" s="92" t="n">
        <v>0.78965</v>
      </c>
      <c r="N145" s="93" t="n">
        <f aca="false">+L145+M145</f>
        <v>60.78965</v>
      </c>
      <c r="O145" s="94"/>
    </row>
    <row r="146" s="95" customFormat="true" ht="15" hidden="false" customHeight="true" outlineLevel="0" collapsed="false">
      <c r="B146" s="113"/>
      <c r="C146" s="114"/>
      <c r="D146" s="126"/>
      <c r="E146" s="188"/>
      <c r="F146" s="184"/>
      <c r="G146" s="107" t="n">
        <v>2</v>
      </c>
      <c r="H146" s="187" t="s">
        <v>198</v>
      </c>
      <c r="I146" s="127"/>
      <c r="J146" s="184"/>
      <c r="K146" s="186"/>
      <c r="L146" s="92"/>
      <c r="M146" s="92"/>
      <c r="N146" s="93"/>
      <c r="O146" s="94"/>
    </row>
    <row r="147" s="95" customFormat="true" ht="15" hidden="false" customHeight="true" outlineLevel="0" collapsed="false">
      <c r="B147" s="113"/>
      <c r="C147" s="114"/>
      <c r="D147" s="126"/>
      <c r="E147" s="188"/>
      <c r="F147" s="184"/>
      <c r="G147" s="107" t="n">
        <v>3</v>
      </c>
      <c r="H147" s="187"/>
      <c r="I147" s="127"/>
      <c r="J147" s="184"/>
      <c r="K147" s="186"/>
      <c r="L147" s="92"/>
      <c r="M147" s="92"/>
      <c r="N147" s="93"/>
      <c r="O147" s="94"/>
    </row>
    <row r="148" s="95" customFormat="true" ht="15" hidden="false" customHeight="true" outlineLevel="0" collapsed="false">
      <c r="B148" s="113"/>
      <c r="C148" s="114"/>
      <c r="D148" s="126"/>
      <c r="E148" s="188"/>
      <c r="F148" s="184"/>
      <c r="G148" s="107" t="n">
        <v>4</v>
      </c>
      <c r="H148" s="187"/>
      <c r="I148" s="127"/>
      <c r="J148" s="184"/>
      <c r="K148" s="186"/>
      <c r="L148" s="92"/>
      <c r="M148" s="92"/>
      <c r="N148" s="93"/>
      <c r="O148" s="94"/>
    </row>
    <row r="149" s="95" customFormat="true" ht="15" hidden="false" customHeight="true" outlineLevel="0" collapsed="false">
      <c r="B149" s="113"/>
      <c r="C149" s="114"/>
      <c r="D149" s="126"/>
      <c r="E149" s="188"/>
      <c r="F149" s="184"/>
      <c r="G149" s="107" t="n">
        <v>5</v>
      </c>
      <c r="H149" s="120"/>
      <c r="I149" s="127"/>
      <c r="J149" s="184"/>
      <c r="K149" s="186"/>
      <c r="L149" s="92"/>
      <c r="M149" s="92"/>
      <c r="N149" s="93"/>
      <c r="O149" s="94"/>
    </row>
    <row r="150" s="95" customFormat="true" ht="15" hidden="false" customHeight="true" outlineLevel="0" collapsed="false">
      <c r="B150" s="113"/>
      <c r="C150" s="114"/>
      <c r="D150" s="126"/>
      <c r="E150" s="188"/>
      <c r="F150" s="184"/>
      <c r="G150" s="107" t="n">
        <v>6</v>
      </c>
      <c r="H150" s="120"/>
      <c r="I150" s="127"/>
      <c r="J150" s="184"/>
      <c r="K150" s="186"/>
      <c r="L150" s="92"/>
      <c r="M150" s="92"/>
      <c r="N150" s="93"/>
      <c r="O150" s="94"/>
    </row>
    <row r="151" s="95" customFormat="true" ht="15" hidden="false" customHeight="true" outlineLevel="0" collapsed="false">
      <c r="B151" s="113"/>
      <c r="C151" s="114"/>
      <c r="D151" s="126"/>
      <c r="E151" s="188"/>
      <c r="F151" s="184"/>
      <c r="G151" s="107" t="n">
        <v>7</v>
      </c>
      <c r="H151" s="120"/>
      <c r="I151" s="127"/>
      <c r="J151" s="184"/>
      <c r="K151" s="186"/>
      <c r="L151" s="92"/>
      <c r="M151" s="92"/>
      <c r="N151" s="93"/>
      <c r="O151" s="94"/>
    </row>
    <row r="152" s="95" customFormat="true" ht="15" hidden="false" customHeight="true" outlineLevel="0" collapsed="false">
      <c r="B152" s="113"/>
      <c r="C152" s="114"/>
      <c r="D152" s="126"/>
      <c r="E152" s="188"/>
      <c r="F152" s="184"/>
      <c r="G152" s="121" t="n">
        <v>8</v>
      </c>
      <c r="H152" s="122"/>
      <c r="I152" s="127"/>
      <c r="J152" s="184"/>
      <c r="K152" s="186"/>
      <c r="L152" s="92"/>
      <c r="M152" s="92"/>
      <c r="N152" s="93"/>
      <c r="O152" s="94"/>
    </row>
    <row r="153" s="95" customFormat="true" ht="15" hidden="false" customHeight="true" outlineLevel="0" collapsed="false">
      <c r="B153" s="113" t="str">
        <f aca="false">+LEFT(C153,3)</f>
        <v>4.4</v>
      </c>
      <c r="C153" s="114" t="s">
        <v>199</v>
      </c>
      <c r="D153" s="126" t="s">
        <v>187</v>
      </c>
      <c r="E153" s="127" t="s">
        <v>200</v>
      </c>
      <c r="F153" s="184" t="n">
        <v>3</v>
      </c>
      <c r="G153" s="141" t="n">
        <v>1</v>
      </c>
      <c r="H153" s="189" t="s">
        <v>201</v>
      </c>
      <c r="I153" s="140" t="s">
        <v>202</v>
      </c>
      <c r="J153" s="184" t="n">
        <v>3</v>
      </c>
      <c r="K153" s="186" t="str">
        <f aca="false">+IF(OR(ISBLANK(F153),ISBLANK(J153)),"",IF(OR(AND(F153=1,J153=1),AND(F153=1,J153=2),AND(F153=1,J153=3)),"Deficiencia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92" t="n">
        <f aca="false">+IF(K153="",0,IF(K153="Deficiencia de control mayor (diseño y ejecución)",4,IF(K153="Deficiencia de control (diseño o ejecución)",20,IF(K153="Oportunidad de mejora",40,60))))</f>
        <v>60</v>
      </c>
      <c r="M153" s="92" t="n">
        <v>0.88965</v>
      </c>
      <c r="N153" s="93" t="n">
        <f aca="false">+L153+M153</f>
        <v>60.88965</v>
      </c>
      <c r="O153" s="94"/>
    </row>
    <row r="154" s="95" customFormat="true" ht="15" hidden="false" customHeight="true" outlineLevel="0" collapsed="false">
      <c r="B154" s="113"/>
      <c r="C154" s="114"/>
      <c r="D154" s="126"/>
      <c r="E154" s="127"/>
      <c r="F154" s="184"/>
      <c r="G154" s="107" t="n">
        <v>2</v>
      </c>
      <c r="H154" s="189"/>
      <c r="I154" s="140"/>
      <c r="J154" s="184"/>
      <c r="K154" s="186"/>
      <c r="L154" s="92"/>
      <c r="M154" s="92"/>
      <c r="N154" s="93"/>
      <c r="O154" s="94"/>
    </row>
    <row r="155" s="95" customFormat="true" ht="15" hidden="false" customHeight="true" outlineLevel="0" collapsed="false">
      <c r="B155" s="113"/>
      <c r="C155" s="114"/>
      <c r="D155" s="126"/>
      <c r="E155" s="127"/>
      <c r="F155" s="184"/>
      <c r="G155" s="107" t="n">
        <v>3</v>
      </c>
      <c r="H155" s="189"/>
      <c r="I155" s="140"/>
      <c r="J155" s="184"/>
      <c r="K155" s="186"/>
      <c r="L155" s="92"/>
      <c r="M155" s="92"/>
      <c r="N155" s="93"/>
      <c r="O155" s="94"/>
    </row>
    <row r="156" s="95" customFormat="true" ht="15" hidden="false" customHeight="true" outlineLevel="0" collapsed="false">
      <c r="B156" s="113"/>
      <c r="C156" s="114"/>
      <c r="D156" s="126"/>
      <c r="E156" s="127"/>
      <c r="F156" s="184"/>
      <c r="G156" s="107" t="n">
        <v>4</v>
      </c>
      <c r="H156" s="187"/>
      <c r="I156" s="140"/>
      <c r="J156" s="184"/>
      <c r="K156" s="186"/>
      <c r="L156" s="92"/>
      <c r="M156" s="92"/>
      <c r="N156" s="93"/>
      <c r="O156" s="94"/>
    </row>
    <row r="157" s="95" customFormat="true" ht="15" hidden="false" customHeight="true" outlineLevel="0" collapsed="false">
      <c r="B157" s="113"/>
      <c r="C157" s="114"/>
      <c r="D157" s="126"/>
      <c r="E157" s="127"/>
      <c r="F157" s="184"/>
      <c r="G157" s="107" t="n">
        <v>5</v>
      </c>
      <c r="H157" s="120"/>
      <c r="I157" s="140"/>
      <c r="J157" s="184"/>
      <c r="K157" s="186"/>
      <c r="L157" s="92"/>
      <c r="M157" s="92"/>
      <c r="N157" s="93"/>
      <c r="O157" s="94"/>
    </row>
    <row r="158" s="95" customFormat="true" ht="15" hidden="false" customHeight="true" outlineLevel="0" collapsed="false">
      <c r="B158" s="113"/>
      <c r="C158" s="114"/>
      <c r="D158" s="126"/>
      <c r="E158" s="127"/>
      <c r="F158" s="184"/>
      <c r="G158" s="107" t="n">
        <v>6</v>
      </c>
      <c r="H158" s="120"/>
      <c r="I158" s="140"/>
      <c r="J158" s="184"/>
      <c r="K158" s="186"/>
      <c r="L158" s="92"/>
      <c r="M158" s="92"/>
      <c r="N158" s="93"/>
      <c r="O158" s="94"/>
    </row>
    <row r="159" s="95" customFormat="true" ht="15" hidden="false" customHeight="true" outlineLevel="0" collapsed="false">
      <c r="B159" s="113"/>
      <c r="C159" s="114"/>
      <c r="D159" s="126"/>
      <c r="E159" s="127"/>
      <c r="F159" s="184"/>
      <c r="G159" s="107" t="n">
        <v>7</v>
      </c>
      <c r="H159" s="120"/>
      <c r="I159" s="140"/>
      <c r="J159" s="184"/>
      <c r="K159" s="186"/>
      <c r="L159" s="92"/>
      <c r="M159" s="92"/>
      <c r="N159" s="93"/>
      <c r="O159" s="94"/>
    </row>
    <row r="160" s="95" customFormat="true" ht="15" hidden="false" customHeight="true" outlineLevel="0" collapsed="false">
      <c r="B160" s="113"/>
      <c r="C160" s="114"/>
      <c r="D160" s="126"/>
      <c r="E160" s="127"/>
      <c r="F160" s="184"/>
      <c r="G160" s="121" t="n">
        <v>8</v>
      </c>
      <c r="H160" s="122"/>
      <c r="I160" s="140"/>
      <c r="J160" s="184"/>
      <c r="K160" s="186"/>
      <c r="L160" s="92"/>
      <c r="M160" s="92"/>
      <c r="N160" s="93"/>
      <c r="O160" s="94"/>
    </row>
    <row r="161" s="95" customFormat="true" ht="15" hidden="false" customHeight="true" outlineLevel="0" collapsed="false">
      <c r="B161" s="113" t="str">
        <f aca="false">+LEFT(C161,3)</f>
        <v>4.5</v>
      </c>
      <c r="C161" s="114" t="s">
        <v>203</v>
      </c>
      <c r="D161" s="126" t="s">
        <v>187</v>
      </c>
      <c r="E161" s="190" t="s">
        <v>204</v>
      </c>
      <c r="F161" s="184" t="n">
        <v>3</v>
      </c>
      <c r="G161" s="141" t="n">
        <v>1</v>
      </c>
      <c r="H161" s="189" t="s">
        <v>193</v>
      </c>
      <c r="I161" s="191" t="s">
        <v>205</v>
      </c>
      <c r="J161" s="184" t="n">
        <v>3</v>
      </c>
      <c r="K161" s="186" t="str">
        <f aca="false">+IF(OR(ISBLANK(F161),ISBLANK(J161)),"",IF(OR(AND(F161=1,J161=1),AND(F161=1,J161=2),AND(F161=1,J161=3)),"Deficiencia de control mayor (diseño y ejecución)",IF(OR(AND(F161=2,J161=2),AND(F161=3,J161=1),AND(F161=3,J161=2),AND(F161=2,J161=1)),"Deficiencia de control (diseño o ejecución)",IF(AND(F161=2,J161=3),"Oportunidad de mejora","Mantenimiento del control"))))</f>
        <v>Mantenimiento del control</v>
      </c>
      <c r="L161" s="92" t="n">
        <f aca="false">+IF(K161="",0,IF(K161="Deficiencia de control mayor (diseño y ejecución)",4,IF(K161="Deficiencia de control (diseño o ejecución)",20,IF(K161="Oportunidad de mejora",40,60))))</f>
        <v>60</v>
      </c>
      <c r="M161" s="92" t="n">
        <v>0.98965</v>
      </c>
      <c r="N161" s="192" t="n">
        <f aca="false">+L161+M161</f>
        <v>60.98965</v>
      </c>
      <c r="O161" s="193"/>
    </row>
    <row r="162" s="95" customFormat="true" ht="15" hidden="false" customHeight="true" outlineLevel="0" collapsed="false">
      <c r="B162" s="113"/>
      <c r="C162" s="114"/>
      <c r="D162" s="126"/>
      <c r="E162" s="190"/>
      <c r="F162" s="184"/>
      <c r="G162" s="107" t="n">
        <v>2</v>
      </c>
      <c r="H162" s="120"/>
      <c r="I162" s="191"/>
      <c r="J162" s="184"/>
      <c r="K162" s="186"/>
      <c r="L162" s="92"/>
      <c r="M162" s="92"/>
      <c r="N162" s="192"/>
      <c r="O162" s="193"/>
    </row>
    <row r="163" s="95" customFormat="true" ht="15" hidden="false" customHeight="true" outlineLevel="0" collapsed="false">
      <c r="B163" s="113"/>
      <c r="C163" s="114"/>
      <c r="D163" s="126"/>
      <c r="E163" s="190"/>
      <c r="F163" s="184"/>
      <c r="G163" s="107" t="n">
        <v>3</v>
      </c>
      <c r="H163" s="120"/>
      <c r="I163" s="191"/>
      <c r="J163" s="184"/>
      <c r="K163" s="186"/>
      <c r="L163" s="92"/>
      <c r="M163" s="92"/>
      <c r="N163" s="192"/>
      <c r="O163" s="193"/>
    </row>
    <row r="164" s="95" customFormat="true" ht="15" hidden="false" customHeight="true" outlineLevel="0" collapsed="false">
      <c r="B164" s="113"/>
      <c r="C164" s="114"/>
      <c r="D164" s="126"/>
      <c r="E164" s="190"/>
      <c r="F164" s="184"/>
      <c r="G164" s="107" t="n">
        <v>4</v>
      </c>
      <c r="H164" s="120"/>
      <c r="I164" s="191"/>
      <c r="J164" s="184"/>
      <c r="K164" s="186"/>
      <c r="L164" s="92"/>
      <c r="M164" s="92"/>
      <c r="N164" s="192"/>
      <c r="O164" s="193"/>
    </row>
    <row r="165" s="95" customFormat="true" ht="15" hidden="false" customHeight="true" outlineLevel="0" collapsed="false">
      <c r="B165" s="113"/>
      <c r="C165" s="114"/>
      <c r="D165" s="126"/>
      <c r="E165" s="190"/>
      <c r="F165" s="184"/>
      <c r="G165" s="107" t="n">
        <v>5</v>
      </c>
      <c r="H165" s="120"/>
      <c r="I165" s="191"/>
      <c r="J165" s="184"/>
      <c r="K165" s="186"/>
      <c r="L165" s="92"/>
      <c r="M165" s="92"/>
      <c r="N165" s="192"/>
      <c r="O165" s="193"/>
    </row>
    <row r="166" s="95" customFormat="true" ht="15" hidden="false" customHeight="true" outlineLevel="0" collapsed="false">
      <c r="B166" s="113"/>
      <c r="C166" s="114"/>
      <c r="D166" s="126"/>
      <c r="E166" s="190"/>
      <c r="F166" s="184"/>
      <c r="G166" s="107" t="n">
        <v>6</v>
      </c>
      <c r="H166" s="120"/>
      <c r="I166" s="191"/>
      <c r="J166" s="184"/>
      <c r="K166" s="186"/>
      <c r="L166" s="92"/>
      <c r="M166" s="92"/>
      <c r="N166" s="192"/>
      <c r="O166" s="193"/>
    </row>
    <row r="167" s="95" customFormat="true" ht="15" hidden="false" customHeight="true" outlineLevel="0" collapsed="false">
      <c r="B167" s="113"/>
      <c r="C167" s="114"/>
      <c r="D167" s="126"/>
      <c r="E167" s="190"/>
      <c r="F167" s="184"/>
      <c r="G167" s="107" t="n">
        <v>7</v>
      </c>
      <c r="H167" s="120"/>
      <c r="I167" s="191"/>
      <c r="J167" s="184"/>
      <c r="K167" s="186"/>
      <c r="L167" s="92"/>
      <c r="M167" s="92"/>
      <c r="N167" s="192"/>
      <c r="O167" s="193"/>
    </row>
    <row r="168" s="95" customFormat="true" ht="15" hidden="false" customHeight="true" outlineLevel="0" collapsed="false">
      <c r="B168" s="113"/>
      <c r="C168" s="114"/>
      <c r="D168" s="126"/>
      <c r="E168" s="190"/>
      <c r="F168" s="184"/>
      <c r="G168" s="121" t="n">
        <v>8</v>
      </c>
      <c r="H168" s="122"/>
      <c r="I168" s="191"/>
      <c r="J168" s="184"/>
      <c r="K168" s="186"/>
      <c r="L168" s="92"/>
      <c r="M168" s="92"/>
      <c r="N168" s="192"/>
      <c r="O168" s="193"/>
    </row>
    <row r="169" s="95" customFormat="true" ht="15" hidden="false" customHeight="true" outlineLevel="0" collapsed="false">
      <c r="B169" s="113" t="str">
        <f aca="false">+LEFT(C169,3)</f>
        <v>4.6</v>
      </c>
      <c r="C169" s="125" t="s">
        <v>206</v>
      </c>
      <c r="D169" s="126" t="s">
        <v>187</v>
      </c>
      <c r="E169" s="190" t="s">
        <v>207</v>
      </c>
      <c r="F169" s="184" t="n">
        <v>3</v>
      </c>
      <c r="G169" s="141" t="n">
        <v>1</v>
      </c>
      <c r="H169" s="189" t="s">
        <v>208</v>
      </c>
      <c r="I169" s="194" t="s">
        <v>209</v>
      </c>
      <c r="J169" s="184" t="n">
        <v>2</v>
      </c>
      <c r="K169" s="195" t="str">
        <f aca="false">+IF(OR(ISBLANK(F169),ISBLANK(J169)),"",IF(OR(AND(F169=1,J169=1),AND(F169=1,J169=2),AND(F169=1,J169=3)),"Deficiencia de control mayor (diseño y ejecución)",IF(OR(AND(F169=2,J169=2),AND(F169=3,J169=1),AND(F169=3,J169=2),AND(F169=2,J169=1)),"Deficiencia de control (diseño o ejecución)",IF(AND(F169=2,J169=3),"Oportunidad de mejora","Mantenimiento del control"))))</f>
        <v>Deficiencia de control (diseño o ejecución)</v>
      </c>
      <c r="L169" s="92" t="n">
        <f aca="false">+IF(K169="",0,IF(K169="Deficiencia de control mayor (diseño y ejecución)",4,IF(K169="Deficiencia de control (diseño o ejecución)",20,IF(K169="Oportunidad de mejora",40,60))))</f>
        <v>20</v>
      </c>
      <c r="M169" s="92" t="n">
        <v>0.989652</v>
      </c>
      <c r="N169" s="144" t="n">
        <f aca="false">+L169+M169</f>
        <v>20.989652</v>
      </c>
      <c r="O169" s="145"/>
    </row>
    <row r="170" s="95" customFormat="true" ht="15" hidden="false" customHeight="true" outlineLevel="0" collapsed="false">
      <c r="B170" s="113"/>
      <c r="C170" s="125"/>
      <c r="D170" s="126"/>
      <c r="E170" s="190"/>
      <c r="F170" s="184"/>
      <c r="G170" s="107" t="n">
        <v>2</v>
      </c>
      <c r="H170" s="196"/>
      <c r="I170" s="194"/>
      <c r="J170" s="184"/>
      <c r="K170" s="195"/>
      <c r="L170" s="92"/>
      <c r="M170" s="92"/>
      <c r="N170" s="144"/>
      <c r="O170" s="145"/>
    </row>
    <row r="171" s="95" customFormat="true" ht="15" hidden="false" customHeight="true" outlineLevel="0" collapsed="false">
      <c r="B171" s="113"/>
      <c r="C171" s="125"/>
      <c r="D171" s="126"/>
      <c r="E171" s="190"/>
      <c r="F171" s="184"/>
      <c r="G171" s="107" t="n">
        <v>3</v>
      </c>
      <c r="H171" s="120"/>
      <c r="I171" s="194"/>
      <c r="J171" s="184"/>
      <c r="K171" s="195"/>
      <c r="L171" s="92"/>
      <c r="M171" s="92"/>
      <c r="N171" s="144"/>
      <c r="O171" s="145"/>
    </row>
    <row r="172" s="95" customFormat="true" ht="15" hidden="false" customHeight="true" outlineLevel="0" collapsed="false">
      <c r="B172" s="113"/>
      <c r="C172" s="125"/>
      <c r="D172" s="126"/>
      <c r="E172" s="190"/>
      <c r="F172" s="184"/>
      <c r="G172" s="107" t="n">
        <v>4</v>
      </c>
      <c r="H172" s="120"/>
      <c r="I172" s="194"/>
      <c r="J172" s="184"/>
      <c r="K172" s="195"/>
      <c r="L172" s="92"/>
      <c r="M172" s="92"/>
      <c r="N172" s="144"/>
      <c r="O172" s="145"/>
    </row>
    <row r="173" s="95" customFormat="true" ht="15" hidden="false" customHeight="true" outlineLevel="0" collapsed="false">
      <c r="B173" s="113"/>
      <c r="C173" s="125"/>
      <c r="D173" s="126"/>
      <c r="E173" s="190"/>
      <c r="F173" s="184"/>
      <c r="G173" s="107" t="n">
        <v>5</v>
      </c>
      <c r="H173" s="120"/>
      <c r="I173" s="194"/>
      <c r="J173" s="184"/>
      <c r="K173" s="195"/>
      <c r="L173" s="92"/>
      <c r="M173" s="92"/>
      <c r="N173" s="144"/>
      <c r="O173" s="145"/>
    </row>
    <row r="174" s="95" customFormat="true" ht="15" hidden="false" customHeight="true" outlineLevel="0" collapsed="false">
      <c r="B174" s="113"/>
      <c r="C174" s="125"/>
      <c r="D174" s="126"/>
      <c r="E174" s="190"/>
      <c r="F174" s="184"/>
      <c r="G174" s="107" t="n">
        <v>6</v>
      </c>
      <c r="H174" s="120"/>
      <c r="I174" s="194"/>
      <c r="J174" s="184"/>
      <c r="K174" s="195"/>
      <c r="L174" s="92"/>
      <c r="M174" s="92"/>
      <c r="N174" s="144"/>
      <c r="O174" s="145"/>
    </row>
    <row r="175" s="95" customFormat="true" ht="15" hidden="false" customHeight="true" outlineLevel="0" collapsed="false">
      <c r="B175" s="113"/>
      <c r="C175" s="125"/>
      <c r="D175" s="126"/>
      <c r="E175" s="190"/>
      <c r="F175" s="184"/>
      <c r="G175" s="107" t="n">
        <v>7</v>
      </c>
      <c r="H175" s="120"/>
      <c r="I175" s="194"/>
      <c r="J175" s="184"/>
      <c r="K175" s="195"/>
      <c r="L175" s="92"/>
      <c r="M175" s="92"/>
      <c r="N175" s="144"/>
      <c r="O175" s="145"/>
    </row>
    <row r="176" s="95" customFormat="true" ht="15" hidden="false" customHeight="true" outlineLevel="0" collapsed="false">
      <c r="B176" s="113"/>
      <c r="C176" s="125"/>
      <c r="D176" s="126"/>
      <c r="E176" s="190"/>
      <c r="F176" s="184"/>
      <c r="G176" s="121" t="n">
        <v>8</v>
      </c>
      <c r="H176" s="122"/>
      <c r="I176" s="194"/>
      <c r="J176" s="184"/>
      <c r="K176" s="195"/>
      <c r="L176" s="92"/>
      <c r="M176" s="92"/>
      <c r="N176" s="144"/>
      <c r="O176" s="145"/>
    </row>
    <row r="177" s="95" customFormat="true" ht="15" hidden="false" customHeight="true" outlineLevel="0" collapsed="false">
      <c r="B177" s="113" t="str">
        <f aca="false">+LEFT(C177,3)</f>
        <v>4.7</v>
      </c>
      <c r="C177" s="114" t="s">
        <v>210</v>
      </c>
      <c r="D177" s="126" t="s">
        <v>187</v>
      </c>
      <c r="E177" s="197" t="s">
        <v>211</v>
      </c>
      <c r="F177" s="184" t="n">
        <v>3</v>
      </c>
      <c r="G177" s="141" t="n">
        <v>1</v>
      </c>
      <c r="H177" s="198" t="s">
        <v>193</v>
      </c>
      <c r="I177" s="194" t="s">
        <v>212</v>
      </c>
      <c r="J177" s="184" t="n">
        <v>3</v>
      </c>
      <c r="K177" s="199" t="str">
        <f aca="false">+IF(OR(ISBLANK(F177),ISBLANK(J177)),"",IF(OR(AND(F177=1,J177=1),AND(F177=1,J177=2),AND(F177=1,J177=3)),"Deficiencia de control mayor (diseño y ejecución)",IF(OR(AND(F177=2,J177=2),AND(F177=3,J177=1),AND(F177=3,J177=2),AND(F177=2,J177=1)),"Deficiencia de control (diseño o ejecución)",IF(AND(F177=2,J177=3),"Oportunidad de mejora","Mantenimiento del control"))))</f>
        <v>Mantenimiento del control</v>
      </c>
      <c r="L177" s="92" t="n">
        <f aca="false">+IF(K177="",0,IF(K177="Deficiencia de control mayor (diseño y ejecución)",4,IF(K177="Deficiencia de control (diseño o ejecución)",20,IF(K177="Oportunidad de mejora",40,60))))</f>
        <v>60</v>
      </c>
      <c r="M177" s="92" t="n">
        <v>1.89623</v>
      </c>
      <c r="N177" s="93" t="n">
        <f aca="false">+L177+M177</f>
        <v>61.89623</v>
      </c>
      <c r="O177" s="94"/>
    </row>
    <row r="178" s="95" customFormat="true" ht="15" hidden="false" customHeight="true" outlineLevel="0" collapsed="false">
      <c r="B178" s="113"/>
      <c r="C178" s="114"/>
      <c r="D178" s="126"/>
      <c r="E178" s="197"/>
      <c r="F178" s="184"/>
      <c r="G178" s="107" t="n">
        <v>2</v>
      </c>
      <c r="H178" s="198"/>
      <c r="I178" s="194"/>
      <c r="J178" s="184"/>
      <c r="K178" s="199"/>
      <c r="L178" s="92"/>
      <c r="M178" s="92"/>
      <c r="N178" s="93"/>
      <c r="O178" s="94"/>
    </row>
    <row r="179" s="95" customFormat="true" ht="15" hidden="false" customHeight="true" outlineLevel="0" collapsed="false">
      <c r="B179" s="113"/>
      <c r="C179" s="114"/>
      <c r="D179" s="126"/>
      <c r="E179" s="197"/>
      <c r="F179" s="184"/>
      <c r="G179" s="107" t="n">
        <v>3</v>
      </c>
      <c r="H179" s="198"/>
      <c r="I179" s="194"/>
      <c r="J179" s="184"/>
      <c r="K179" s="199"/>
      <c r="L179" s="92"/>
      <c r="M179" s="92"/>
      <c r="N179" s="93"/>
      <c r="O179" s="94"/>
    </row>
    <row r="180" s="95" customFormat="true" ht="15" hidden="false" customHeight="true" outlineLevel="0" collapsed="false">
      <c r="B180" s="113"/>
      <c r="C180" s="114"/>
      <c r="D180" s="126"/>
      <c r="E180" s="197"/>
      <c r="F180" s="184"/>
      <c r="G180" s="107" t="n">
        <v>4</v>
      </c>
      <c r="H180" s="198"/>
      <c r="I180" s="194"/>
      <c r="J180" s="184"/>
      <c r="K180" s="199"/>
      <c r="L180" s="92"/>
      <c r="M180" s="92"/>
      <c r="N180" s="93"/>
      <c r="O180" s="94"/>
    </row>
    <row r="181" s="95" customFormat="true" ht="15" hidden="false" customHeight="true" outlineLevel="0" collapsed="false">
      <c r="B181" s="113"/>
      <c r="C181" s="114"/>
      <c r="D181" s="126"/>
      <c r="E181" s="197"/>
      <c r="F181" s="184"/>
      <c r="G181" s="107" t="n">
        <v>5</v>
      </c>
      <c r="H181" s="120"/>
      <c r="I181" s="194"/>
      <c r="J181" s="184"/>
      <c r="K181" s="199"/>
      <c r="L181" s="92"/>
      <c r="M181" s="92"/>
      <c r="N181" s="93"/>
      <c r="O181" s="94"/>
    </row>
    <row r="182" s="95" customFormat="true" ht="15" hidden="false" customHeight="true" outlineLevel="0" collapsed="false">
      <c r="B182" s="113"/>
      <c r="C182" s="114"/>
      <c r="D182" s="126"/>
      <c r="E182" s="197"/>
      <c r="F182" s="184"/>
      <c r="G182" s="107" t="n">
        <v>6</v>
      </c>
      <c r="H182" s="120"/>
      <c r="I182" s="194"/>
      <c r="J182" s="184"/>
      <c r="K182" s="199"/>
      <c r="L182" s="92"/>
      <c r="M182" s="92"/>
      <c r="N182" s="93"/>
      <c r="O182" s="94"/>
    </row>
    <row r="183" s="95" customFormat="true" ht="15" hidden="false" customHeight="true" outlineLevel="0" collapsed="false">
      <c r="B183" s="113"/>
      <c r="C183" s="114"/>
      <c r="D183" s="126"/>
      <c r="E183" s="197"/>
      <c r="F183" s="184"/>
      <c r="G183" s="107" t="n">
        <v>7</v>
      </c>
      <c r="H183" s="120"/>
      <c r="I183" s="194"/>
      <c r="J183" s="184"/>
      <c r="K183" s="199"/>
      <c r="L183" s="92"/>
      <c r="M183" s="92"/>
      <c r="N183" s="93"/>
      <c r="O183" s="94"/>
    </row>
    <row r="184" s="95" customFormat="true" ht="15" hidden="false" customHeight="true" outlineLevel="0" collapsed="false">
      <c r="B184" s="113"/>
      <c r="C184" s="114"/>
      <c r="D184" s="126"/>
      <c r="E184" s="197"/>
      <c r="F184" s="184"/>
      <c r="G184" s="121" t="n">
        <v>8</v>
      </c>
      <c r="H184" s="122"/>
      <c r="I184" s="194"/>
      <c r="J184" s="184"/>
      <c r="K184" s="199"/>
      <c r="L184" s="92"/>
      <c r="M184" s="92"/>
      <c r="N184" s="93"/>
      <c r="O184" s="94"/>
    </row>
    <row r="185" s="95" customFormat="true" ht="15" hidden="false" customHeight="true" outlineLevel="0" collapsed="false">
      <c r="B185" s="180"/>
      <c r="C185" s="181" t="s">
        <v>213</v>
      </c>
      <c r="D185" s="149" t="s">
        <v>8</v>
      </c>
      <c r="E185" s="172" t="s">
        <v>114</v>
      </c>
      <c r="F185" s="151" t="s">
        <v>115</v>
      </c>
      <c r="G185" s="152" t="s">
        <v>116</v>
      </c>
      <c r="H185" s="152"/>
      <c r="I185" s="152"/>
      <c r="J185" s="151" t="s">
        <v>117</v>
      </c>
      <c r="K185" s="153" t="s">
        <v>152</v>
      </c>
      <c r="L185" s="154"/>
      <c r="M185" s="154"/>
      <c r="N185" s="155"/>
      <c r="O185" s="84"/>
    </row>
    <row r="186" s="95" customFormat="true" ht="15" hidden="false" customHeight="true" outlineLevel="0" collapsed="false">
      <c r="B186" s="180"/>
      <c r="C186" s="181"/>
      <c r="D186" s="149"/>
      <c r="E186" s="172"/>
      <c r="F186" s="151"/>
      <c r="G186" s="156" t="s">
        <v>13</v>
      </c>
      <c r="H186" s="157" t="s">
        <v>15</v>
      </c>
      <c r="I186" s="158" t="s">
        <v>17</v>
      </c>
      <c r="J186" s="151"/>
      <c r="K186" s="153"/>
      <c r="L186" s="154"/>
      <c r="M186" s="154"/>
      <c r="N186" s="155"/>
      <c r="O186" s="84"/>
    </row>
    <row r="187" s="95" customFormat="true" ht="15" hidden="false" customHeight="true" outlineLevel="0" collapsed="false">
      <c r="B187" s="180"/>
      <c r="C187" s="181"/>
      <c r="D187" s="149"/>
      <c r="E187" s="172"/>
      <c r="F187" s="151"/>
      <c r="G187" s="156"/>
      <c r="H187" s="157"/>
      <c r="I187" s="158"/>
      <c r="J187" s="151"/>
      <c r="K187" s="153"/>
      <c r="L187" s="154"/>
      <c r="M187" s="154"/>
      <c r="N187" s="155"/>
      <c r="O187" s="84"/>
    </row>
    <row r="188" customFormat="false" ht="15" hidden="false" customHeight="true" outlineLevel="0" collapsed="false">
      <c r="B188" s="113" t="str">
        <f aca="false">+LEFT(C188,3)</f>
        <v>5.1</v>
      </c>
      <c r="C188" s="159" t="s">
        <v>214</v>
      </c>
      <c r="D188" s="160" t="s">
        <v>215</v>
      </c>
      <c r="E188" s="200" t="s">
        <v>216</v>
      </c>
      <c r="F188" s="201" t="n">
        <v>3</v>
      </c>
      <c r="G188" s="162" t="n">
        <v>1</v>
      </c>
      <c r="H188" s="202" t="s">
        <v>217</v>
      </c>
      <c r="I188" s="200" t="s">
        <v>218</v>
      </c>
      <c r="J188" s="201" t="n">
        <v>3</v>
      </c>
      <c r="K188" s="203" t="str">
        <f aca="false">+IF(OR(ISBLANK(F188),ISBLANK(J188)),"",IF(OR(AND(F188=1,J188=1),AND(F188=1,J188=2),AND(F188=1,J188=3)),"Deficiencia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Mantenimiento del control</v>
      </c>
      <c r="L188" s="92" t="n">
        <f aca="false">+IF(K188="",0,IF(K188="Deficiencia de control mayor (diseño y ejecución)",4,IF(K188="Deficiencia de control (diseño o ejecución)",20,IF(K188="Oportunidad de mejora",40,60))))</f>
        <v>60</v>
      </c>
      <c r="M188" s="92" t="n">
        <v>1.1896</v>
      </c>
      <c r="N188" s="93" t="n">
        <f aca="false">+L188+M188</f>
        <v>61.1896</v>
      </c>
      <c r="O188" s="94"/>
    </row>
    <row r="189" customFormat="false" ht="15" hidden="false" customHeight="true" outlineLevel="0" collapsed="false">
      <c r="B189" s="113"/>
      <c r="C189" s="159"/>
      <c r="D189" s="160"/>
      <c r="E189" s="200"/>
      <c r="F189" s="201"/>
      <c r="G189" s="165" t="n">
        <v>2</v>
      </c>
      <c r="H189" s="204"/>
      <c r="I189" s="200"/>
      <c r="J189" s="201"/>
      <c r="K189" s="203"/>
      <c r="L189" s="92"/>
      <c r="M189" s="92"/>
      <c r="N189" s="93"/>
      <c r="O189" s="94"/>
    </row>
    <row r="190" customFormat="false" ht="15" hidden="false" customHeight="true" outlineLevel="0" collapsed="false">
      <c r="B190" s="113"/>
      <c r="C190" s="159"/>
      <c r="D190" s="160"/>
      <c r="E190" s="200"/>
      <c r="F190" s="201"/>
      <c r="G190" s="165" t="n">
        <v>3</v>
      </c>
      <c r="H190" s="205"/>
      <c r="I190" s="200"/>
      <c r="J190" s="201"/>
      <c r="K190" s="203"/>
      <c r="L190" s="92"/>
      <c r="M190" s="92"/>
      <c r="N190" s="93"/>
      <c r="O190" s="94"/>
    </row>
    <row r="191" s="95" customFormat="true" ht="15" hidden="false" customHeight="true" outlineLevel="0" collapsed="false">
      <c r="B191" s="113"/>
      <c r="C191" s="159"/>
      <c r="D191" s="160"/>
      <c r="E191" s="200"/>
      <c r="F191" s="201"/>
      <c r="G191" s="165" t="n">
        <v>4</v>
      </c>
      <c r="H191" s="205"/>
      <c r="I191" s="200"/>
      <c r="J191" s="201"/>
      <c r="K191" s="203"/>
      <c r="L191" s="92"/>
      <c r="M191" s="92"/>
      <c r="N191" s="93"/>
      <c r="O191" s="94"/>
    </row>
    <row r="192" s="95" customFormat="true" ht="15" hidden="false" customHeight="true" outlineLevel="0" collapsed="false">
      <c r="B192" s="113"/>
      <c r="C192" s="159"/>
      <c r="D192" s="160"/>
      <c r="E192" s="200"/>
      <c r="F192" s="201"/>
      <c r="G192" s="165" t="n">
        <v>5</v>
      </c>
      <c r="H192" s="206"/>
      <c r="I192" s="200"/>
      <c r="J192" s="201"/>
      <c r="K192" s="203"/>
      <c r="L192" s="92"/>
      <c r="M192" s="92"/>
      <c r="N192" s="93"/>
      <c r="O192" s="94"/>
    </row>
    <row r="193" s="95" customFormat="true" ht="15" hidden="false" customHeight="true" outlineLevel="0" collapsed="false">
      <c r="B193" s="113"/>
      <c r="C193" s="159"/>
      <c r="D193" s="160"/>
      <c r="E193" s="200"/>
      <c r="F193" s="201"/>
      <c r="G193" s="165" t="n">
        <v>6</v>
      </c>
      <c r="H193" s="206"/>
      <c r="I193" s="200"/>
      <c r="J193" s="201"/>
      <c r="K193" s="203"/>
      <c r="L193" s="92"/>
      <c r="M193" s="92"/>
      <c r="N193" s="93"/>
      <c r="O193" s="94"/>
    </row>
    <row r="194" s="95" customFormat="true" ht="15" hidden="false" customHeight="true" outlineLevel="0" collapsed="false">
      <c r="B194" s="113"/>
      <c r="C194" s="159"/>
      <c r="D194" s="160"/>
      <c r="E194" s="200"/>
      <c r="F194" s="201"/>
      <c r="G194" s="165" t="n">
        <v>7</v>
      </c>
      <c r="H194" s="207"/>
      <c r="I194" s="200"/>
      <c r="J194" s="201"/>
      <c r="K194" s="203"/>
      <c r="L194" s="92"/>
      <c r="M194" s="92"/>
      <c r="N194" s="93"/>
      <c r="O194" s="94"/>
    </row>
    <row r="195" s="95" customFormat="true" ht="15" hidden="false" customHeight="true" outlineLevel="0" collapsed="false">
      <c r="B195" s="113"/>
      <c r="C195" s="159"/>
      <c r="D195" s="160"/>
      <c r="E195" s="200"/>
      <c r="F195" s="201"/>
      <c r="G195" s="167" t="n">
        <v>8</v>
      </c>
      <c r="H195" s="208"/>
      <c r="I195" s="200"/>
      <c r="J195" s="201"/>
      <c r="K195" s="203"/>
      <c r="L195" s="92"/>
      <c r="M195" s="92"/>
      <c r="N195" s="93"/>
      <c r="O195" s="94"/>
    </row>
    <row r="196" s="95" customFormat="true" ht="15" hidden="false" customHeight="true" outlineLevel="0" collapsed="false">
      <c r="B196" s="113" t="str">
        <f aca="false">+LEFT(C196,3)</f>
        <v>5.2</v>
      </c>
      <c r="C196" s="159" t="s">
        <v>219</v>
      </c>
      <c r="D196" s="160" t="s">
        <v>220</v>
      </c>
      <c r="E196" s="200" t="s">
        <v>221</v>
      </c>
      <c r="F196" s="201" t="n">
        <v>3</v>
      </c>
      <c r="G196" s="162" t="n">
        <v>1</v>
      </c>
      <c r="H196" s="202" t="s">
        <v>217</v>
      </c>
      <c r="I196" s="173" t="s">
        <v>222</v>
      </c>
      <c r="J196" s="201" t="n">
        <v>3</v>
      </c>
      <c r="K196" s="203" t="str">
        <f aca="false">+IF(OR(ISBLANK(F196),ISBLANK(J196)),"",IF(OR(AND(F196=1,J196=1),AND(F196=1,J196=2),AND(F196=1,J196=3)),"Deficiencia de control mayor (diseño y ejecución)",IF(OR(AND(F196=2,J196=2),AND(F196=3,J196=1),AND(F196=3,J196=2),AND(F196=2,J196=1)),"Deficiencia de control (diseño o ejecución)",IF(AND(F196=2,J196=3),"Oportunidad de mejora","Mantenimiento del control"))))</f>
        <v>Mantenimiento del control</v>
      </c>
      <c r="L196" s="92" t="n">
        <f aca="false">+IF(K196="",0,IF(K196="Deficiencia de control mayor (diseño y ejecución)",4,IF(K196="Deficiencia de control (diseño o ejecución)",20,IF(K196="Oportunidad de mejora",40,60))))</f>
        <v>60</v>
      </c>
      <c r="M196" s="92" t="n">
        <v>1.28965</v>
      </c>
      <c r="N196" s="93" t="n">
        <f aca="false">+L196+M196</f>
        <v>61.28965</v>
      </c>
      <c r="O196" s="94"/>
    </row>
    <row r="197" s="95" customFormat="true" ht="15" hidden="false" customHeight="true" outlineLevel="0" collapsed="false">
      <c r="B197" s="113"/>
      <c r="C197" s="159"/>
      <c r="D197" s="160"/>
      <c r="E197" s="200"/>
      <c r="F197" s="201"/>
      <c r="G197" s="165" t="n">
        <v>2</v>
      </c>
      <c r="H197" s="205"/>
      <c r="I197" s="173"/>
      <c r="J197" s="201"/>
      <c r="K197" s="203"/>
      <c r="L197" s="92"/>
      <c r="M197" s="92"/>
      <c r="N197" s="93"/>
      <c r="O197" s="94"/>
    </row>
    <row r="198" s="95" customFormat="true" ht="15" hidden="false" customHeight="true" outlineLevel="0" collapsed="false">
      <c r="B198" s="113"/>
      <c r="C198" s="159"/>
      <c r="D198" s="160"/>
      <c r="E198" s="200"/>
      <c r="F198" s="201"/>
      <c r="G198" s="165" t="n">
        <v>3</v>
      </c>
      <c r="H198" s="206"/>
      <c r="I198" s="173"/>
      <c r="J198" s="201"/>
      <c r="K198" s="203"/>
      <c r="L198" s="92"/>
      <c r="M198" s="92"/>
      <c r="N198" s="93"/>
      <c r="O198" s="94"/>
    </row>
    <row r="199" s="95" customFormat="true" ht="15" hidden="false" customHeight="true" outlineLevel="0" collapsed="false">
      <c r="B199" s="113"/>
      <c r="C199" s="159"/>
      <c r="D199" s="160"/>
      <c r="E199" s="200"/>
      <c r="F199" s="201"/>
      <c r="G199" s="165" t="n">
        <v>4</v>
      </c>
      <c r="H199" s="206"/>
      <c r="I199" s="173"/>
      <c r="J199" s="201"/>
      <c r="K199" s="203"/>
      <c r="L199" s="92"/>
      <c r="M199" s="92"/>
      <c r="N199" s="93"/>
      <c r="O199" s="94"/>
    </row>
    <row r="200" s="95" customFormat="true" ht="15" hidden="false" customHeight="true" outlineLevel="0" collapsed="false">
      <c r="B200" s="113"/>
      <c r="C200" s="159"/>
      <c r="D200" s="160"/>
      <c r="E200" s="200"/>
      <c r="F200" s="201"/>
      <c r="G200" s="165" t="n">
        <v>5</v>
      </c>
      <c r="H200" s="206"/>
      <c r="I200" s="173"/>
      <c r="J200" s="201"/>
      <c r="K200" s="203"/>
      <c r="L200" s="92"/>
      <c r="M200" s="92"/>
      <c r="N200" s="93"/>
      <c r="O200" s="94"/>
    </row>
    <row r="201" s="95" customFormat="true" ht="15" hidden="false" customHeight="true" outlineLevel="0" collapsed="false">
      <c r="B201" s="113"/>
      <c r="C201" s="159"/>
      <c r="D201" s="160"/>
      <c r="E201" s="200"/>
      <c r="F201" s="201"/>
      <c r="G201" s="165" t="n">
        <v>6</v>
      </c>
      <c r="H201" s="209"/>
      <c r="I201" s="173"/>
      <c r="J201" s="201"/>
      <c r="K201" s="203"/>
      <c r="L201" s="92"/>
      <c r="M201" s="92"/>
      <c r="N201" s="93"/>
      <c r="O201" s="94"/>
    </row>
    <row r="202" s="95" customFormat="true" ht="15" hidden="false" customHeight="true" outlineLevel="0" collapsed="false">
      <c r="B202" s="113"/>
      <c r="C202" s="159"/>
      <c r="D202" s="160"/>
      <c r="E202" s="200"/>
      <c r="F202" s="201"/>
      <c r="G202" s="165" t="n">
        <v>7</v>
      </c>
      <c r="H202" s="209"/>
      <c r="I202" s="173"/>
      <c r="J202" s="201"/>
      <c r="K202" s="203"/>
      <c r="L202" s="92"/>
      <c r="M202" s="92"/>
      <c r="N202" s="93"/>
      <c r="O202" s="94"/>
    </row>
    <row r="203" s="95" customFormat="true" ht="15" hidden="false" customHeight="true" outlineLevel="0" collapsed="false">
      <c r="B203" s="113"/>
      <c r="C203" s="159"/>
      <c r="D203" s="160"/>
      <c r="E203" s="200"/>
      <c r="F203" s="201"/>
      <c r="G203" s="167" t="n">
        <v>8</v>
      </c>
      <c r="H203" s="208"/>
      <c r="I203" s="173"/>
      <c r="J203" s="201"/>
      <c r="K203" s="203"/>
      <c r="L203" s="92"/>
      <c r="M203" s="92"/>
      <c r="N203" s="93"/>
      <c r="O203" s="94"/>
    </row>
    <row r="204" s="95" customFormat="true" ht="15" hidden="false" customHeight="true" outlineLevel="0" collapsed="false">
      <c r="B204" s="113" t="str">
        <f aca="false">+LEFT(C204,3)</f>
        <v>5.3</v>
      </c>
      <c r="C204" s="159" t="s">
        <v>223</v>
      </c>
      <c r="D204" s="160" t="s">
        <v>224</v>
      </c>
      <c r="E204" s="173" t="s">
        <v>225</v>
      </c>
      <c r="F204" s="201" t="n">
        <v>3</v>
      </c>
      <c r="G204" s="162" t="n">
        <v>1</v>
      </c>
      <c r="H204" s="205" t="s">
        <v>226</v>
      </c>
      <c r="I204" s="210" t="s">
        <v>227</v>
      </c>
      <c r="J204" s="201" t="n">
        <v>3</v>
      </c>
      <c r="K204" s="203" t="str">
        <f aca="false">+IF(OR(ISBLANK(F204),ISBLANK(J204)),"",IF(OR(AND(F204=1,J204=1),AND(F204=1,J204=2),AND(F204=1,J204=3)),"Deficiencia de control mayor (diseño y ejecución)",IF(OR(AND(F204=2,J204=2),AND(F204=3,J204=1),AND(F204=3,J204=2),AND(F204=2,J204=1)),"Deficiencia de control (diseño o ejecución)",IF(AND(F204=2,J204=3),"Oportunidad de mejora","Mantenimiento del control"))))</f>
        <v>Mantenimiento del control</v>
      </c>
      <c r="L204" s="92" t="n">
        <f aca="false">+IF(K204="",0,IF(K204="Deficiencia de control mayor (diseño y ejecución)",4,IF(K204="Deficiencia de control (diseño o ejecución)",20,IF(K204="Oportunidad de mejora",40,60))))</f>
        <v>60</v>
      </c>
      <c r="M204" s="92" t="n">
        <v>1.38963</v>
      </c>
      <c r="N204" s="93" t="n">
        <f aca="false">+L204+M204</f>
        <v>61.38963</v>
      </c>
      <c r="O204" s="94"/>
    </row>
    <row r="205" s="95" customFormat="true" ht="15" hidden="false" customHeight="true" outlineLevel="0" collapsed="false">
      <c r="B205" s="113"/>
      <c r="C205" s="159"/>
      <c r="D205" s="160"/>
      <c r="E205" s="173"/>
      <c r="F205" s="201"/>
      <c r="G205" s="165" t="n">
        <v>2</v>
      </c>
      <c r="H205" s="205"/>
      <c r="I205" s="210"/>
      <c r="J205" s="201"/>
      <c r="K205" s="203"/>
      <c r="L205" s="92"/>
      <c r="M205" s="92"/>
      <c r="N205" s="93"/>
      <c r="O205" s="94"/>
    </row>
    <row r="206" s="95" customFormat="true" ht="15" hidden="false" customHeight="true" outlineLevel="0" collapsed="false">
      <c r="B206" s="113"/>
      <c r="C206" s="159"/>
      <c r="D206" s="160"/>
      <c r="E206" s="173"/>
      <c r="F206" s="201"/>
      <c r="G206" s="165" t="n">
        <v>3</v>
      </c>
      <c r="H206" s="204"/>
      <c r="I206" s="210"/>
      <c r="J206" s="201"/>
      <c r="K206" s="203"/>
      <c r="L206" s="92"/>
      <c r="M206" s="92"/>
      <c r="N206" s="93"/>
      <c r="O206" s="94"/>
    </row>
    <row r="207" s="95" customFormat="true" ht="15" hidden="false" customHeight="true" outlineLevel="0" collapsed="false">
      <c r="B207" s="113"/>
      <c r="C207" s="159"/>
      <c r="D207" s="160"/>
      <c r="E207" s="173"/>
      <c r="F207" s="201"/>
      <c r="G207" s="165" t="n">
        <v>4</v>
      </c>
      <c r="H207" s="207"/>
      <c r="I207" s="210"/>
      <c r="J207" s="201"/>
      <c r="K207" s="203"/>
      <c r="L207" s="92"/>
      <c r="M207" s="92"/>
      <c r="N207" s="93"/>
      <c r="O207" s="94"/>
    </row>
    <row r="208" s="95" customFormat="true" ht="15" hidden="false" customHeight="true" outlineLevel="0" collapsed="false">
      <c r="B208" s="113"/>
      <c r="C208" s="159"/>
      <c r="D208" s="160"/>
      <c r="E208" s="173"/>
      <c r="F208" s="201"/>
      <c r="G208" s="165" t="n">
        <v>5</v>
      </c>
      <c r="H208" s="206"/>
      <c r="I208" s="210"/>
      <c r="J208" s="201"/>
      <c r="K208" s="203"/>
      <c r="L208" s="92"/>
      <c r="M208" s="92"/>
      <c r="N208" s="93"/>
      <c r="O208" s="94"/>
    </row>
    <row r="209" s="95" customFormat="true" ht="15" hidden="false" customHeight="true" outlineLevel="0" collapsed="false">
      <c r="B209" s="113"/>
      <c r="C209" s="159"/>
      <c r="D209" s="160"/>
      <c r="E209" s="173"/>
      <c r="F209" s="201"/>
      <c r="G209" s="165" t="n">
        <v>6</v>
      </c>
      <c r="H209" s="206"/>
      <c r="I209" s="210"/>
      <c r="J209" s="201"/>
      <c r="K209" s="203"/>
      <c r="L209" s="92"/>
      <c r="M209" s="92"/>
      <c r="N209" s="93"/>
      <c r="O209" s="94"/>
    </row>
    <row r="210" s="95" customFormat="true" ht="15" hidden="false" customHeight="true" outlineLevel="0" collapsed="false">
      <c r="B210" s="113"/>
      <c r="C210" s="159"/>
      <c r="D210" s="160"/>
      <c r="E210" s="173"/>
      <c r="F210" s="201"/>
      <c r="G210" s="165" t="n">
        <v>7</v>
      </c>
      <c r="H210" s="206"/>
      <c r="I210" s="210"/>
      <c r="J210" s="201"/>
      <c r="K210" s="203"/>
      <c r="L210" s="92"/>
      <c r="M210" s="92"/>
      <c r="N210" s="93"/>
      <c r="O210" s="94"/>
    </row>
    <row r="211" s="95" customFormat="true" ht="15" hidden="false" customHeight="true" outlineLevel="0" collapsed="false">
      <c r="B211" s="113"/>
      <c r="C211" s="159"/>
      <c r="D211" s="160"/>
      <c r="E211" s="173"/>
      <c r="F211" s="201"/>
      <c r="G211" s="167" t="n">
        <v>8</v>
      </c>
      <c r="H211" s="208"/>
      <c r="I211" s="210"/>
      <c r="J211" s="201"/>
      <c r="K211" s="203"/>
      <c r="L211" s="92"/>
      <c r="M211" s="92"/>
      <c r="N211" s="93"/>
      <c r="O211" s="94"/>
    </row>
    <row r="212" customFormat="false" ht="15" hidden="false" customHeight="true" outlineLevel="0" collapsed="false">
      <c r="B212" s="113" t="str">
        <f aca="false">+LEFT(C212,3)</f>
        <v>5.4</v>
      </c>
      <c r="C212" s="159" t="s">
        <v>228</v>
      </c>
      <c r="D212" s="160" t="s">
        <v>229</v>
      </c>
      <c r="E212" s="177" t="s">
        <v>230</v>
      </c>
      <c r="F212" s="201" t="n">
        <v>3</v>
      </c>
      <c r="G212" s="162" t="n">
        <v>1</v>
      </c>
      <c r="H212" s="205" t="s">
        <v>231</v>
      </c>
      <c r="I212" s="173" t="s">
        <v>232</v>
      </c>
      <c r="J212" s="201" t="n">
        <v>3</v>
      </c>
      <c r="K212" s="203" t="str">
        <f aca="false">+IF(OR(ISBLANK(F212),ISBLANK(J212)),"",IF(OR(AND(F212=1,J212=1),AND(F212=1,J212=2),AND(F212=1,J212=3)),"Deficiencia de control mayor (diseño y ejecución)",IF(OR(AND(F212=2,J212=2),AND(F212=3,J212=1),AND(F212=3,J212=2),AND(F212=2,J212=1)),"Deficiencia de control (diseño o ejecución)",IF(AND(F212=2,J212=3),"Oportunidad de mejora","Mantenimiento del control"))))</f>
        <v>Mantenimiento del control</v>
      </c>
      <c r="L212" s="92" t="n">
        <f aca="false">+IF(K212="",0,IF(K212="Deficiencia de control mayor (diseño y ejecución)",4,IF(K212="Deficiencia de control (diseño o ejecución)",20,IF(K212="Oportunidad de mejora",40,60))))</f>
        <v>60</v>
      </c>
      <c r="M212" s="92" t="n">
        <v>1.48963</v>
      </c>
      <c r="N212" s="93" t="n">
        <f aca="false">+L212+M212</f>
        <v>61.48963</v>
      </c>
      <c r="O212" s="94"/>
    </row>
    <row r="213" customFormat="false" ht="15" hidden="false" customHeight="true" outlineLevel="0" collapsed="false">
      <c r="B213" s="113"/>
      <c r="C213" s="159"/>
      <c r="D213" s="160"/>
      <c r="E213" s="177"/>
      <c r="F213" s="201"/>
      <c r="G213" s="165" t="n">
        <v>2</v>
      </c>
      <c r="H213" s="205"/>
      <c r="I213" s="173"/>
      <c r="J213" s="201"/>
      <c r="K213" s="203"/>
      <c r="L213" s="92"/>
      <c r="M213" s="92"/>
      <c r="N213" s="93"/>
      <c r="O213" s="94"/>
    </row>
    <row r="214" customFormat="false" ht="15" hidden="false" customHeight="true" outlineLevel="0" collapsed="false">
      <c r="B214" s="113"/>
      <c r="C214" s="159"/>
      <c r="D214" s="160"/>
      <c r="E214" s="177"/>
      <c r="F214" s="201"/>
      <c r="G214" s="165" t="n">
        <v>3</v>
      </c>
      <c r="H214" s="205"/>
      <c r="I214" s="173"/>
      <c r="J214" s="201"/>
      <c r="K214" s="203"/>
      <c r="L214" s="92"/>
      <c r="M214" s="92"/>
      <c r="N214" s="93"/>
      <c r="O214" s="94"/>
    </row>
    <row r="215" s="95" customFormat="true" ht="15" hidden="false" customHeight="true" outlineLevel="0" collapsed="false">
      <c r="B215" s="113"/>
      <c r="C215" s="159"/>
      <c r="D215" s="160"/>
      <c r="E215" s="177"/>
      <c r="F215" s="201"/>
      <c r="G215" s="165" t="n">
        <v>4</v>
      </c>
      <c r="H215" s="206"/>
      <c r="I215" s="173"/>
      <c r="J215" s="201"/>
      <c r="K215" s="203"/>
      <c r="L215" s="92"/>
      <c r="M215" s="92"/>
      <c r="N215" s="93"/>
      <c r="O215" s="94"/>
    </row>
    <row r="216" s="95" customFormat="true" ht="15" hidden="false" customHeight="true" outlineLevel="0" collapsed="false">
      <c r="B216" s="113"/>
      <c r="C216" s="159"/>
      <c r="D216" s="160"/>
      <c r="E216" s="177"/>
      <c r="F216" s="201"/>
      <c r="G216" s="165" t="n">
        <v>5</v>
      </c>
      <c r="H216" s="206"/>
      <c r="I216" s="173"/>
      <c r="J216" s="201"/>
      <c r="K216" s="203"/>
      <c r="L216" s="92"/>
      <c r="M216" s="92"/>
      <c r="N216" s="93"/>
      <c r="O216" s="94"/>
    </row>
    <row r="217" s="95" customFormat="true" ht="15" hidden="false" customHeight="true" outlineLevel="0" collapsed="false">
      <c r="B217" s="113"/>
      <c r="C217" s="159"/>
      <c r="D217" s="160"/>
      <c r="E217" s="177"/>
      <c r="F217" s="201"/>
      <c r="G217" s="165" t="n">
        <v>6</v>
      </c>
      <c r="H217" s="209"/>
      <c r="I217" s="173"/>
      <c r="J217" s="201"/>
      <c r="K217" s="203"/>
      <c r="L217" s="92"/>
      <c r="M217" s="92"/>
      <c r="N217" s="93"/>
      <c r="O217" s="94"/>
    </row>
    <row r="218" s="95" customFormat="true" ht="15" hidden="false" customHeight="true" outlineLevel="0" collapsed="false">
      <c r="B218" s="113"/>
      <c r="C218" s="159"/>
      <c r="D218" s="160"/>
      <c r="E218" s="177"/>
      <c r="F218" s="201"/>
      <c r="G218" s="165" t="n">
        <v>7</v>
      </c>
      <c r="H218" s="209"/>
      <c r="I218" s="173"/>
      <c r="J218" s="201"/>
      <c r="K218" s="203"/>
      <c r="L218" s="92"/>
      <c r="M218" s="92"/>
      <c r="N218" s="93"/>
      <c r="O218" s="94"/>
    </row>
    <row r="219" s="95" customFormat="true" ht="15" hidden="false" customHeight="true" outlineLevel="0" collapsed="false">
      <c r="B219" s="113"/>
      <c r="C219" s="159"/>
      <c r="D219" s="160"/>
      <c r="E219" s="177"/>
      <c r="F219" s="201"/>
      <c r="G219" s="167" t="n">
        <v>8</v>
      </c>
      <c r="H219" s="208"/>
      <c r="I219" s="173"/>
      <c r="J219" s="201"/>
      <c r="K219" s="203"/>
      <c r="L219" s="92"/>
      <c r="M219" s="92"/>
      <c r="N219" s="93"/>
      <c r="O219" s="94"/>
    </row>
    <row r="220" s="95" customFormat="true" ht="15" hidden="false" customHeight="true" outlineLevel="0" collapsed="false">
      <c r="B220" s="113" t="str">
        <f aca="false">+LEFT(C220,3)</f>
        <v>5.5</v>
      </c>
      <c r="C220" s="159" t="s">
        <v>233</v>
      </c>
      <c r="D220" s="160" t="s">
        <v>234</v>
      </c>
      <c r="E220" s="177" t="s">
        <v>235</v>
      </c>
      <c r="F220" s="201" t="n">
        <v>3</v>
      </c>
      <c r="G220" s="162" t="n">
        <v>1</v>
      </c>
      <c r="H220" s="205" t="s">
        <v>236</v>
      </c>
      <c r="I220" s="173" t="s">
        <v>237</v>
      </c>
      <c r="J220" s="201" t="n">
        <v>3</v>
      </c>
      <c r="K220" s="203" t="str">
        <f aca="false">+IF(OR(ISBLANK(F220),ISBLANK(J220)),"",IF(OR(AND(F220=1,J220=1),AND(F220=1,J220=2),AND(F220=1,J220=3)),"Deficiencia de control mayor (diseño y ejecución)",IF(OR(AND(F220=2,J220=2),AND(F220=3,J220=1),AND(F220=3,J220=2),AND(F220=2,J220=1)),"Deficiencia de control (diseño o ejecución)",IF(AND(F220=2,J220=3),"Oportunidad de mejora","Mantenimiento del control"))))</f>
        <v>Mantenimiento del control</v>
      </c>
      <c r="L220" s="92" t="n">
        <f aca="false">+IF(K220="",0,IF(K220="Deficiencia de control mayor (diseño y ejecución)",4,IF(K220="Deficiencia de control (diseño o ejecución)",20,IF(K220="Oportunidad de mejora",40,60))))</f>
        <v>60</v>
      </c>
      <c r="M220" s="92" t="n">
        <v>1.58965</v>
      </c>
      <c r="N220" s="93" t="n">
        <f aca="false">+L220+M220</f>
        <v>61.58965</v>
      </c>
      <c r="O220" s="94"/>
    </row>
    <row r="221" s="95" customFormat="true" ht="15" hidden="false" customHeight="true" outlineLevel="0" collapsed="false">
      <c r="B221" s="113"/>
      <c r="C221" s="159"/>
      <c r="D221" s="160"/>
      <c r="E221" s="177"/>
      <c r="F221" s="201"/>
      <c r="G221" s="165" t="n">
        <v>2</v>
      </c>
      <c r="H221" s="206"/>
      <c r="I221" s="173"/>
      <c r="J221" s="201"/>
      <c r="K221" s="203"/>
      <c r="L221" s="92"/>
      <c r="M221" s="92"/>
      <c r="N221" s="93"/>
      <c r="O221" s="94"/>
    </row>
    <row r="222" s="95" customFormat="true" ht="15" hidden="false" customHeight="true" outlineLevel="0" collapsed="false">
      <c r="B222" s="113"/>
      <c r="C222" s="159"/>
      <c r="D222" s="160"/>
      <c r="E222" s="177"/>
      <c r="F222" s="201"/>
      <c r="G222" s="165" t="n">
        <v>3</v>
      </c>
      <c r="H222" s="206"/>
      <c r="I222" s="173"/>
      <c r="J222" s="201"/>
      <c r="K222" s="203"/>
      <c r="L222" s="92"/>
      <c r="M222" s="92"/>
      <c r="N222" s="93"/>
      <c r="O222" s="94"/>
    </row>
    <row r="223" s="95" customFormat="true" ht="15" hidden="false" customHeight="true" outlineLevel="0" collapsed="false">
      <c r="B223" s="113"/>
      <c r="C223" s="159"/>
      <c r="D223" s="160"/>
      <c r="E223" s="177"/>
      <c r="F223" s="201"/>
      <c r="G223" s="165" t="n">
        <v>4</v>
      </c>
      <c r="H223" s="206"/>
      <c r="I223" s="173"/>
      <c r="J223" s="201"/>
      <c r="K223" s="203"/>
      <c r="L223" s="92"/>
      <c r="M223" s="92"/>
      <c r="N223" s="93"/>
      <c r="O223" s="94"/>
    </row>
    <row r="224" s="95" customFormat="true" ht="15" hidden="false" customHeight="true" outlineLevel="0" collapsed="false">
      <c r="B224" s="113"/>
      <c r="C224" s="159"/>
      <c r="D224" s="160"/>
      <c r="E224" s="177"/>
      <c r="F224" s="201"/>
      <c r="G224" s="165" t="n">
        <v>5</v>
      </c>
      <c r="H224" s="206"/>
      <c r="I224" s="173"/>
      <c r="J224" s="201"/>
      <c r="K224" s="203"/>
      <c r="L224" s="92"/>
      <c r="M224" s="92"/>
      <c r="N224" s="93"/>
      <c r="O224" s="94"/>
    </row>
    <row r="225" s="95" customFormat="true" ht="15" hidden="false" customHeight="true" outlineLevel="0" collapsed="false">
      <c r="B225" s="113"/>
      <c r="C225" s="159"/>
      <c r="D225" s="160"/>
      <c r="E225" s="177"/>
      <c r="F225" s="201"/>
      <c r="G225" s="165" t="n">
        <v>6</v>
      </c>
      <c r="H225" s="206"/>
      <c r="I225" s="173"/>
      <c r="J225" s="201"/>
      <c r="K225" s="203"/>
      <c r="L225" s="92"/>
      <c r="M225" s="92"/>
      <c r="N225" s="93"/>
      <c r="O225" s="94"/>
    </row>
    <row r="226" s="95" customFormat="true" ht="15" hidden="false" customHeight="true" outlineLevel="0" collapsed="false">
      <c r="B226" s="113"/>
      <c r="C226" s="159"/>
      <c r="D226" s="160"/>
      <c r="E226" s="177"/>
      <c r="F226" s="201"/>
      <c r="G226" s="165" t="n">
        <v>7</v>
      </c>
      <c r="H226" s="209"/>
      <c r="I226" s="173"/>
      <c r="J226" s="201"/>
      <c r="K226" s="203"/>
      <c r="L226" s="92"/>
      <c r="M226" s="92"/>
      <c r="N226" s="93"/>
      <c r="O226" s="94"/>
    </row>
    <row r="227" s="95" customFormat="true" ht="15" hidden="false" customHeight="true" outlineLevel="0" collapsed="false">
      <c r="B227" s="113"/>
      <c r="C227" s="159"/>
      <c r="D227" s="160"/>
      <c r="E227" s="177"/>
      <c r="F227" s="201"/>
      <c r="G227" s="167" t="n">
        <v>8</v>
      </c>
      <c r="H227" s="208"/>
      <c r="I227" s="173"/>
      <c r="J227" s="201"/>
      <c r="K227" s="203"/>
      <c r="L227" s="92"/>
      <c r="M227" s="92"/>
      <c r="N227" s="93"/>
      <c r="O227" s="94"/>
    </row>
    <row r="228" customFormat="false" ht="15" hidden="false" customHeight="true" outlineLevel="0" collapsed="false">
      <c r="B228" s="113" t="str">
        <f aca="false">+LEFT(C228,3)</f>
        <v>5.6</v>
      </c>
      <c r="C228" s="159" t="s">
        <v>238</v>
      </c>
      <c r="D228" s="160" t="s">
        <v>234</v>
      </c>
      <c r="E228" s="177" t="s">
        <v>239</v>
      </c>
      <c r="F228" s="201" t="n">
        <v>3</v>
      </c>
      <c r="G228" s="162" t="n">
        <v>1</v>
      </c>
      <c r="H228" s="205" t="s">
        <v>236</v>
      </c>
      <c r="I228" s="173" t="s">
        <v>237</v>
      </c>
      <c r="J228" s="201" t="n">
        <v>3</v>
      </c>
      <c r="K228" s="203" t="str">
        <f aca="false">+IF(OR(ISBLANK(F228),ISBLANK(J228)),"",IF(OR(AND(F228=1,J228=1),AND(F228=1,J228=2),AND(F228=1,J228=3)),"Deficiencia de control mayor (diseño y ejecución)",IF(OR(AND(F228=2,J228=2),AND(F228=3,J228=1),AND(F228=3,J228=2),AND(F228=2,J228=1)),"Deficiencia de control (diseño o ejecución)",IF(AND(F228=2,J228=3),"Oportunidad de mejora","Mantenimiento del control"))))</f>
        <v>Mantenimiento del control</v>
      </c>
      <c r="L228" s="92" t="n">
        <f aca="false">+IF(K228="",0,IF(K228="Deficiencia de control mayor (diseño y ejecución)",4,IF(K228="Deficiencia de control (diseño o ejecución)",20,IF(K228="Oportunidad de mejora",40,60))))</f>
        <v>60</v>
      </c>
      <c r="M228" s="92" t="n">
        <v>1.689653</v>
      </c>
      <c r="N228" s="93" t="n">
        <f aca="false">+L228+M228</f>
        <v>61.689653</v>
      </c>
      <c r="O228" s="94"/>
    </row>
    <row r="229" customFormat="false" ht="15" hidden="false" customHeight="true" outlineLevel="0" collapsed="false">
      <c r="B229" s="113"/>
      <c r="C229" s="159"/>
      <c r="D229" s="160"/>
      <c r="E229" s="177"/>
      <c r="F229" s="201"/>
      <c r="G229" s="165" t="n">
        <v>2</v>
      </c>
      <c r="H229" s="206"/>
      <c r="I229" s="173"/>
      <c r="J229" s="201"/>
      <c r="K229" s="203"/>
      <c r="L229" s="92"/>
      <c r="M229" s="92"/>
      <c r="N229" s="93"/>
      <c r="O229" s="94"/>
    </row>
    <row r="230" s="95" customFormat="true" ht="15" hidden="false" customHeight="true" outlineLevel="0" collapsed="false">
      <c r="B230" s="113"/>
      <c r="C230" s="159"/>
      <c r="D230" s="160"/>
      <c r="E230" s="177"/>
      <c r="F230" s="201"/>
      <c r="G230" s="165" t="n">
        <v>3</v>
      </c>
      <c r="H230" s="209"/>
      <c r="I230" s="173"/>
      <c r="J230" s="201"/>
      <c r="K230" s="203"/>
      <c r="L230" s="92"/>
      <c r="M230" s="92"/>
      <c r="N230" s="93"/>
      <c r="O230" s="94"/>
    </row>
    <row r="231" s="95" customFormat="true" ht="15" hidden="false" customHeight="true" outlineLevel="0" collapsed="false">
      <c r="B231" s="113"/>
      <c r="C231" s="159"/>
      <c r="D231" s="160"/>
      <c r="E231" s="177"/>
      <c r="F231" s="201"/>
      <c r="G231" s="165" t="n">
        <v>4</v>
      </c>
      <c r="H231" s="209"/>
      <c r="I231" s="173"/>
      <c r="J231" s="201"/>
      <c r="K231" s="203"/>
      <c r="L231" s="92"/>
      <c r="M231" s="92"/>
      <c r="N231" s="93"/>
      <c r="O231" s="94"/>
    </row>
    <row r="232" s="95" customFormat="true" ht="15" hidden="false" customHeight="true" outlineLevel="0" collapsed="false">
      <c r="B232" s="113"/>
      <c r="C232" s="159"/>
      <c r="D232" s="160"/>
      <c r="E232" s="177"/>
      <c r="F232" s="201"/>
      <c r="G232" s="165" t="n">
        <v>5</v>
      </c>
      <c r="H232" s="209"/>
      <c r="I232" s="173"/>
      <c r="J232" s="201"/>
      <c r="K232" s="203"/>
      <c r="L232" s="92"/>
      <c r="M232" s="92"/>
      <c r="N232" s="93"/>
      <c r="O232" s="94"/>
    </row>
    <row r="233" s="95" customFormat="true" ht="15" hidden="false" customHeight="true" outlineLevel="0" collapsed="false">
      <c r="B233" s="113"/>
      <c r="C233" s="159"/>
      <c r="D233" s="160"/>
      <c r="E233" s="177"/>
      <c r="F233" s="201"/>
      <c r="G233" s="165" t="n">
        <v>6</v>
      </c>
      <c r="H233" s="209"/>
      <c r="I233" s="173"/>
      <c r="J233" s="201"/>
      <c r="K233" s="203"/>
      <c r="L233" s="92"/>
      <c r="M233" s="92"/>
      <c r="N233" s="93"/>
      <c r="O233" s="94"/>
    </row>
    <row r="234" s="95" customFormat="true" ht="15" hidden="false" customHeight="true" outlineLevel="0" collapsed="false">
      <c r="B234" s="113"/>
      <c r="C234" s="159"/>
      <c r="D234" s="160"/>
      <c r="E234" s="177"/>
      <c r="F234" s="201"/>
      <c r="G234" s="165" t="n">
        <v>7</v>
      </c>
      <c r="H234" s="209"/>
      <c r="I234" s="173"/>
      <c r="J234" s="201"/>
      <c r="K234" s="203"/>
      <c r="L234" s="92"/>
      <c r="M234" s="92"/>
      <c r="N234" s="93"/>
      <c r="O234" s="94"/>
    </row>
    <row r="235" s="95" customFormat="true" ht="15" hidden="false" customHeight="true" outlineLevel="0" collapsed="false">
      <c r="B235" s="113"/>
      <c r="C235" s="159"/>
      <c r="D235" s="160"/>
      <c r="E235" s="177"/>
      <c r="F235" s="201"/>
      <c r="G235" s="167" t="n">
        <v>8</v>
      </c>
      <c r="H235" s="168"/>
      <c r="I235" s="173"/>
      <c r="J235" s="201"/>
      <c r="K235" s="203"/>
      <c r="L235" s="92"/>
      <c r="M235" s="92"/>
      <c r="N235" s="93"/>
      <c r="O235" s="94"/>
    </row>
    <row r="236" customFormat="false" ht="15" hidden="false" customHeight="true" outlineLevel="0" collapsed="false">
      <c r="A236" s="95"/>
    </row>
    <row r="237" customFormat="false" ht="15" hidden="false" customHeight="true" outlineLevel="0" collapsed="false">
      <c r="A237" s="95"/>
      <c r="B237" s="211"/>
      <c r="C237" s="95"/>
      <c r="D237" s="95"/>
      <c r="E237" s="95"/>
      <c r="F237" s="95"/>
      <c r="G237" s="95"/>
      <c r="H237" s="95"/>
      <c r="I237" s="95"/>
    </row>
  </sheetData>
  <sheetProtection algorithmName="SHA-512" hashValue="aDshBhmzNXhsQTxLIdYt+6x1+NqZa+BUKY47hnusL+GyubKLvR+w0c8hfPcIg3stthY/IV94RBT4lK7HLmOEcQ==" saltValue="2r/55Sek4cW80H/oY29DHw==" spinCount="100000" sheet="true" objects="true" scenarios="true" formatCells="false" formatColumns="false" formatRows="false"/>
  <mergeCells count="381">
    <mergeCell ref="E13:E14"/>
    <mergeCell ref="F13:J14"/>
    <mergeCell ref="F15:J15"/>
    <mergeCell ref="C18:K18"/>
    <mergeCell ref="C19:K19"/>
    <mergeCell ref="B21:B23"/>
    <mergeCell ref="C21:C23"/>
    <mergeCell ref="D21:D23"/>
    <mergeCell ref="E21:E23"/>
    <mergeCell ref="F21:F23"/>
    <mergeCell ref="G21:I21"/>
    <mergeCell ref="J21:J23"/>
    <mergeCell ref="K21:K23"/>
    <mergeCell ref="L21:L23"/>
    <mergeCell ref="M21:M23"/>
    <mergeCell ref="N21:N23"/>
    <mergeCell ref="O21:O23"/>
    <mergeCell ref="G22:G23"/>
    <mergeCell ref="H22:H23"/>
    <mergeCell ref="I22:I23"/>
    <mergeCell ref="A24:A31"/>
    <mergeCell ref="B24:B31"/>
    <mergeCell ref="C24:C31"/>
    <mergeCell ref="D24:D31"/>
    <mergeCell ref="E24:E31"/>
    <mergeCell ref="F24:F31"/>
    <mergeCell ref="I24:I31"/>
    <mergeCell ref="J24:J31"/>
    <mergeCell ref="K24:K31"/>
    <mergeCell ref="L24:L31"/>
    <mergeCell ref="M24:M31"/>
    <mergeCell ref="N24:N31"/>
    <mergeCell ref="O24:O31"/>
    <mergeCell ref="B32:B39"/>
    <mergeCell ref="C32:C39"/>
    <mergeCell ref="D32:D39"/>
    <mergeCell ref="E32:E39"/>
    <mergeCell ref="F32:F39"/>
    <mergeCell ref="I32:I39"/>
    <mergeCell ref="J32:J39"/>
    <mergeCell ref="K32:K39"/>
    <mergeCell ref="L32:L39"/>
    <mergeCell ref="M32:M39"/>
    <mergeCell ref="N32:N39"/>
    <mergeCell ref="O32:O39"/>
    <mergeCell ref="B40:B47"/>
    <mergeCell ref="C40:C47"/>
    <mergeCell ref="D40:D47"/>
    <mergeCell ref="E40:E47"/>
    <mergeCell ref="F40:F47"/>
    <mergeCell ref="I40:I47"/>
    <mergeCell ref="J40:J47"/>
    <mergeCell ref="K40:K47"/>
    <mergeCell ref="L40:L47"/>
    <mergeCell ref="M40:M47"/>
    <mergeCell ref="N40:N47"/>
    <mergeCell ref="O40:O47"/>
    <mergeCell ref="B48:B55"/>
    <mergeCell ref="C48:C55"/>
    <mergeCell ref="D48:D55"/>
    <mergeCell ref="E48:E55"/>
    <mergeCell ref="F48:F55"/>
    <mergeCell ref="I48:I55"/>
    <mergeCell ref="J48:J55"/>
    <mergeCell ref="K48:K55"/>
    <mergeCell ref="L48:L55"/>
    <mergeCell ref="M48:M55"/>
    <mergeCell ref="N48:N55"/>
    <mergeCell ref="O48:O55"/>
    <mergeCell ref="B56:B63"/>
    <mergeCell ref="C56:C63"/>
    <mergeCell ref="D56:D63"/>
    <mergeCell ref="E56:E63"/>
    <mergeCell ref="F56:F63"/>
    <mergeCell ref="I56:I63"/>
    <mergeCell ref="J56:J63"/>
    <mergeCell ref="K56:K63"/>
    <mergeCell ref="L56:L63"/>
    <mergeCell ref="M56:M63"/>
    <mergeCell ref="N56:N63"/>
    <mergeCell ref="O56:O63"/>
    <mergeCell ref="B64:B71"/>
    <mergeCell ref="C64:C71"/>
    <mergeCell ref="D64:D71"/>
    <mergeCell ref="E64:E71"/>
    <mergeCell ref="F64:F71"/>
    <mergeCell ref="I64:I71"/>
    <mergeCell ref="J64:J71"/>
    <mergeCell ref="K64:K71"/>
    <mergeCell ref="L64:L71"/>
    <mergeCell ref="M64:M71"/>
    <mergeCell ref="N64:N71"/>
    <mergeCell ref="O64:O71"/>
    <mergeCell ref="B72:B74"/>
    <mergeCell ref="C72:C74"/>
    <mergeCell ref="D72:D74"/>
    <mergeCell ref="E72:E74"/>
    <mergeCell ref="F72:F74"/>
    <mergeCell ref="G72:I72"/>
    <mergeCell ref="J72:J74"/>
    <mergeCell ref="K72:K74"/>
    <mergeCell ref="L72:L74"/>
    <mergeCell ref="M72:M74"/>
    <mergeCell ref="N72:N74"/>
    <mergeCell ref="O72:O74"/>
    <mergeCell ref="G73:G74"/>
    <mergeCell ref="H73:H74"/>
    <mergeCell ref="I73:I74"/>
    <mergeCell ref="B75:B82"/>
    <mergeCell ref="C75:C82"/>
    <mergeCell ref="D75:D82"/>
    <mergeCell ref="E75:E82"/>
    <mergeCell ref="F75:F82"/>
    <mergeCell ref="I75:I82"/>
    <mergeCell ref="J75:J82"/>
    <mergeCell ref="K75:K82"/>
    <mergeCell ref="L75:L82"/>
    <mergeCell ref="M75:M82"/>
    <mergeCell ref="N75:N82"/>
    <mergeCell ref="O75:O82"/>
    <mergeCell ref="B83:B90"/>
    <mergeCell ref="C83:C90"/>
    <mergeCell ref="D83:D90"/>
    <mergeCell ref="E83:E90"/>
    <mergeCell ref="F83:F90"/>
    <mergeCell ref="I83:I90"/>
    <mergeCell ref="J83:J90"/>
    <mergeCell ref="K83:K90"/>
    <mergeCell ref="L83:L90"/>
    <mergeCell ref="M83:M90"/>
    <mergeCell ref="N83:N90"/>
    <mergeCell ref="O83:O90"/>
    <mergeCell ref="B91:B98"/>
    <mergeCell ref="C91:C98"/>
    <mergeCell ref="D91:D98"/>
    <mergeCell ref="E91:E98"/>
    <mergeCell ref="F91:F98"/>
    <mergeCell ref="I91:I98"/>
    <mergeCell ref="J91:J98"/>
    <mergeCell ref="K91:K98"/>
    <mergeCell ref="L91:L98"/>
    <mergeCell ref="M91:M98"/>
    <mergeCell ref="N91:N98"/>
    <mergeCell ref="O91:O98"/>
    <mergeCell ref="B99:B101"/>
    <mergeCell ref="C99:C101"/>
    <mergeCell ref="D99:D101"/>
    <mergeCell ref="E99:E101"/>
    <mergeCell ref="F99:F101"/>
    <mergeCell ref="G99:I99"/>
    <mergeCell ref="J99:J101"/>
    <mergeCell ref="K99:K101"/>
    <mergeCell ref="L99:L101"/>
    <mergeCell ref="M99:M101"/>
    <mergeCell ref="N99:N101"/>
    <mergeCell ref="O99:O101"/>
    <mergeCell ref="G100:G101"/>
    <mergeCell ref="H100:H101"/>
    <mergeCell ref="I100:I101"/>
    <mergeCell ref="B102:B109"/>
    <mergeCell ref="C102:C109"/>
    <mergeCell ref="D102:D109"/>
    <mergeCell ref="E102:E109"/>
    <mergeCell ref="F102:F109"/>
    <mergeCell ref="I102:I109"/>
    <mergeCell ref="J102:J109"/>
    <mergeCell ref="K102:K109"/>
    <mergeCell ref="L102:L109"/>
    <mergeCell ref="M102:M109"/>
    <mergeCell ref="N102:N109"/>
    <mergeCell ref="O102:O109"/>
    <mergeCell ref="B110:B117"/>
    <mergeCell ref="C110:C117"/>
    <mergeCell ref="D110:D117"/>
    <mergeCell ref="E110:E117"/>
    <mergeCell ref="F110:F117"/>
    <mergeCell ref="I110:I117"/>
    <mergeCell ref="J110:J117"/>
    <mergeCell ref="K110:K117"/>
    <mergeCell ref="L110:L117"/>
    <mergeCell ref="M110:M117"/>
    <mergeCell ref="N110:N117"/>
    <mergeCell ref="O110:O117"/>
    <mergeCell ref="B118:B125"/>
    <mergeCell ref="C118:C125"/>
    <mergeCell ref="D118:D125"/>
    <mergeCell ref="E118:E125"/>
    <mergeCell ref="F118:F125"/>
    <mergeCell ref="I118:I125"/>
    <mergeCell ref="J118:J125"/>
    <mergeCell ref="K118:K125"/>
    <mergeCell ref="L118:L125"/>
    <mergeCell ref="M118:M125"/>
    <mergeCell ref="N118:N125"/>
    <mergeCell ref="O118:O125"/>
    <mergeCell ref="B126:B128"/>
    <mergeCell ref="C126:C128"/>
    <mergeCell ref="D126:D128"/>
    <mergeCell ref="E126:E128"/>
    <mergeCell ref="F126:F128"/>
    <mergeCell ref="G126:I126"/>
    <mergeCell ref="J126:J128"/>
    <mergeCell ref="K126:K128"/>
    <mergeCell ref="L126:L128"/>
    <mergeCell ref="M126:M128"/>
    <mergeCell ref="N126:N128"/>
    <mergeCell ref="O126:O128"/>
    <mergeCell ref="G127:G128"/>
    <mergeCell ref="H127:H128"/>
    <mergeCell ref="I127:I128"/>
    <mergeCell ref="B129:B136"/>
    <mergeCell ref="C129:C136"/>
    <mergeCell ref="D129:D136"/>
    <mergeCell ref="E129:E136"/>
    <mergeCell ref="F129:F136"/>
    <mergeCell ref="I129:I136"/>
    <mergeCell ref="J129:J136"/>
    <mergeCell ref="K129:K136"/>
    <mergeCell ref="L129:L136"/>
    <mergeCell ref="M129:M136"/>
    <mergeCell ref="N129:N136"/>
    <mergeCell ref="O129:O136"/>
    <mergeCell ref="B137:B144"/>
    <mergeCell ref="C137:C144"/>
    <mergeCell ref="D137:D144"/>
    <mergeCell ref="E137:E144"/>
    <mergeCell ref="F137:F144"/>
    <mergeCell ref="I137:I144"/>
    <mergeCell ref="J137:J144"/>
    <mergeCell ref="K137:K144"/>
    <mergeCell ref="L137:L144"/>
    <mergeCell ref="M137:M144"/>
    <mergeCell ref="N137:N144"/>
    <mergeCell ref="O137:O144"/>
    <mergeCell ref="B145:B152"/>
    <mergeCell ref="C145:C152"/>
    <mergeCell ref="D145:D152"/>
    <mergeCell ref="E145:E152"/>
    <mergeCell ref="F145:F152"/>
    <mergeCell ref="I145:I152"/>
    <mergeCell ref="J145:J152"/>
    <mergeCell ref="K145:K152"/>
    <mergeCell ref="L145:L152"/>
    <mergeCell ref="M145:M152"/>
    <mergeCell ref="N145:N152"/>
    <mergeCell ref="O145:O152"/>
    <mergeCell ref="B153:B160"/>
    <mergeCell ref="C153:C160"/>
    <mergeCell ref="D153:D160"/>
    <mergeCell ref="E153:E160"/>
    <mergeCell ref="F153:F160"/>
    <mergeCell ref="I153:I160"/>
    <mergeCell ref="J153:J160"/>
    <mergeCell ref="K153:K160"/>
    <mergeCell ref="L153:L160"/>
    <mergeCell ref="M153:M160"/>
    <mergeCell ref="N153:N160"/>
    <mergeCell ref="O153:O160"/>
    <mergeCell ref="B161:B168"/>
    <mergeCell ref="C161:C168"/>
    <mergeCell ref="D161:D168"/>
    <mergeCell ref="E161:E168"/>
    <mergeCell ref="F161:F168"/>
    <mergeCell ref="I161:I168"/>
    <mergeCell ref="J161:J168"/>
    <mergeCell ref="K161:K168"/>
    <mergeCell ref="L161:L168"/>
    <mergeCell ref="M161:M168"/>
    <mergeCell ref="N161:N168"/>
    <mergeCell ref="O161:O168"/>
    <mergeCell ref="B169:B176"/>
    <mergeCell ref="C169:C176"/>
    <mergeCell ref="D169:D176"/>
    <mergeCell ref="E169:E176"/>
    <mergeCell ref="F169:F176"/>
    <mergeCell ref="I169:I176"/>
    <mergeCell ref="J169:J176"/>
    <mergeCell ref="K169:K176"/>
    <mergeCell ref="L169:L176"/>
    <mergeCell ref="M169:M176"/>
    <mergeCell ref="N169:N176"/>
    <mergeCell ref="O169:O176"/>
    <mergeCell ref="B177:B184"/>
    <mergeCell ref="C177:C184"/>
    <mergeCell ref="D177:D184"/>
    <mergeCell ref="E177:E184"/>
    <mergeCell ref="F177:F184"/>
    <mergeCell ref="I177:I184"/>
    <mergeCell ref="J177:J184"/>
    <mergeCell ref="K177:K184"/>
    <mergeCell ref="L177:L184"/>
    <mergeCell ref="M177:M184"/>
    <mergeCell ref="N177:N184"/>
    <mergeCell ref="O177:O184"/>
    <mergeCell ref="B185:B187"/>
    <mergeCell ref="C185:C187"/>
    <mergeCell ref="D185:D187"/>
    <mergeCell ref="E185:E187"/>
    <mergeCell ref="F185:F187"/>
    <mergeCell ref="G185:I185"/>
    <mergeCell ref="J185:J187"/>
    <mergeCell ref="K185:K187"/>
    <mergeCell ref="L185:L187"/>
    <mergeCell ref="M185:M187"/>
    <mergeCell ref="N185:N187"/>
    <mergeCell ref="O185:O187"/>
    <mergeCell ref="G186:G187"/>
    <mergeCell ref="H186:H187"/>
    <mergeCell ref="I186:I187"/>
    <mergeCell ref="B188:B195"/>
    <mergeCell ref="C188:C195"/>
    <mergeCell ref="D188:D195"/>
    <mergeCell ref="E188:E195"/>
    <mergeCell ref="F188:F195"/>
    <mergeCell ref="I188:I195"/>
    <mergeCell ref="J188:J195"/>
    <mergeCell ref="K188:K195"/>
    <mergeCell ref="L188:L195"/>
    <mergeCell ref="M188:M195"/>
    <mergeCell ref="N188:N195"/>
    <mergeCell ref="O188:O195"/>
    <mergeCell ref="B196:B203"/>
    <mergeCell ref="C196:C203"/>
    <mergeCell ref="D196:D203"/>
    <mergeCell ref="E196:E203"/>
    <mergeCell ref="F196:F203"/>
    <mergeCell ref="I196:I203"/>
    <mergeCell ref="J196:J203"/>
    <mergeCell ref="K196:K203"/>
    <mergeCell ref="L196:L203"/>
    <mergeCell ref="M196:M203"/>
    <mergeCell ref="N196:N203"/>
    <mergeCell ref="O196:O203"/>
    <mergeCell ref="B204:B211"/>
    <mergeCell ref="C204:C211"/>
    <mergeCell ref="D204:D211"/>
    <mergeCell ref="E204:E211"/>
    <mergeCell ref="F204:F211"/>
    <mergeCell ref="I204:I211"/>
    <mergeCell ref="J204:J211"/>
    <mergeCell ref="K204:K211"/>
    <mergeCell ref="L204:L211"/>
    <mergeCell ref="M204:M211"/>
    <mergeCell ref="N204:N211"/>
    <mergeCell ref="O204:O211"/>
    <mergeCell ref="B212:B219"/>
    <mergeCell ref="C212:C219"/>
    <mergeCell ref="D212:D219"/>
    <mergeCell ref="E212:E219"/>
    <mergeCell ref="F212:F219"/>
    <mergeCell ref="I212:I219"/>
    <mergeCell ref="J212:J219"/>
    <mergeCell ref="K212:K219"/>
    <mergeCell ref="L212:L219"/>
    <mergeCell ref="M212:M219"/>
    <mergeCell ref="N212:N219"/>
    <mergeCell ref="O212:O219"/>
    <mergeCell ref="B220:B227"/>
    <mergeCell ref="C220:C227"/>
    <mergeCell ref="D220:D227"/>
    <mergeCell ref="E220:E227"/>
    <mergeCell ref="F220:F227"/>
    <mergeCell ref="I220:I227"/>
    <mergeCell ref="J220:J227"/>
    <mergeCell ref="K220:K227"/>
    <mergeCell ref="L220:L227"/>
    <mergeCell ref="M220:M227"/>
    <mergeCell ref="N220:N227"/>
    <mergeCell ref="O220:O227"/>
    <mergeCell ref="B228:B235"/>
    <mergeCell ref="C228:C235"/>
    <mergeCell ref="D228:D235"/>
    <mergeCell ref="E228:E235"/>
    <mergeCell ref="F228:F235"/>
    <mergeCell ref="I228:I235"/>
    <mergeCell ref="J228:J235"/>
    <mergeCell ref="K228:K235"/>
    <mergeCell ref="L228:L235"/>
    <mergeCell ref="M228:M235"/>
    <mergeCell ref="N228:N235"/>
    <mergeCell ref="O228:O235"/>
  </mergeCells>
  <dataValidations count="1">
    <dataValidation allowBlank="true" operator="between" showDropDown="false" showErrorMessage="true" showInputMessage="true" sqref="F24:F32 J24:J32 F40:F71 J40:J56 J64:J71 F75:F98 J75:J98 F102:F125 J102:J125 F129:F138 J129 J137 F139:F145 J145 F153 J153 F161 J161 F169 J169 F177:F178 J177 F179:F184 F188:F189 J188 F190:F196 J196 F204 J204 F212:F213 J212 F214:F220 J220 F228:F229 J228 F230:F235" type="list">
      <formula1>"1,2,3"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P160"/>
  <sheetViews>
    <sheetView showFormulas="false" showGridLines="false" showRowColHeaders="true" showZeros="true" rightToLeft="false" tabSelected="false" showOutlineSymbols="true" defaultGridColor="true" view="normal" topLeftCell="D145" colorId="64" zoomScale="95" zoomScaleNormal="95" zoomScalePageLayoutView="100" workbookViewId="0">
      <selection pane="topLeft" activeCell="E145" activeCellId="0" sqref="E145"/>
    </sheetView>
  </sheetViews>
  <sheetFormatPr defaultColWidth="3.1484375" defaultRowHeight="16.5" zeroHeight="false" outlineLevelRow="0" outlineLevelCol="0"/>
  <cols>
    <col collapsed="false" customWidth="true" hidden="false" outlineLevel="0" max="1" min="1" style="62" width="2.57"/>
    <col collapsed="false" customWidth="true" hidden="true" outlineLevel="0" max="2" min="2" style="62" width="3.42"/>
    <col collapsed="false" customWidth="true" hidden="false" outlineLevel="0" max="3" min="3" style="62" width="34.42"/>
    <col collapsed="false" customWidth="true" hidden="false" outlineLevel="0" max="4" min="4" style="62" width="21.71"/>
    <col collapsed="false" customWidth="true" hidden="false" outlineLevel="0" max="5" min="5" style="62" width="55.57"/>
    <col collapsed="false" customWidth="true" hidden="false" outlineLevel="0" max="6" min="6" style="62" width="7.41"/>
    <col collapsed="false" customWidth="true" hidden="false" outlineLevel="0" max="7" min="7" style="62" width="3.57"/>
    <col collapsed="false" customWidth="true" hidden="false" outlineLevel="0" max="8" min="8" style="62" width="42.14"/>
    <col collapsed="false" customWidth="true" hidden="false" outlineLevel="0" max="9" min="9" style="62" width="37.98"/>
    <col collapsed="false" customWidth="true" hidden="false" outlineLevel="0" max="10" min="10" style="62" width="7.41"/>
    <col collapsed="false" customWidth="true" hidden="false" outlineLevel="0" max="11" min="11" style="62" width="16.14"/>
    <col collapsed="false" customWidth="true" hidden="false" outlineLevel="0" max="12" min="12" style="212" width="4.71"/>
    <col collapsed="false" customWidth="true" hidden="false" outlineLevel="0" max="13" min="13" style="212" width="7.57"/>
    <col collapsed="false" customWidth="true" hidden="false" outlineLevel="0" max="14" min="14" style="213" width="6.28"/>
    <col collapsed="false" customWidth="true" hidden="false" outlineLevel="0" max="15" min="15" style="214" width="6.28"/>
    <col collapsed="false" customWidth="false" hidden="false" outlineLevel="0" max="16" min="16" style="215" width="3.14"/>
    <col collapsed="false" customWidth="false" hidden="false" outlineLevel="0" max="1024" min="17" style="62" width="3.14"/>
  </cols>
  <sheetData>
    <row r="1" customFormat="false" ht="16.5" hidden="true" customHeight="false" outlineLevel="0" collapsed="false"/>
    <row r="2" customFormat="false" ht="16.5" hidden="true" customHeight="false" outlineLevel="0" collapsed="false"/>
    <row r="3" customFormat="false" ht="16.5" hidden="true" customHeight="false" outlineLevel="0" collapsed="false"/>
    <row r="4" customFormat="false" ht="16.5" hidden="true" customHeight="false" outlineLevel="0" collapsed="false"/>
    <row r="5" customFormat="false" ht="9.95" hidden="true" customHeight="true" outlineLevel="0" collapsed="false"/>
    <row r="6" customFormat="false" ht="31.5" hidden="true" customHeight="true" outlineLevel="0" collapsed="false"/>
    <row r="7" customFormat="false" ht="30.75" hidden="true" customHeight="true" outlineLevel="0" collapsed="false">
      <c r="E7" s="216"/>
      <c r="F7" s="216"/>
    </row>
    <row r="8" customFormat="false" ht="20.25" hidden="true" customHeight="true" outlineLevel="0" collapsed="false"/>
    <row r="9" customFormat="false" ht="9.95" hidden="true" customHeight="true" outlineLevel="0" collapsed="false"/>
    <row r="10" customFormat="false" ht="19.7" hidden="true" customHeight="true" outlineLevel="0" collapsed="false">
      <c r="C10" s="217" t="s">
        <v>240</v>
      </c>
      <c r="D10" s="217"/>
      <c r="E10" s="217"/>
      <c r="F10" s="217"/>
      <c r="G10" s="217"/>
      <c r="H10" s="217"/>
      <c r="I10" s="217"/>
      <c r="J10" s="217"/>
      <c r="K10" s="217"/>
    </row>
    <row r="11" customFormat="false" ht="71.25" hidden="true" customHeight="true" outlineLevel="0" collapsed="false">
      <c r="C11" s="72" t="s">
        <v>241</v>
      </c>
      <c r="D11" s="72"/>
      <c r="E11" s="72"/>
      <c r="F11" s="72"/>
      <c r="G11" s="72"/>
      <c r="H11" s="72"/>
      <c r="I11" s="72"/>
      <c r="J11" s="72"/>
      <c r="K11" s="72"/>
    </row>
    <row r="12" customFormat="false" ht="9.95" hidden="true" customHeight="true" outlineLevel="0" collapsed="false">
      <c r="C12" s="74"/>
      <c r="D12" s="74"/>
      <c r="F12" s="75"/>
    </row>
    <row r="13" customFormat="false" ht="36.75" hidden="false" customHeight="true" outlineLevel="0" collapsed="false">
      <c r="B13" s="218" t="s">
        <v>111</v>
      </c>
      <c r="C13" s="218" t="s">
        <v>242</v>
      </c>
      <c r="D13" s="219" t="s">
        <v>8</v>
      </c>
      <c r="E13" s="219" t="s">
        <v>243</v>
      </c>
      <c r="F13" s="220" t="s">
        <v>244</v>
      </c>
      <c r="G13" s="221" t="s">
        <v>116</v>
      </c>
      <c r="H13" s="221"/>
      <c r="I13" s="221"/>
      <c r="J13" s="220" t="s">
        <v>245</v>
      </c>
      <c r="K13" s="220" t="s">
        <v>152</v>
      </c>
      <c r="L13" s="222"/>
      <c r="M13" s="222"/>
      <c r="N13" s="223"/>
      <c r="O13" s="224"/>
      <c r="P13" s="225"/>
    </row>
    <row r="14" customFormat="false" ht="28.9" hidden="false" customHeight="true" outlineLevel="0" collapsed="false">
      <c r="B14" s="218"/>
      <c r="C14" s="218"/>
      <c r="D14" s="219"/>
      <c r="E14" s="219"/>
      <c r="F14" s="220"/>
      <c r="G14" s="226" t="s">
        <v>13</v>
      </c>
      <c r="H14" s="219" t="s">
        <v>15</v>
      </c>
      <c r="I14" s="219" t="s">
        <v>17</v>
      </c>
      <c r="J14" s="220"/>
      <c r="K14" s="220"/>
      <c r="L14" s="222"/>
      <c r="M14" s="222"/>
      <c r="N14" s="223"/>
      <c r="O14" s="224"/>
      <c r="P14" s="225"/>
    </row>
    <row r="15" customFormat="false" ht="26.45" hidden="false" customHeight="true" outlineLevel="0" collapsed="false">
      <c r="B15" s="218"/>
      <c r="C15" s="218"/>
      <c r="D15" s="219"/>
      <c r="E15" s="219"/>
      <c r="F15" s="220"/>
      <c r="G15" s="226"/>
      <c r="H15" s="219"/>
      <c r="I15" s="219"/>
      <c r="J15" s="220"/>
      <c r="K15" s="220"/>
      <c r="L15" s="222"/>
      <c r="M15" s="222"/>
      <c r="N15" s="223"/>
      <c r="O15" s="224"/>
      <c r="P15" s="225"/>
    </row>
    <row r="16" customFormat="false" ht="19.9" hidden="false" customHeight="true" outlineLevel="0" collapsed="false">
      <c r="B16" s="159" t="str">
        <f aca="false">+LEFT(C16,3)</f>
        <v>6.1</v>
      </c>
      <c r="C16" s="227" t="s">
        <v>246</v>
      </c>
      <c r="D16" s="160" t="s">
        <v>247</v>
      </c>
      <c r="E16" s="228" t="s">
        <v>248</v>
      </c>
      <c r="F16" s="201" t="n">
        <v>3</v>
      </c>
      <c r="G16" s="162" t="n">
        <v>1</v>
      </c>
      <c r="H16" s="229" t="s">
        <v>249</v>
      </c>
      <c r="I16" s="228" t="s">
        <v>250</v>
      </c>
      <c r="J16" s="178" t="n">
        <v>3</v>
      </c>
      <c r="K16" s="164" t="str">
        <f aca="false">+IF(OR(ISBLANK(F16),ISBLANK(J16)),"",IF(OR(AND(F16=1,J16=1),AND(F16=1,J16=2),AND(F16=1,J16=3)),"Deficiencia de control mayor (diseño y ejecución)",IF(OR(AND(F16=2,J16=2),AND(F16=3,J16=1),AND(F16=3,J16=2),AND(F16=2,J16=1)),"Deficiencia de control (diseño o ejecución)",IF(AND(F16=2,J16=3),"Oportunidad de mejora","Mantenimiento del control"))))</f>
        <v>Mantenimiento del control</v>
      </c>
      <c r="L16" s="92" t="n">
        <f aca="false">+IF(K16="",75,IF(K16="Deficiencia de control mayor (diseño y ejecución)",80,IF(K16="Deficiencia de control (diseño o ejecución)",100,IF(K16="Oportunidad de mejora",120,140))))</f>
        <v>140</v>
      </c>
      <c r="M16" s="230" t="n">
        <v>1.7896</v>
      </c>
      <c r="N16" s="231" t="n">
        <f aca="false">+L16+M16</f>
        <v>141.7896</v>
      </c>
      <c r="P16" s="232"/>
    </row>
    <row r="17" customFormat="false" ht="19.9" hidden="false" customHeight="true" outlineLevel="0" collapsed="false">
      <c r="B17" s="159"/>
      <c r="C17" s="227"/>
      <c r="D17" s="160"/>
      <c r="E17" s="228"/>
      <c r="F17" s="201"/>
      <c r="G17" s="165" t="n">
        <v>2</v>
      </c>
      <c r="H17" s="229"/>
      <c r="I17" s="228"/>
      <c r="J17" s="178"/>
      <c r="K17" s="164"/>
      <c r="L17" s="92"/>
      <c r="M17" s="230"/>
      <c r="N17" s="231"/>
      <c r="P17" s="232"/>
    </row>
    <row r="18" customFormat="false" ht="19.9" hidden="false" customHeight="true" outlineLevel="0" collapsed="false">
      <c r="B18" s="159"/>
      <c r="C18" s="227"/>
      <c r="D18" s="160"/>
      <c r="E18" s="228"/>
      <c r="F18" s="201"/>
      <c r="G18" s="165" t="n">
        <v>3</v>
      </c>
      <c r="H18" s="229"/>
      <c r="I18" s="228"/>
      <c r="J18" s="178"/>
      <c r="K18" s="164"/>
      <c r="L18" s="92"/>
      <c r="M18" s="230"/>
      <c r="N18" s="231"/>
      <c r="P18" s="232"/>
    </row>
    <row r="19" customFormat="false" ht="19.9" hidden="false" customHeight="true" outlineLevel="0" collapsed="false">
      <c r="B19" s="159"/>
      <c r="C19" s="227"/>
      <c r="D19" s="160"/>
      <c r="E19" s="228"/>
      <c r="F19" s="201"/>
      <c r="G19" s="165" t="n">
        <v>4</v>
      </c>
      <c r="H19" s="229"/>
      <c r="I19" s="228"/>
      <c r="J19" s="178"/>
      <c r="K19" s="164"/>
      <c r="L19" s="92"/>
      <c r="M19" s="230"/>
      <c r="N19" s="231"/>
      <c r="P19" s="232"/>
    </row>
    <row r="20" customFormat="false" ht="19.9" hidden="false" customHeight="true" outlineLevel="0" collapsed="false">
      <c r="B20" s="159"/>
      <c r="C20" s="227"/>
      <c r="D20" s="160"/>
      <c r="E20" s="228"/>
      <c r="F20" s="201"/>
      <c r="G20" s="165" t="n">
        <v>5</v>
      </c>
      <c r="H20" s="229"/>
      <c r="I20" s="228"/>
      <c r="J20" s="178"/>
      <c r="K20" s="164"/>
      <c r="L20" s="92"/>
      <c r="M20" s="230"/>
      <c r="N20" s="231"/>
      <c r="P20" s="232"/>
    </row>
    <row r="21" customFormat="false" ht="19.9" hidden="false" customHeight="true" outlineLevel="0" collapsed="false">
      <c r="B21" s="159"/>
      <c r="C21" s="227"/>
      <c r="D21" s="160"/>
      <c r="E21" s="228"/>
      <c r="F21" s="201"/>
      <c r="G21" s="165" t="n">
        <v>6</v>
      </c>
      <c r="H21" s="229"/>
      <c r="I21" s="228"/>
      <c r="J21" s="178"/>
      <c r="K21" s="164"/>
      <c r="L21" s="92"/>
      <c r="M21" s="230"/>
      <c r="N21" s="231"/>
      <c r="P21" s="232"/>
    </row>
    <row r="22" customFormat="false" ht="19.9" hidden="false" customHeight="true" outlineLevel="0" collapsed="false">
      <c r="B22" s="159"/>
      <c r="C22" s="227"/>
      <c r="D22" s="160"/>
      <c r="E22" s="228"/>
      <c r="F22" s="201"/>
      <c r="G22" s="165" t="n">
        <v>7</v>
      </c>
      <c r="H22" s="165"/>
      <c r="I22" s="228"/>
      <c r="J22" s="178"/>
      <c r="K22" s="164"/>
      <c r="L22" s="92"/>
      <c r="M22" s="230"/>
      <c r="N22" s="231"/>
      <c r="P22" s="232"/>
    </row>
    <row r="23" customFormat="false" ht="19.9" hidden="false" customHeight="true" outlineLevel="0" collapsed="false">
      <c r="B23" s="159"/>
      <c r="C23" s="227"/>
      <c r="D23" s="160"/>
      <c r="E23" s="228"/>
      <c r="F23" s="201"/>
      <c r="G23" s="167" t="n">
        <v>8</v>
      </c>
      <c r="H23" s="167"/>
      <c r="I23" s="228"/>
      <c r="J23" s="178"/>
      <c r="K23" s="164"/>
      <c r="L23" s="92"/>
      <c r="M23" s="230"/>
      <c r="N23" s="231"/>
      <c r="P23" s="232"/>
    </row>
    <row r="24" customFormat="false" ht="19.9" hidden="false" customHeight="true" outlineLevel="0" collapsed="false">
      <c r="B24" s="233" t="str">
        <f aca="false">+LEFT(C24,3)</f>
        <v>6.2</v>
      </c>
      <c r="C24" s="234" t="s">
        <v>251</v>
      </c>
      <c r="D24" s="160" t="s">
        <v>252</v>
      </c>
      <c r="E24" s="228" t="s">
        <v>253</v>
      </c>
      <c r="F24" s="201" t="n">
        <v>3</v>
      </c>
      <c r="G24" s="162" t="n">
        <v>1</v>
      </c>
      <c r="H24" s="229" t="s">
        <v>254</v>
      </c>
      <c r="I24" s="228" t="s">
        <v>250</v>
      </c>
      <c r="J24" s="201" t="n">
        <v>3</v>
      </c>
      <c r="K24" s="164" t="str">
        <f aca="false">+IF(OR(ISBLANK(F24),ISBLANK(J24)),"",IF(OR(AND(F24=1,J24=1),AND(F24=1,J24=2),AND(F24=1,J24=3)),"Deficiencia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92" t="n">
        <f aca="false">+IF(K24="",75,IF(K24="Deficiencia de control mayor (diseño y ejecución)",80,IF(K24="Deficiencia de control (diseño o ejecución)",100,IF(K24="Oportunidad de mejora",120,140))))</f>
        <v>140</v>
      </c>
      <c r="M24" s="230" t="n">
        <v>1.8896</v>
      </c>
      <c r="N24" s="231" t="n">
        <f aca="false">+L24+M24</f>
        <v>141.8896</v>
      </c>
      <c r="O24" s="235"/>
      <c r="P24" s="232"/>
    </row>
    <row r="25" customFormat="false" ht="19.9" hidden="false" customHeight="true" outlineLevel="0" collapsed="false">
      <c r="B25" s="233"/>
      <c r="C25" s="234"/>
      <c r="D25" s="160"/>
      <c r="E25" s="228"/>
      <c r="F25" s="201"/>
      <c r="G25" s="165" t="n">
        <v>2</v>
      </c>
      <c r="H25" s="165"/>
      <c r="I25" s="228"/>
      <c r="J25" s="201"/>
      <c r="K25" s="164"/>
      <c r="L25" s="92"/>
      <c r="M25" s="230"/>
      <c r="N25" s="231"/>
      <c r="O25" s="235"/>
      <c r="P25" s="232"/>
    </row>
    <row r="26" customFormat="false" ht="19.9" hidden="false" customHeight="true" outlineLevel="0" collapsed="false">
      <c r="B26" s="233"/>
      <c r="C26" s="234"/>
      <c r="D26" s="160"/>
      <c r="E26" s="228"/>
      <c r="F26" s="201"/>
      <c r="G26" s="165" t="n">
        <v>3</v>
      </c>
      <c r="H26" s="165"/>
      <c r="I26" s="228"/>
      <c r="J26" s="201"/>
      <c r="K26" s="164"/>
      <c r="L26" s="92"/>
      <c r="M26" s="230"/>
      <c r="N26" s="231"/>
      <c r="O26" s="235"/>
      <c r="P26" s="232"/>
    </row>
    <row r="27" customFormat="false" ht="19.9" hidden="false" customHeight="true" outlineLevel="0" collapsed="false">
      <c r="B27" s="233"/>
      <c r="C27" s="234"/>
      <c r="D27" s="160"/>
      <c r="E27" s="228"/>
      <c r="F27" s="201"/>
      <c r="G27" s="165" t="n">
        <v>4</v>
      </c>
      <c r="H27" s="165"/>
      <c r="I27" s="228"/>
      <c r="J27" s="201"/>
      <c r="K27" s="164"/>
      <c r="L27" s="92"/>
      <c r="M27" s="230"/>
      <c r="N27" s="231"/>
      <c r="O27" s="235"/>
      <c r="P27" s="232"/>
    </row>
    <row r="28" customFormat="false" ht="19.9" hidden="false" customHeight="true" outlineLevel="0" collapsed="false">
      <c r="B28" s="233"/>
      <c r="C28" s="234"/>
      <c r="D28" s="160"/>
      <c r="E28" s="228"/>
      <c r="F28" s="201"/>
      <c r="G28" s="165" t="n">
        <v>5</v>
      </c>
      <c r="H28" s="165"/>
      <c r="I28" s="228"/>
      <c r="J28" s="201"/>
      <c r="K28" s="164"/>
      <c r="L28" s="92"/>
      <c r="M28" s="230"/>
      <c r="N28" s="231"/>
      <c r="O28" s="235"/>
      <c r="P28" s="232"/>
    </row>
    <row r="29" customFormat="false" ht="19.9" hidden="false" customHeight="true" outlineLevel="0" collapsed="false">
      <c r="B29" s="233"/>
      <c r="C29" s="234"/>
      <c r="D29" s="160"/>
      <c r="E29" s="228"/>
      <c r="F29" s="201"/>
      <c r="G29" s="165" t="n">
        <v>6</v>
      </c>
      <c r="H29" s="165"/>
      <c r="I29" s="228"/>
      <c r="J29" s="201"/>
      <c r="K29" s="164"/>
      <c r="L29" s="92"/>
      <c r="M29" s="230"/>
      <c r="N29" s="231"/>
      <c r="O29" s="235"/>
      <c r="P29" s="232"/>
    </row>
    <row r="30" customFormat="false" ht="19.9" hidden="false" customHeight="true" outlineLevel="0" collapsed="false">
      <c r="B30" s="233"/>
      <c r="C30" s="234"/>
      <c r="D30" s="160"/>
      <c r="E30" s="228"/>
      <c r="F30" s="201"/>
      <c r="G30" s="165" t="n">
        <v>7</v>
      </c>
      <c r="H30" s="165"/>
      <c r="I30" s="228"/>
      <c r="J30" s="201"/>
      <c r="K30" s="164"/>
      <c r="L30" s="92"/>
      <c r="M30" s="230"/>
      <c r="N30" s="231"/>
      <c r="O30" s="235"/>
      <c r="P30" s="232"/>
    </row>
    <row r="31" customFormat="false" ht="19.9" hidden="false" customHeight="true" outlineLevel="0" collapsed="false">
      <c r="B31" s="233"/>
      <c r="C31" s="234"/>
      <c r="D31" s="160"/>
      <c r="E31" s="228"/>
      <c r="F31" s="201"/>
      <c r="G31" s="167" t="n">
        <v>8</v>
      </c>
      <c r="H31" s="167"/>
      <c r="I31" s="228"/>
      <c r="J31" s="201"/>
      <c r="K31" s="164"/>
      <c r="L31" s="92"/>
      <c r="M31" s="230"/>
      <c r="N31" s="231"/>
      <c r="O31" s="235"/>
      <c r="P31" s="232"/>
    </row>
    <row r="32" customFormat="false" ht="19.9" hidden="false" customHeight="true" outlineLevel="0" collapsed="false">
      <c r="B32" s="234" t="str">
        <f aca="false">+LEFT(C32,3)</f>
        <v>6.3</v>
      </c>
      <c r="C32" s="236" t="s">
        <v>255</v>
      </c>
      <c r="D32" s="237" t="s">
        <v>256</v>
      </c>
      <c r="E32" s="238" t="s">
        <v>257</v>
      </c>
      <c r="F32" s="201" t="n">
        <v>3</v>
      </c>
      <c r="G32" s="162" t="n">
        <v>1</v>
      </c>
      <c r="H32" s="229" t="s">
        <v>258</v>
      </c>
      <c r="I32" s="228" t="s">
        <v>259</v>
      </c>
      <c r="J32" s="184" t="n">
        <v>3</v>
      </c>
      <c r="K32" s="164" t="str">
        <f aca="false">+IF(OR(ISBLANK(F32),ISBLANK(J32)),"",IF(OR(AND(F32=1,J32=1),AND(F32=1,J32=2),AND(F32=1,J32=3)),"Deficiencia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92" t="n">
        <f aca="false">+IF(K32="",75,IF(K32="Deficiencia de control mayor (diseño y ejecución)",80,IF(K32="Deficiencia de control (diseño o ejecución)",100,IF(K32="Oportunidad de mejora",120,140))))</f>
        <v>140</v>
      </c>
      <c r="M32" s="230" t="n">
        <v>1.9754</v>
      </c>
      <c r="N32" s="231" t="n">
        <f aca="false">+L32+M32</f>
        <v>141.9754</v>
      </c>
      <c r="O32" s="235"/>
      <c r="P32" s="232"/>
    </row>
    <row r="33" customFormat="false" ht="19.9" hidden="false" customHeight="true" outlineLevel="0" collapsed="false">
      <c r="B33" s="234"/>
      <c r="C33" s="236"/>
      <c r="D33" s="237"/>
      <c r="E33" s="238"/>
      <c r="F33" s="201"/>
      <c r="G33" s="165" t="n">
        <v>2</v>
      </c>
      <c r="H33" s="165"/>
      <c r="I33" s="228"/>
      <c r="J33" s="184"/>
      <c r="K33" s="164"/>
      <c r="L33" s="92"/>
      <c r="M33" s="230"/>
      <c r="N33" s="231"/>
      <c r="O33" s="235"/>
      <c r="P33" s="232"/>
    </row>
    <row r="34" customFormat="false" ht="19.9" hidden="false" customHeight="true" outlineLevel="0" collapsed="false">
      <c r="B34" s="234"/>
      <c r="C34" s="236"/>
      <c r="D34" s="237"/>
      <c r="E34" s="238"/>
      <c r="F34" s="201"/>
      <c r="G34" s="165" t="n">
        <v>3</v>
      </c>
      <c r="H34" s="165"/>
      <c r="I34" s="228"/>
      <c r="J34" s="184"/>
      <c r="K34" s="164"/>
      <c r="L34" s="92"/>
      <c r="M34" s="230"/>
      <c r="N34" s="231"/>
      <c r="O34" s="235"/>
      <c r="P34" s="232"/>
    </row>
    <row r="35" customFormat="false" ht="19.9" hidden="false" customHeight="true" outlineLevel="0" collapsed="false">
      <c r="B35" s="234"/>
      <c r="C35" s="236"/>
      <c r="D35" s="237"/>
      <c r="E35" s="238"/>
      <c r="F35" s="201"/>
      <c r="G35" s="165" t="n">
        <v>4</v>
      </c>
      <c r="H35" s="165"/>
      <c r="I35" s="228"/>
      <c r="J35" s="184"/>
      <c r="K35" s="164"/>
      <c r="L35" s="92"/>
      <c r="M35" s="230"/>
      <c r="N35" s="231"/>
      <c r="O35" s="235"/>
      <c r="P35" s="232"/>
    </row>
    <row r="36" customFormat="false" ht="19.9" hidden="false" customHeight="true" outlineLevel="0" collapsed="false">
      <c r="B36" s="234"/>
      <c r="C36" s="236"/>
      <c r="D36" s="237"/>
      <c r="E36" s="238"/>
      <c r="F36" s="201"/>
      <c r="G36" s="165" t="n">
        <v>5</v>
      </c>
      <c r="H36" s="165"/>
      <c r="I36" s="228"/>
      <c r="J36" s="184"/>
      <c r="K36" s="164"/>
      <c r="L36" s="92"/>
      <c r="M36" s="230"/>
      <c r="N36" s="231"/>
      <c r="O36" s="235"/>
      <c r="P36" s="232"/>
    </row>
    <row r="37" customFormat="false" ht="19.9" hidden="false" customHeight="true" outlineLevel="0" collapsed="false">
      <c r="B37" s="234"/>
      <c r="C37" s="236"/>
      <c r="D37" s="237"/>
      <c r="E37" s="238"/>
      <c r="F37" s="201"/>
      <c r="G37" s="165" t="n">
        <v>6</v>
      </c>
      <c r="H37" s="165"/>
      <c r="I37" s="228"/>
      <c r="J37" s="184"/>
      <c r="K37" s="164"/>
      <c r="L37" s="92"/>
      <c r="M37" s="230"/>
      <c r="N37" s="231"/>
      <c r="O37" s="235"/>
      <c r="P37" s="232"/>
    </row>
    <row r="38" customFormat="false" ht="19.9" hidden="false" customHeight="true" outlineLevel="0" collapsed="false">
      <c r="B38" s="234"/>
      <c r="C38" s="236"/>
      <c r="D38" s="237"/>
      <c r="E38" s="238"/>
      <c r="F38" s="201"/>
      <c r="G38" s="165" t="n">
        <v>7</v>
      </c>
      <c r="H38" s="165"/>
      <c r="I38" s="228"/>
      <c r="J38" s="184"/>
      <c r="K38" s="164"/>
      <c r="L38" s="92"/>
      <c r="M38" s="230"/>
      <c r="N38" s="231"/>
      <c r="O38" s="235"/>
      <c r="P38" s="232"/>
    </row>
    <row r="39" customFormat="false" ht="19.9" hidden="false" customHeight="true" outlineLevel="0" collapsed="false">
      <c r="B39" s="234"/>
      <c r="C39" s="236"/>
      <c r="D39" s="237"/>
      <c r="E39" s="238"/>
      <c r="F39" s="201"/>
      <c r="G39" s="167" t="n">
        <v>8</v>
      </c>
      <c r="H39" s="167"/>
      <c r="I39" s="228"/>
      <c r="J39" s="184"/>
      <c r="K39" s="164"/>
      <c r="L39" s="92"/>
      <c r="M39" s="230"/>
      <c r="N39" s="231"/>
      <c r="O39" s="235"/>
      <c r="P39" s="232"/>
    </row>
    <row r="40" customFormat="false" ht="19.9" hidden="false" customHeight="true" outlineLevel="0" collapsed="false">
      <c r="B40" s="218"/>
      <c r="C40" s="218" t="s">
        <v>260</v>
      </c>
      <c r="D40" s="219" t="s">
        <v>8</v>
      </c>
      <c r="E40" s="239" t="s">
        <v>243</v>
      </c>
      <c r="F40" s="240" t="s">
        <v>244</v>
      </c>
      <c r="G40" s="241" t="s">
        <v>116</v>
      </c>
      <c r="H40" s="241"/>
      <c r="I40" s="241"/>
      <c r="J40" s="240" t="s">
        <v>245</v>
      </c>
      <c r="K40" s="242" t="s">
        <v>152</v>
      </c>
      <c r="L40" s="243"/>
      <c r="M40" s="243"/>
      <c r="N40" s="244"/>
      <c r="O40" s="224"/>
      <c r="P40" s="225"/>
    </row>
    <row r="41" customFormat="false" ht="19.9" hidden="false" customHeight="true" outlineLevel="0" collapsed="false">
      <c r="B41" s="218"/>
      <c r="C41" s="218"/>
      <c r="D41" s="219"/>
      <c r="E41" s="239"/>
      <c r="F41" s="240"/>
      <c r="G41" s="245" t="s">
        <v>13</v>
      </c>
      <c r="H41" s="239" t="s">
        <v>15</v>
      </c>
      <c r="I41" s="239" t="s">
        <v>17</v>
      </c>
      <c r="J41" s="240"/>
      <c r="K41" s="242"/>
      <c r="L41" s="243"/>
      <c r="M41" s="243"/>
      <c r="N41" s="244"/>
      <c r="O41" s="224"/>
      <c r="P41" s="225"/>
    </row>
    <row r="42" customFormat="false" ht="19.9" hidden="false" customHeight="true" outlineLevel="0" collapsed="false">
      <c r="B42" s="218"/>
      <c r="C42" s="218"/>
      <c r="D42" s="219"/>
      <c r="E42" s="239"/>
      <c r="F42" s="240"/>
      <c r="G42" s="245"/>
      <c r="H42" s="239"/>
      <c r="I42" s="239"/>
      <c r="J42" s="240"/>
      <c r="K42" s="242"/>
      <c r="L42" s="243"/>
      <c r="M42" s="243"/>
      <c r="N42" s="244"/>
      <c r="O42" s="224"/>
      <c r="P42" s="225"/>
    </row>
    <row r="43" customFormat="false" ht="19.9" hidden="false" customHeight="true" outlineLevel="0" collapsed="false">
      <c r="B43" s="233" t="str">
        <f aca="false">+LEFT(C43,3)</f>
        <v>7.1</v>
      </c>
      <c r="C43" s="227" t="s">
        <v>261</v>
      </c>
      <c r="D43" s="237" t="s">
        <v>247</v>
      </c>
      <c r="E43" s="238" t="s">
        <v>262</v>
      </c>
      <c r="F43" s="201" t="n">
        <v>3</v>
      </c>
      <c r="G43" s="162" t="n">
        <v>1</v>
      </c>
      <c r="H43" s="246" t="s">
        <v>263</v>
      </c>
      <c r="I43" s="247" t="s">
        <v>264</v>
      </c>
      <c r="J43" s="201" t="n">
        <v>3</v>
      </c>
      <c r="K43" s="164" t="str">
        <f aca="false">+IF(OR(ISBLANK(F43),ISBLANK(J43)),"",IF(OR(AND(F43=1,J43=1),AND(F43=1,J43=2),AND(F43=1,J43=3)),"Deficiencia de control mayor (diseño y ejecución)",IF(OR(AND(F43=2,J43=2),AND(F43=3,J43=1),AND(F43=3,J43=2),AND(F43=2,J43=1)),"Deficiencia de control (diseño o ejecución)",IF(AND(F43=2,J43=3),"Oportunidad de mejora","Mantenimiento del control"))))</f>
        <v>Mantenimiento del control</v>
      </c>
      <c r="L43" s="92" t="n">
        <f aca="false">+IF(K43="",75,IF(K43="Deficiencia de control mayor (diseño y ejecución)",80,IF(K43="Deficiencia de control (diseño o ejecución)",100,IF(K43="Oportunidad de mejora",120,140))))</f>
        <v>140</v>
      </c>
      <c r="M43" s="230" t="n">
        <v>2.0896</v>
      </c>
      <c r="N43" s="231" t="n">
        <f aca="false">+L43+M43</f>
        <v>142.0896</v>
      </c>
      <c r="O43" s="235"/>
      <c r="P43" s="232"/>
    </row>
    <row r="44" customFormat="false" ht="19.9" hidden="false" customHeight="true" outlineLevel="0" collapsed="false">
      <c r="B44" s="233"/>
      <c r="C44" s="227"/>
      <c r="D44" s="237"/>
      <c r="E44" s="238"/>
      <c r="F44" s="201"/>
      <c r="G44" s="165" t="n">
        <v>2</v>
      </c>
      <c r="H44" s="248"/>
      <c r="I44" s="247"/>
      <c r="J44" s="201"/>
      <c r="K44" s="164"/>
      <c r="L44" s="92"/>
      <c r="M44" s="230"/>
      <c r="N44" s="231"/>
      <c r="O44" s="235"/>
      <c r="P44" s="232"/>
    </row>
    <row r="45" customFormat="false" ht="19.9" hidden="false" customHeight="true" outlineLevel="0" collapsed="false">
      <c r="B45" s="233"/>
      <c r="C45" s="227"/>
      <c r="D45" s="237"/>
      <c r="E45" s="238"/>
      <c r="F45" s="201"/>
      <c r="G45" s="165" t="n">
        <v>3</v>
      </c>
      <c r="H45" s="248"/>
      <c r="I45" s="247"/>
      <c r="J45" s="201"/>
      <c r="K45" s="164"/>
      <c r="L45" s="92"/>
      <c r="M45" s="230"/>
      <c r="N45" s="231"/>
      <c r="O45" s="235"/>
      <c r="P45" s="232"/>
    </row>
    <row r="46" customFormat="false" ht="19.9" hidden="false" customHeight="true" outlineLevel="0" collapsed="false">
      <c r="B46" s="233"/>
      <c r="C46" s="227"/>
      <c r="D46" s="237"/>
      <c r="E46" s="238"/>
      <c r="F46" s="201"/>
      <c r="G46" s="165" t="n">
        <v>4</v>
      </c>
      <c r="H46" s="248"/>
      <c r="I46" s="247"/>
      <c r="J46" s="201"/>
      <c r="K46" s="164"/>
      <c r="L46" s="92"/>
      <c r="M46" s="230"/>
      <c r="N46" s="231"/>
      <c r="O46" s="235"/>
      <c r="P46" s="232"/>
    </row>
    <row r="47" customFormat="false" ht="19.9" hidden="false" customHeight="true" outlineLevel="0" collapsed="false">
      <c r="B47" s="233"/>
      <c r="C47" s="227"/>
      <c r="D47" s="237"/>
      <c r="E47" s="238"/>
      <c r="F47" s="201"/>
      <c r="G47" s="165" t="n">
        <v>5</v>
      </c>
      <c r="H47" s="248"/>
      <c r="I47" s="247"/>
      <c r="J47" s="201"/>
      <c r="K47" s="164"/>
      <c r="L47" s="92"/>
      <c r="M47" s="230"/>
      <c r="N47" s="231"/>
      <c r="O47" s="235"/>
      <c r="P47" s="232"/>
    </row>
    <row r="48" customFormat="false" ht="19.9" hidden="false" customHeight="true" outlineLevel="0" collapsed="false">
      <c r="B48" s="233"/>
      <c r="C48" s="227"/>
      <c r="D48" s="237"/>
      <c r="E48" s="238"/>
      <c r="F48" s="201"/>
      <c r="G48" s="165" t="n">
        <v>6</v>
      </c>
      <c r="H48" s="248"/>
      <c r="I48" s="247"/>
      <c r="J48" s="201"/>
      <c r="K48" s="164"/>
      <c r="L48" s="92"/>
      <c r="M48" s="230"/>
      <c r="N48" s="231"/>
      <c r="O48" s="235"/>
      <c r="P48" s="232"/>
    </row>
    <row r="49" customFormat="false" ht="19.9" hidden="false" customHeight="true" outlineLevel="0" collapsed="false">
      <c r="B49" s="233"/>
      <c r="C49" s="227"/>
      <c r="D49" s="237"/>
      <c r="E49" s="238"/>
      <c r="F49" s="201"/>
      <c r="G49" s="165" t="n">
        <v>7</v>
      </c>
      <c r="H49" s="248"/>
      <c r="I49" s="247"/>
      <c r="J49" s="201"/>
      <c r="K49" s="164"/>
      <c r="L49" s="92"/>
      <c r="M49" s="230"/>
      <c r="N49" s="231"/>
      <c r="O49" s="235"/>
      <c r="P49" s="232"/>
    </row>
    <row r="50" customFormat="false" ht="19.9" hidden="false" customHeight="true" outlineLevel="0" collapsed="false">
      <c r="B50" s="233"/>
      <c r="C50" s="227"/>
      <c r="D50" s="237"/>
      <c r="E50" s="238"/>
      <c r="F50" s="201"/>
      <c r="G50" s="167" t="n">
        <v>8</v>
      </c>
      <c r="H50" s="249"/>
      <c r="I50" s="247"/>
      <c r="J50" s="201"/>
      <c r="K50" s="164"/>
      <c r="L50" s="92"/>
      <c r="M50" s="230"/>
      <c r="N50" s="231"/>
      <c r="O50" s="235"/>
      <c r="P50" s="232"/>
    </row>
    <row r="51" customFormat="false" ht="19.9" hidden="false" customHeight="true" outlineLevel="0" collapsed="false">
      <c r="B51" s="233" t="str">
        <f aca="false">+LEFT(C51,3)</f>
        <v>7.2</v>
      </c>
      <c r="C51" s="234" t="s">
        <v>265</v>
      </c>
      <c r="D51" s="160" t="s">
        <v>266</v>
      </c>
      <c r="E51" s="238" t="s">
        <v>267</v>
      </c>
      <c r="F51" s="201" t="n">
        <v>3</v>
      </c>
      <c r="G51" s="162" t="n">
        <v>1</v>
      </c>
      <c r="H51" s="246" t="s">
        <v>268</v>
      </c>
      <c r="I51" s="247" t="s">
        <v>269</v>
      </c>
      <c r="J51" s="201" t="n">
        <v>3</v>
      </c>
      <c r="K51" s="164" t="str">
        <f aca="false">+IF(OR(ISBLANK(F51),ISBLANK(J51)),"",IF(OR(AND(F51=1,J51=1),AND(F51=1,J51=2),AND(F51=1,J51=3)),"Deficiencia de control mayor (diseño y ejecución)",IF(OR(AND(F51=2,J51=2),AND(F51=3,J51=1),AND(F51=3,J51=2),AND(F51=2,J51=1)),"Deficiencia de control (diseño o ejecución)",IF(AND(F51=2,J51=3),"Oportunidad de mejora","Mantenimiento del control"))))</f>
        <v>Mantenimiento del control</v>
      </c>
      <c r="L51" s="92" t="n">
        <f aca="false">+IF(K51="",75,IF(K51="Deficiencia de control mayor (diseño y ejecución)",80,IF(K51="Deficiencia de control (diseño o ejecución)",100,IF(K51="Oportunidad de mejora",120,140))))</f>
        <v>140</v>
      </c>
      <c r="M51" s="230" t="n">
        <v>2.1456</v>
      </c>
      <c r="N51" s="231" t="n">
        <f aca="false">+L51+M51</f>
        <v>142.1456</v>
      </c>
      <c r="O51" s="235"/>
      <c r="P51" s="232"/>
    </row>
    <row r="52" customFormat="false" ht="19.9" hidden="false" customHeight="true" outlineLevel="0" collapsed="false">
      <c r="B52" s="233"/>
      <c r="C52" s="234"/>
      <c r="D52" s="160"/>
      <c r="E52" s="238"/>
      <c r="F52" s="201"/>
      <c r="G52" s="165" t="n">
        <v>2</v>
      </c>
      <c r="H52" s="248"/>
      <c r="I52" s="247"/>
      <c r="J52" s="201"/>
      <c r="K52" s="164"/>
      <c r="L52" s="92"/>
      <c r="M52" s="230"/>
      <c r="N52" s="231"/>
      <c r="O52" s="235"/>
      <c r="P52" s="232"/>
    </row>
    <row r="53" customFormat="false" ht="19.9" hidden="false" customHeight="true" outlineLevel="0" collapsed="false">
      <c r="B53" s="233"/>
      <c r="C53" s="234"/>
      <c r="D53" s="160"/>
      <c r="E53" s="238"/>
      <c r="F53" s="201"/>
      <c r="G53" s="165" t="n">
        <v>3</v>
      </c>
      <c r="H53" s="248"/>
      <c r="I53" s="247"/>
      <c r="J53" s="201"/>
      <c r="K53" s="164"/>
      <c r="L53" s="92"/>
      <c r="M53" s="230"/>
      <c r="N53" s="231"/>
      <c r="O53" s="235"/>
      <c r="P53" s="232"/>
    </row>
    <row r="54" customFormat="false" ht="19.9" hidden="false" customHeight="true" outlineLevel="0" collapsed="false">
      <c r="B54" s="233"/>
      <c r="C54" s="234"/>
      <c r="D54" s="160"/>
      <c r="E54" s="238"/>
      <c r="F54" s="201"/>
      <c r="G54" s="165" t="n">
        <v>4</v>
      </c>
      <c r="H54" s="248"/>
      <c r="I54" s="247"/>
      <c r="J54" s="201"/>
      <c r="K54" s="164"/>
      <c r="L54" s="92"/>
      <c r="M54" s="230"/>
      <c r="N54" s="231"/>
      <c r="O54" s="235"/>
      <c r="P54" s="232"/>
    </row>
    <row r="55" customFormat="false" ht="19.9" hidden="false" customHeight="true" outlineLevel="0" collapsed="false">
      <c r="B55" s="233"/>
      <c r="C55" s="234"/>
      <c r="D55" s="160"/>
      <c r="E55" s="238"/>
      <c r="F55" s="201"/>
      <c r="G55" s="165" t="n">
        <v>5</v>
      </c>
      <c r="H55" s="248"/>
      <c r="I55" s="247"/>
      <c r="J55" s="201"/>
      <c r="K55" s="164"/>
      <c r="L55" s="92"/>
      <c r="M55" s="230"/>
      <c r="N55" s="231"/>
      <c r="O55" s="235"/>
      <c r="P55" s="232"/>
    </row>
    <row r="56" customFormat="false" ht="19.9" hidden="false" customHeight="true" outlineLevel="0" collapsed="false">
      <c r="B56" s="233"/>
      <c r="C56" s="234"/>
      <c r="D56" s="160"/>
      <c r="E56" s="238"/>
      <c r="F56" s="201"/>
      <c r="G56" s="165" t="n">
        <v>6</v>
      </c>
      <c r="H56" s="248"/>
      <c r="I56" s="247"/>
      <c r="J56" s="201"/>
      <c r="K56" s="164"/>
      <c r="L56" s="92"/>
      <c r="M56" s="230"/>
      <c r="N56" s="231"/>
      <c r="O56" s="235"/>
      <c r="P56" s="232"/>
    </row>
    <row r="57" customFormat="false" ht="19.9" hidden="false" customHeight="true" outlineLevel="0" collapsed="false">
      <c r="B57" s="233"/>
      <c r="C57" s="234"/>
      <c r="D57" s="160"/>
      <c r="E57" s="238"/>
      <c r="F57" s="201"/>
      <c r="G57" s="165" t="n">
        <v>7</v>
      </c>
      <c r="H57" s="248"/>
      <c r="I57" s="247"/>
      <c r="J57" s="201"/>
      <c r="K57" s="164"/>
      <c r="L57" s="92"/>
      <c r="M57" s="230"/>
      <c r="N57" s="231"/>
      <c r="O57" s="235"/>
      <c r="P57" s="232"/>
    </row>
    <row r="58" customFormat="false" ht="19.9" hidden="false" customHeight="true" outlineLevel="0" collapsed="false">
      <c r="B58" s="233"/>
      <c r="C58" s="234"/>
      <c r="D58" s="160"/>
      <c r="E58" s="238"/>
      <c r="F58" s="201"/>
      <c r="G58" s="167" t="n">
        <v>8</v>
      </c>
      <c r="H58" s="249"/>
      <c r="I58" s="247"/>
      <c r="J58" s="201"/>
      <c r="K58" s="164"/>
      <c r="L58" s="92"/>
      <c r="M58" s="230"/>
      <c r="N58" s="231"/>
      <c r="O58" s="235"/>
      <c r="P58" s="232"/>
    </row>
    <row r="59" customFormat="false" ht="19.9" hidden="false" customHeight="true" outlineLevel="0" collapsed="false">
      <c r="B59" s="233" t="str">
        <f aca="false">+LEFT(C59,3)</f>
        <v>7.3</v>
      </c>
      <c r="C59" s="234" t="s">
        <v>270</v>
      </c>
      <c r="D59" s="160" t="s">
        <v>266</v>
      </c>
      <c r="E59" s="238" t="s">
        <v>271</v>
      </c>
      <c r="F59" s="201" t="n">
        <v>3</v>
      </c>
      <c r="G59" s="162" t="n">
        <v>1</v>
      </c>
      <c r="H59" s="246" t="s">
        <v>272</v>
      </c>
      <c r="I59" s="247" t="s">
        <v>273</v>
      </c>
      <c r="J59" s="201" t="n">
        <v>3</v>
      </c>
      <c r="K59" s="164" t="str">
        <f aca="false">+IF(OR(ISBLANK(F59),ISBLANK(J59)),"",IF(OR(AND(F59=1,J59=1),AND(F59=1,J59=2),AND(F59=1,J59=3)),"Deficiencia de control mayor (diseño y ejecución)",IF(OR(AND(F59=2,J59=2),AND(F59=3,J59=1),AND(F59=3,J59=2),AND(F59=2,J59=1)),"Deficiencia de control (diseño o ejecución)",IF(AND(F59=2,J59=3),"Oportunidad de mejora","Mantenimiento del control"))))</f>
        <v>Mantenimiento del control</v>
      </c>
      <c r="L59" s="92" t="n">
        <f aca="false">+IF(K59="",75,IF(K59="Deficiencia de control mayor (diseño y ejecución)",80,IF(K59="Deficiencia de control (diseño o ejecución)",100,IF(K59="Oportunidad de mejora",120,140))))</f>
        <v>140</v>
      </c>
      <c r="M59" s="230" t="n">
        <v>2.2365</v>
      </c>
      <c r="N59" s="231" t="n">
        <f aca="false">+L59+M59</f>
        <v>142.2365</v>
      </c>
      <c r="O59" s="235"/>
      <c r="P59" s="232"/>
    </row>
    <row r="60" customFormat="false" ht="19.9" hidden="false" customHeight="true" outlineLevel="0" collapsed="false">
      <c r="B60" s="233"/>
      <c r="C60" s="234"/>
      <c r="D60" s="160"/>
      <c r="E60" s="238"/>
      <c r="F60" s="201"/>
      <c r="G60" s="165" t="n">
        <v>2</v>
      </c>
      <c r="H60" s="248"/>
      <c r="I60" s="247"/>
      <c r="J60" s="201"/>
      <c r="K60" s="164"/>
      <c r="L60" s="92"/>
      <c r="M60" s="230"/>
      <c r="N60" s="231"/>
      <c r="O60" s="235"/>
      <c r="P60" s="232"/>
    </row>
    <row r="61" customFormat="false" ht="19.9" hidden="false" customHeight="true" outlineLevel="0" collapsed="false">
      <c r="B61" s="233"/>
      <c r="C61" s="234"/>
      <c r="D61" s="160"/>
      <c r="E61" s="238"/>
      <c r="F61" s="201"/>
      <c r="G61" s="165" t="n">
        <v>3</v>
      </c>
      <c r="H61" s="248"/>
      <c r="I61" s="247"/>
      <c r="J61" s="201"/>
      <c r="K61" s="164"/>
      <c r="L61" s="92"/>
      <c r="M61" s="230"/>
      <c r="N61" s="231"/>
      <c r="O61" s="235"/>
      <c r="P61" s="232"/>
    </row>
    <row r="62" customFormat="false" ht="19.9" hidden="false" customHeight="true" outlineLevel="0" collapsed="false">
      <c r="B62" s="233"/>
      <c r="C62" s="234"/>
      <c r="D62" s="160"/>
      <c r="E62" s="238"/>
      <c r="F62" s="201"/>
      <c r="G62" s="165" t="n">
        <v>4</v>
      </c>
      <c r="H62" s="248"/>
      <c r="I62" s="247"/>
      <c r="J62" s="201"/>
      <c r="K62" s="164"/>
      <c r="L62" s="92"/>
      <c r="M62" s="230"/>
      <c r="N62" s="231"/>
      <c r="O62" s="235"/>
      <c r="P62" s="232"/>
    </row>
    <row r="63" customFormat="false" ht="19.9" hidden="false" customHeight="true" outlineLevel="0" collapsed="false">
      <c r="B63" s="233"/>
      <c r="C63" s="234"/>
      <c r="D63" s="160"/>
      <c r="E63" s="238"/>
      <c r="F63" s="201"/>
      <c r="G63" s="165" t="n">
        <v>5</v>
      </c>
      <c r="H63" s="248"/>
      <c r="I63" s="247"/>
      <c r="J63" s="201"/>
      <c r="K63" s="164"/>
      <c r="L63" s="92"/>
      <c r="M63" s="230"/>
      <c r="N63" s="231"/>
      <c r="O63" s="235"/>
      <c r="P63" s="232"/>
    </row>
    <row r="64" customFormat="false" ht="19.9" hidden="false" customHeight="true" outlineLevel="0" collapsed="false">
      <c r="B64" s="233"/>
      <c r="C64" s="234"/>
      <c r="D64" s="160"/>
      <c r="E64" s="238"/>
      <c r="F64" s="201"/>
      <c r="G64" s="165" t="n">
        <v>6</v>
      </c>
      <c r="H64" s="248"/>
      <c r="I64" s="247"/>
      <c r="J64" s="201"/>
      <c r="K64" s="164"/>
      <c r="L64" s="92"/>
      <c r="M64" s="230"/>
      <c r="N64" s="231"/>
      <c r="O64" s="235"/>
      <c r="P64" s="232"/>
    </row>
    <row r="65" customFormat="false" ht="19.9" hidden="false" customHeight="true" outlineLevel="0" collapsed="false">
      <c r="B65" s="233"/>
      <c r="C65" s="234"/>
      <c r="D65" s="160"/>
      <c r="E65" s="238"/>
      <c r="F65" s="201"/>
      <c r="G65" s="165" t="n">
        <v>7</v>
      </c>
      <c r="H65" s="248"/>
      <c r="I65" s="247"/>
      <c r="J65" s="201"/>
      <c r="K65" s="164"/>
      <c r="L65" s="92"/>
      <c r="M65" s="230"/>
      <c r="N65" s="231"/>
      <c r="O65" s="235"/>
      <c r="P65" s="232"/>
    </row>
    <row r="66" customFormat="false" ht="19.9" hidden="false" customHeight="true" outlineLevel="0" collapsed="false">
      <c r="B66" s="233"/>
      <c r="C66" s="234"/>
      <c r="D66" s="160"/>
      <c r="E66" s="238"/>
      <c r="F66" s="201"/>
      <c r="G66" s="167" t="n">
        <v>8</v>
      </c>
      <c r="H66" s="249"/>
      <c r="I66" s="247"/>
      <c r="J66" s="201"/>
      <c r="K66" s="164"/>
      <c r="L66" s="92"/>
      <c r="M66" s="230"/>
      <c r="N66" s="231"/>
      <c r="O66" s="235"/>
      <c r="P66" s="232"/>
    </row>
    <row r="67" customFormat="false" ht="19.9" hidden="false" customHeight="true" outlineLevel="0" collapsed="false">
      <c r="B67" s="233" t="str">
        <f aca="false">+LEFT(C67,3)</f>
        <v>7.4</v>
      </c>
      <c r="C67" s="234" t="s">
        <v>274</v>
      </c>
      <c r="D67" s="160" t="s">
        <v>275</v>
      </c>
      <c r="E67" s="238" t="s">
        <v>276</v>
      </c>
      <c r="F67" s="201" t="n">
        <v>3</v>
      </c>
      <c r="G67" s="162" t="n">
        <v>1</v>
      </c>
      <c r="H67" s="250" t="s">
        <v>277</v>
      </c>
      <c r="I67" s="247" t="s">
        <v>278</v>
      </c>
      <c r="J67" s="201" t="n">
        <v>3</v>
      </c>
      <c r="K67" s="164" t="str">
        <f aca="false">+IF(OR(ISBLANK(F67),ISBLANK(J67)),"",IF(OR(AND(F67=1,J67=1),AND(F67=1,J67=2),AND(F67=1,J67=3)),"Deficiencia de control mayor (diseño y ejecución)",IF(OR(AND(F67=2,J67=2),AND(F67=3,J67=1),AND(F67=3,J67=2),AND(F67=2,J67=1)),"Deficiencia de control (diseño o ejecución)",IF(AND(F67=2,J67=3),"Oportunidad de mejora","Mantenimiento del control"))))</f>
        <v>Mantenimiento del control</v>
      </c>
      <c r="L67" s="92" t="n">
        <f aca="false">+IF(K67="",75,IF(K67="Deficiencia de control mayor (diseño y ejecución)",80,IF(K67="Deficiencia de control (diseño o ejecución)",100,IF(K67="Oportunidad de mejora",120,140))))</f>
        <v>140</v>
      </c>
      <c r="M67" s="230" t="n">
        <v>2.3896</v>
      </c>
      <c r="N67" s="231" t="n">
        <f aca="false">+L67+M67</f>
        <v>142.3896</v>
      </c>
      <c r="O67" s="235"/>
      <c r="P67" s="232"/>
    </row>
    <row r="68" customFormat="false" ht="19.9" hidden="false" customHeight="true" outlineLevel="0" collapsed="false">
      <c r="B68" s="233"/>
      <c r="C68" s="234"/>
      <c r="D68" s="160"/>
      <c r="E68" s="238"/>
      <c r="F68" s="201"/>
      <c r="G68" s="165" t="n">
        <v>2</v>
      </c>
      <c r="H68" s="246"/>
      <c r="I68" s="247"/>
      <c r="J68" s="201"/>
      <c r="K68" s="164"/>
      <c r="L68" s="92"/>
      <c r="M68" s="230"/>
      <c r="N68" s="231"/>
      <c r="O68" s="235"/>
      <c r="P68" s="232"/>
    </row>
    <row r="69" customFormat="false" ht="19.9" hidden="false" customHeight="true" outlineLevel="0" collapsed="false">
      <c r="B69" s="233"/>
      <c r="C69" s="234"/>
      <c r="D69" s="160"/>
      <c r="E69" s="238"/>
      <c r="F69" s="201"/>
      <c r="G69" s="165" t="n">
        <v>3</v>
      </c>
      <c r="H69" s="251"/>
      <c r="I69" s="247"/>
      <c r="J69" s="201"/>
      <c r="K69" s="164"/>
      <c r="L69" s="92"/>
      <c r="M69" s="230"/>
      <c r="N69" s="231"/>
      <c r="O69" s="235"/>
      <c r="P69" s="232"/>
    </row>
    <row r="70" customFormat="false" ht="19.9" hidden="false" customHeight="true" outlineLevel="0" collapsed="false">
      <c r="B70" s="233"/>
      <c r="C70" s="234"/>
      <c r="D70" s="160"/>
      <c r="E70" s="238"/>
      <c r="F70" s="201"/>
      <c r="G70" s="165" t="n">
        <v>4</v>
      </c>
      <c r="H70" s="248"/>
      <c r="I70" s="247"/>
      <c r="J70" s="201"/>
      <c r="K70" s="164"/>
      <c r="L70" s="92"/>
      <c r="M70" s="230"/>
      <c r="N70" s="231"/>
      <c r="O70" s="235"/>
      <c r="P70" s="232"/>
    </row>
    <row r="71" customFormat="false" ht="19.9" hidden="false" customHeight="true" outlineLevel="0" collapsed="false">
      <c r="B71" s="233"/>
      <c r="C71" s="234"/>
      <c r="D71" s="160"/>
      <c r="E71" s="238"/>
      <c r="F71" s="201"/>
      <c r="G71" s="165" t="n">
        <v>5</v>
      </c>
      <c r="H71" s="248"/>
      <c r="I71" s="247"/>
      <c r="J71" s="201"/>
      <c r="K71" s="164"/>
      <c r="L71" s="92"/>
      <c r="M71" s="230"/>
      <c r="N71" s="231"/>
      <c r="O71" s="235"/>
      <c r="P71" s="232"/>
    </row>
    <row r="72" customFormat="false" ht="19.9" hidden="false" customHeight="true" outlineLevel="0" collapsed="false">
      <c r="B72" s="233"/>
      <c r="C72" s="234"/>
      <c r="D72" s="160"/>
      <c r="E72" s="238"/>
      <c r="F72" s="201"/>
      <c r="G72" s="165" t="n">
        <v>6</v>
      </c>
      <c r="H72" s="248"/>
      <c r="I72" s="247"/>
      <c r="J72" s="201"/>
      <c r="K72" s="164"/>
      <c r="L72" s="92"/>
      <c r="M72" s="230"/>
      <c r="N72" s="231"/>
      <c r="O72" s="235"/>
      <c r="P72" s="232"/>
    </row>
    <row r="73" customFormat="false" ht="19.9" hidden="false" customHeight="true" outlineLevel="0" collapsed="false">
      <c r="B73" s="233"/>
      <c r="C73" s="234"/>
      <c r="D73" s="160"/>
      <c r="E73" s="238"/>
      <c r="F73" s="201"/>
      <c r="G73" s="165" t="n">
        <v>7</v>
      </c>
      <c r="H73" s="248"/>
      <c r="I73" s="247"/>
      <c r="J73" s="201"/>
      <c r="K73" s="164"/>
      <c r="L73" s="92"/>
      <c r="M73" s="230"/>
      <c r="N73" s="231"/>
      <c r="O73" s="235"/>
      <c r="P73" s="232"/>
    </row>
    <row r="74" customFormat="false" ht="19.9" hidden="false" customHeight="true" outlineLevel="0" collapsed="false">
      <c r="B74" s="233"/>
      <c r="C74" s="234"/>
      <c r="D74" s="160"/>
      <c r="E74" s="238"/>
      <c r="F74" s="201"/>
      <c r="G74" s="167" t="n">
        <v>8</v>
      </c>
      <c r="H74" s="249"/>
      <c r="I74" s="247"/>
      <c r="J74" s="201"/>
      <c r="K74" s="164"/>
      <c r="L74" s="92"/>
      <c r="M74" s="230"/>
      <c r="N74" s="231"/>
      <c r="O74" s="235"/>
      <c r="P74" s="232"/>
    </row>
    <row r="75" customFormat="false" ht="19.9" hidden="false" customHeight="true" outlineLevel="0" collapsed="false">
      <c r="B75" s="233" t="str">
        <f aca="false">+LEFT(C75,3)</f>
        <v>7.5</v>
      </c>
      <c r="C75" s="234" t="s">
        <v>279</v>
      </c>
      <c r="D75" s="160" t="s">
        <v>280</v>
      </c>
      <c r="E75" s="238" t="s">
        <v>281</v>
      </c>
      <c r="F75" s="201" t="n">
        <v>3</v>
      </c>
      <c r="G75" s="162" t="n">
        <v>1</v>
      </c>
      <c r="H75" s="246" t="s">
        <v>282</v>
      </c>
      <c r="I75" s="247" t="s">
        <v>283</v>
      </c>
      <c r="J75" s="184" t="n">
        <v>3</v>
      </c>
      <c r="K75" s="164" t="str">
        <f aca="false">+IF(OR(ISBLANK(F75),ISBLANK(J75)),"",IF(OR(AND(F75=1,J75=1),AND(F75=1,J75=2),AND(F75=1,J75=3)),"Deficiencia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92" t="n">
        <f aca="false">+IF(K75="",75,IF(K75="Deficiencia de control mayor (diseño y ejecución)",80,IF(K75="Deficiencia de control (diseño o ejecución)",100,IF(K75="Oportunidad de mejora",120,140))))</f>
        <v>140</v>
      </c>
      <c r="M75" s="230" t="n">
        <v>2.4563</v>
      </c>
      <c r="N75" s="231" t="n">
        <f aca="false">+L75+M75</f>
        <v>142.4563</v>
      </c>
      <c r="O75" s="235"/>
      <c r="P75" s="232"/>
    </row>
    <row r="76" customFormat="false" ht="19.9" hidden="false" customHeight="true" outlineLevel="0" collapsed="false">
      <c r="B76" s="233"/>
      <c r="C76" s="234"/>
      <c r="D76" s="160"/>
      <c r="E76" s="238"/>
      <c r="F76" s="201"/>
      <c r="G76" s="165" t="n">
        <v>2</v>
      </c>
      <c r="H76" s="248"/>
      <c r="I76" s="247"/>
      <c r="J76" s="184"/>
      <c r="K76" s="164"/>
      <c r="L76" s="92"/>
      <c r="M76" s="230"/>
      <c r="N76" s="231"/>
      <c r="O76" s="235"/>
      <c r="P76" s="232"/>
    </row>
    <row r="77" customFormat="false" ht="19.9" hidden="false" customHeight="true" outlineLevel="0" collapsed="false">
      <c r="B77" s="233"/>
      <c r="C77" s="234"/>
      <c r="D77" s="160"/>
      <c r="E77" s="238"/>
      <c r="F77" s="201"/>
      <c r="G77" s="165" t="n">
        <v>3</v>
      </c>
      <c r="H77" s="248"/>
      <c r="I77" s="247"/>
      <c r="J77" s="184"/>
      <c r="K77" s="164"/>
      <c r="L77" s="92"/>
      <c r="M77" s="230"/>
      <c r="N77" s="231"/>
      <c r="O77" s="235"/>
      <c r="P77" s="232"/>
    </row>
    <row r="78" customFormat="false" ht="19.9" hidden="false" customHeight="true" outlineLevel="0" collapsed="false">
      <c r="B78" s="233"/>
      <c r="C78" s="234"/>
      <c r="D78" s="160"/>
      <c r="E78" s="238"/>
      <c r="F78" s="201"/>
      <c r="G78" s="165" t="n">
        <v>4</v>
      </c>
      <c r="H78" s="248"/>
      <c r="I78" s="247"/>
      <c r="J78" s="184"/>
      <c r="K78" s="164"/>
      <c r="L78" s="92"/>
      <c r="M78" s="230"/>
      <c r="N78" s="231"/>
      <c r="O78" s="235"/>
      <c r="P78" s="232"/>
    </row>
    <row r="79" customFormat="false" ht="19.9" hidden="false" customHeight="true" outlineLevel="0" collapsed="false">
      <c r="B79" s="233"/>
      <c r="C79" s="234"/>
      <c r="D79" s="160"/>
      <c r="E79" s="238"/>
      <c r="F79" s="201"/>
      <c r="G79" s="165" t="n">
        <v>5</v>
      </c>
      <c r="H79" s="248"/>
      <c r="I79" s="247"/>
      <c r="J79" s="184"/>
      <c r="K79" s="164"/>
      <c r="L79" s="92"/>
      <c r="M79" s="230"/>
      <c r="N79" s="231"/>
      <c r="O79" s="235"/>
      <c r="P79" s="232"/>
    </row>
    <row r="80" customFormat="false" ht="19.9" hidden="false" customHeight="true" outlineLevel="0" collapsed="false">
      <c r="B80" s="233"/>
      <c r="C80" s="234"/>
      <c r="D80" s="160"/>
      <c r="E80" s="238"/>
      <c r="F80" s="201"/>
      <c r="G80" s="165" t="n">
        <v>6</v>
      </c>
      <c r="H80" s="248"/>
      <c r="I80" s="247"/>
      <c r="J80" s="184"/>
      <c r="K80" s="164"/>
      <c r="L80" s="92"/>
      <c r="M80" s="230"/>
      <c r="N80" s="231"/>
      <c r="O80" s="235"/>
      <c r="P80" s="232"/>
    </row>
    <row r="81" customFormat="false" ht="19.9" hidden="false" customHeight="true" outlineLevel="0" collapsed="false">
      <c r="B81" s="233"/>
      <c r="C81" s="234"/>
      <c r="D81" s="160"/>
      <c r="E81" s="238"/>
      <c r="F81" s="201"/>
      <c r="G81" s="165" t="n">
        <v>7</v>
      </c>
      <c r="H81" s="248"/>
      <c r="I81" s="247"/>
      <c r="J81" s="184"/>
      <c r="K81" s="164"/>
      <c r="L81" s="92"/>
      <c r="M81" s="230"/>
      <c r="N81" s="231"/>
      <c r="O81" s="235"/>
      <c r="P81" s="232"/>
    </row>
    <row r="82" customFormat="false" ht="19.9" hidden="false" customHeight="true" outlineLevel="0" collapsed="false">
      <c r="B82" s="233"/>
      <c r="C82" s="234"/>
      <c r="D82" s="160"/>
      <c r="E82" s="238"/>
      <c r="F82" s="201"/>
      <c r="G82" s="167" t="n">
        <v>8</v>
      </c>
      <c r="H82" s="249"/>
      <c r="I82" s="247"/>
      <c r="J82" s="184"/>
      <c r="K82" s="164"/>
      <c r="L82" s="92"/>
      <c r="M82" s="230"/>
      <c r="N82" s="231"/>
      <c r="O82" s="235"/>
      <c r="P82" s="232"/>
    </row>
    <row r="83" customFormat="false" ht="31.5" hidden="false" customHeight="true" outlineLevel="0" collapsed="false">
      <c r="B83" s="252"/>
      <c r="C83" s="253" t="s">
        <v>284</v>
      </c>
      <c r="D83" s="219" t="s">
        <v>8</v>
      </c>
      <c r="E83" s="239" t="s">
        <v>243</v>
      </c>
      <c r="F83" s="240" t="s">
        <v>244</v>
      </c>
      <c r="G83" s="241" t="s">
        <v>116</v>
      </c>
      <c r="H83" s="241"/>
      <c r="I83" s="241"/>
      <c r="J83" s="240" t="s">
        <v>245</v>
      </c>
      <c r="K83" s="242" t="s">
        <v>152</v>
      </c>
      <c r="L83" s="243"/>
      <c r="M83" s="243"/>
      <c r="N83" s="244"/>
      <c r="O83" s="224"/>
      <c r="P83" s="225"/>
    </row>
    <row r="84" customFormat="false" ht="19.9" hidden="false" customHeight="true" outlineLevel="0" collapsed="false">
      <c r="B84" s="252"/>
      <c r="C84" s="252"/>
      <c r="D84" s="219"/>
      <c r="E84" s="239"/>
      <c r="F84" s="240"/>
      <c r="G84" s="245" t="s">
        <v>13</v>
      </c>
      <c r="H84" s="239" t="s">
        <v>15</v>
      </c>
      <c r="I84" s="239" t="s">
        <v>17</v>
      </c>
      <c r="J84" s="240"/>
      <c r="K84" s="242"/>
      <c r="L84" s="243"/>
      <c r="M84" s="243"/>
      <c r="N84" s="244"/>
      <c r="O84" s="224"/>
      <c r="P84" s="225"/>
    </row>
    <row r="85" customFormat="false" ht="19.9" hidden="false" customHeight="true" outlineLevel="0" collapsed="false">
      <c r="B85" s="252"/>
      <c r="C85" s="252"/>
      <c r="D85" s="219"/>
      <c r="E85" s="239"/>
      <c r="F85" s="240"/>
      <c r="G85" s="245"/>
      <c r="H85" s="239"/>
      <c r="I85" s="239"/>
      <c r="J85" s="240"/>
      <c r="K85" s="242"/>
      <c r="L85" s="243"/>
      <c r="M85" s="243"/>
      <c r="N85" s="244"/>
      <c r="O85" s="224"/>
      <c r="P85" s="225"/>
    </row>
    <row r="86" customFormat="false" ht="66.75" hidden="false" customHeight="true" outlineLevel="0" collapsed="false">
      <c r="B86" s="233" t="str">
        <f aca="false">+LEFT(C86,3)</f>
        <v>8.1</v>
      </c>
      <c r="C86" s="114" t="s">
        <v>285</v>
      </c>
      <c r="D86" s="126" t="s">
        <v>247</v>
      </c>
      <c r="E86" s="190" t="s">
        <v>286</v>
      </c>
      <c r="F86" s="184" t="n">
        <v>3</v>
      </c>
      <c r="G86" s="141" t="n">
        <v>1</v>
      </c>
      <c r="H86" s="108" t="s">
        <v>287</v>
      </c>
      <c r="I86" s="194" t="s">
        <v>288</v>
      </c>
      <c r="J86" s="201" t="n">
        <v>3</v>
      </c>
      <c r="K86" s="164" t="str">
        <f aca="false">+IF(OR(ISBLANK(F86),ISBLANK(J86)),"",IF(OR(AND(F86=1,J86=1),AND(F86=1,J86=2),AND(F86=1,J86=3)),"Deficiencia de control mayor (diseño y ejecución)",IF(OR(AND(F86=2,J86=2),AND(F86=3,J86=1),AND(F86=3,J86=2),AND(F86=2,J86=1)),"Deficiencia de control (diseño o ejecución)",IF(AND(F86=2,J86=3),"Oportunidad de mejora","Mantenimiento del control"))))</f>
        <v>Mantenimiento del control</v>
      </c>
      <c r="L86" s="92" t="n">
        <f aca="false">+IF(K86="",75,IF(K86="Deficiencia de control mayor (diseño y ejecución)",80,IF(K86="Deficiencia de control (diseño o ejecución)",100,IF(K86="Oportunidad de mejora",120,140))))</f>
        <v>140</v>
      </c>
      <c r="M86" s="230" t="n">
        <v>2.5458</v>
      </c>
      <c r="N86" s="231" t="n">
        <f aca="false">+L86+M86</f>
        <v>142.5458</v>
      </c>
      <c r="O86" s="235"/>
      <c r="P86" s="232"/>
    </row>
    <row r="87" customFormat="false" ht="17.25" hidden="false" customHeight="false" outlineLevel="0" collapsed="false">
      <c r="B87" s="233"/>
      <c r="C87" s="114"/>
      <c r="D87" s="126"/>
      <c r="E87" s="190"/>
      <c r="F87" s="184"/>
      <c r="G87" s="107" t="n">
        <v>2</v>
      </c>
      <c r="H87" s="142"/>
      <c r="I87" s="194"/>
      <c r="J87" s="201"/>
      <c r="K87" s="164"/>
      <c r="L87" s="92"/>
      <c r="M87" s="230"/>
      <c r="N87" s="231"/>
      <c r="O87" s="235"/>
      <c r="P87" s="232"/>
    </row>
    <row r="88" customFormat="false" ht="17.25" hidden="false" customHeight="false" outlineLevel="0" collapsed="false">
      <c r="B88" s="233"/>
      <c r="C88" s="114"/>
      <c r="D88" s="126"/>
      <c r="E88" s="190"/>
      <c r="F88" s="184"/>
      <c r="G88" s="107" t="n">
        <v>3</v>
      </c>
      <c r="H88" s="142"/>
      <c r="I88" s="194"/>
      <c r="J88" s="201"/>
      <c r="K88" s="164"/>
      <c r="L88" s="92"/>
      <c r="M88" s="230"/>
      <c r="N88" s="231"/>
      <c r="O88" s="235"/>
      <c r="P88" s="232"/>
    </row>
    <row r="89" customFormat="false" ht="19.9" hidden="false" customHeight="true" outlineLevel="0" collapsed="false">
      <c r="B89" s="233"/>
      <c r="C89" s="114"/>
      <c r="D89" s="126"/>
      <c r="E89" s="190"/>
      <c r="F89" s="184"/>
      <c r="G89" s="107" t="n">
        <v>4</v>
      </c>
      <c r="H89" s="107"/>
      <c r="I89" s="194"/>
      <c r="J89" s="201"/>
      <c r="K89" s="164"/>
      <c r="L89" s="92"/>
      <c r="M89" s="230"/>
      <c r="N89" s="231"/>
      <c r="O89" s="235"/>
      <c r="P89" s="232"/>
    </row>
    <row r="90" customFormat="false" ht="19.9" hidden="false" customHeight="true" outlineLevel="0" collapsed="false">
      <c r="B90" s="233"/>
      <c r="C90" s="114"/>
      <c r="D90" s="126"/>
      <c r="E90" s="190"/>
      <c r="F90" s="184"/>
      <c r="G90" s="107" t="n">
        <v>5</v>
      </c>
      <c r="H90" s="107"/>
      <c r="I90" s="194"/>
      <c r="J90" s="201"/>
      <c r="K90" s="164"/>
      <c r="L90" s="92"/>
      <c r="M90" s="230"/>
      <c r="N90" s="231"/>
      <c r="O90" s="235"/>
      <c r="P90" s="232"/>
    </row>
    <row r="91" customFormat="false" ht="19.9" hidden="false" customHeight="true" outlineLevel="0" collapsed="false">
      <c r="B91" s="233"/>
      <c r="C91" s="114"/>
      <c r="D91" s="126"/>
      <c r="E91" s="190"/>
      <c r="F91" s="184"/>
      <c r="G91" s="107" t="n">
        <v>6</v>
      </c>
      <c r="H91" s="107"/>
      <c r="I91" s="194"/>
      <c r="J91" s="201"/>
      <c r="K91" s="164"/>
      <c r="L91" s="92"/>
      <c r="M91" s="230"/>
      <c r="N91" s="231"/>
      <c r="O91" s="235"/>
      <c r="P91" s="232"/>
    </row>
    <row r="92" customFormat="false" ht="19.9" hidden="false" customHeight="true" outlineLevel="0" collapsed="false">
      <c r="B92" s="233"/>
      <c r="C92" s="114"/>
      <c r="D92" s="126"/>
      <c r="E92" s="190"/>
      <c r="F92" s="184"/>
      <c r="G92" s="107" t="n">
        <v>7</v>
      </c>
      <c r="H92" s="107"/>
      <c r="I92" s="194"/>
      <c r="J92" s="201"/>
      <c r="K92" s="164"/>
      <c r="L92" s="92"/>
      <c r="M92" s="230"/>
      <c r="N92" s="231"/>
      <c r="O92" s="235"/>
      <c r="P92" s="232"/>
    </row>
    <row r="93" customFormat="false" ht="19.9" hidden="false" customHeight="true" outlineLevel="0" collapsed="false">
      <c r="B93" s="233"/>
      <c r="C93" s="114"/>
      <c r="D93" s="126"/>
      <c r="E93" s="190"/>
      <c r="F93" s="184"/>
      <c r="G93" s="121" t="n">
        <v>8</v>
      </c>
      <c r="H93" s="121"/>
      <c r="I93" s="194"/>
      <c r="J93" s="201"/>
      <c r="K93" s="164"/>
      <c r="L93" s="92"/>
      <c r="M93" s="230"/>
      <c r="N93" s="231"/>
      <c r="O93" s="235"/>
      <c r="P93" s="232"/>
    </row>
    <row r="94" customFormat="false" ht="63.75" hidden="false" customHeight="true" outlineLevel="0" collapsed="false">
      <c r="B94" s="233" t="str">
        <f aca="false">+LEFT(C94,3)</f>
        <v>8.2</v>
      </c>
      <c r="C94" s="114" t="s">
        <v>289</v>
      </c>
      <c r="D94" s="126" t="s">
        <v>290</v>
      </c>
      <c r="E94" s="190" t="s">
        <v>291</v>
      </c>
      <c r="F94" s="184" t="n">
        <v>3</v>
      </c>
      <c r="G94" s="141" t="n">
        <v>1</v>
      </c>
      <c r="H94" s="108" t="s">
        <v>292</v>
      </c>
      <c r="I94" s="194" t="s">
        <v>293</v>
      </c>
      <c r="J94" s="201" t="n">
        <v>3</v>
      </c>
      <c r="K94" s="164" t="str">
        <f aca="false">+IF(OR(ISBLANK(F94),ISBLANK(J94)),"",IF(OR(AND(F94=1,J94=1),AND(F94=1,J94=2),AND(F94=1,J94=3)),"Deficiencia de control mayor (diseño y ejecución)",IF(OR(AND(F94=2,J94=2),AND(F94=3,J94=1),AND(F94=3,J94=2),AND(F94=2,J94=1)),"Deficiencia de control (diseño o ejecución)",IF(AND(F94=2,J94=3),"Oportunidad de mejora","Mantenimiento del control"))))</f>
        <v>Mantenimiento del control</v>
      </c>
      <c r="L94" s="92" t="n">
        <f aca="false">+IF(K94="",75,IF(K94="Deficiencia de control mayor (diseño y ejecución)",80,IF(K94="Deficiencia de control (diseño o ejecución)",100,IF(K94="Oportunidad de mejora",120,140))))</f>
        <v>140</v>
      </c>
      <c r="M94" s="230" t="n">
        <v>2.6321</v>
      </c>
      <c r="N94" s="231" t="n">
        <f aca="false">+L94+M94</f>
        <v>142.6321</v>
      </c>
      <c r="O94" s="235"/>
      <c r="P94" s="232"/>
    </row>
    <row r="95" customFormat="false" ht="48" hidden="false" customHeight="true" outlineLevel="0" collapsed="false">
      <c r="B95" s="233"/>
      <c r="C95" s="114"/>
      <c r="D95" s="126"/>
      <c r="E95" s="190"/>
      <c r="F95" s="184"/>
      <c r="G95" s="107" t="n">
        <v>2</v>
      </c>
      <c r="H95" s="142"/>
      <c r="I95" s="194"/>
      <c r="J95" s="201"/>
      <c r="K95" s="164"/>
      <c r="L95" s="92"/>
      <c r="M95" s="230"/>
      <c r="N95" s="231"/>
      <c r="O95" s="235"/>
      <c r="P95" s="232"/>
    </row>
    <row r="96" customFormat="false" ht="48" hidden="false" customHeight="true" outlineLevel="0" collapsed="false">
      <c r="B96" s="233"/>
      <c r="C96" s="114"/>
      <c r="D96" s="126"/>
      <c r="E96" s="190"/>
      <c r="F96" s="184"/>
      <c r="G96" s="107" t="n">
        <v>3</v>
      </c>
      <c r="H96" s="142"/>
      <c r="I96" s="194"/>
      <c r="J96" s="201"/>
      <c r="K96" s="164"/>
      <c r="L96" s="92"/>
      <c r="M96" s="230"/>
      <c r="N96" s="231"/>
      <c r="O96" s="235"/>
      <c r="P96" s="232"/>
    </row>
    <row r="97" customFormat="false" ht="19.9" hidden="false" customHeight="true" outlineLevel="0" collapsed="false">
      <c r="B97" s="233"/>
      <c r="C97" s="114"/>
      <c r="D97" s="126"/>
      <c r="E97" s="190"/>
      <c r="F97" s="184"/>
      <c r="G97" s="107" t="n">
        <v>4</v>
      </c>
      <c r="H97" s="107"/>
      <c r="I97" s="194"/>
      <c r="J97" s="201"/>
      <c r="K97" s="164"/>
      <c r="L97" s="92"/>
      <c r="M97" s="230"/>
      <c r="N97" s="231"/>
      <c r="O97" s="235"/>
      <c r="P97" s="232"/>
    </row>
    <row r="98" customFormat="false" ht="19.9" hidden="false" customHeight="true" outlineLevel="0" collapsed="false">
      <c r="B98" s="233"/>
      <c r="C98" s="114"/>
      <c r="D98" s="126"/>
      <c r="E98" s="190"/>
      <c r="F98" s="184"/>
      <c r="G98" s="107" t="n">
        <v>5</v>
      </c>
      <c r="H98" s="107"/>
      <c r="I98" s="194"/>
      <c r="J98" s="201"/>
      <c r="K98" s="164"/>
      <c r="L98" s="92"/>
      <c r="M98" s="230"/>
      <c r="N98" s="231"/>
      <c r="O98" s="235"/>
      <c r="P98" s="232"/>
    </row>
    <row r="99" customFormat="false" ht="19.9" hidden="false" customHeight="true" outlineLevel="0" collapsed="false">
      <c r="B99" s="233"/>
      <c r="C99" s="114"/>
      <c r="D99" s="126"/>
      <c r="E99" s="190"/>
      <c r="F99" s="184"/>
      <c r="G99" s="107" t="n">
        <v>6</v>
      </c>
      <c r="H99" s="107"/>
      <c r="I99" s="194"/>
      <c r="J99" s="201"/>
      <c r="K99" s="164"/>
      <c r="L99" s="92"/>
      <c r="M99" s="230"/>
      <c r="N99" s="231"/>
      <c r="O99" s="235"/>
      <c r="P99" s="232"/>
    </row>
    <row r="100" customFormat="false" ht="19.9" hidden="false" customHeight="true" outlineLevel="0" collapsed="false">
      <c r="B100" s="233"/>
      <c r="C100" s="114"/>
      <c r="D100" s="126"/>
      <c r="E100" s="190"/>
      <c r="F100" s="184"/>
      <c r="G100" s="107" t="n">
        <v>7</v>
      </c>
      <c r="H100" s="107"/>
      <c r="I100" s="194"/>
      <c r="J100" s="201"/>
      <c r="K100" s="164"/>
      <c r="L100" s="92"/>
      <c r="M100" s="230"/>
      <c r="N100" s="231"/>
      <c r="O100" s="235"/>
      <c r="P100" s="232"/>
    </row>
    <row r="101" customFormat="false" ht="19.9" hidden="false" customHeight="true" outlineLevel="0" collapsed="false">
      <c r="B101" s="233"/>
      <c r="C101" s="114"/>
      <c r="D101" s="126"/>
      <c r="E101" s="190"/>
      <c r="F101" s="184"/>
      <c r="G101" s="121" t="n">
        <v>8</v>
      </c>
      <c r="H101" s="121"/>
      <c r="I101" s="194"/>
      <c r="J101" s="201"/>
      <c r="K101" s="164"/>
      <c r="L101" s="92"/>
      <c r="M101" s="230"/>
      <c r="N101" s="231"/>
      <c r="O101" s="235"/>
      <c r="P101" s="232"/>
    </row>
    <row r="102" customFormat="false" ht="33.75" hidden="false" customHeight="true" outlineLevel="0" collapsed="false">
      <c r="B102" s="233" t="str">
        <f aca="false">+LEFT(C102,3)</f>
        <v>8.3</v>
      </c>
      <c r="C102" s="114" t="s">
        <v>294</v>
      </c>
      <c r="D102" s="126" t="s">
        <v>295</v>
      </c>
      <c r="E102" s="190" t="s">
        <v>291</v>
      </c>
      <c r="F102" s="184" t="n">
        <v>3</v>
      </c>
      <c r="G102" s="141" t="n">
        <v>1</v>
      </c>
      <c r="H102" s="108" t="s">
        <v>296</v>
      </c>
      <c r="I102" s="194" t="s">
        <v>297</v>
      </c>
      <c r="J102" s="201" t="n">
        <v>3</v>
      </c>
      <c r="K102" s="164" t="str">
        <f aca="false">+IF(OR(ISBLANK(F102),ISBLANK(J102)),"",IF(OR(AND(F102=1,J102=1),AND(F102=1,J102=2),AND(F102=1,J102=3)),"Deficiencia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92" t="n">
        <f aca="false">+IF(K102="",75,IF(K102="Deficiencia de control mayor (diseño y ejecución)",80,IF(K102="Deficiencia de control (diseño o ejecución)",100,IF(K102="Oportunidad de mejora",120,140))))</f>
        <v>140</v>
      </c>
      <c r="M102" s="230" t="n">
        <v>2.7456</v>
      </c>
      <c r="N102" s="231" t="n">
        <f aca="false">+L102+M102</f>
        <v>142.7456</v>
      </c>
      <c r="O102" s="235"/>
      <c r="P102" s="232"/>
    </row>
    <row r="103" customFormat="false" ht="17.25" hidden="false" customHeight="false" outlineLevel="0" collapsed="false">
      <c r="B103" s="233"/>
      <c r="C103" s="114"/>
      <c r="D103" s="126"/>
      <c r="E103" s="190"/>
      <c r="F103" s="184"/>
      <c r="G103" s="107" t="n">
        <v>2</v>
      </c>
      <c r="H103" s="142"/>
      <c r="I103" s="194"/>
      <c r="J103" s="201"/>
      <c r="K103" s="164"/>
      <c r="L103" s="92"/>
      <c r="M103" s="230"/>
      <c r="N103" s="231"/>
      <c r="O103" s="235"/>
      <c r="P103" s="232"/>
    </row>
    <row r="104" customFormat="false" ht="17.25" hidden="false" customHeight="false" outlineLevel="0" collapsed="false">
      <c r="B104" s="233"/>
      <c r="C104" s="114"/>
      <c r="D104" s="126"/>
      <c r="E104" s="190"/>
      <c r="F104" s="184"/>
      <c r="G104" s="107" t="n">
        <v>3</v>
      </c>
      <c r="H104" s="142"/>
      <c r="I104" s="194"/>
      <c r="J104" s="201"/>
      <c r="K104" s="164"/>
      <c r="L104" s="92"/>
      <c r="M104" s="230"/>
      <c r="N104" s="231"/>
      <c r="O104" s="235"/>
      <c r="P104" s="232"/>
    </row>
    <row r="105" customFormat="false" ht="19.9" hidden="false" customHeight="true" outlineLevel="0" collapsed="false">
      <c r="B105" s="233"/>
      <c r="C105" s="114"/>
      <c r="D105" s="126"/>
      <c r="E105" s="190"/>
      <c r="F105" s="184"/>
      <c r="G105" s="107" t="n">
        <v>4</v>
      </c>
      <c r="H105" s="107"/>
      <c r="I105" s="194"/>
      <c r="J105" s="201"/>
      <c r="K105" s="164"/>
      <c r="L105" s="92"/>
      <c r="M105" s="230"/>
      <c r="N105" s="231"/>
      <c r="O105" s="235"/>
      <c r="P105" s="232"/>
    </row>
    <row r="106" customFormat="false" ht="19.9" hidden="false" customHeight="true" outlineLevel="0" collapsed="false">
      <c r="B106" s="233"/>
      <c r="C106" s="114"/>
      <c r="D106" s="126"/>
      <c r="E106" s="190"/>
      <c r="F106" s="184"/>
      <c r="G106" s="107" t="n">
        <v>5</v>
      </c>
      <c r="H106" s="107"/>
      <c r="I106" s="194"/>
      <c r="J106" s="201"/>
      <c r="K106" s="164"/>
      <c r="L106" s="92"/>
      <c r="M106" s="230"/>
      <c r="N106" s="231"/>
      <c r="O106" s="235"/>
      <c r="P106" s="232"/>
    </row>
    <row r="107" customFormat="false" ht="19.9" hidden="false" customHeight="true" outlineLevel="0" collapsed="false">
      <c r="B107" s="233"/>
      <c r="C107" s="114"/>
      <c r="D107" s="126"/>
      <c r="E107" s="190"/>
      <c r="F107" s="184"/>
      <c r="G107" s="107" t="n">
        <v>6</v>
      </c>
      <c r="H107" s="107"/>
      <c r="I107" s="194"/>
      <c r="J107" s="201"/>
      <c r="K107" s="164"/>
      <c r="L107" s="92"/>
      <c r="M107" s="230"/>
      <c r="N107" s="231"/>
      <c r="O107" s="235"/>
      <c r="P107" s="232"/>
    </row>
    <row r="108" customFormat="false" ht="19.9" hidden="false" customHeight="true" outlineLevel="0" collapsed="false">
      <c r="B108" s="233"/>
      <c r="C108" s="114"/>
      <c r="D108" s="126"/>
      <c r="E108" s="190"/>
      <c r="F108" s="184"/>
      <c r="G108" s="107" t="n">
        <v>7</v>
      </c>
      <c r="H108" s="107"/>
      <c r="I108" s="194"/>
      <c r="J108" s="201"/>
      <c r="K108" s="164"/>
      <c r="L108" s="92"/>
      <c r="M108" s="230"/>
      <c r="N108" s="231"/>
      <c r="O108" s="235"/>
      <c r="P108" s="232"/>
    </row>
    <row r="109" customFormat="false" ht="19.9" hidden="false" customHeight="true" outlineLevel="0" collapsed="false">
      <c r="B109" s="233"/>
      <c r="C109" s="114"/>
      <c r="D109" s="126"/>
      <c r="E109" s="190"/>
      <c r="F109" s="184"/>
      <c r="G109" s="121" t="n">
        <v>8</v>
      </c>
      <c r="H109" s="121"/>
      <c r="I109" s="194"/>
      <c r="J109" s="201"/>
      <c r="K109" s="164"/>
      <c r="L109" s="92"/>
      <c r="M109" s="230"/>
      <c r="N109" s="231"/>
      <c r="O109" s="235"/>
      <c r="P109" s="232"/>
    </row>
    <row r="110" customFormat="false" ht="57.75" hidden="false" customHeight="true" outlineLevel="0" collapsed="false">
      <c r="B110" s="233" t="str">
        <f aca="false">+LEFT(C110,3)</f>
        <v>8.4</v>
      </c>
      <c r="C110" s="114" t="s">
        <v>298</v>
      </c>
      <c r="D110" s="126" t="s">
        <v>290</v>
      </c>
      <c r="E110" s="190" t="s">
        <v>291</v>
      </c>
      <c r="F110" s="184" t="n">
        <v>3</v>
      </c>
      <c r="G110" s="141" t="n">
        <v>1</v>
      </c>
      <c r="H110" s="108" t="s">
        <v>292</v>
      </c>
      <c r="I110" s="194" t="s">
        <v>299</v>
      </c>
      <c r="J110" s="254" t="n">
        <v>3</v>
      </c>
      <c r="K110" s="164" t="str">
        <f aca="false">+IF(OR(ISBLANK(F110),ISBLANK(J110)),"",IF(OR(AND(F110=1,J110=1),AND(F110=1,J110=2),AND(F110=1,J110=3)),"Deficiencia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92" t="n">
        <f aca="false">+IF(K110="",75,IF(K110="Deficiencia de control mayor (diseño y ejecución)",80,IF(K110="Deficiencia de control (diseño o ejecución)",100,IF(K110="Oportunidad de mejora",120,140))))</f>
        <v>140</v>
      </c>
      <c r="M110" s="230" t="n">
        <v>2.8745</v>
      </c>
      <c r="N110" s="231" t="n">
        <f aca="false">+L110+M110</f>
        <v>142.8745</v>
      </c>
      <c r="O110" s="235"/>
      <c r="P110" s="232"/>
    </row>
    <row r="111" customFormat="false" ht="58.5" hidden="false" customHeight="true" outlineLevel="0" collapsed="false">
      <c r="B111" s="233"/>
      <c r="C111" s="114"/>
      <c r="D111" s="126"/>
      <c r="E111" s="190"/>
      <c r="F111" s="184"/>
      <c r="G111" s="107" t="n">
        <v>2</v>
      </c>
      <c r="H111" s="142"/>
      <c r="I111" s="194"/>
      <c r="J111" s="254"/>
      <c r="K111" s="164"/>
      <c r="L111" s="92"/>
      <c r="M111" s="230"/>
      <c r="N111" s="231"/>
      <c r="O111" s="235"/>
      <c r="P111" s="232"/>
    </row>
    <row r="112" customFormat="false" ht="58.5" hidden="false" customHeight="true" outlineLevel="0" collapsed="false">
      <c r="B112" s="233"/>
      <c r="C112" s="114"/>
      <c r="D112" s="126"/>
      <c r="E112" s="190"/>
      <c r="F112" s="184"/>
      <c r="G112" s="107" t="n">
        <v>3</v>
      </c>
      <c r="H112" s="142"/>
      <c r="I112" s="194"/>
      <c r="J112" s="254"/>
      <c r="K112" s="164"/>
      <c r="L112" s="92"/>
      <c r="M112" s="230"/>
      <c r="N112" s="231"/>
      <c r="O112" s="235"/>
      <c r="P112" s="232"/>
    </row>
    <row r="113" customFormat="false" ht="19.9" hidden="false" customHeight="true" outlineLevel="0" collapsed="false">
      <c r="B113" s="233"/>
      <c r="C113" s="114"/>
      <c r="D113" s="126"/>
      <c r="E113" s="190"/>
      <c r="F113" s="184"/>
      <c r="G113" s="107" t="n">
        <v>4</v>
      </c>
      <c r="H113" s="107"/>
      <c r="I113" s="194"/>
      <c r="J113" s="254"/>
      <c r="K113" s="164"/>
      <c r="L113" s="92"/>
      <c r="M113" s="230"/>
      <c r="N113" s="231"/>
      <c r="O113" s="235"/>
      <c r="P113" s="232"/>
    </row>
    <row r="114" customFormat="false" ht="19.9" hidden="false" customHeight="true" outlineLevel="0" collapsed="false">
      <c r="B114" s="233"/>
      <c r="C114" s="114"/>
      <c r="D114" s="126"/>
      <c r="E114" s="190"/>
      <c r="F114" s="184"/>
      <c r="G114" s="107" t="n">
        <v>5</v>
      </c>
      <c r="H114" s="107"/>
      <c r="I114" s="194"/>
      <c r="J114" s="254"/>
      <c r="K114" s="164"/>
      <c r="L114" s="92"/>
      <c r="M114" s="230"/>
      <c r="N114" s="231"/>
      <c r="O114" s="235"/>
      <c r="P114" s="232"/>
    </row>
    <row r="115" customFormat="false" ht="19.9" hidden="false" customHeight="true" outlineLevel="0" collapsed="false">
      <c r="B115" s="233"/>
      <c r="C115" s="114"/>
      <c r="D115" s="126"/>
      <c r="E115" s="190"/>
      <c r="F115" s="184"/>
      <c r="G115" s="107" t="n">
        <v>6</v>
      </c>
      <c r="H115" s="107"/>
      <c r="I115" s="194"/>
      <c r="J115" s="254"/>
      <c r="K115" s="164"/>
      <c r="L115" s="92"/>
      <c r="M115" s="230"/>
      <c r="N115" s="231"/>
      <c r="O115" s="235"/>
      <c r="P115" s="232"/>
    </row>
    <row r="116" customFormat="false" ht="19.9" hidden="false" customHeight="true" outlineLevel="0" collapsed="false">
      <c r="B116" s="233"/>
      <c r="C116" s="114"/>
      <c r="D116" s="126"/>
      <c r="E116" s="190"/>
      <c r="F116" s="184"/>
      <c r="G116" s="107" t="n">
        <v>7</v>
      </c>
      <c r="H116" s="107"/>
      <c r="I116" s="194"/>
      <c r="J116" s="254"/>
      <c r="K116" s="164"/>
      <c r="L116" s="92"/>
      <c r="M116" s="230"/>
      <c r="N116" s="231"/>
      <c r="O116" s="235"/>
      <c r="P116" s="232"/>
    </row>
    <row r="117" customFormat="false" ht="19.9" hidden="false" customHeight="true" outlineLevel="0" collapsed="false">
      <c r="B117" s="233"/>
      <c r="C117" s="114"/>
      <c r="D117" s="126"/>
      <c r="E117" s="190"/>
      <c r="F117" s="184"/>
      <c r="G117" s="121" t="n">
        <v>8</v>
      </c>
      <c r="H117" s="121"/>
      <c r="I117" s="194"/>
      <c r="J117" s="254"/>
      <c r="K117" s="164"/>
      <c r="L117" s="92"/>
      <c r="M117" s="230"/>
      <c r="N117" s="231"/>
      <c r="O117" s="235"/>
      <c r="P117" s="232"/>
    </row>
    <row r="118" customFormat="false" ht="19.9" hidden="false" customHeight="true" outlineLevel="0" collapsed="false">
      <c r="B118" s="255"/>
      <c r="C118" s="218" t="s">
        <v>300</v>
      </c>
      <c r="D118" s="219" t="s">
        <v>8</v>
      </c>
      <c r="E118" s="239" t="s">
        <v>243</v>
      </c>
      <c r="F118" s="240" t="s">
        <v>244</v>
      </c>
      <c r="G118" s="241" t="s">
        <v>116</v>
      </c>
      <c r="H118" s="241"/>
      <c r="I118" s="241"/>
      <c r="J118" s="240" t="s">
        <v>245</v>
      </c>
      <c r="K118" s="242" t="s">
        <v>152</v>
      </c>
      <c r="L118" s="243"/>
      <c r="M118" s="243"/>
      <c r="N118" s="244"/>
      <c r="O118" s="224"/>
      <c r="P118" s="225"/>
    </row>
    <row r="119" customFormat="false" ht="19.9" hidden="false" customHeight="true" outlineLevel="0" collapsed="false">
      <c r="B119" s="255"/>
      <c r="C119" s="255"/>
      <c r="D119" s="219"/>
      <c r="E119" s="239"/>
      <c r="F119" s="240"/>
      <c r="G119" s="245" t="s">
        <v>13</v>
      </c>
      <c r="H119" s="239" t="s">
        <v>15</v>
      </c>
      <c r="I119" s="239" t="s">
        <v>17</v>
      </c>
      <c r="J119" s="240"/>
      <c r="K119" s="242"/>
      <c r="L119" s="243"/>
      <c r="M119" s="243"/>
      <c r="N119" s="244"/>
      <c r="O119" s="224"/>
      <c r="P119" s="225"/>
    </row>
    <row r="120" customFormat="false" ht="19.9" hidden="false" customHeight="true" outlineLevel="0" collapsed="false">
      <c r="B120" s="255"/>
      <c r="C120" s="255"/>
      <c r="D120" s="219"/>
      <c r="E120" s="239"/>
      <c r="F120" s="240"/>
      <c r="G120" s="245"/>
      <c r="H120" s="239"/>
      <c r="I120" s="239"/>
      <c r="J120" s="240"/>
      <c r="K120" s="242"/>
      <c r="L120" s="243"/>
      <c r="M120" s="243"/>
      <c r="N120" s="244"/>
      <c r="O120" s="224"/>
      <c r="P120" s="225"/>
    </row>
    <row r="121" customFormat="false" ht="19.9" hidden="false" customHeight="true" outlineLevel="0" collapsed="false">
      <c r="B121" s="233" t="str">
        <f aca="false">+LEFT(C121,3)</f>
        <v>9.1</v>
      </c>
      <c r="C121" s="234" t="s">
        <v>301</v>
      </c>
      <c r="D121" s="237" t="s">
        <v>302</v>
      </c>
      <c r="E121" s="190" t="s">
        <v>303</v>
      </c>
      <c r="F121" s="201" t="n">
        <v>3</v>
      </c>
      <c r="G121" s="162" t="n">
        <v>1</v>
      </c>
      <c r="H121" s="246" t="s">
        <v>304</v>
      </c>
      <c r="I121" s="247" t="s">
        <v>305</v>
      </c>
      <c r="J121" s="201" t="n">
        <v>3</v>
      </c>
      <c r="K121" s="164" t="str">
        <f aca="false">+IF(OR(ISBLANK(F121),ISBLANK(J121)),"",IF(OR(AND(F121=1,J121=1),AND(F121=1,J121=2),AND(F121=1,J121=3)),"Deficiencia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92" t="n">
        <f aca="false">+IF(K121="",75,IF(K121="Deficiencia de control mayor (diseño y ejecución)",80,IF(K121="Deficiencia de control (diseño o ejecución)",100,IF(K121="Oportunidad de mejora",120,140))))</f>
        <v>140</v>
      </c>
      <c r="M121" s="230" t="n">
        <v>2.9635</v>
      </c>
      <c r="N121" s="231" t="n">
        <f aca="false">+L121+M121</f>
        <v>142.9635</v>
      </c>
      <c r="O121" s="235"/>
      <c r="P121" s="232"/>
    </row>
    <row r="122" customFormat="false" ht="19.9" hidden="false" customHeight="true" outlineLevel="0" collapsed="false">
      <c r="B122" s="233"/>
      <c r="C122" s="234"/>
      <c r="D122" s="237"/>
      <c r="E122" s="190"/>
      <c r="F122" s="201"/>
      <c r="G122" s="165" t="n">
        <v>2</v>
      </c>
      <c r="H122" s="246"/>
      <c r="I122" s="247"/>
      <c r="J122" s="201"/>
      <c r="K122" s="164"/>
      <c r="L122" s="92"/>
      <c r="M122" s="230"/>
      <c r="N122" s="231"/>
      <c r="O122" s="235"/>
      <c r="P122" s="232"/>
    </row>
    <row r="123" customFormat="false" ht="19.9" hidden="false" customHeight="true" outlineLevel="0" collapsed="false">
      <c r="B123" s="233"/>
      <c r="C123" s="234"/>
      <c r="D123" s="237"/>
      <c r="E123" s="190"/>
      <c r="F123" s="201"/>
      <c r="G123" s="165" t="n">
        <v>3</v>
      </c>
      <c r="H123" s="251"/>
      <c r="I123" s="247"/>
      <c r="J123" s="201"/>
      <c r="K123" s="164"/>
      <c r="L123" s="92"/>
      <c r="M123" s="230"/>
      <c r="N123" s="231"/>
      <c r="O123" s="235"/>
      <c r="P123" s="232"/>
    </row>
    <row r="124" customFormat="false" ht="19.9" hidden="false" customHeight="true" outlineLevel="0" collapsed="false">
      <c r="B124" s="233"/>
      <c r="C124" s="234"/>
      <c r="D124" s="237"/>
      <c r="E124" s="190"/>
      <c r="F124" s="201"/>
      <c r="G124" s="165" t="n">
        <v>4</v>
      </c>
      <c r="H124" s="256"/>
      <c r="I124" s="247"/>
      <c r="J124" s="201"/>
      <c r="K124" s="164"/>
      <c r="L124" s="92"/>
      <c r="M124" s="230"/>
      <c r="N124" s="231"/>
      <c r="O124" s="235"/>
      <c r="P124" s="232"/>
    </row>
    <row r="125" customFormat="false" ht="19.9" hidden="false" customHeight="true" outlineLevel="0" collapsed="false">
      <c r="B125" s="233"/>
      <c r="C125" s="234"/>
      <c r="D125" s="237"/>
      <c r="E125" s="190"/>
      <c r="F125" s="201"/>
      <c r="G125" s="165" t="n">
        <v>5</v>
      </c>
      <c r="H125" s="248"/>
      <c r="I125" s="247"/>
      <c r="J125" s="201"/>
      <c r="K125" s="164"/>
      <c r="L125" s="92"/>
      <c r="M125" s="230"/>
      <c r="N125" s="231"/>
      <c r="O125" s="235"/>
      <c r="P125" s="232"/>
    </row>
    <row r="126" customFormat="false" ht="19.9" hidden="false" customHeight="true" outlineLevel="0" collapsed="false">
      <c r="B126" s="233"/>
      <c r="C126" s="234"/>
      <c r="D126" s="237"/>
      <c r="E126" s="190"/>
      <c r="F126" s="201"/>
      <c r="G126" s="165" t="n">
        <v>6</v>
      </c>
      <c r="H126" s="248"/>
      <c r="I126" s="247"/>
      <c r="J126" s="201"/>
      <c r="K126" s="164"/>
      <c r="L126" s="92"/>
      <c r="M126" s="230"/>
      <c r="N126" s="231"/>
      <c r="O126" s="235"/>
      <c r="P126" s="232"/>
    </row>
    <row r="127" customFormat="false" ht="19.9" hidden="false" customHeight="true" outlineLevel="0" collapsed="false">
      <c r="B127" s="233"/>
      <c r="C127" s="234"/>
      <c r="D127" s="237"/>
      <c r="E127" s="190"/>
      <c r="F127" s="201"/>
      <c r="G127" s="165" t="n">
        <v>7</v>
      </c>
      <c r="H127" s="248"/>
      <c r="I127" s="247"/>
      <c r="J127" s="201"/>
      <c r="K127" s="164"/>
      <c r="L127" s="92"/>
      <c r="M127" s="230"/>
      <c r="N127" s="231"/>
      <c r="O127" s="235"/>
      <c r="P127" s="232"/>
    </row>
    <row r="128" customFormat="false" ht="19.9" hidden="false" customHeight="true" outlineLevel="0" collapsed="false">
      <c r="B128" s="233"/>
      <c r="C128" s="234"/>
      <c r="D128" s="237"/>
      <c r="E128" s="190"/>
      <c r="F128" s="201"/>
      <c r="G128" s="167" t="n">
        <v>8</v>
      </c>
      <c r="H128" s="249"/>
      <c r="I128" s="247"/>
      <c r="J128" s="201"/>
      <c r="K128" s="164"/>
      <c r="L128" s="92"/>
      <c r="M128" s="230"/>
      <c r="N128" s="231"/>
      <c r="O128" s="235"/>
      <c r="P128" s="232"/>
    </row>
    <row r="129" customFormat="false" ht="19.9" hidden="false" customHeight="true" outlineLevel="0" collapsed="false">
      <c r="B129" s="233" t="str">
        <f aca="false">+LEFT(C129,3)</f>
        <v>9.2</v>
      </c>
      <c r="C129" s="257" t="s">
        <v>306</v>
      </c>
      <c r="D129" s="160" t="s">
        <v>307</v>
      </c>
      <c r="E129" s="258" t="s">
        <v>308</v>
      </c>
      <c r="F129" s="201" t="n">
        <v>3</v>
      </c>
      <c r="G129" s="162" t="n">
        <v>1</v>
      </c>
      <c r="H129" s="246" t="s">
        <v>309</v>
      </c>
      <c r="I129" s="258" t="s">
        <v>293</v>
      </c>
      <c r="J129" s="201" t="n">
        <v>2</v>
      </c>
      <c r="K129" s="164" t="str">
        <f aca="false">+IF(OR(ISBLANK(F129),ISBLANK(J129)),"",IF(OR(AND(F129=1,J129=1),AND(F129=1,J129=2),AND(F129=1,J129=3)),"Deficiencia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Deficiencia de control (diseño o ejecución)</v>
      </c>
      <c r="L129" s="92" t="n">
        <f aca="false">+IF(K129="",75,IF(K129="Deficiencia de control mayor (diseño y ejecución)",80,IF(K129="Deficiencia de control (diseño o ejecución)",100,IF(K129="Oportunidad de mejora",120,140))))</f>
        <v>100</v>
      </c>
      <c r="M129" s="230" t="n">
        <v>3.0125</v>
      </c>
      <c r="N129" s="231" t="n">
        <f aca="false">+L129+M129</f>
        <v>103.0125</v>
      </c>
      <c r="O129" s="235"/>
      <c r="P129" s="232"/>
    </row>
    <row r="130" customFormat="false" ht="19.9" hidden="false" customHeight="true" outlineLevel="0" collapsed="false">
      <c r="B130" s="233"/>
      <c r="C130" s="257"/>
      <c r="D130" s="160"/>
      <c r="E130" s="258"/>
      <c r="F130" s="201"/>
      <c r="G130" s="165" t="n">
        <v>2</v>
      </c>
      <c r="H130" s="248"/>
      <c r="I130" s="258"/>
      <c r="J130" s="201"/>
      <c r="K130" s="164"/>
      <c r="L130" s="92"/>
      <c r="M130" s="230"/>
      <c r="N130" s="231"/>
      <c r="O130" s="235"/>
      <c r="P130" s="232"/>
    </row>
    <row r="131" customFormat="false" ht="19.9" hidden="false" customHeight="true" outlineLevel="0" collapsed="false">
      <c r="B131" s="233"/>
      <c r="C131" s="257"/>
      <c r="D131" s="160"/>
      <c r="E131" s="258"/>
      <c r="F131" s="201"/>
      <c r="G131" s="165" t="n">
        <v>3</v>
      </c>
      <c r="H131" s="248"/>
      <c r="I131" s="258"/>
      <c r="J131" s="201"/>
      <c r="K131" s="164"/>
      <c r="L131" s="92"/>
      <c r="M131" s="230"/>
      <c r="N131" s="231"/>
      <c r="O131" s="235"/>
      <c r="P131" s="232"/>
    </row>
    <row r="132" customFormat="false" ht="19.9" hidden="false" customHeight="true" outlineLevel="0" collapsed="false">
      <c r="B132" s="233"/>
      <c r="C132" s="257"/>
      <c r="D132" s="160"/>
      <c r="E132" s="258"/>
      <c r="F132" s="201"/>
      <c r="G132" s="165" t="n">
        <v>4</v>
      </c>
      <c r="H132" s="248"/>
      <c r="I132" s="258"/>
      <c r="J132" s="201"/>
      <c r="K132" s="164"/>
      <c r="L132" s="92"/>
      <c r="M132" s="230"/>
      <c r="N132" s="231"/>
      <c r="O132" s="235"/>
      <c r="P132" s="232"/>
    </row>
    <row r="133" customFormat="false" ht="19.9" hidden="false" customHeight="true" outlineLevel="0" collapsed="false">
      <c r="B133" s="233"/>
      <c r="C133" s="257"/>
      <c r="D133" s="160"/>
      <c r="E133" s="258"/>
      <c r="F133" s="201"/>
      <c r="G133" s="165" t="n">
        <v>5</v>
      </c>
      <c r="H133" s="248"/>
      <c r="I133" s="258"/>
      <c r="J133" s="201"/>
      <c r="K133" s="164"/>
      <c r="L133" s="92"/>
      <c r="M133" s="230"/>
      <c r="N133" s="231"/>
      <c r="O133" s="235"/>
      <c r="P133" s="232"/>
    </row>
    <row r="134" customFormat="false" ht="19.9" hidden="false" customHeight="true" outlineLevel="0" collapsed="false">
      <c r="B134" s="233"/>
      <c r="C134" s="257"/>
      <c r="D134" s="160"/>
      <c r="E134" s="258"/>
      <c r="F134" s="201"/>
      <c r="G134" s="165" t="n">
        <v>6</v>
      </c>
      <c r="H134" s="248"/>
      <c r="I134" s="258"/>
      <c r="J134" s="201"/>
      <c r="K134" s="164"/>
      <c r="L134" s="92"/>
      <c r="M134" s="230"/>
      <c r="N134" s="231"/>
      <c r="O134" s="235"/>
      <c r="P134" s="232"/>
    </row>
    <row r="135" customFormat="false" ht="19.9" hidden="false" customHeight="true" outlineLevel="0" collapsed="false">
      <c r="B135" s="233"/>
      <c r="C135" s="257"/>
      <c r="D135" s="160"/>
      <c r="E135" s="258"/>
      <c r="F135" s="201"/>
      <c r="G135" s="165" t="n">
        <v>7</v>
      </c>
      <c r="H135" s="248"/>
      <c r="I135" s="258"/>
      <c r="J135" s="201"/>
      <c r="K135" s="164"/>
      <c r="L135" s="92"/>
      <c r="M135" s="230"/>
      <c r="N135" s="231"/>
      <c r="O135" s="235"/>
      <c r="P135" s="232"/>
    </row>
    <row r="136" customFormat="false" ht="19.9" hidden="false" customHeight="true" outlineLevel="0" collapsed="false">
      <c r="B136" s="233"/>
      <c r="C136" s="257"/>
      <c r="D136" s="160"/>
      <c r="E136" s="258"/>
      <c r="F136" s="201"/>
      <c r="G136" s="167" t="n">
        <v>8</v>
      </c>
      <c r="H136" s="249"/>
      <c r="I136" s="258"/>
      <c r="J136" s="201"/>
      <c r="K136" s="164"/>
      <c r="L136" s="92"/>
      <c r="M136" s="230"/>
      <c r="N136" s="231"/>
      <c r="O136" s="235"/>
      <c r="P136" s="232"/>
    </row>
    <row r="137" customFormat="false" ht="19.9" hidden="false" customHeight="true" outlineLevel="0" collapsed="false">
      <c r="B137" s="233" t="str">
        <f aca="false">+LEFT(C137,3)</f>
        <v>9.3</v>
      </c>
      <c r="C137" s="259" t="s">
        <v>310</v>
      </c>
      <c r="D137" s="160" t="s">
        <v>290</v>
      </c>
      <c r="E137" s="258" t="s">
        <v>308</v>
      </c>
      <c r="F137" s="201" t="n">
        <v>3</v>
      </c>
      <c r="G137" s="162" t="n">
        <v>1</v>
      </c>
      <c r="H137" s="246" t="s">
        <v>311</v>
      </c>
      <c r="I137" s="258" t="s">
        <v>293</v>
      </c>
      <c r="J137" s="201" t="n">
        <v>2</v>
      </c>
      <c r="K137" s="164" t="str">
        <f aca="false">+IF(OR(ISBLANK(F137),ISBLANK(J137)),"",IF(OR(AND(F137=1,J137=1),AND(F137=1,J137=2),AND(F137=1,J137=3)),"Deficiencia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Deficiencia de control (diseño o ejecución)</v>
      </c>
      <c r="L137" s="92" t="n">
        <f aca="false">+IF(K137="",75,IF(K137="Deficiencia de control mayor (diseño y ejecución)",80,IF(K137="Deficiencia de control (diseño o ejecución)",100,IF(K137="Oportunidad de mejora",120,140))))</f>
        <v>100</v>
      </c>
      <c r="M137" s="230" t="n">
        <v>3.1236</v>
      </c>
      <c r="N137" s="231" t="n">
        <f aca="false">+L137+M137</f>
        <v>103.1236</v>
      </c>
      <c r="O137" s="235"/>
      <c r="P137" s="232"/>
    </row>
    <row r="138" customFormat="false" ht="19.9" hidden="false" customHeight="true" outlineLevel="0" collapsed="false">
      <c r="B138" s="233"/>
      <c r="C138" s="259"/>
      <c r="D138" s="160"/>
      <c r="E138" s="258"/>
      <c r="F138" s="201"/>
      <c r="G138" s="165" t="n">
        <v>2</v>
      </c>
      <c r="H138" s="248"/>
      <c r="I138" s="258"/>
      <c r="J138" s="201"/>
      <c r="K138" s="164"/>
      <c r="L138" s="92"/>
      <c r="M138" s="230"/>
      <c r="N138" s="231"/>
      <c r="O138" s="235"/>
      <c r="P138" s="232"/>
    </row>
    <row r="139" customFormat="false" ht="19.9" hidden="false" customHeight="true" outlineLevel="0" collapsed="false">
      <c r="B139" s="233"/>
      <c r="C139" s="259"/>
      <c r="D139" s="160"/>
      <c r="E139" s="258"/>
      <c r="F139" s="201"/>
      <c r="G139" s="165" t="n">
        <v>3</v>
      </c>
      <c r="H139" s="248"/>
      <c r="I139" s="258"/>
      <c r="J139" s="201"/>
      <c r="K139" s="164"/>
      <c r="L139" s="92"/>
      <c r="M139" s="230"/>
      <c r="N139" s="231"/>
      <c r="O139" s="235"/>
      <c r="P139" s="232"/>
    </row>
    <row r="140" customFormat="false" ht="19.9" hidden="false" customHeight="true" outlineLevel="0" collapsed="false">
      <c r="B140" s="233"/>
      <c r="C140" s="259"/>
      <c r="D140" s="160"/>
      <c r="E140" s="258"/>
      <c r="F140" s="201"/>
      <c r="G140" s="165" t="n">
        <v>4</v>
      </c>
      <c r="H140" s="248"/>
      <c r="I140" s="258"/>
      <c r="J140" s="201"/>
      <c r="K140" s="164"/>
      <c r="L140" s="92"/>
      <c r="M140" s="230"/>
      <c r="N140" s="231"/>
      <c r="O140" s="235"/>
      <c r="P140" s="232"/>
    </row>
    <row r="141" customFormat="false" ht="19.9" hidden="false" customHeight="true" outlineLevel="0" collapsed="false">
      <c r="B141" s="233"/>
      <c r="C141" s="259"/>
      <c r="D141" s="160"/>
      <c r="E141" s="258"/>
      <c r="F141" s="201"/>
      <c r="G141" s="165" t="n">
        <v>5</v>
      </c>
      <c r="H141" s="248"/>
      <c r="I141" s="258"/>
      <c r="J141" s="201"/>
      <c r="K141" s="164"/>
      <c r="L141" s="92"/>
      <c r="M141" s="230"/>
      <c r="N141" s="231"/>
      <c r="O141" s="235"/>
      <c r="P141" s="232"/>
    </row>
    <row r="142" customFormat="false" ht="19.9" hidden="false" customHeight="true" outlineLevel="0" collapsed="false">
      <c r="B142" s="233"/>
      <c r="C142" s="259"/>
      <c r="D142" s="160"/>
      <c r="E142" s="258"/>
      <c r="F142" s="201"/>
      <c r="G142" s="165" t="n">
        <v>6</v>
      </c>
      <c r="H142" s="248"/>
      <c r="I142" s="258"/>
      <c r="J142" s="201"/>
      <c r="K142" s="164"/>
      <c r="L142" s="92"/>
      <c r="M142" s="230"/>
      <c r="N142" s="231"/>
      <c r="O142" s="235"/>
      <c r="P142" s="232"/>
    </row>
    <row r="143" customFormat="false" ht="19.9" hidden="false" customHeight="true" outlineLevel="0" collapsed="false">
      <c r="B143" s="233"/>
      <c r="C143" s="259"/>
      <c r="D143" s="160"/>
      <c r="E143" s="258"/>
      <c r="F143" s="201"/>
      <c r="G143" s="165" t="n">
        <v>7</v>
      </c>
      <c r="H143" s="248"/>
      <c r="I143" s="258"/>
      <c r="J143" s="201"/>
      <c r="K143" s="164"/>
      <c r="L143" s="92"/>
      <c r="M143" s="230"/>
      <c r="N143" s="231"/>
      <c r="O143" s="235"/>
      <c r="P143" s="232"/>
    </row>
    <row r="144" customFormat="false" ht="19.9" hidden="false" customHeight="true" outlineLevel="0" collapsed="false">
      <c r="B144" s="233"/>
      <c r="C144" s="259"/>
      <c r="D144" s="160"/>
      <c r="E144" s="258"/>
      <c r="F144" s="201"/>
      <c r="G144" s="167" t="n">
        <v>8</v>
      </c>
      <c r="H144" s="249"/>
      <c r="I144" s="258"/>
      <c r="J144" s="201"/>
      <c r="K144" s="164"/>
      <c r="L144" s="92"/>
      <c r="M144" s="230"/>
      <c r="N144" s="231"/>
      <c r="O144" s="235"/>
      <c r="P144" s="232"/>
    </row>
    <row r="145" customFormat="false" ht="19.9" hidden="false" customHeight="true" outlineLevel="0" collapsed="false">
      <c r="B145" s="233" t="str">
        <f aca="false">+LEFT(C145,3)</f>
        <v>9.4</v>
      </c>
      <c r="C145" s="227" t="s">
        <v>312</v>
      </c>
      <c r="D145" s="160" t="s">
        <v>307</v>
      </c>
      <c r="E145" s="258" t="s">
        <v>308</v>
      </c>
      <c r="F145" s="201" t="n">
        <v>3</v>
      </c>
      <c r="G145" s="162" t="n">
        <v>1</v>
      </c>
      <c r="H145" s="246" t="s">
        <v>311</v>
      </c>
      <c r="I145" s="247" t="s">
        <v>305</v>
      </c>
      <c r="J145" s="201" t="n">
        <v>3</v>
      </c>
      <c r="K145" s="164" t="str">
        <f aca="false">+IF(OR(ISBLANK(F145),ISBLANK(J145)),"",IF(OR(AND(F145=1,J145=1),AND(F145=1,J145=2),AND(F145=1,J145=3)),"Deficiencia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92" t="n">
        <f aca="false">+IF(K145="",75,IF(K145="Deficiencia de control mayor (diseño y ejecución)",80,IF(K145="Deficiencia de control (diseño o ejecución)",100,IF(K145="Oportunidad de mejora",120,140))))</f>
        <v>140</v>
      </c>
      <c r="M145" s="230" t="n">
        <v>3.2456</v>
      </c>
      <c r="N145" s="231" t="n">
        <f aca="false">+L145+M145</f>
        <v>143.2456</v>
      </c>
      <c r="O145" s="235"/>
      <c r="P145" s="232"/>
    </row>
    <row r="146" customFormat="false" ht="19.9" hidden="false" customHeight="true" outlineLevel="0" collapsed="false">
      <c r="B146" s="233"/>
      <c r="C146" s="227"/>
      <c r="D146" s="160"/>
      <c r="E146" s="258"/>
      <c r="F146" s="201"/>
      <c r="G146" s="165" t="n">
        <v>2</v>
      </c>
      <c r="H146" s="248"/>
      <c r="I146" s="247"/>
      <c r="J146" s="201"/>
      <c r="K146" s="164"/>
      <c r="L146" s="92"/>
      <c r="M146" s="230"/>
      <c r="N146" s="231"/>
      <c r="O146" s="235"/>
      <c r="P146" s="232"/>
    </row>
    <row r="147" customFormat="false" ht="19.9" hidden="false" customHeight="true" outlineLevel="0" collapsed="false">
      <c r="B147" s="233"/>
      <c r="C147" s="227"/>
      <c r="D147" s="160"/>
      <c r="E147" s="258"/>
      <c r="F147" s="201"/>
      <c r="G147" s="165" t="n">
        <v>3</v>
      </c>
      <c r="H147" s="248"/>
      <c r="I147" s="247"/>
      <c r="J147" s="201"/>
      <c r="K147" s="164"/>
      <c r="L147" s="92"/>
      <c r="M147" s="230"/>
      <c r="N147" s="231"/>
      <c r="O147" s="235"/>
      <c r="P147" s="232"/>
    </row>
    <row r="148" customFormat="false" ht="19.9" hidden="false" customHeight="true" outlineLevel="0" collapsed="false">
      <c r="B148" s="233"/>
      <c r="C148" s="227"/>
      <c r="D148" s="160"/>
      <c r="E148" s="258"/>
      <c r="F148" s="201"/>
      <c r="G148" s="165" t="n">
        <v>4</v>
      </c>
      <c r="H148" s="248"/>
      <c r="I148" s="247"/>
      <c r="J148" s="201"/>
      <c r="K148" s="164"/>
      <c r="L148" s="92"/>
      <c r="M148" s="230"/>
      <c r="N148" s="231"/>
      <c r="O148" s="235"/>
      <c r="P148" s="232"/>
    </row>
    <row r="149" customFormat="false" ht="19.9" hidden="false" customHeight="true" outlineLevel="0" collapsed="false">
      <c r="B149" s="233"/>
      <c r="C149" s="227"/>
      <c r="D149" s="160"/>
      <c r="E149" s="258"/>
      <c r="F149" s="201"/>
      <c r="G149" s="165" t="n">
        <v>5</v>
      </c>
      <c r="H149" s="248"/>
      <c r="I149" s="247"/>
      <c r="J149" s="201"/>
      <c r="K149" s="164"/>
      <c r="L149" s="92"/>
      <c r="M149" s="230"/>
      <c r="N149" s="231"/>
      <c r="O149" s="235"/>
      <c r="P149" s="232"/>
    </row>
    <row r="150" customFormat="false" ht="19.9" hidden="false" customHeight="true" outlineLevel="0" collapsed="false">
      <c r="B150" s="233"/>
      <c r="C150" s="227"/>
      <c r="D150" s="160"/>
      <c r="E150" s="258"/>
      <c r="F150" s="201"/>
      <c r="G150" s="165" t="n">
        <v>6</v>
      </c>
      <c r="H150" s="248"/>
      <c r="I150" s="247"/>
      <c r="J150" s="201"/>
      <c r="K150" s="164"/>
      <c r="L150" s="92"/>
      <c r="M150" s="230"/>
      <c r="N150" s="231"/>
      <c r="O150" s="235"/>
      <c r="P150" s="232"/>
    </row>
    <row r="151" customFormat="false" ht="19.9" hidden="false" customHeight="true" outlineLevel="0" collapsed="false">
      <c r="B151" s="233"/>
      <c r="C151" s="227"/>
      <c r="D151" s="160"/>
      <c r="E151" s="258"/>
      <c r="F151" s="201"/>
      <c r="G151" s="165" t="n">
        <v>7</v>
      </c>
      <c r="H151" s="248"/>
      <c r="I151" s="247"/>
      <c r="J151" s="201"/>
      <c r="K151" s="164"/>
      <c r="L151" s="92"/>
      <c r="M151" s="230"/>
      <c r="N151" s="231"/>
      <c r="O151" s="235"/>
      <c r="P151" s="232"/>
    </row>
    <row r="152" customFormat="false" ht="19.9" hidden="false" customHeight="true" outlineLevel="0" collapsed="false">
      <c r="B152" s="233"/>
      <c r="C152" s="227"/>
      <c r="D152" s="160"/>
      <c r="E152" s="258"/>
      <c r="F152" s="201"/>
      <c r="G152" s="167" t="n">
        <v>8</v>
      </c>
      <c r="H152" s="249"/>
      <c r="I152" s="247"/>
      <c r="J152" s="201"/>
      <c r="K152" s="164"/>
      <c r="L152" s="92"/>
      <c r="M152" s="230"/>
      <c r="N152" s="231"/>
      <c r="O152" s="235"/>
      <c r="P152" s="232"/>
    </row>
    <row r="153" customFormat="false" ht="19.9" hidden="false" customHeight="true" outlineLevel="0" collapsed="false">
      <c r="B153" s="233" t="str">
        <f aca="false">+LEFT(C153,3)</f>
        <v>9.5</v>
      </c>
      <c r="C153" s="227" t="s">
        <v>313</v>
      </c>
      <c r="D153" s="160" t="s">
        <v>314</v>
      </c>
      <c r="E153" s="258" t="s">
        <v>308</v>
      </c>
      <c r="F153" s="201" t="n">
        <v>3</v>
      </c>
      <c r="G153" s="162" t="n">
        <v>1</v>
      </c>
      <c r="H153" s="246" t="s">
        <v>311</v>
      </c>
      <c r="I153" s="247" t="s">
        <v>305</v>
      </c>
      <c r="J153" s="201" t="n">
        <v>3</v>
      </c>
      <c r="K153" s="164" t="str">
        <f aca="false">+IF(OR(ISBLANK(F153),ISBLANK(J153)),"",IF(OR(AND(F153=1,J153=1),AND(F153=1,J153=2),AND(F153=1,J153=3)),"Deficiencia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92" t="n">
        <f aca="false">+IF(K153="",75,IF(K153="Deficiencia de control mayor (diseño y ejecución)",80,IF(K153="Deficiencia de control (diseño o ejecución)",100,IF(K153="Oportunidad de mejora",120,140))))</f>
        <v>140</v>
      </c>
      <c r="M153" s="230" t="n">
        <v>3.3654</v>
      </c>
      <c r="N153" s="231" t="n">
        <f aca="false">+L153+M153</f>
        <v>143.3654</v>
      </c>
      <c r="O153" s="235"/>
      <c r="P153" s="232"/>
    </row>
    <row r="154" customFormat="false" ht="19.9" hidden="false" customHeight="true" outlineLevel="0" collapsed="false">
      <c r="B154" s="233"/>
      <c r="C154" s="227"/>
      <c r="D154" s="160"/>
      <c r="E154" s="258"/>
      <c r="F154" s="201"/>
      <c r="G154" s="165" t="n">
        <v>2</v>
      </c>
      <c r="H154" s="248"/>
      <c r="I154" s="247"/>
      <c r="J154" s="201"/>
      <c r="K154" s="164"/>
      <c r="L154" s="92"/>
      <c r="M154" s="230"/>
      <c r="N154" s="231"/>
      <c r="O154" s="235"/>
      <c r="P154" s="232"/>
    </row>
    <row r="155" customFormat="false" ht="19.9" hidden="false" customHeight="true" outlineLevel="0" collapsed="false">
      <c r="B155" s="233"/>
      <c r="C155" s="227"/>
      <c r="D155" s="160"/>
      <c r="E155" s="258"/>
      <c r="F155" s="201"/>
      <c r="G155" s="165" t="n">
        <v>3</v>
      </c>
      <c r="H155" s="248"/>
      <c r="I155" s="247"/>
      <c r="J155" s="201"/>
      <c r="K155" s="164"/>
      <c r="L155" s="92"/>
      <c r="M155" s="230"/>
      <c r="N155" s="231"/>
      <c r="O155" s="235"/>
      <c r="P155" s="232"/>
    </row>
    <row r="156" customFormat="false" ht="19.9" hidden="false" customHeight="true" outlineLevel="0" collapsed="false">
      <c r="B156" s="233"/>
      <c r="C156" s="227"/>
      <c r="D156" s="160"/>
      <c r="E156" s="258"/>
      <c r="F156" s="201"/>
      <c r="G156" s="165" t="n">
        <v>4</v>
      </c>
      <c r="H156" s="248"/>
      <c r="I156" s="247"/>
      <c r="J156" s="201"/>
      <c r="K156" s="164"/>
      <c r="L156" s="92"/>
      <c r="M156" s="230"/>
      <c r="N156" s="231"/>
      <c r="O156" s="235"/>
      <c r="P156" s="232"/>
    </row>
    <row r="157" customFormat="false" ht="19.9" hidden="false" customHeight="true" outlineLevel="0" collapsed="false">
      <c r="B157" s="233"/>
      <c r="C157" s="227"/>
      <c r="D157" s="160"/>
      <c r="E157" s="258"/>
      <c r="F157" s="201"/>
      <c r="G157" s="165" t="n">
        <v>5</v>
      </c>
      <c r="H157" s="248"/>
      <c r="I157" s="247"/>
      <c r="J157" s="201"/>
      <c r="K157" s="164"/>
      <c r="L157" s="92"/>
      <c r="M157" s="230"/>
      <c r="N157" s="231"/>
      <c r="O157" s="235"/>
      <c r="P157" s="232"/>
    </row>
    <row r="158" customFormat="false" ht="19.9" hidden="false" customHeight="true" outlineLevel="0" collapsed="false">
      <c r="B158" s="233"/>
      <c r="C158" s="227"/>
      <c r="D158" s="160"/>
      <c r="E158" s="258"/>
      <c r="F158" s="201"/>
      <c r="G158" s="165" t="n">
        <v>6</v>
      </c>
      <c r="H158" s="248"/>
      <c r="I158" s="247"/>
      <c r="J158" s="201"/>
      <c r="K158" s="164"/>
      <c r="L158" s="92"/>
      <c r="M158" s="230"/>
      <c r="N158" s="231"/>
      <c r="O158" s="235"/>
      <c r="P158" s="232"/>
    </row>
    <row r="159" customFormat="false" ht="19.9" hidden="false" customHeight="true" outlineLevel="0" collapsed="false">
      <c r="B159" s="233"/>
      <c r="C159" s="227"/>
      <c r="D159" s="160"/>
      <c r="E159" s="258"/>
      <c r="F159" s="201"/>
      <c r="G159" s="165" t="n">
        <v>7</v>
      </c>
      <c r="H159" s="248"/>
      <c r="I159" s="247"/>
      <c r="J159" s="201"/>
      <c r="K159" s="164"/>
      <c r="L159" s="92"/>
      <c r="M159" s="230"/>
      <c r="N159" s="231"/>
      <c r="O159" s="235"/>
      <c r="P159" s="232"/>
    </row>
    <row r="160" customFormat="false" ht="19.9" hidden="false" customHeight="true" outlineLevel="0" collapsed="false">
      <c r="B160" s="233"/>
      <c r="C160" s="227"/>
      <c r="D160" s="160"/>
      <c r="E160" s="258"/>
      <c r="F160" s="201"/>
      <c r="G160" s="167" t="n">
        <v>8</v>
      </c>
      <c r="H160" s="249"/>
      <c r="I160" s="247"/>
      <c r="J160" s="201"/>
      <c r="K160" s="164"/>
      <c r="L160" s="92"/>
      <c r="M160" s="230"/>
      <c r="N160" s="231"/>
      <c r="O160" s="235"/>
      <c r="P160" s="232"/>
    </row>
  </sheetData>
  <sheetProtection sheet="true" password="d72a" objects="true" scenarios="true" formatCells="false" formatColumns="false" formatRows="false"/>
  <mergeCells count="286">
    <mergeCell ref="C10:K10"/>
    <mergeCell ref="C11:K11"/>
    <mergeCell ref="B13:B15"/>
    <mergeCell ref="C13:C15"/>
    <mergeCell ref="D13:D15"/>
    <mergeCell ref="E13:E15"/>
    <mergeCell ref="F13:F15"/>
    <mergeCell ref="G13:I13"/>
    <mergeCell ref="J13:J15"/>
    <mergeCell ref="K13:K15"/>
    <mergeCell ref="L13:L15"/>
    <mergeCell ref="M13:M15"/>
    <mergeCell ref="N13:N15"/>
    <mergeCell ref="O13:O15"/>
    <mergeCell ref="P13:P15"/>
    <mergeCell ref="G14:G15"/>
    <mergeCell ref="H14:H15"/>
    <mergeCell ref="I14:I15"/>
    <mergeCell ref="B16:B23"/>
    <mergeCell ref="C16:C23"/>
    <mergeCell ref="D16:D23"/>
    <mergeCell ref="E16:E23"/>
    <mergeCell ref="F16:F23"/>
    <mergeCell ref="I16:I23"/>
    <mergeCell ref="J16:J23"/>
    <mergeCell ref="K16:K23"/>
    <mergeCell ref="L16:L23"/>
    <mergeCell ref="M16:M23"/>
    <mergeCell ref="N16:N23"/>
    <mergeCell ref="P16:P23"/>
    <mergeCell ref="B24:B31"/>
    <mergeCell ref="C24:C31"/>
    <mergeCell ref="D24:D31"/>
    <mergeCell ref="E24:E31"/>
    <mergeCell ref="F24:F31"/>
    <mergeCell ref="I24:I31"/>
    <mergeCell ref="J24:J31"/>
    <mergeCell ref="K24:K31"/>
    <mergeCell ref="L24:L31"/>
    <mergeCell ref="M24:M31"/>
    <mergeCell ref="N24:N31"/>
    <mergeCell ref="O24:O31"/>
    <mergeCell ref="P24:P31"/>
    <mergeCell ref="B32:B39"/>
    <mergeCell ref="C32:C39"/>
    <mergeCell ref="D32:D39"/>
    <mergeCell ref="E32:E39"/>
    <mergeCell ref="F32:F39"/>
    <mergeCell ref="I32:I39"/>
    <mergeCell ref="J32:J39"/>
    <mergeCell ref="K32:K39"/>
    <mergeCell ref="L32:L39"/>
    <mergeCell ref="M32:M39"/>
    <mergeCell ref="N32:N39"/>
    <mergeCell ref="O32:O39"/>
    <mergeCell ref="P32:P39"/>
    <mergeCell ref="B40:B42"/>
    <mergeCell ref="C40:C42"/>
    <mergeCell ref="D40:D42"/>
    <mergeCell ref="E40:E42"/>
    <mergeCell ref="F40:F42"/>
    <mergeCell ref="G40:I40"/>
    <mergeCell ref="J40:J42"/>
    <mergeCell ref="K40:K42"/>
    <mergeCell ref="L40:L42"/>
    <mergeCell ref="M40:M42"/>
    <mergeCell ref="N40:N42"/>
    <mergeCell ref="O40:O42"/>
    <mergeCell ref="P40:P42"/>
    <mergeCell ref="G41:G42"/>
    <mergeCell ref="H41:H42"/>
    <mergeCell ref="I41:I42"/>
    <mergeCell ref="B43:B50"/>
    <mergeCell ref="C43:C50"/>
    <mergeCell ref="D43:D50"/>
    <mergeCell ref="E43:E50"/>
    <mergeCell ref="F43:F50"/>
    <mergeCell ref="I43:I50"/>
    <mergeCell ref="J43:J50"/>
    <mergeCell ref="K43:K50"/>
    <mergeCell ref="L43:L50"/>
    <mergeCell ref="M43:M50"/>
    <mergeCell ref="N43:N50"/>
    <mergeCell ref="O43:O50"/>
    <mergeCell ref="P43:P50"/>
    <mergeCell ref="B51:B58"/>
    <mergeCell ref="C51:C58"/>
    <mergeCell ref="D51:D58"/>
    <mergeCell ref="E51:E58"/>
    <mergeCell ref="F51:F58"/>
    <mergeCell ref="I51:I58"/>
    <mergeCell ref="J51:J58"/>
    <mergeCell ref="K51:K58"/>
    <mergeCell ref="L51:L58"/>
    <mergeCell ref="M51:M58"/>
    <mergeCell ref="N51:N58"/>
    <mergeCell ref="O51:O58"/>
    <mergeCell ref="P51:P58"/>
    <mergeCell ref="B59:B66"/>
    <mergeCell ref="C59:C66"/>
    <mergeCell ref="D59:D66"/>
    <mergeCell ref="E59:E66"/>
    <mergeCell ref="F59:F66"/>
    <mergeCell ref="I59:I66"/>
    <mergeCell ref="J59:J66"/>
    <mergeCell ref="K59:K66"/>
    <mergeCell ref="L59:L66"/>
    <mergeCell ref="M59:M66"/>
    <mergeCell ref="N59:N66"/>
    <mergeCell ref="O59:O66"/>
    <mergeCell ref="P59:P66"/>
    <mergeCell ref="B67:B74"/>
    <mergeCell ref="C67:C74"/>
    <mergeCell ref="D67:D74"/>
    <mergeCell ref="E67:E74"/>
    <mergeCell ref="F67:F74"/>
    <mergeCell ref="I67:I74"/>
    <mergeCell ref="J67:J74"/>
    <mergeCell ref="K67:K74"/>
    <mergeCell ref="L67:L74"/>
    <mergeCell ref="M67:M74"/>
    <mergeCell ref="N67:N74"/>
    <mergeCell ref="O67:O74"/>
    <mergeCell ref="P67:P74"/>
    <mergeCell ref="B75:B82"/>
    <mergeCell ref="C75:C82"/>
    <mergeCell ref="D75:D82"/>
    <mergeCell ref="E75:E82"/>
    <mergeCell ref="F75:F82"/>
    <mergeCell ref="I75:I82"/>
    <mergeCell ref="J75:J82"/>
    <mergeCell ref="K75:K82"/>
    <mergeCell ref="L75:L82"/>
    <mergeCell ref="M75:M82"/>
    <mergeCell ref="N75:N82"/>
    <mergeCell ref="O75:O82"/>
    <mergeCell ref="P75:P82"/>
    <mergeCell ref="B83:B85"/>
    <mergeCell ref="C83:C85"/>
    <mergeCell ref="D83:D85"/>
    <mergeCell ref="E83:E85"/>
    <mergeCell ref="F83:F85"/>
    <mergeCell ref="G83:I83"/>
    <mergeCell ref="J83:J85"/>
    <mergeCell ref="K83:K85"/>
    <mergeCell ref="L83:L85"/>
    <mergeCell ref="M83:M85"/>
    <mergeCell ref="N83:N85"/>
    <mergeCell ref="O83:O85"/>
    <mergeCell ref="P83:P85"/>
    <mergeCell ref="G84:G85"/>
    <mergeCell ref="H84:H85"/>
    <mergeCell ref="I84:I85"/>
    <mergeCell ref="B86:B93"/>
    <mergeCell ref="C86:C93"/>
    <mergeCell ref="D86:D93"/>
    <mergeCell ref="E86:E93"/>
    <mergeCell ref="F86:F93"/>
    <mergeCell ref="I86:I93"/>
    <mergeCell ref="J86:J93"/>
    <mergeCell ref="K86:K93"/>
    <mergeCell ref="L86:L93"/>
    <mergeCell ref="M86:M93"/>
    <mergeCell ref="N86:N93"/>
    <mergeCell ref="O86:O93"/>
    <mergeCell ref="P86:P93"/>
    <mergeCell ref="B94:B101"/>
    <mergeCell ref="C94:C101"/>
    <mergeCell ref="D94:D101"/>
    <mergeCell ref="E94:E101"/>
    <mergeCell ref="F94:F101"/>
    <mergeCell ref="I94:I101"/>
    <mergeCell ref="J94:J101"/>
    <mergeCell ref="K94:K101"/>
    <mergeCell ref="L94:L101"/>
    <mergeCell ref="M94:M101"/>
    <mergeCell ref="N94:N101"/>
    <mergeCell ref="O94:O101"/>
    <mergeCell ref="P94:P101"/>
    <mergeCell ref="B102:B109"/>
    <mergeCell ref="C102:C109"/>
    <mergeCell ref="D102:D109"/>
    <mergeCell ref="E102:E109"/>
    <mergeCell ref="F102:F109"/>
    <mergeCell ref="I102:I109"/>
    <mergeCell ref="J102:J109"/>
    <mergeCell ref="K102:K109"/>
    <mergeCell ref="L102:L109"/>
    <mergeCell ref="M102:M109"/>
    <mergeCell ref="N102:N109"/>
    <mergeCell ref="O102:O109"/>
    <mergeCell ref="P102:P109"/>
    <mergeCell ref="B110:B117"/>
    <mergeCell ref="C110:C117"/>
    <mergeCell ref="D110:D117"/>
    <mergeCell ref="E110:E117"/>
    <mergeCell ref="F110:F117"/>
    <mergeCell ref="I110:I117"/>
    <mergeCell ref="J110:J117"/>
    <mergeCell ref="K110:K117"/>
    <mergeCell ref="L110:L117"/>
    <mergeCell ref="M110:M117"/>
    <mergeCell ref="N110:N117"/>
    <mergeCell ref="O110:O117"/>
    <mergeCell ref="P110:P117"/>
    <mergeCell ref="B118:B120"/>
    <mergeCell ref="C118:C120"/>
    <mergeCell ref="D118:D120"/>
    <mergeCell ref="E118:E120"/>
    <mergeCell ref="F118:F120"/>
    <mergeCell ref="G118:I118"/>
    <mergeCell ref="J118:J120"/>
    <mergeCell ref="K118:K120"/>
    <mergeCell ref="L118:L120"/>
    <mergeCell ref="M118:M120"/>
    <mergeCell ref="N118:N120"/>
    <mergeCell ref="O118:O120"/>
    <mergeCell ref="P118:P120"/>
    <mergeCell ref="G119:G120"/>
    <mergeCell ref="H119:H120"/>
    <mergeCell ref="I119:I120"/>
    <mergeCell ref="B121:B128"/>
    <mergeCell ref="C121:C128"/>
    <mergeCell ref="D121:D128"/>
    <mergeCell ref="E121:E128"/>
    <mergeCell ref="F121:F128"/>
    <mergeCell ref="I121:I128"/>
    <mergeCell ref="J121:J128"/>
    <mergeCell ref="K121:K128"/>
    <mergeCell ref="L121:L128"/>
    <mergeCell ref="M121:M128"/>
    <mergeCell ref="N121:N128"/>
    <mergeCell ref="O121:O128"/>
    <mergeCell ref="P121:P128"/>
    <mergeCell ref="B129:B136"/>
    <mergeCell ref="C129:C136"/>
    <mergeCell ref="D129:D136"/>
    <mergeCell ref="E129:E136"/>
    <mergeCell ref="F129:F136"/>
    <mergeCell ref="I129:I136"/>
    <mergeCell ref="J129:J136"/>
    <mergeCell ref="K129:K136"/>
    <mergeCell ref="L129:L136"/>
    <mergeCell ref="M129:M136"/>
    <mergeCell ref="N129:N136"/>
    <mergeCell ref="O129:O136"/>
    <mergeCell ref="P129:P136"/>
    <mergeCell ref="B137:B144"/>
    <mergeCell ref="C137:C144"/>
    <mergeCell ref="D137:D144"/>
    <mergeCell ref="E137:E144"/>
    <mergeCell ref="F137:F144"/>
    <mergeCell ref="I137:I144"/>
    <mergeCell ref="J137:J144"/>
    <mergeCell ref="K137:K144"/>
    <mergeCell ref="L137:L144"/>
    <mergeCell ref="M137:M144"/>
    <mergeCell ref="N137:N144"/>
    <mergeCell ref="O137:O144"/>
    <mergeCell ref="P137:P144"/>
    <mergeCell ref="B145:B152"/>
    <mergeCell ref="C145:C152"/>
    <mergeCell ref="D145:D152"/>
    <mergeCell ref="E145:E152"/>
    <mergeCell ref="F145:F152"/>
    <mergeCell ref="I145:I152"/>
    <mergeCell ref="J145:J152"/>
    <mergeCell ref="K145:K152"/>
    <mergeCell ref="L145:L152"/>
    <mergeCell ref="M145:M152"/>
    <mergeCell ref="N145:N152"/>
    <mergeCell ref="O145:O152"/>
    <mergeCell ref="P145:P152"/>
    <mergeCell ref="B153:B160"/>
    <mergeCell ref="C153:C160"/>
    <mergeCell ref="D153:D160"/>
    <mergeCell ref="E153:E160"/>
    <mergeCell ref="F153:F160"/>
    <mergeCell ref="I153:I160"/>
    <mergeCell ref="J153:J160"/>
    <mergeCell ref="K153:K160"/>
    <mergeCell ref="L153:L160"/>
    <mergeCell ref="M153:M160"/>
    <mergeCell ref="N153:N160"/>
    <mergeCell ref="O153:O160"/>
    <mergeCell ref="P153:P160"/>
  </mergeCells>
  <dataValidations count="1">
    <dataValidation allowBlank="true" operator="between" showDropDown="false" showErrorMessage="true" showInputMessage="true" sqref="F16:F39 J16:J39 F43:F82 J43:J82 F86:F117 J86:J117 F121:F160 J121:J160" type="list">
      <formula1>"1,2,3"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O198"/>
  <sheetViews>
    <sheetView showFormulas="false" showGridLines="false" showRowColHeaders="true" showZeros="true" rightToLeft="false" tabSelected="false" showOutlineSymbols="true" defaultGridColor="true" view="normal" topLeftCell="E48" colorId="64" zoomScale="95" zoomScaleNormal="95" zoomScalePageLayoutView="100" workbookViewId="0">
      <selection pane="topLeft" activeCell="K48" activeCellId="0" sqref="K48"/>
    </sheetView>
  </sheetViews>
  <sheetFormatPr defaultColWidth="3.1484375" defaultRowHeight="16.5" zeroHeight="false" outlineLevelRow="0" outlineLevelCol="0"/>
  <cols>
    <col collapsed="false" customWidth="true" hidden="false" outlineLevel="0" max="1" min="1" style="62" width="2.57"/>
    <col collapsed="false" customWidth="true" hidden="true" outlineLevel="0" max="2" min="2" style="62" width="4.43"/>
    <col collapsed="false" customWidth="true" hidden="false" outlineLevel="0" max="3" min="3" style="62" width="42.57"/>
    <col collapsed="false" customWidth="true" hidden="false" outlineLevel="0" max="4" min="4" style="62" width="23.88"/>
    <col collapsed="false" customWidth="true" hidden="false" outlineLevel="0" max="5" min="5" style="62" width="60.42"/>
    <col collapsed="false" customWidth="true" hidden="false" outlineLevel="0" max="6" min="6" style="62" width="7.41"/>
    <col collapsed="false" customWidth="true" hidden="false" outlineLevel="0" max="7" min="7" style="62" width="3.57"/>
    <col collapsed="false" customWidth="true" hidden="false" outlineLevel="0" max="8" min="8" style="62" width="38.29"/>
    <col collapsed="false" customWidth="true" hidden="false" outlineLevel="0" max="9" min="9" style="62" width="39.14"/>
    <col collapsed="false" customWidth="true" hidden="false" outlineLevel="0" max="10" min="10" style="62" width="7.41"/>
    <col collapsed="false" customWidth="true" hidden="false" outlineLevel="0" max="11" min="11" style="62" width="26"/>
    <col collapsed="false" customWidth="true" hidden="false" outlineLevel="0" max="13" min="12" style="212" width="8"/>
    <col collapsed="false" customWidth="true" hidden="false" outlineLevel="0" max="14" min="14" style="212" width="11.99"/>
    <col collapsed="false" customWidth="false" hidden="false" outlineLevel="0" max="15" min="15" style="260" width="3.14"/>
    <col collapsed="false" customWidth="false" hidden="false" outlineLevel="0" max="1024" min="16" style="62" width="3.14"/>
  </cols>
  <sheetData>
    <row r="1" customFormat="false" ht="9.95" hidden="true" customHeight="true" outlineLevel="0" collapsed="false"/>
    <row r="2" customFormat="false" ht="9.95" hidden="true" customHeight="true" outlineLevel="0" collapsed="false"/>
    <row r="3" customFormat="false" ht="9.95" hidden="true" customHeight="true" outlineLevel="0" collapsed="false"/>
    <row r="4" customFormat="false" ht="9.95" hidden="true" customHeight="true" outlineLevel="0" collapsed="false"/>
    <row r="5" customFormat="false" ht="9.95" hidden="true" customHeight="true" outlineLevel="0" collapsed="false"/>
    <row r="6" customFormat="false" ht="9.95" hidden="true" customHeight="true" outlineLevel="0" collapsed="false"/>
    <row r="7" customFormat="false" ht="9.95" hidden="true" customHeight="true" outlineLevel="0" collapsed="false"/>
    <row r="8" customFormat="false" ht="9.95" hidden="true" customHeight="true" outlineLevel="0" collapsed="false"/>
    <row r="9" customFormat="false" ht="9.95" hidden="true" customHeight="true" outlineLevel="0" collapsed="false"/>
    <row r="10" customFormat="false" ht="9.95" hidden="true" customHeight="true" outlineLevel="0" collapsed="false"/>
    <row r="11" customFormat="false" ht="9.95" hidden="true" customHeight="true" outlineLevel="0" collapsed="false"/>
    <row r="12" customFormat="false" ht="31.5" hidden="true" customHeight="true" outlineLevel="0" collapsed="false"/>
    <row r="13" customFormat="false" ht="24.75" hidden="true" customHeight="true" outlineLevel="0" collapsed="false"/>
    <row r="14" customFormat="false" ht="20.25" hidden="true" customHeight="true" outlineLevel="0" collapsed="false"/>
    <row r="15" customFormat="false" ht="20.1" hidden="true" customHeight="true" outlineLevel="0" collapsed="false">
      <c r="C15" s="261" t="s">
        <v>315</v>
      </c>
      <c r="D15" s="261"/>
      <c r="E15" s="261"/>
      <c r="F15" s="261"/>
      <c r="G15" s="261"/>
      <c r="H15" s="261"/>
      <c r="I15" s="261"/>
      <c r="J15" s="261"/>
      <c r="K15" s="261"/>
    </row>
    <row r="16" customFormat="false" ht="37.7" hidden="true" customHeight="true" outlineLevel="0" collapsed="false">
      <c r="C16" s="72" t="s">
        <v>316</v>
      </c>
      <c r="D16" s="72"/>
      <c r="E16" s="72"/>
      <c r="F16" s="72"/>
      <c r="G16" s="72"/>
      <c r="H16" s="72"/>
      <c r="I16" s="72"/>
      <c r="J16" s="72"/>
      <c r="K16" s="72"/>
    </row>
    <row r="17" customFormat="false" ht="9.95" hidden="true" customHeight="true" outlineLevel="0" collapsed="false">
      <c r="C17" s="74"/>
      <c r="D17" s="74"/>
      <c r="F17" s="75"/>
    </row>
    <row r="18" customFormat="false" ht="16.15" hidden="false" customHeight="true" outlineLevel="0" collapsed="false">
      <c r="B18" s="262" t="s">
        <v>111</v>
      </c>
      <c r="C18" s="263" t="s">
        <v>317</v>
      </c>
      <c r="D18" s="264" t="s">
        <v>8</v>
      </c>
      <c r="E18" s="264" t="s">
        <v>318</v>
      </c>
      <c r="F18" s="265" t="s">
        <v>244</v>
      </c>
      <c r="G18" s="266" t="s">
        <v>116</v>
      </c>
      <c r="H18" s="266"/>
      <c r="I18" s="266"/>
      <c r="J18" s="265" t="s">
        <v>245</v>
      </c>
      <c r="K18" s="267" t="s">
        <v>152</v>
      </c>
      <c r="L18" s="222"/>
      <c r="M18" s="222"/>
      <c r="N18" s="222"/>
    </row>
    <row r="19" customFormat="false" ht="16.15" hidden="false" customHeight="true" outlineLevel="0" collapsed="false">
      <c r="B19" s="262"/>
      <c r="C19" s="263"/>
      <c r="D19" s="264"/>
      <c r="E19" s="264"/>
      <c r="F19" s="265"/>
      <c r="G19" s="268" t="s">
        <v>13</v>
      </c>
      <c r="H19" s="269" t="s">
        <v>15</v>
      </c>
      <c r="I19" s="269" t="s">
        <v>17</v>
      </c>
      <c r="J19" s="265"/>
      <c r="K19" s="267"/>
      <c r="L19" s="222"/>
      <c r="M19" s="222"/>
      <c r="N19" s="222"/>
    </row>
    <row r="20" customFormat="false" ht="16.15" hidden="false" customHeight="true" outlineLevel="0" collapsed="false">
      <c r="B20" s="262"/>
      <c r="C20" s="263"/>
      <c r="D20" s="264"/>
      <c r="E20" s="264"/>
      <c r="F20" s="265"/>
      <c r="G20" s="268"/>
      <c r="H20" s="268"/>
      <c r="I20" s="268"/>
      <c r="J20" s="265"/>
      <c r="K20" s="267"/>
      <c r="L20" s="222"/>
      <c r="M20" s="222"/>
      <c r="N20" s="222"/>
    </row>
    <row r="21" customFormat="false" ht="16.15" hidden="false" customHeight="true" outlineLevel="0" collapsed="false">
      <c r="B21" s="159" t="str">
        <f aca="false">+LEFT(C21,4)</f>
        <v>10.1</v>
      </c>
      <c r="C21" s="270" t="s">
        <v>319</v>
      </c>
      <c r="D21" s="271" t="s">
        <v>307</v>
      </c>
      <c r="E21" s="272" t="s">
        <v>320</v>
      </c>
      <c r="F21" s="273" t="n">
        <v>3</v>
      </c>
      <c r="G21" s="274" t="n">
        <v>1</v>
      </c>
      <c r="H21" s="275" t="s">
        <v>321</v>
      </c>
      <c r="I21" s="276" t="s">
        <v>322</v>
      </c>
      <c r="J21" s="277" t="n">
        <v>3</v>
      </c>
      <c r="K21" s="278" t="str">
        <f aca="false">+IF(OR(ISBLANK(F21),ISBLANK(J21)),"",IF(OR(AND(F21=1,J21=1),AND(F21=1,J21=2),AND(F21=1,J21=3)),"Deficiencia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92" t="n">
        <f aca="false">+IF(K21="",152,IF(K21="Deficiencia de control mayor (diseño y ejecución)",160,IF(K21="Deficiencia de control (diseño o ejecución)",180,IF(K21="Oportunidad de mejora",200,220))))</f>
        <v>220</v>
      </c>
      <c r="M21" s="230" t="n">
        <v>3.4569</v>
      </c>
      <c r="N21" s="230" t="n">
        <f aca="false">+L21+M21</f>
        <v>223.4569</v>
      </c>
    </row>
    <row r="22" s="95" customFormat="true" ht="16.15" hidden="false" customHeight="true" outlineLevel="0" collapsed="false">
      <c r="B22" s="159"/>
      <c r="C22" s="270"/>
      <c r="D22" s="271"/>
      <c r="E22" s="272"/>
      <c r="F22" s="273"/>
      <c r="G22" s="165" t="n">
        <v>2</v>
      </c>
      <c r="H22" s="165"/>
      <c r="I22" s="276"/>
      <c r="J22" s="277"/>
      <c r="K22" s="278"/>
      <c r="L22" s="92"/>
      <c r="M22" s="230"/>
      <c r="N22" s="230"/>
      <c r="O22" s="64"/>
    </row>
    <row r="23" s="95" customFormat="true" ht="16.15" hidden="false" customHeight="true" outlineLevel="0" collapsed="false">
      <c r="B23" s="159"/>
      <c r="C23" s="270"/>
      <c r="D23" s="271"/>
      <c r="E23" s="272"/>
      <c r="F23" s="273"/>
      <c r="G23" s="165" t="n">
        <v>3</v>
      </c>
      <c r="H23" s="275"/>
      <c r="I23" s="276"/>
      <c r="J23" s="277"/>
      <c r="K23" s="278"/>
      <c r="L23" s="92"/>
      <c r="M23" s="230"/>
      <c r="N23" s="230"/>
      <c r="O23" s="64"/>
    </row>
    <row r="24" s="95" customFormat="true" ht="16.15" hidden="false" customHeight="true" outlineLevel="0" collapsed="false">
      <c r="B24" s="159"/>
      <c r="C24" s="270"/>
      <c r="D24" s="271"/>
      <c r="E24" s="272"/>
      <c r="F24" s="273"/>
      <c r="G24" s="165" t="n">
        <v>4</v>
      </c>
      <c r="H24" s="165"/>
      <c r="I24" s="276"/>
      <c r="J24" s="277"/>
      <c r="K24" s="278"/>
      <c r="L24" s="92"/>
      <c r="M24" s="230"/>
      <c r="N24" s="230"/>
      <c r="O24" s="64"/>
    </row>
    <row r="25" s="95" customFormat="true" ht="16.15" hidden="false" customHeight="true" outlineLevel="0" collapsed="false">
      <c r="B25" s="159"/>
      <c r="C25" s="270"/>
      <c r="D25" s="271"/>
      <c r="E25" s="272"/>
      <c r="F25" s="273"/>
      <c r="G25" s="165" t="n">
        <v>5</v>
      </c>
      <c r="H25" s="165"/>
      <c r="I25" s="276"/>
      <c r="J25" s="277"/>
      <c r="K25" s="278"/>
      <c r="L25" s="92"/>
      <c r="M25" s="230"/>
      <c r="N25" s="230"/>
      <c r="O25" s="64"/>
    </row>
    <row r="26" s="95" customFormat="true" ht="16.15" hidden="false" customHeight="true" outlineLevel="0" collapsed="false">
      <c r="B26" s="159"/>
      <c r="C26" s="270"/>
      <c r="D26" s="271"/>
      <c r="E26" s="272"/>
      <c r="F26" s="273"/>
      <c r="G26" s="165" t="n">
        <v>6</v>
      </c>
      <c r="H26" s="165"/>
      <c r="I26" s="276"/>
      <c r="J26" s="277"/>
      <c r="K26" s="278"/>
      <c r="L26" s="92"/>
      <c r="M26" s="230"/>
      <c r="N26" s="230"/>
      <c r="O26" s="64"/>
    </row>
    <row r="27" s="95" customFormat="true" ht="16.15" hidden="false" customHeight="true" outlineLevel="0" collapsed="false">
      <c r="B27" s="159"/>
      <c r="C27" s="270"/>
      <c r="D27" s="271"/>
      <c r="E27" s="272"/>
      <c r="F27" s="273"/>
      <c r="G27" s="165" t="n">
        <v>7</v>
      </c>
      <c r="H27" s="165"/>
      <c r="I27" s="276"/>
      <c r="J27" s="277"/>
      <c r="K27" s="278"/>
      <c r="L27" s="92"/>
      <c r="M27" s="230"/>
      <c r="N27" s="230"/>
      <c r="O27" s="64"/>
    </row>
    <row r="28" s="95" customFormat="true" ht="16.15" hidden="false" customHeight="true" outlineLevel="0" collapsed="false">
      <c r="B28" s="159"/>
      <c r="C28" s="270"/>
      <c r="D28" s="271"/>
      <c r="E28" s="272"/>
      <c r="F28" s="273"/>
      <c r="G28" s="167" t="n">
        <v>8</v>
      </c>
      <c r="H28" s="167"/>
      <c r="I28" s="276"/>
      <c r="J28" s="277"/>
      <c r="K28" s="278"/>
      <c r="L28" s="92"/>
      <c r="M28" s="230"/>
      <c r="N28" s="230"/>
      <c r="O28" s="64"/>
    </row>
    <row r="29" s="95" customFormat="true" ht="16.15" hidden="false" customHeight="true" outlineLevel="0" collapsed="false">
      <c r="B29" s="159" t="str">
        <f aca="false">+LEFT(C29,4)</f>
        <v>10.2</v>
      </c>
      <c r="C29" s="279" t="s">
        <v>323</v>
      </c>
      <c r="D29" s="160" t="s">
        <v>307</v>
      </c>
      <c r="E29" s="200" t="s">
        <v>324</v>
      </c>
      <c r="F29" s="201" t="n">
        <v>3</v>
      </c>
      <c r="G29" s="162" t="n">
        <v>1</v>
      </c>
      <c r="H29" s="280" t="s">
        <v>325</v>
      </c>
      <c r="I29" s="272" t="s">
        <v>326</v>
      </c>
      <c r="J29" s="178" t="n">
        <v>3</v>
      </c>
      <c r="K29" s="164" t="str">
        <f aca="false">+IF(OR(ISBLANK(F29),ISBLANK(J29)),"",IF(OR(AND(F29=1,J29=1),AND(F29=1,J29=2),AND(F29=1,J29=3)),"Deficiencia de control mayor (diseño y ejecución)",IF(OR(AND(F29=2,J29=2),AND(F29=3,J29=1),AND(F29=3,J29=2),AND(F29=2,J29=1)),"Deficiencia de control (diseño o ejecución)",IF(AND(F29=2,J29=3),"Oportunidad de mejora","Mantenimiento del control"))))</f>
        <v>Mantenimiento del control</v>
      </c>
      <c r="L29" s="92" t="n">
        <f aca="false">+IF(K29="",152,IF(K29="Deficiencia de control mayor (diseño y ejecución)",160,IF(K29="Deficiencia de control (diseño o ejecución)",180,IF(K29="Oportunidad de mejora",200,220))))</f>
        <v>220</v>
      </c>
      <c r="M29" s="230" t="n">
        <v>3.5478</v>
      </c>
      <c r="N29" s="230" t="n">
        <f aca="false">+L29+M29</f>
        <v>223.5478</v>
      </c>
      <c r="O29" s="64"/>
    </row>
    <row r="30" s="95" customFormat="true" ht="16.15" hidden="false" customHeight="true" outlineLevel="0" collapsed="false">
      <c r="B30" s="159"/>
      <c r="C30" s="279"/>
      <c r="D30" s="160"/>
      <c r="E30" s="200"/>
      <c r="F30" s="201"/>
      <c r="G30" s="165" t="n">
        <v>2</v>
      </c>
      <c r="H30" s="275"/>
      <c r="I30" s="272"/>
      <c r="J30" s="178"/>
      <c r="K30" s="164"/>
      <c r="L30" s="92"/>
      <c r="M30" s="230"/>
      <c r="N30" s="230"/>
      <c r="O30" s="64"/>
    </row>
    <row r="31" s="95" customFormat="true" ht="16.15" hidden="false" customHeight="true" outlineLevel="0" collapsed="false">
      <c r="B31" s="159"/>
      <c r="C31" s="279"/>
      <c r="D31" s="160"/>
      <c r="E31" s="200"/>
      <c r="F31" s="201"/>
      <c r="G31" s="165" t="n">
        <v>3</v>
      </c>
      <c r="H31" s="275"/>
      <c r="I31" s="272"/>
      <c r="J31" s="178"/>
      <c r="K31" s="164"/>
      <c r="L31" s="92"/>
      <c r="M31" s="230"/>
      <c r="N31" s="230"/>
      <c r="O31" s="64"/>
    </row>
    <row r="32" s="95" customFormat="true" ht="16.15" hidden="false" customHeight="true" outlineLevel="0" collapsed="false">
      <c r="B32" s="159"/>
      <c r="C32" s="279"/>
      <c r="D32" s="160"/>
      <c r="E32" s="200"/>
      <c r="F32" s="201"/>
      <c r="G32" s="165" t="n">
        <v>4</v>
      </c>
      <c r="H32" s="165"/>
      <c r="I32" s="272"/>
      <c r="J32" s="178"/>
      <c r="K32" s="164"/>
      <c r="L32" s="92"/>
      <c r="M32" s="230"/>
      <c r="N32" s="230"/>
      <c r="O32" s="64"/>
    </row>
    <row r="33" s="95" customFormat="true" ht="16.15" hidden="false" customHeight="true" outlineLevel="0" collapsed="false">
      <c r="B33" s="159"/>
      <c r="C33" s="279"/>
      <c r="D33" s="160"/>
      <c r="E33" s="200"/>
      <c r="F33" s="201"/>
      <c r="G33" s="165" t="n">
        <v>5</v>
      </c>
      <c r="H33" s="165"/>
      <c r="I33" s="272"/>
      <c r="J33" s="178"/>
      <c r="K33" s="164"/>
      <c r="L33" s="92"/>
      <c r="M33" s="230"/>
      <c r="N33" s="230"/>
      <c r="O33" s="64"/>
    </row>
    <row r="34" s="95" customFormat="true" ht="16.15" hidden="false" customHeight="true" outlineLevel="0" collapsed="false">
      <c r="B34" s="159"/>
      <c r="C34" s="279"/>
      <c r="D34" s="160"/>
      <c r="E34" s="200"/>
      <c r="F34" s="201"/>
      <c r="G34" s="165" t="n">
        <v>6</v>
      </c>
      <c r="H34" s="165"/>
      <c r="I34" s="272"/>
      <c r="J34" s="178"/>
      <c r="K34" s="164"/>
      <c r="L34" s="92"/>
      <c r="M34" s="230"/>
      <c r="N34" s="230"/>
      <c r="O34" s="64"/>
    </row>
    <row r="35" s="95" customFormat="true" ht="16.15" hidden="false" customHeight="true" outlineLevel="0" collapsed="false">
      <c r="B35" s="159"/>
      <c r="C35" s="279"/>
      <c r="D35" s="160"/>
      <c r="E35" s="200"/>
      <c r="F35" s="201"/>
      <c r="G35" s="165" t="n">
        <v>7</v>
      </c>
      <c r="H35" s="165"/>
      <c r="I35" s="272"/>
      <c r="J35" s="178"/>
      <c r="K35" s="164"/>
      <c r="L35" s="92"/>
      <c r="M35" s="230"/>
      <c r="N35" s="230"/>
      <c r="O35" s="64"/>
    </row>
    <row r="36" s="95" customFormat="true" ht="16.15" hidden="false" customHeight="true" outlineLevel="0" collapsed="false">
      <c r="B36" s="159"/>
      <c r="C36" s="279"/>
      <c r="D36" s="160"/>
      <c r="E36" s="200"/>
      <c r="F36" s="201"/>
      <c r="G36" s="167" t="n">
        <v>8</v>
      </c>
      <c r="H36" s="167"/>
      <c r="I36" s="272"/>
      <c r="J36" s="178"/>
      <c r="K36" s="164"/>
      <c r="L36" s="92"/>
      <c r="M36" s="230"/>
      <c r="N36" s="230"/>
      <c r="O36" s="64"/>
    </row>
    <row r="37" s="95" customFormat="true" ht="16.15" hidden="false" customHeight="true" outlineLevel="0" collapsed="false">
      <c r="B37" s="159" t="str">
        <f aca="false">+LEFT(C37,4)</f>
        <v>10.3</v>
      </c>
      <c r="C37" s="279" t="s">
        <v>327</v>
      </c>
      <c r="D37" s="160" t="s">
        <v>328</v>
      </c>
      <c r="E37" s="210" t="s">
        <v>329</v>
      </c>
      <c r="F37" s="201" t="n">
        <v>3</v>
      </c>
      <c r="G37" s="162" t="n">
        <v>1</v>
      </c>
      <c r="H37" s="281" t="s">
        <v>330</v>
      </c>
      <c r="I37" s="173" t="s">
        <v>331</v>
      </c>
      <c r="J37" s="178" t="n">
        <v>3</v>
      </c>
      <c r="K37" s="164" t="str">
        <f aca="false">+IF(OR(ISBLANK(F37),ISBLANK(J37)),"",IF(OR(AND(F37=1,J37=1),AND(F37=1,J37=2),AND(F37=1,J37=3)),"Deficiencia de control mayor (diseño y ejecución)",IF(OR(AND(F37=2,J37=2),AND(F37=3,J37=1),AND(F37=3,J37=2),AND(F37=2,J37=1)),"Deficiencia de control (diseño o ejecución)",IF(AND(F37=2,J37=3),"Oportunidad de mejora","Mantenimiento del control"))))</f>
        <v>Mantenimiento del control</v>
      </c>
      <c r="L37" s="92" t="n">
        <f aca="false">+IF(K37="",152,IF(K37="Deficiencia de control mayor (diseño y ejecución)",160,IF(K37="Deficiencia de control (diseño o ejecución)",180,IF(K37="Oportunidad de mejora",200,220))))</f>
        <v>220</v>
      </c>
      <c r="M37" s="230" t="n">
        <v>3.6458</v>
      </c>
      <c r="N37" s="230" t="n">
        <f aca="false">+L37+M37</f>
        <v>223.6458</v>
      </c>
      <c r="O37" s="64"/>
    </row>
    <row r="38" s="95" customFormat="true" ht="16.15" hidden="false" customHeight="true" outlineLevel="0" collapsed="false">
      <c r="B38" s="159"/>
      <c r="C38" s="279"/>
      <c r="D38" s="160"/>
      <c r="E38" s="210"/>
      <c r="F38" s="201"/>
      <c r="G38" s="165" t="n">
        <v>2</v>
      </c>
      <c r="H38" s="275"/>
      <c r="I38" s="173"/>
      <c r="J38" s="178"/>
      <c r="K38" s="164"/>
      <c r="L38" s="92"/>
      <c r="M38" s="230"/>
      <c r="N38" s="230"/>
      <c r="O38" s="64"/>
    </row>
    <row r="39" s="95" customFormat="true" ht="16.15" hidden="false" customHeight="true" outlineLevel="0" collapsed="false">
      <c r="B39" s="159"/>
      <c r="C39" s="279"/>
      <c r="D39" s="160"/>
      <c r="E39" s="210"/>
      <c r="F39" s="201"/>
      <c r="G39" s="165" t="n">
        <v>3</v>
      </c>
      <c r="H39" s="165"/>
      <c r="I39" s="173"/>
      <c r="J39" s="178"/>
      <c r="K39" s="164"/>
      <c r="L39" s="92"/>
      <c r="M39" s="230"/>
      <c r="N39" s="230"/>
      <c r="O39" s="64"/>
    </row>
    <row r="40" s="95" customFormat="true" ht="16.15" hidden="false" customHeight="true" outlineLevel="0" collapsed="false">
      <c r="B40" s="159"/>
      <c r="C40" s="279"/>
      <c r="D40" s="160"/>
      <c r="E40" s="210"/>
      <c r="F40" s="201"/>
      <c r="G40" s="165" t="n">
        <v>4</v>
      </c>
      <c r="H40" s="165"/>
      <c r="I40" s="173"/>
      <c r="J40" s="178"/>
      <c r="K40" s="164"/>
      <c r="L40" s="92"/>
      <c r="M40" s="230"/>
      <c r="N40" s="230"/>
      <c r="O40" s="64"/>
    </row>
    <row r="41" s="95" customFormat="true" ht="16.15" hidden="false" customHeight="true" outlineLevel="0" collapsed="false">
      <c r="B41" s="159"/>
      <c r="C41" s="279"/>
      <c r="D41" s="160"/>
      <c r="E41" s="210"/>
      <c r="F41" s="201"/>
      <c r="G41" s="165" t="n">
        <v>5</v>
      </c>
      <c r="H41" s="165"/>
      <c r="I41" s="173"/>
      <c r="J41" s="178"/>
      <c r="K41" s="164"/>
      <c r="L41" s="92"/>
      <c r="M41" s="230"/>
      <c r="N41" s="230"/>
      <c r="O41" s="64"/>
    </row>
    <row r="42" s="95" customFormat="true" ht="16.15" hidden="false" customHeight="true" outlineLevel="0" collapsed="false">
      <c r="B42" s="159"/>
      <c r="C42" s="279"/>
      <c r="D42" s="160"/>
      <c r="E42" s="210"/>
      <c r="F42" s="201"/>
      <c r="G42" s="165" t="n">
        <v>6</v>
      </c>
      <c r="H42" s="165"/>
      <c r="I42" s="173"/>
      <c r="J42" s="178"/>
      <c r="K42" s="164"/>
      <c r="L42" s="92"/>
      <c r="M42" s="230"/>
      <c r="N42" s="230"/>
      <c r="O42" s="64"/>
    </row>
    <row r="43" s="95" customFormat="true" ht="16.15" hidden="false" customHeight="true" outlineLevel="0" collapsed="false">
      <c r="B43" s="159"/>
      <c r="C43" s="279"/>
      <c r="D43" s="160"/>
      <c r="E43" s="210"/>
      <c r="F43" s="201"/>
      <c r="G43" s="165" t="n">
        <v>7</v>
      </c>
      <c r="H43" s="165"/>
      <c r="I43" s="173"/>
      <c r="J43" s="178"/>
      <c r="K43" s="164"/>
      <c r="L43" s="92"/>
      <c r="M43" s="230"/>
      <c r="N43" s="230"/>
      <c r="O43" s="64"/>
    </row>
    <row r="44" s="95" customFormat="true" ht="16.15" hidden="false" customHeight="true" outlineLevel="0" collapsed="false">
      <c r="B44" s="159"/>
      <c r="C44" s="279"/>
      <c r="D44" s="160"/>
      <c r="E44" s="210"/>
      <c r="F44" s="201"/>
      <c r="G44" s="167" t="n">
        <v>8</v>
      </c>
      <c r="H44" s="167"/>
      <c r="I44" s="173"/>
      <c r="J44" s="178"/>
      <c r="K44" s="164"/>
      <c r="L44" s="92"/>
      <c r="M44" s="230"/>
      <c r="N44" s="230"/>
      <c r="O44" s="64"/>
    </row>
    <row r="45" s="95" customFormat="true" ht="16.15" hidden="false" customHeight="true" outlineLevel="0" collapsed="false">
      <c r="B45" s="282"/>
      <c r="C45" s="263" t="s">
        <v>332</v>
      </c>
      <c r="D45" s="264" t="s">
        <v>8</v>
      </c>
      <c r="E45" s="283" t="s">
        <v>318</v>
      </c>
      <c r="F45" s="284" t="s">
        <v>244</v>
      </c>
      <c r="G45" s="285" t="s">
        <v>116</v>
      </c>
      <c r="H45" s="285"/>
      <c r="I45" s="285"/>
      <c r="J45" s="284" t="s">
        <v>245</v>
      </c>
      <c r="K45" s="286" t="s">
        <v>152</v>
      </c>
      <c r="L45" s="243"/>
      <c r="M45" s="243"/>
      <c r="N45" s="243"/>
      <c r="O45" s="64"/>
    </row>
    <row r="46" s="95" customFormat="true" ht="16.15" hidden="false" customHeight="true" outlineLevel="0" collapsed="false">
      <c r="B46" s="282"/>
      <c r="C46" s="263"/>
      <c r="D46" s="264"/>
      <c r="E46" s="283"/>
      <c r="F46" s="284"/>
      <c r="G46" s="287" t="s">
        <v>13</v>
      </c>
      <c r="H46" s="288" t="s">
        <v>15</v>
      </c>
      <c r="I46" s="288" t="s">
        <v>17</v>
      </c>
      <c r="J46" s="284"/>
      <c r="K46" s="286"/>
      <c r="L46" s="243"/>
      <c r="M46" s="243"/>
      <c r="N46" s="243"/>
      <c r="O46" s="64"/>
    </row>
    <row r="47" s="95" customFormat="true" ht="16.15" hidden="false" customHeight="true" outlineLevel="0" collapsed="false">
      <c r="B47" s="282"/>
      <c r="C47" s="263"/>
      <c r="D47" s="264"/>
      <c r="E47" s="283"/>
      <c r="F47" s="284"/>
      <c r="G47" s="287"/>
      <c r="H47" s="288"/>
      <c r="I47" s="288"/>
      <c r="J47" s="284"/>
      <c r="K47" s="286"/>
      <c r="L47" s="243"/>
      <c r="M47" s="243"/>
      <c r="N47" s="243"/>
      <c r="O47" s="64"/>
    </row>
    <row r="48" s="95" customFormat="true" ht="16.15" hidden="false" customHeight="true" outlineLevel="0" collapsed="false">
      <c r="B48" s="159" t="str">
        <f aca="false">+LEFT(C48,4)</f>
        <v>11.1</v>
      </c>
      <c r="C48" s="257" t="s">
        <v>333</v>
      </c>
      <c r="D48" s="237" t="s">
        <v>334</v>
      </c>
      <c r="E48" s="289" t="s">
        <v>335</v>
      </c>
      <c r="F48" s="178" t="n">
        <v>3</v>
      </c>
      <c r="G48" s="162" t="n">
        <v>1</v>
      </c>
      <c r="H48" s="290" t="s">
        <v>336</v>
      </c>
      <c r="I48" s="258" t="s">
        <v>337</v>
      </c>
      <c r="J48" s="178" t="n">
        <v>2</v>
      </c>
      <c r="K48" s="164" t="str">
        <f aca="false">+IF(OR(ISBLANK(F48),ISBLANK(J48)),"",IF(OR(AND(F48=1,J48=1),AND(F48=1,J48=2),AND(F48=1,J48=3)),"Deficiencia de control mayor (diseño y ejecución)",IF(OR(AND(F48=2,J48=2),AND(F48=3,J48=1),AND(F48=3,J48=2),AND(F48=2,J48=1)),"Deficiencia de control (diseño o ejecución)",IF(AND(F48=2,J48=3),"Oportunidad de mejora","Mantenimiento del control"))))</f>
        <v>Deficiencia de control (diseño o ejecución)</v>
      </c>
      <c r="L48" s="92" t="n">
        <f aca="false">+IF(K48="",152,IF(K48="Deficiencia de control mayor (diseño y ejecución)",160,IF(K48="Deficiencia de control (diseño o ejecución)",180,IF(K48="Oportunidad de mejora",200,220))))</f>
        <v>180</v>
      </c>
      <c r="M48" s="230" t="n">
        <v>3.7896</v>
      </c>
      <c r="N48" s="230" t="n">
        <f aca="false">+L48+M48</f>
        <v>183.7896</v>
      </c>
      <c r="O48" s="64"/>
    </row>
    <row r="49" s="95" customFormat="true" ht="16.15" hidden="false" customHeight="true" outlineLevel="0" collapsed="false">
      <c r="B49" s="159"/>
      <c r="C49" s="257"/>
      <c r="D49" s="237"/>
      <c r="E49" s="289"/>
      <c r="F49" s="178"/>
      <c r="G49" s="165" t="n">
        <v>2</v>
      </c>
      <c r="H49" s="291"/>
      <c r="I49" s="258"/>
      <c r="J49" s="178"/>
      <c r="K49" s="164"/>
      <c r="L49" s="92"/>
      <c r="M49" s="230"/>
      <c r="N49" s="230"/>
      <c r="O49" s="64"/>
    </row>
    <row r="50" s="95" customFormat="true" ht="16.15" hidden="false" customHeight="true" outlineLevel="0" collapsed="false">
      <c r="B50" s="159"/>
      <c r="C50" s="257"/>
      <c r="D50" s="237"/>
      <c r="E50" s="289"/>
      <c r="F50" s="178"/>
      <c r="G50" s="165" t="n">
        <v>3</v>
      </c>
      <c r="H50" s="291"/>
      <c r="I50" s="258"/>
      <c r="J50" s="178"/>
      <c r="K50" s="164"/>
      <c r="L50" s="92"/>
      <c r="M50" s="230"/>
      <c r="N50" s="230"/>
      <c r="O50" s="64"/>
    </row>
    <row r="51" s="95" customFormat="true" ht="16.15" hidden="false" customHeight="true" outlineLevel="0" collapsed="false">
      <c r="B51" s="159"/>
      <c r="C51" s="257"/>
      <c r="D51" s="237"/>
      <c r="E51" s="289"/>
      <c r="F51" s="178"/>
      <c r="G51" s="165" t="n">
        <v>4</v>
      </c>
      <c r="H51" s="292"/>
      <c r="I51" s="258"/>
      <c r="J51" s="178"/>
      <c r="K51" s="164"/>
      <c r="L51" s="92"/>
      <c r="M51" s="230"/>
      <c r="N51" s="230"/>
      <c r="O51" s="64"/>
    </row>
    <row r="52" s="95" customFormat="true" ht="16.15" hidden="false" customHeight="true" outlineLevel="0" collapsed="false">
      <c r="B52" s="159"/>
      <c r="C52" s="257"/>
      <c r="D52" s="237"/>
      <c r="E52" s="289"/>
      <c r="F52" s="178"/>
      <c r="G52" s="165" t="n">
        <v>5</v>
      </c>
      <c r="H52" s="248"/>
      <c r="I52" s="258"/>
      <c r="J52" s="178"/>
      <c r="K52" s="164"/>
      <c r="L52" s="92"/>
      <c r="M52" s="230"/>
      <c r="N52" s="230"/>
      <c r="O52" s="64"/>
    </row>
    <row r="53" s="95" customFormat="true" ht="16.15" hidden="false" customHeight="true" outlineLevel="0" collapsed="false">
      <c r="B53" s="159"/>
      <c r="C53" s="257"/>
      <c r="D53" s="237"/>
      <c r="E53" s="289"/>
      <c r="F53" s="178"/>
      <c r="G53" s="165" t="n">
        <v>6</v>
      </c>
      <c r="H53" s="248"/>
      <c r="I53" s="258"/>
      <c r="J53" s="178"/>
      <c r="K53" s="164"/>
      <c r="L53" s="92"/>
      <c r="M53" s="230"/>
      <c r="N53" s="230"/>
      <c r="O53" s="64"/>
    </row>
    <row r="54" s="95" customFormat="true" ht="16.15" hidden="false" customHeight="true" outlineLevel="0" collapsed="false">
      <c r="B54" s="159"/>
      <c r="C54" s="257"/>
      <c r="D54" s="237"/>
      <c r="E54" s="289"/>
      <c r="F54" s="178"/>
      <c r="G54" s="165" t="n">
        <v>7</v>
      </c>
      <c r="H54" s="248"/>
      <c r="I54" s="258"/>
      <c r="J54" s="178"/>
      <c r="K54" s="164"/>
      <c r="L54" s="92"/>
      <c r="M54" s="230"/>
      <c r="N54" s="230"/>
      <c r="O54" s="64"/>
    </row>
    <row r="55" s="95" customFormat="true" ht="16.15" hidden="false" customHeight="true" outlineLevel="0" collapsed="false">
      <c r="B55" s="159"/>
      <c r="C55" s="257"/>
      <c r="D55" s="237"/>
      <c r="E55" s="289"/>
      <c r="F55" s="178"/>
      <c r="G55" s="167" t="n">
        <v>8</v>
      </c>
      <c r="H55" s="249"/>
      <c r="I55" s="258"/>
      <c r="J55" s="178"/>
      <c r="K55" s="164"/>
      <c r="L55" s="92"/>
      <c r="M55" s="230"/>
      <c r="N55" s="230"/>
      <c r="O55" s="64"/>
    </row>
    <row r="56" s="95" customFormat="true" ht="16.15" hidden="false" customHeight="true" outlineLevel="0" collapsed="false">
      <c r="B56" s="159" t="str">
        <f aca="false">+LEFT(C56,4)</f>
        <v>11.2</v>
      </c>
      <c r="C56" s="257" t="s">
        <v>338</v>
      </c>
      <c r="D56" s="160" t="s">
        <v>334</v>
      </c>
      <c r="E56" s="289" t="s">
        <v>339</v>
      </c>
      <c r="F56" s="178" t="n">
        <v>3</v>
      </c>
      <c r="G56" s="162" t="n">
        <v>1</v>
      </c>
      <c r="H56" s="290" t="s">
        <v>336</v>
      </c>
      <c r="I56" s="258" t="s">
        <v>337</v>
      </c>
      <c r="J56" s="178" t="n">
        <v>2</v>
      </c>
      <c r="K56" s="164" t="str">
        <f aca="false">+IF(OR(ISBLANK(F56),ISBLANK(J56)),"",IF(OR(AND(F56=1,J56=1),AND(F56=1,J56=2),AND(F56=1,J56=3)),"Deficiencia de control mayor (diseño y ejecución)",IF(OR(AND(F56=2,J56=2),AND(F56=3,J56=1),AND(F56=3,J56=2),AND(F56=2,J56=1)),"Deficiencia de control (diseño o ejecución)",IF(AND(F56=2,J56=3),"Oportunidad de mejora","Mantenimiento del control"))))</f>
        <v>Deficiencia de control (diseño o ejecución)</v>
      </c>
      <c r="L56" s="92" t="n">
        <f aca="false">+IF(K56="",152,IF(K56="Deficiencia de control mayor (diseño y ejecución)",160,IF(K56="Deficiencia de control (diseño o ejecución)",180,IF(K56="Oportunidad de mejora",200,220))))</f>
        <v>180</v>
      </c>
      <c r="M56" s="230" t="n">
        <v>3.8456</v>
      </c>
      <c r="N56" s="230" t="n">
        <f aca="false">+L56+M56</f>
        <v>183.8456</v>
      </c>
      <c r="O56" s="64"/>
    </row>
    <row r="57" s="95" customFormat="true" ht="16.15" hidden="false" customHeight="true" outlineLevel="0" collapsed="false">
      <c r="B57" s="159"/>
      <c r="C57" s="257"/>
      <c r="D57" s="160"/>
      <c r="E57" s="289"/>
      <c r="F57" s="178"/>
      <c r="G57" s="165" t="n">
        <v>2</v>
      </c>
      <c r="H57" s="293"/>
      <c r="I57" s="258"/>
      <c r="J57" s="178"/>
      <c r="K57" s="164"/>
      <c r="L57" s="92"/>
      <c r="M57" s="230"/>
      <c r="N57" s="230"/>
      <c r="O57" s="64"/>
    </row>
    <row r="58" s="95" customFormat="true" ht="16.15" hidden="false" customHeight="true" outlineLevel="0" collapsed="false">
      <c r="B58" s="159"/>
      <c r="C58" s="257"/>
      <c r="D58" s="160"/>
      <c r="E58" s="289"/>
      <c r="F58" s="178"/>
      <c r="G58" s="165" t="n">
        <v>3</v>
      </c>
      <c r="H58" s="293"/>
      <c r="I58" s="258"/>
      <c r="J58" s="178"/>
      <c r="K58" s="164"/>
      <c r="L58" s="92"/>
      <c r="M58" s="230"/>
      <c r="N58" s="230"/>
      <c r="O58" s="64"/>
    </row>
    <row r="59" s="95" customFormat="true" ht="16.15" hidden="false" customHeight="true" outlineLevel="0" collapsed="false">
      <c r="B59" s="159"/>
      <c r="C59" s="257"/>
      <c r="D59" s="160"/>
      <c r="E59" s="289"/>
      <c r="F59" s="178"/>
      <c r="G59" s="165" t="n">
        <v>4</v>
      </c>
      <c r="H59" s="294"/>
      <c r="I59" s="258"/>
      <c r="J59" s="178"/>
      <c r="K59" s="164"/>
      <c r="L59" s="92"/>
      <c r="M59" s="230"/>
      <c r="N59" s="230"/>
      <c r="O59" s="64"/>
    </row>
    <row r="60" s="95" customFormat="true" ht="16.15" hidden="false" customHeight="true" outlineLevel="0" collapsed="false">
      <c r="B60" s="159"/>
      <c r="C60" s="257"/>
      <c r="D60" s="160"/>
      <c r="E60" s="289"/>
      <c r="F60" s="178"/>
      <c r="G60" s="165" t="n">
        <v>5</v>
      </c>
      <c r="H60" s="294"/>
      <c r="I60" s="258"/>
      <c r="J60" s="178"/>
      <c r="K60" s="164"/>
      <c r="L60" s="92"/>
      <c r="M60" s="230"/>
      <c r="N60" s="230"/>
      <c r="O60" s="64"/>
    </row>
    <row r="61" s="95" customFormat="true" ht="16.15" hidden="false" customHeight="true" outlineLevel="0" collapsed="false">
      <c r="B61" s="159"/>
      <c r="C61" s="257"/>
      <c r="D61" s="160"/>
      <c r="E61" s="289"/>
      <c r="F61" s="178"/>
      <c r="G61" s="165" t="n">
        <v>6</v>
      </c>
      <c r="H61" s="294"/>
      <c r="I61" s="258"/>
      <c r="J61" s="178"/>
      <c r="K61" s="164"/>
      <c r="L61" s="92"/>
      <c r="M61" s="230"/>
      <c r="N61" s="230"/>
      <c r="O61" s="64"/>
    </row>
    <row r="62" s="95" customFormat="true" ht="16.15" hidden="false" customHeight="true" outlineLevel="0" collapsed="false">
      <c r="B62" s="159"/>
      <c r="C62" s="257"/>
      <c r="D62" s="160"/>
      <c r="E62" s="289"/>
      <c r="F62" s="178"/>
      <c r="G62" s="165" t="n">
        <v>7</v>
      </c>
      <c r="H62" s="294"/>
      <c r="I62" s="258"/>
      <c r="J62" s="178"/>
      <c r="K62" s="164"/>
      <c r="L62" s="92"/>
      <c r="M62" s="230"/>
      <c r="N62" s="230"/>
      <c r="O62" s="64"/>
    </row>
    <row r="63" s="95" customFormat="true" ht="16.15" hidden="false" customHeight="true" outlineLevel="0" collapsed="false">
      <c r="B63" s="159"/>
      <c r="C63" s="257"/>
      <c r="D63" s="160"/>
      <c r="E63" s="289"/>
      <c r="F63" s="178"/>
      <c r="G63" s="167" t="n">
        <v>8</v>
      </c>
      <c r="H63" s="295"/>
      <c r="I63" s="258"/>
      <c r="J63" s="178"/>
      <c r="K63" s="164"/>
      <c r="L63" s="92"/>
      <c r="M63" s="230"/>
      <c r="N63" s="230"/>
      <c r="O63" s="64"/>
    </row>
    <row r="64" s="95" customFormat="true" ht="16.15" hidden="false" customHeight="true" outlineLevel="0" collapsed="false">
      <c r="B64" s="159" t="str">
        <f aca="false">+LEFT(C64,4)</f>
        <v>11.3</v>
      </c>
      <c r="C64" s="257" t="s">
        <v>340</v>
      </c>
      <c r="D64" s="160" t="s">
        <v>341</v>
      </c>
      <c r="E64" s="289" t="s">
        <v>339</v>
      </c>
      <c r="F64" s="178" t="n">
        <v>3</v>
      </c>
      <c r="G64" s="162" t="n">
        <v>1</v>
      </c>
      <c r="H64" s="290" t="s">
        <v>336</v>
      </c>
      <c r="I64" s="258" t="s">
        <v>342</v>
      </c>
      <c r="J64" s="178" t="n">
        <v>3</v>
      </c>
      <c r="K64" s="164" t="str">
        <f aca="false">+IF(OR(ISBLANK(F64),ISBLANK(J64)),"",IF(OR(AND(F64=1,J64=1),AND(F64=1,J64=2),AND(F64=1,J64=3)),"Deficiencia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92" t="n">
        <f aca="false">+IF(K64="",152,IF(K64="Deficiencia de control mayor (diseño y ejecución)",160,IF(K64="Deficiencia de control (diseño o ejecución)",180,IF(K64="Oportunidad de mejora",200,220))))</f>
        <v>220</v>
      </c>
      <c r="M64" s="230" t="n">
        <v>3.9654</v>
      </c>
      <c r="N64" s="230" t="n">
        <f aca="false">+L64+M64</f>
        <v>223.9654</v>
      </c>
      <c r="O64" s="64"/>
    </row>
    <row r="65" s="95" customFormat="true" ht="16.15" hidden="false" customHeight="true" outlineLevel="0" collapsed="false">
      <c r="B65" s="159"/>
      <c r="C65" s="257"/>
      <c r="D65" s="160"/>
      <c r="E65" s="289"/>
      <c r="F65" s="178"/>
      <c r="G65" s="165" t="n">
        <v>2</v>
      </c>
      <c r="H65" s="296"/>
      <c r="I65" s="258"/>
      <c r="J65" s="178"/>
      <c r="K65" s="164"/>
      <c r="L65" s="92"/>
      <c r="M65" s="230"/>
      <c r="N65" s="230"/>
      <c r="O65" s="64"/>
    </row>
    <row r="66" s="95" customFormat="true" ht="16.15" hidden="false" customHeight="true" outlineLevel="0" collapsed="false">
      <c r="B66" s="159"/>
      <c r="C66" s="257"/>
      <c r="D66" s="160"/>
      <c r="E66" s="289"/>
      <c r="F66" s="178"/>
      <c r="G66" s="165" t="n">
        <v>3</v>
      </c>
      <c r="H66" s="248"/>
      <c r="I66" s="258"/>
      <c r="J66" s="178"/>
      <c r="K66" s="164"/>
      <c r="L66" s="92"/>
      <c r="M66" s="230"/>
      <c r="N66" s="230"/>
      <c r="O66" s="64"/>
    </row>
    <row r="67" s="95" customFormat="true" ht="16.15" hidden="false" customHeight="true" outlineLevel="0" collapsed="false">
      <c r="B67" s="159"/>
      <c r="C67" s="257"/>
      <c r="D67" s="160"/>
      <c r="E67" s="289"/>
      <c r="F67" s="178"/>
      <c r="G67" s="165" t="n">
        <v>4</v>
      </c>
      <c r="H67" s="248"/>
      <c r="I67" s="258"/>
      <c r="J67" s="178"/>
      <c r="K67" s="164"/>
      <c r="L67" s="92"/>
      <c r="M67" s="230"/>
      <c r="N67" s="230"/>
      <c r="O67" s="64"/>
    </row>
    <row r="68" s="95" customFormat="true" ht="16.15" hidden="false" customHeight="true" outlineLevel="0" collapsed="false">
      <c r="B68" s="159"/>
      <c r="C68" s="257"/>
      <c r="D68" s="160"/>
      <c r="E68" s="289"/>
      <c r="F68" s="178"/>
      <c r="G68" s="165" t="n">
        <v>5</v>
      </c>
      <c r="H68" s="248"/>
      <c r="I68" s="258"/>
      <c r="J68" s="178"/>
      <c r="K68" s="164"/>
      <c r="L68" s="92"/>
      <c r="M68" s="230"/>
      <c r="N68" s="230"/>
      <c r="O68" s="64"/>
    </row>
    <row r="69" s="95" customFormat="true" ht="16.15" hidden="false" customHeight="true" outlineLevel="0" collapsed="false">
      <c r="B69" s="159"/>
      <c r="C69" s="257"/>
      <c r="D69" s="160"/>
      <c r="E69" s="289"/>
      <c r="F69" s="178"/>
      <c r="G69" s="165" t="n">
        <v>6</v>
      </c>
      <c r="H69" s="248"/>
      <c r="I69" s="258"/>
      <c r="J69" s="178"/>
      <c r="K69" s="164"/>
      <c r="L69" s="92"/>
      <c r="M69" s="230"/>
      <c r="N69" s="230"/>
      <c r="O69" s="64"/>
    </row>
    <row r="70" s="95" customFormat="true" ht="16.15" hidden="false" customHeight="true" outlineLevel="0" collapsed="false">
      <c r="B70" s="159"/>
      <c r="C70" s="257"/>
      <c r="D70" s="160"/>
      <c r="E70" s="289"/>
      <c r="F70" s="178"/>
      <c r="G70" s="165" t="n">
        <v>7</v>
      </c>
      <c r="H70" s="248"/>
      <c r="I70" s="258"/>
      <c r="J70" s="178"/>
      <c r="K70" s="164"/>
      <c r="L70" s="92"/>
      <c r="M70" s="230"/>
      <c r="N70" s="230"/>
      <c r="O70" s="64"/>
    </row>
    <row r="71" s="95" customFormat="true" ht="16.15" hidden="false" customHeight="true" outlineLevel="0" collapsed="false">
      <c r="B71" s="159"/>
      <c r="C71" s="257"/>
      <c r="D71" s="160"/>
      <c r="E71" s="289"/>
      <c r="F71" s="178"/>
      <c r="G71" s="167" t="n">
        <v>8</v>
      </c>
      <c r="H71" s="249"/>
      <c r="I71" s="258"/>
      <c r="J71" s="178"/>
      <c r="K71" s="164"/>
      <c r="L71" s="92"/>
      <c r="M71" s="230"/>
      <c r="N71" s="230"/>
      <c r="O71" s="64"/>
    </row>
    <row r="72" customFormat="false" ht="16.15" hidden="false" customHeight="true" outlineLevel="0" collapsed="false">
      <c r="B72" s="159" t="str">
        <f aca="false">+LEFT(C72,4)</f>
        <v>11.4</v>
      </c>
      <c r="C72" s="257" t="s">
        <v>343</v>
      </c>
      <c r="D72" s="160" t="s">
        <v>344</v>
      </c>
      <c r="E72" s="247" t="s">
        <v>345</v>
      </c>
      <c r="F72" s="178" t="n">
        <v>3</v>
      </c>
      <c r="G72" s="162" t="n">
        <v>1</v>
      </c>
      <c r="H72" s="290" t="s">
        <v>336</v>
      </c>
      <c r="I72" s="258" t="s">
        <v>346</v>
      </c>
      <c r="J72" s="178" t="n">
        <v>3</v>
      </c>
      <c r="K72" s="164" t="str">
        <f aca="false">+IF(OR(ISBLANK(F72),ISBLANK(J72)),"",IF(OR(AND(F72=1,J72=1),AND(F72=1,J72=2),AND(F72=1,J72=3)),"Deficiencia de control mayor (diseño y ejecución)",IF(OR(AND(F72=2,J72=2),AND(F72=3,J72=1),AND(F72=3,J72=2),AND(F72=2,J72=1)),"Deficiencia de control (diseño o ejecución)",IF(AND(F72=2,J72=3),"Oportunidad de mejora","Mantenimiento del control"))))</f>
        <v>Mantenimiento del control</v>
      </c>
      <c r="L72" s="92" t="n">
        <f aca="false">+IF(K72="",152,IF(K72="Deficiencia de control mayor (diseño y ejecución)",160,IF(K72="Deficiencia de control (diseño o ejecución)",180,IF(K72="Oportunidad de mejora",200,220))))</f>
        <v>220</v>
      </c>
      <c r="M72" s="230" t="n">
        <v>4.0123</v>
      </c>
      <c r="N72" s="230" t="n">
        <f aca="false">+L72+M72</f>
        <v>224.0123</v>
      </c>
    </row>
    <row r="73" customFormat="false" ht="16.15" hidden="false" customHeight="true" outlineLevel="0" collapsed="false">
      <c r="B73" s="159"/>
      <c r="C73" s="257"/>
      <c r="D73" s="160"/>
      <c r="E73" s="247"/>
      <c r="F73" s="178"/>
      <c r="G73" s="165" t="n">
        <v>2</v>
      </c>
      <c r="H73" s="291"/>
      <c r="I73" s="258"/>
      <c r="J73" s="178"/>
      <c r="K73" s="164"/>
      <c r="L73" s="92"/>
      <c r="M73" s="230"/>
      <c r="N73" s="230"/>
    </row>
    <row r="74" customFormat="false" ht="16.15" hidden="false" customHeight="true" outlineLevel="0" collapsed="false">
      <c r="B74" s="159"/>
      <c r="C74" s="257"/>
      <c r="D74" s="160"/>
      <c r="E74" s="247"/>
      <c r="F74" s="178"/>
      <c r="G74" s="165" t="n">
        <v>3</v>
      </c>
      <c r="H74" s="248"/>
      <c r="I74" s="258"/>
      <c r="J74" s="178"/>
      <c r="K74" s="164"/>
      <c r="L74" s="92"/>
      <c r="M74" s="230"/>
      <c r="N74" s="230"/>
    </row>
    <row r="75" customFormat="false" ht="16.15" hidden="false" customHeight="true" outlineLevel="0" collapsed="false">
      <c r="B75" s="159"/>
      <c r="C75" s="257"/>
      <c r="D75" s="160"/>
      <c r="E75" s="247"/>
      <c r="F75" s="178"/>
      <c r="G75" s="165" t="n">
        <v>4</v>
      </c>
      <c r="H75" s="248"/>
      <c r="I75" s="258"/>
      <c r="J75" s="178"/>
      <c r="K75" s="164"/>
      <c r="L75" s="92"/>
      <c r="M75" s="230"/>
      <c r="N75" s="230"/>
    </row>
    <row r="76" customFormat="false" ht="16.15" hidden="false" customHeight="true" outlineLevel="0" collapsed="false">
      <c r="B76" s="159"/>
      <c r="C76" s="257"/>
      <c r="D76" s="160"/>
      <c r="E76" s="247"/>
      <c r="F76" s="178"/>
      <c r="G76" s="165" t="n">
        <v>5</v>
      </c>
      <c r="H76" s="248"/>
      <c r="I76" s="258"/>
      <c r="J76" s="178"/>
      <c r="K76" s="164"/>
      <c r="L76" s="92"/>
      <c r="M76" s="230"/>
      <c r="N76" s="230"/>
    </row>
    <row r="77" customFormat="false" ht="16.15" hidden="false" customHeight="true" outlineLevel="0" collapsed="false">
      <c r="B77" s="159"/>
      <c r="C77" s="257"/>
      <c r="D77" s="160"/>
      <c r="E77" s="247"/>
      <c r="F77" s="178"/>
      <c r="G77" s="165" t="n">
        <v>6</v>
      </c>
      <c r="H77" s="248"/>
      <c r="I77" s="258"/>
      <c r="J77" s="178"/>
      <c r="K77" s="164"/>
      <c r="L77" s="92"/>
      <c r="M77" s="230"/>
      <c r="N77" s="230"/>
    </row>
    <row r="78" customFormat="false" ht="16.15" hidden="false" customHeight="true" outlineLevel="0" collapsed="false">
      <c r="B78" s="159"/>
      <c r="C78" s="257"/>
      <c r="D78" s="160"/>
      <c r="E78" s="247"/>
      <c r="F78" s="178"/>
      <c r="G78" s="165" t="n">
        <v>7</v>
      </c>
      <c r="H78" s="248"/>
      <c r="I78" s="258"/>
      <c r="J78" s="178"/>
      <c r="K78" s="164"/>
      <c r="L78" s="92"/>
      <c r="M78" s="230"/>
      <c r="N78" s="230"/>
    </row>
    <row r="79" customFormat="false" ht="16.15" hidden="false" customHeight="true" outlineLevel="0" collapsed="false">
      <c r="B79" s="159"/>
      <c r="C79" s="257"/>
      <c r="D79" s="160"/>
      <c r="E79" s="247"/>
      <c r="F79" s="178"/>
      <c r="G79" s="167" t="n">
        <v>8</v>
      </c>
      <c r="H79" s="249"/>
      <c r="I79" s="258"/>
      <c r="J79" s="178"/>
      <c r="K79" s="164"/>
      <c r="L79" s="92"/>
      <c r="M79" s="230"/>
      <c r="N79" s="230"/>
    </row>
    <row r="80" customFormat="false" ht="16.15" hidden="false" customHeight="true" outlineLevel="0" collapsed="false">
      <c r="B80" s="297"/>
      <c r="C80" s="298" t="s">
        <v>347</v>
      </c>
      <c r="D80" s="269" t="s">
        <v>8</v>
      </c>
      <c r="E80" s="283" t="s">
        <v>318</v>
      </c>
      <c r="F80" s="299" t="s">
        <v>244</v>
      </c>
      <c r="G80" s="300" t="s">
        <v>116</v>
      </c>
      <c r="H80" s="300"/>
      <c r="I80" s="300"/>
      <c r="J80" s="299" t="s">
        <v>245</v>
      </c>
      <c r="K80" s="301" t="s">
        <v>152</v>
      </c>
      <c r="L80" s="243"/>
      <c r="M80" s="243"/>
      <c r="N80" s="243"/>
    </row>
    <row r="81" customFormat="false" ht="16.15" hidden="false" customHeight="true" outlineLevel="0" collapsed="false">
      <c r="B81" s="297"/>
      <c r="C81" s="297"/>
      <c r="D81" s="269"/>
      <c r="E81" s="283"/>
      <c r="F81" s="299"/>
      <c r="G81" s="302" t="s">
        <v>13</v>
      </c>
      <c r="H81" s="288" t="s">
        <v>15</v>
      </c>
      <c r="I81" s="288" t="s">
        <v>17</v>
      </c>
      <c r="J81" s="299"/>
      <c r="K81" s="301"/>
      <c r="L81" s="243"/>
      <c r="M81" s="243"/>
      <c r="N81" s="243"/>
    </row>
    <row r="82" customFormat="false" ht="16.15" hidden="false" customHeight="true" outlineLevel="0" collapsed="false">
      <c r="B82" s="297"/>
      <c r="C82" s="297"/>
      <c r="D82" s="269"/>
      <c r="E82" s="283"/>
      <c r="F82" s="299"/>
      <c r="G82" s="302"/>
      <c r="H82" s="288"/>
      <c r="I82" s="288"/>
      <c r="J82" s="299"/>
      <c r="K82" s="301"/>
      <c r="L82" s="243"/>
      <c r="M82" s="243"/>
      <c r="N82" s="243"/>
    </row>
    <row r="83" customFormat="false" ht="53.25" hidden="false" customHeight="true" outlineLevel="0" collapsed="false">
      <c r="B83" s="159" t="str">
        <f aca="false">+LEFT(C83,4)</f>
        <v>12.1</v>
      </c>
      <c r="C83" s="125" t="s">
        <v>348</v>
      </c>
      <c r="D83" s="126" t="s">
        <v>349</v>
      </c>
      <c r="E83" s="303" t="s">
        <v>350</v>
      </c>
      <c r="F83" s="146" t="n">
        <v>3</v>
      </c>
      <c r="G83" s="141" t="n">
        <v>1</v>
      </c>
      <c r="H83" s="304" t="s">
        <v>351</v>
      </c>
      <c r="I83" s="197" t="s">
        <v>352</v>
      </c>
      <c r="J83" s="146" t="n">
        <v>3</v>
      </c>
      <c r="K83" s="119" t="str">
        <f aca="false">+IF(OR(ISBLANK(F83),ISBLANK(J83)),"",IF(OR(AND(F83=1,J83=1),AND(F83=1,J83=2),AND(F83=1,J83=3)),"Deficiencia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92" t="n">
        <f aca="false">+IF(K83="",152,IF(K83="Deficiencia de control mayor (diseño y ejecución)",160,IF(K83="Deficiencia de control (diseño o ejecución)",180,IF(K83="Oportunidad de mejora",200,220))))</f>
        <v>220</v>
      </c>
      <c r="M83" s="230" t="n">
        <v>4.1236</v>
      </c>
      <c r="N83" s="230" t="n">
        <f aca="false">+L83+M83</f>
        <v>224.1236</v>
      </c>
    </row>
    <row r="84" customFormat="false" ht="53.25" hidden="false" customHeight="true" outlineLevel="0" collapsed="false">
      <c r="B84" s="159"/>
      <c r="C84" s="125"/>
      <c r="D84" s="126"/>
      <c r="E84" s="303"/>
      <c r="F84" s="146"/>
      <c r="G84" s="107" t="n">
        <v>2</v>
      </c>
      <c r="H84" s="107"/>
      <c r="I84" s="197"/>
      <c r="J84" s="146"/>
      <c r="K84" s="119"/>
      <c r="L84" s="92"/>
      <c r="M84" s="230"/>
      <c r="N84" s="230"/>
    </row>
    <row r="85" customFormat="false" ht="53.25" hidden="false" customHeight="true" outlineLevel="0" collapsed="false">
      <c r="B85" s="159"/>
      <c r="C85" s="125"/>
      <c r="D85" s="126"/>
      <c r="E85" s="303"/>
      <c r="F85" s="146"/>
      <c r="G85" s="107" t="n">
        <v>3</v>
      </c>
      <c r="H85" s="304"/>
      <c r="I85" s="197"/>
      <c r="J85" s="146"/>
      <c r="K85" s="119"/>
      <c r="L85" s="92"/>
      <c r="M85" s="230"/>
      <c r="N85" s="230"/>
    </row>
    <row r="86" customFormat="false" ht="53.25" hidden="false" customHeight="true" outlineLevel="0" collapsed="false">
      <c r="B86" s="159"/>
      <c r="C86" s="125"/>
      <c r="D86" s="126"/>
      <c r="E86" s="303"/>
      <c r="F86" s="146"/>
      <c r="G86" s="107" t="n">
        <v>4</v>
      </c>
      <c r="H86" s="107"/>
      <c r="I86" s="197"/>
      <c r="J86" s="146"/>
      <c r="K86" s="119"/>
      <c r="L86" s="92"/>
      <c r="M86" s="230"/>
      <c r="N86" s="230"/>
    </row>
    <row r="87" customFormat="false" ht="16.15" hidden="false" customHeight="true" outlineLevel="0" collapsed="false">
      <c r="B87" s="159"/>
      <c r="C87" s="125"/>
      <c r="D87" s="126"/>
      <c r="E87" s="303"/>
      <c r="F87" s="146"/>
      <c r="G87" s="107" t="n">
        <v>5</v>
      </c>
      <c r="H87" s="107"/>
      <c r="I87" s="197"/>
      <c r="J87" s="146"/>
      <c r="K87" s="119"/>
      <c r="L87" s="92"/>
      <c r="M87" s="230"/>
      <c r="N87" s="230"/>
    </row>
    <row r="88" customFormat="false" ht="16.15" hidden="false" customHeight="true" outlineLevel="0" collapsed="false">
      <c r="B88" s="159"/>
      <c r="C88" s="125"/>
      <c r="D88" s="126"/>
      <c r="E88" s="303"/>
      <c r="F88" s="146"/>
      <c r="G88" s="107" t="n">
        <v>6</v>
      </c>
      <c r="H88" s="107"/>
      <c r="I88" s="197"/>
      <c r="J88" s="146"/>
      <c r="K88" s="119"/>
      <c r="L88" s="92"/>
      <c r="M88" s="230"/>
      <c r="N88" s="230"/>
    </row>
    <row r="89" customFormat="false" ht="16.15" hidden="false" customHeight="true" outlineLevel="0" collapsed="false">
      <c r="B89" s="159"/>
      <c r="C89" s="125"/>
      <c r="D89" s="126"/>
      <c r="E89" s="303"/>
      <c r="F89" s="146"/>
      <c r="G89" s="107" t="n">
        <v>7</v>
      </c>
      <c r="H89" s="107"/>
      <c r="I89" s="197"/>
      <c r="J89" s="146"/>
      <c r="K89" s="119"/>
      <c r="L89" s="92"/>
      <c r="M89" s="230"/>
      <c r="N89" s="230"/>
    </row>
    <row r="90" customFormat="false" ht="16.15" hidden="false" customHeight="true" outlineLevel="0" collapsed="false">
      <c r="B90" s="159"/>
      <c r="C90" s="125"/>
      <c r="D90" s="126"/>
      <c r="E90" s="303"/>
      <c r="F90" s="146"/>
      <c r="G90" s="121" t="n">
        <v>8</v>
      </c>
      <c r="H90" s="121"/>
      <c r="I90" s="197"/>
      <c r="J90" s="146"/>
      <c r="K90" s="119"/>
      <c r="L90" s="92"/>
      <c r="M90" s="230"/>
      <c r="N90" s="230"/>
    </row>
    <row r="91" customFormat="false" ht="55.5" hidden="false" customHeight="true" outlineLevel="0" collapsed="false">
      <c r="B91" s="159" t="str">
        <f aca="false">+LEFT(C91,4)</f>
        <v>12.2</v>
      </c>
      <c r="C91" s="125" t="s">
        <v>353</v>
      </c>
      <c r="D91" s="126" t="s">
        <v>354</v>
      </c>
      <c r="E91" s="305" t="s">
        <v>355</v>
      </c>
      <c r="F91" s="146" t="n">
        <v>3</v>
      </c>
      <c r="G91" s="141" t="n">
        <v>1</v>
      </c>
      <c r="H91" s="304" t="s">
        <v>351</v>
      </c>
      <c r="I91" s="197" t="s">
        <v>352</v>
      </c>
      <c r="J91" s="146" t="n">
        <v>3</v>
      </c>
      <c r="K91" s="119" t="str">
        <f aca="false">+IF(OR(ISBLANK(F91),ISBLANK(J91)),"",IF(OR(AND(F91=1,J91=1),AND(F91=1,J91=2),AND(F91=1,J91=3)),"Deficiencia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92" t="n">
        <f aca="false">+IF(K91="",152,IF(K91="Deficiencia de control mayor (diseño y ejecución)",160,IF(K91="Deficiencia de control (diseño o ejecución)",180,IF(K91="Oportunidad de mejora",200,220))))</f>
        <v>220</v>
      </c>
      <c r="M91" s="230" t="n">
        <v>4.2365</v>
      </c>
      <c r="N91" s="306" t="n">
        <f aca="false">+L91+M91</f>
        <v>224.2365</v>
      </c>
    </row>
    <row r="92" customFormat="false" ht="47.25" hidden="false" customHeight="true" outlineLevel="0" collapsed="false">
      <c r="B92" s="159"/>
      <c r="C92" s="125"/>
      <c r="D92" s="126"/>
      <c r="E92" s="305"/>
      <c r="F92" s="146"/>
      <c r="G92" s="107" t="n">
        <v>2</v>
      </c>
      <c r="H92" s="107"/>
      <c r="I92" s="197"/>
      <c r="J92" s="146"/>
      <c r="K92" s="119"/>
      <c r="L92" s="92"/>
      <c r="M92" s="230"/>
      <c r="N92" s="306"/>
    </row>
    <row r="93" customFormat="false" ht="52.5" hidden="false" customHeight="true" outlineLevel="0" collapsed="false">
      <c r="B93" s="159"/>
      <c r="C93" s="125"/>
      <c r="D93" s="126"/>
      <c r="E93" s="305"/>
      <c r="F93" s="146"/>
      <c r="G93" s="107" t="n">
        <v>3</v>
      </c>
      <c r="H93" s="304"/>
      <c r="I93" s="197"/>
      <c r="J93" s="146"/>
      <c r="K93" s="119"/>
      <c r="L93" s="92"/>
      <c r="M93" s="230"/>
      <c r="N93" s="306"/>
    </row>
    <row r="94" customFormat="false" ht="16.15" hidden="false" customHeight="true" outlineLevel="0" collapsed="false">
      <c r="B94" s="159"/>
      <c r="C94" s="125"/>
      <c r="D94" s="126"/>
      <c r="E94" s="305"/>
      <c r="F94" s="146"/>
      <c r="G94" s="107" t="n">
        <v>4</v>
      </c>
      <c r="H94" s="107"/>
      <c r="I94" s="197"/>
      <c r="J94" s="146"/>
      <c r="K94" s="119"/>
      <c r="L94" s="92"/>
      <c r="M94" s="230"/>
      <c r="N94" s="306"/>
    </row>
    <row r="95" customFormat="false" ht="16.15" hidden="false" customHeight="true" outlineLevel="0" collapsed="false">
      <c r="B95" s="159"/>
      <c r="C95" s="125"/>
      <c r="D95" s="126"/>
      <c r="E95" s="305"/>
      <c r="F95" s="146"/>
      <c r="G95" s="107" t="n">
        <v>5</v>
      </c>
      <c r="H95" s="107"/>
      <c r="I95" s="197"/>
      <c r="J95" s="146"/>
      <c r="K95" s="119"/>
      <c r="L95" s="92"/>
      <c r="M95" s="230"/>
      <c r="N95" s="306"/>
    </row>
    <row r="96" customFormat="false" ht="16.15" hidden="false" customHeight="true" outlineLevel="0" collapsed="false">
      <c r="B96" s="159"/>
      <c r="C96" s="125"/>
      <c r="D96" s="126"/>
      <c r="E96" s="305"/>
      <c r="F96" s="146"/>
      <c r="G96" s="107" t="n">
        <v>6</v>
      </c>
      <c r="H96" s="107"/>
      <c r="I96" s="197"/>
      <c r="J96" s="146"/>
      <c r="K96" s="119"/>
      <c r="L96" s="92"/>
      <c r="M96" s="230"/>
      <c r="N96" s="306"/>
    </row>
    <row r="97" customFormat="false" ht="16.15" hidden="false" customHeight="true" outlineLevel="0" collapsed="false">
      <c r="B97" s="159"/>
      <c r="C97" s="125"/>
      <c r="D97" s="126"/>
      <c r="E97" s="305"/>
      <c r="F97" s="146"/>
      <c r="G97" s="107" t="n">
        <v>7</v>
      </c>
      <c r="H97" s="107"/>
      <c r="I97" s="197"/>
      <c r="J97" s="146"/>
      <c r="K97" s="119"/>
      <c r="L97" s="92"/>
      <c r="M97" s="230"/>
      <c r="N97" s="306"/>
    </row>
    <row r="98" customFormat="false" ht="16.15" hidden="false" customHeight="true" outlineLevel="0" collapsed="false">
      <c r="B98" s="159"/>
      <c r="C98" s="125"/>
      <c r="D98" s="126"/>
      <c r="E98" s="305"/>
      <c r="F98" s="146"/>
      <c r="G98" s="121" t="n">
        <v>8</v>
      </c>
      <c r="H98" s="121"/>
      <c r="I98" s="197"/>
      <c r="J98" s="146"/>
      <c r="K98" s="119"/>
      <c r="L98" s="92"/>
      <c r="M98" s="230"/>
      <c r="N98" s="306"/>
    </row>
    <row r="99" customFormat="false" ht="61.5" hidden="false" customHeight="true" outlineLevel="0" collapsed="false">
      <c r="B99" s="159" t="str">
        <f aca="false">+LEFT(C99,4)</f>
        <v>12.3</v>
      </c>
      <c r="C99" s="125" t="s">
        <v>356</v>
      </c>
      <c r="D99" s="126" t="s">
        <v>357</v>
      </c>
      <c r="E99" s="307" t="s">
        <v>358</v>
      </c>
      <c r="F99" s="146" t="n">
        <v>3</v>
      </c>
      <c r="G99" s="141" t="n">
        <v>1</v>
      </c>
      <c r="H99" s="304" t="s">
        <v>359</v>
      </c>
      <c r="I99" s="197" t="s">
        <v>360</v>
      </c>
      <c r="J99" s="146" t="n">
        <v>3</v>
      </c>
      <c r="K99" s="119" t="str">
        <f aca="false">+IF(OR(ISBLANK(F99),ISBLANK(J99)),"",IF(OR(AND(F99=1,J99=1),AND(F99=1,J99=2),AND(F99=1,J99=3)),"Deficiencia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92" t="n">
        <f aca="false">+IF(K99="",152,IF(K99="Deficiencia de control mayor (diseño y ejecución)",160,IF(K99="Deficiencia de control (diseño o ejecución)",180,IF(K99="Oportunidad de mejora",200,220))))</f>
        <v>220</v>
      </c>
      <c r="M99" s="230" t="n">
        <v>4.23656</v>
      </c>
      <c r="N99" s="306" t="n">
        <f aca="false">+L99+M99</f>
        <v>224.23656</v>
      </c>
    </row>
    <row r="100" customFormat="false" ht="61.5" hidden="false" customHeight="true" outlineLevel="0" collapsed="false">
      <c r="B100" s="159"/>
      <c r="C100" s="125"/>
      <c r="D100" s="126"/>
      <c r="E100" s="307"/>
      <c r="F100" s="146"/>
      <c r="G100" s="107" t="n">
        <v>2</v>
      </c>
      <c r="H100" s="107"/>
      <c r="I100" s="197"/>
      <c r="J100" s="146"/>
      <c r="K100" s="119"/>
      <c r="L100" s="92"/>
      <c r="M100" s="230"/>
      <c r="N100" s="306"/>
    </row>
    <row r="101" customFormat="false" ht="61.5" hidden="false" customHeight="true" outlineLevel="0" collapsed="false">
      <c r="B101" s="159"/>
      <c r="C101" s="125"/>
      <c r="D101" s="126"/>
      <c r="E101" s="307"/>
      <c r="F101" s="146"/>
      <c r="G101" s="107" t="n">
        <v>3</v>
      </c>
      <c r="H101" s="304"/>
      <c r="I101" s="197"/>
      <c r="J101" s="146"/>
      <c r="K101" s="119"/>
      <c r="L101" s="92"/>
      <c r="M101" s="230"/>
      <c r="N101" s="306"/>
    </row>
    <row r="102" customFormat="false" ht="16.15" hidden="false" customHeight="true" outlineLevel="0" collapsed="false">
      <c r="B102" s="159"/>
      <c r="C102" s="125"/>
      <c r="D102" s="126"/>
      <c r="E102" s="307"/>
      <c r="F102" s="146"/>
      <c r="G102" s="107" t="n">
        <v>4</v>
      </c>
      <c r="H102" s="107"/>
      <c r="I102" s="197"/>
      <c r="J102" s="146"/>
      <c r="K102" s="119"/>
      <c r="L102" s="92"/>
      <c r="M102" s="230"/>
      <c r="N102" s="306"/>
    </row>
    <row r="103" customFormat="false" ht="16.15" hidden="false" customHeight="true" outlineLevel="0" collapsed="false">
      <c r="B103" s="159"/>
      <c r="C103" s="125"/>
      <c r="D103" s="126"/>
      <c r="E103" s="307"/>
      <c r="F103" s="146"/>
      <c r="G103" s="107" t="n">
        <v>5</v>
      </c>
      <c r="H103" s="107"/>
      <c r="I103" s="197"/>
      <c r="J103" s="146"/>
      <c r="K103" s="119"/>
      <c r="L103" s="92"/>
      <c r="M103" s="230"/>
      <c r="N103" s="306"/>
    </row>
    <row r="104" customFormat="false" ht="16.15" hidden="false" customHeight="true" outlineLevel="0" collapsed="false">
      <c r="B104" s="159"/>
      <c r="C104" s="125"/>
      <c r="D104" s="126"/>
      <c r="E104" s="307"/>
      <c r="F104" s="146"/>
      <c r="G104" s="107" t="n">
        <v>6</v>
      </c>
      <c r="H104" s="107"/>
      <c r="I104" s="197"/>
      <c r="J104" s="146"/>
      <c r="K104" s="119"/>
      <c r="L104" s="92"/>
      <c r="M104" s="230"/>
      <c r="N104" s="306"/>
    </row>
    <row r="105" customFormat="false" ht="16.15" hidden="false" customHeight="true" outlineLevel="0" collapsed="false">
      <c r="B105" s="159"/>
      <c r="C105" s="125"/>
      <c r="D105" s="126"/>
      <c r="E105" s="307"/>
      <c r="F105" s="146"/>
      <c r="G105" s="107" t="n">
        <v>7</v>
      </c>
      <c r="H105" s="107"/>
      <c r="I105" s="197"/>
      <c r="J105" s="146"/>
      <c r="K105" s="119"/>
      <c r="L105" s="92"/>
      <c r="M105" s="230"/>
      <c r="N105" s="306"/>
    </row>
    <row r="106" customFormat="false" ht="16.15" hidden="false" customHeight="true" outlineLevel="0" collapsed="false">
      <c r="B106" s="159"/>
      <c r="C106" s="125"/>
      <c r="D106" s="126"/>
      <c r="E106" s="307"/>
      <c r="F106" s="146"/>
      <c r="G106" s="121" t="n">
        <v>8</v>
      </c>
      <c r="H106" s="121"/>
      <c r="I106" s="197"/>
      <c r="J106" s="146"/>
      <c r="K106" s="119"/>
      <c r="L106" s="92"/>
      <c r="M106" s="230"/>
      <c r="N106" s="306"/>
    </row>
    <row r="107" customFormat="false" ht="73.5" hidden="false" customHeight="true" outlineLevel="0" collapsed="false">
      <c r="B107" s="159" t="str">
        <f aca="false">+LEFT(C107,4)</f>
        <v>12.4</v>
      </c>
      <c r="C107" s="125" t="s">
        <v>361</v>
      </c>
      <c r="D107" s="126" t="s">
        <v>362</v>
      </c>
      <c r="E107" s="194" t="s">
        <v>363</v>
      </c>
      <c r="F107" s="146" t="n">
        <v>3</v>
      </c>
      <c r="G107" s="141" t="n">
        <v>1</v>
      </c>
      <c r="H107" s="308" t="s">
        <v>364</v>
      </c>
      <c r="I107" s="197" t="s">
        <v>365</v>
      </c>
      <c r="J107" s="146" t="n">
        <v>3</v>
      </c>
      <c r="K107" s="119" t="str">
        <f aca="false">+IF(OR(ISBLANK(F107),ISBLANK(J107)),"",IF(OR(AND(F107=1,J107=1),AND(F107=1,J107=2),AND(F107=1,J107=3)),"Deficiencia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92" t="n">
        <f aca="false">+IF(K107="",152,IF(K107="Deficiencia de control mayor (diseño y ejecución)",160,IF(K107="Deficiencia de control (diseño o ejecución)",180,IF(K107="Oportunidad de mejora",200,220))))</f>
        <v>220</v>
      </c>
      <c r="M107" s="230" t="n">
        <v>4.236568</v>
      </c>
      <c r="N107" s="306" t="n">
        <f aca="false">+L107+M107</f>
        <v>224.236568</v>
      </c>
    </row>
    <row r="108" customFormat="false" ht="56.25" hidden="false" customHeight="true" outlineLevel="0" collapsed="false">
      <c r="B108" s="159"/>
      <c r="C108" s="125"/>
      <c r="D108" s="126"/>
      <c r="E108" s="194"/>
      <c r="F108" s="146"/>
      <c r="G108" s="107" t="n">
        <v>2</v>
      </c>
      <c r="H108" s="308"/>
      <c r="I108" s="197"/>
      <c r="J108" s="146"/>
      <c r="K108" s="119"/>
      <c r="L108" s="92"/>
      <c r="M108" s="230"/>
      <c r="N108" s="306"/>
    </row>
    <row r="109" customFormat="false" ht="56.25" hidden="false" customHeight="true" outlineLevel="0" collapsed="false">
      <c r="B109" s="159"/>
      <c r="C109" s="125"/>
      <c r="D109" s="126"/>
      <c r="E109" s="194"/>
      <c r="F109" s="146"/>
      <c r="G109" s="107" t="n">
        <v>3</v>
      </c>
      <c r="H109" s="309"/>
      <c r="I109" s="197"/>
      <c r="J109" s="146"/>
      <c r="K109" s="119"/>
      <c r="L109" s="92"/>
      <c r="M109" s="230"/>
      <c r="N109" s="306"/>
    </row>
    <row r="110" customFormat="false" ht="16.15" hidden="false" customHeight="true" outlineLevel="0" collapsed="false">
      <c r="B110" s="159"/>
      <c r="C110" s="125"/>
      <c r="D110" s="126"/>
      <c r="E110" s="194"/>
      <c r="F110" s="146"/>
      <c r="G110" s="107" t="n">
        <v>4</v>
      </c>
      <c r="H110" s="107"/>
      <c r="I110" s="197"/>
      <c r="J110" s="146"/>
      <c r="K110" s="119"/>
      <c r="L110" s="92"/>
      <c r="M110" s="230"/>
      <c r="N110" s="306"/>
    </row>
    <row r="111" customFormat="false" ht="17.25" hidden="false" customHeight="true" outlineLevel="0" collapsed="false">
      <c r="B111" s="159"/>
      <c r="C111" s="125"/>
      <c r="D111" s="126"/>
      <c r="E111" s="194"/>
      <c r="F111" s="146"/>
      <c r="G111" s="107" t="n">
        <v>5</v>
      </c>
      <c r="H111" s="107"/>
      <c r="I111" s="197"/>
      <c r="J111" s="146"/>
      <c r="K111" s="119"/>
      <c r="L111" s="92"/>
      <c r="M111" s="230"/>
      <c r="N111" s="306"/>
    </row>
    <row r="112" customFormat="false" ht="16.15" hidden="false" customHeight="true" outlineLevel="0" collapsed="false">
      <c r="B112" s="159"/>
      <c r="C112" s="125"/>
      <c r="D112" s="126"/>
      <c r="E112" s="194"/>
      <c r="F112" s="146"/>
      <c r="G112" s="107" t="n">
        <v>6</v>
      </c>
      <c r="H112" s="107"/>
      <c r="I112" s="197"/>
      <c r="J112" s="146"/>
      <c r="K112" s="119"/>
      <c r="L112" s="92"/>
      <c r="M112" s="230"/>
      <c r="N112" s="306"/>
    </row>
    <row r="113" customFormat="false" ht="16.15" hidden="false" customHeight="true" outlineLevel="0" collapsed="false">
      <c r="B113" s="159"/>
      <c r="C113" s="125"/>
      <c r="D113" s="126"/>
      <c r="E113" s="194"/>
      <c r="F113" s="146"/>
      <c r="G113" s="107" t="n">
        <v>7</v>
      </c>
      <c r="H113" s="107"/>
      <c r="I113" s="197"/>
      <c r="J113" s="146"/>
      <c r="K113" s="119"/>
      <c r="L113" s="92"/>
      <c r="M113" s="230"/>
      <c r="N113" s="306"/>
    </row>
    <row r="114" customFormat="false" ht="16.15" hidden="false" customHeight="true" outlineLevel="0" collapsed="false">
      <c r="B114" s="159"/>
      <c r="C114" s="125"/>
      <c r="D114" s="126"/>
      <c r="E114" s="194"/>
      <c r="F114" s="146"/>
      <c r="G114" s="121" t="n">
        <v>8</v>
      </c>
      <c r="H114" s="121"/>
      <c r="I114" s="197"/>
      <c r="J114" s="146"/>
      <c r="K114" s="119"/>
      <c r="L114" s="92"/>
      <c r="M114" s="230"/>
      <c r="N114" s="306"/>
    </row>
    <row r="115" customFormat="false" ht="80.25" hidden="false" customHeight="true" outlineLevel="0" collapsed="false">
      <c r="B115" s="159" t="str">
        <f aca="false">+LEFT(C115,4)</f>
        <v>12.5</v>
      </c>
      <c r="C115" s="125" t="s">
        <v>366</v>
      </c>
      <c r="D115" s="126" t="s">
        <v>367</v>
      </c>
      <c r="E115" s="194" t="s">
        <v>368</v>
      </c>
      <c r="F115" s="146" t="n">
        <v>3</v>
      </c>
      <c r="G115" s="141" t="n">
        <v>1</v>
      </c>
      <c r="H115" s="308" t="s">
        <v>364</v>
      </c>
      <c r="I115" s="197" t="s">
        <v>365</v>
      </c>
      <c r="J115" s="146" t="n">
        <v>3</v>
      </c>
      <c r="K115" s="119" t="str">
        <f aca="false">+IF(OR(ISBLANK(F115),ISBLANK(J115)),"",IF(OR(AND(F115=1,J115=1),AND(F115=1,J115=2),AND(F115=1,J115=3)),"Deficiencia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92" t="n">
        <f aca="false">+IF(K115="",152,IF(K115="Deficiencia de control mayor (diseño y ejecución)",160,IF(K115="Deficiencia de control (diseño o ejecución)",180,IF(K115="Oportunidad de mejora",200,220))))</f>
        <v>220</v>
      </c>
      <c r="M115" s="230" t="n">
        <v>4.3569</v>
      </c>
      <c r="N115" s="230" t="n">
        <f aca="false">+L115+M115</f>
        <v>224.3569</v>
      </c>
    </row>
    <row r="116" customFormat="false" ht="68.25" hidden="false" customHeight="true" outlineLevel="0" collapsed="false">
      <c r="B116" s="159"/>
      <c r="C116" s="125"/>
      <c r="D116" s="126"/>
      <c r="E116" s="194"/>
      <c r="F116" s="146"/>
      <c r="G116" s="107" t="n">
        <v>2</v>
      </c>
      <c r="H116" s="308"/>
      <c r="I116" s="197"/>
      <c r="J116" s="146"/>
      <c r="K116" s="119"/>
      <c r="L116" s="92"/>
      <c r="M116" s="230"/>
      <c r="N116" s="230"/>
    </row>
    <row r="117" customFormat="false" ht="68.25" hidden="false" customHeight="true" outlineLevel="0" collapsed="false">
      <c r="B117" s="159"/>
      <c r="C117" s="125"/>
      <c r="D117" s="126"/>
      <c r="E117" s="194"/>
      <c r="F117" s="146"/>
      <c r="G117" s="107" t="n">
        <v>3</v>
      </c>
      <c r="H117" s="309"/>
      <c r="I117" s="197"/>
      <c r="J117" s="146"/>
      <c r="K117" s="119"/>
      <c r="L117" s="92"/>
      <c r="M117" s="230"/>
      <c r="N117" s="230"/>
    </row>
    <row r="118" customFormat="false" ht="16.15" hidden="false" customHeight="true" outlineLevel="0" collapsed="false">
      <c r="B118" s="159"/>
      <c r="C118" s="125"/>
      <c r="D118" s="126"/>
      <c r="E118" s="194"/>
      <c r="F118" s="146"/>
      <c r="G118" s="107" t="n">
        <v>4</v>
      </c>
      <c r="H118" s="107"/>
      <c r="I118" s="197"/>
      <c r="J118" s="146"/>
      <c r="K118" s="119"/>
      <c r="L118" s="92"/>
      <c r="M118" s="230"/>
      <c r="N118" s="230"/>
    </row>
    <row r="119" customFormat="false" ht="16.15" hidden="false" customHeight="true" outlineLevel="0" collapsed="false">
      <c r="B119" s="159"/>
      <c r="C119" s="125"/>
      <c r="D119" s="126"/>
      <c r="E119" s="194"/>
      <c r="F119" s="146"/>
      <c r="G119" s="107" t="n">
        <v>5</v>
      </c>
      <c r="H119" s="107"/>
      <c r="I119" s="197"/>
      <c r="J119" s="146"/>
      <c r="K119" s="119"/>
      <c r="L119" s="92"/>
      <c r="M119" s="230"/>
      <c r="N119" s="230"/>
    </row>
    <row r="120" customFormat="false" ht="16.15" hidden="false" customHeight="true" outlineLevel="0" collapsed="false">
      <c r="B120" s="159"/>
      <c r="C120" s="125"/>
      <c r="D120" s="126"/>
      <c r="E120" s="194"/>
      <c r="F120" s="146"/>
      <c r="G120" s="107" t="n">
        <v>6</v>
      </c>
      <c r="H120" s="107"/>
      <c r="I120" s="197"/>
      <c r="J120" s="146"/>
      <c r="K120" s="119"/>
      <c r="L120" s="92"/>
      <c r="M120" s="230"/>
      <c r="N120" s="230"/>
    </row>
    <row r="121" customFormat="false" ht="16.15" hidden="false" customHeight="true" outlineLevel="0" collapsed="false">
      <c r="B121" s="159"/>
      <c r="C121" s="125"/>
      <c r="D121" s="126"/>
      <c r="E121" s="194"/>
      <c r="F121" s="146"/>
      <c r="G121" s="107" t="n">
        <v>7</v>
      </c>
      <c r="H121" s="107"/>
      <c r="I121" s="197"/>
      <c r="J121" s="146"/>
      <c r="K121" s="119"/>
      <c r="L121" s="92"/>
      <c r="M121" s="230"/>
      <c r="N121" s="230"/>
    </row>
    <row r="122" customFormat="false" ht="16.15" hidden="false" customHeight="true" outlineLevel="0" collapsed="false">
      <c r="B122" s="159"/>
      <c r="C122" s="125"/>
      <c r="D122" s="126"/>
      <c r="E122" s="194"/>
      <c r="F122" s="146"/>
      <c r="G122" s="121" t="n">
        <v>8</v>
      </c>
      <c r="H122" s="121"/>
      <c r="I122" s="197"/>
      <c r="J122" s="146"/>
      <c r="K122" s="119"/>
      <c r="L122" s="92"/>
      <c r="M122" s="230"/>
      <c r="N122" s="230"/>
    </row>
    <row r="123" customFormat="false" ht="22.5" hidden="false" customHeight="true" outlineLevel="0" collapsed="false">
      <c r="D123" s="310"/>
    </row>
    <row r="124" customFormat="false" ht="22.5" hidden="false" customHeight="true" outlineLevel="0" collapsed="false">
      <c r="D124" s="310"/>
    </row>
    <row r="125" customFormat="false" ht="22.5" hidden="false" customHeight="true" outlineLevel="0" collapsed="false">
      <c r="D125" s="310"/>
    </row>
    <row r="126" customFormat="false" ht="22.5" hidden="false" customHeight="true" outlineLevel="0" collapsed="false">
      <c r="D126" s="310"/>
    </row>
    <row r="127" customFormat="false" ht="22.5" hidden="false" customHeight="true" outlineLevel="0" collapsed="false">
      <c r="D127" s="310"/>
    </row>
    <row r="128" customFormat="false" ht="22.5" hidden="false" customHeight="true" outlineLevel="0" collapsed="false">
      <c r="D128" s="310"/>
    </row>
    <row r="129" customFormat="false" ht="22.5" hidden="false" customHeight="true" outlineLevel="0" collapsed="false">
      <c r="D129" s="310"/>
    </row>
    <row r="130" customFormat="false" ht="22.5" hidden="false" customHeight="true" outlineLevel="0" collapsed="false">
      <c r="D130" s="310"/>
    </row>
    <row r="131" customFormat="false" ht="22.5" hidden="false" customHeight="true" outlineLevel="0" collapsed="false">
      <c r="D131" s="310"/>
    </row>
    <row r="132" customFormat="false" ht="22.5" hidden="false" customHeight="true" outlineLevel="0" collapsed="false">
      <c r="D132" s="310"/>
    </row>
    <row r="133" customFormat="false" ht="22.5" hidden="false" customHeight="true" outlineLevel="0" collapsed="false">
      <c r="D133" s="310"/>
    </row>
    <row r="134" customFormat="false" ht="22.5" hidden="false" customHeight="true" outlineLevel="0" collapsed="false">
      <c r="D134" s="310"/>
    </row>
    <row r="135" customFormat="false" ht="22.5" hidden="false" customHeight="true" outlineLevel="0" collapsed="false">
      <c r="D135" s="310"/>
    </row>
    <row r="136" customFormat="false" ht="22.5" hidden="false" customHeight="true" outlineLevel="0" collapsed="false">
      <c r="D136" s="310"/>
    </row>
    <row r="137" customFormat="false" ht="22.5" hidden="false" customHeight="true" outlineLevel="0" collapsed="false">
      <c r="D137" s="310"/>
    </row>
    <row r="138" customFormat="false" ht="22.5" hidden="false" customHeight="true" outlineLevel="0" collapsed="false">
      <c r="D138" s="310"/>
    </row>
    <row r="139" customFormat="false" ht="22.5" hidden="false" customHeight="true" outlineLevel="0" collapsed="false">
      <c r="D139" s="310"/>
    </row>
    <row r="140" customFormat="false" ht="22.5" hidden="false" customHeight="true" outlineLevel="0" collapsed="false">
      <c r="D140" s="310"/>
    </row>
    <row r="141" customFormat="false" ht="22.5" hidden="false" customHeight="true" outlineLevel="0" collapsed="false">
      <c r="D141" s="310"/>
    </row>
    <row r="142" customFormat="false" ht="22.5" hidden="false" customHeight="true" outlineLevel="0" collapsed="false">
      <c r="D142" s="310"/>
    </row>
    <row r="143" customFormat="false" ht="22.5" hidden="false" customHeight="true" outlineLevel="0" collapsed="false">
      <c r="D143" s="310"/>
    </row>
    <row r="144" customFormat="false" ht="22.5" hidden="false" customHeight="true" outlineLevel="0" collapsed="false">
      <c r="D144" s="310"/>
    </row>
    <row r="145" customFormat="false" ht="22.5" hidden="false" customHeight="true" outlineLevel="0" collapsed="false">
      <c r="D145" s="310"/>
    </row>
    <row r="146" customFormat="false" ht="22.5" hidden="false" customHeight="true" outlineLevel="0" collapsed="false">
      <c r="D146" s="310"/>
    </row>
    <row r="147" customFormat="false" ht="22.5" hidden="false" customHeight="true" outlineLevel="0" collapsed="false">
      <c r="D147" s="310"/>
    </row>
    <row r="148" customFormat="false" ht="22.5" hidden="false" customHeight="true" outlineLevel="0" collapsed="false">
      <c r="D148" s="310"/>
    </row>
    <row r="149" customFormat="false" ht="22.5" hidden="false" customHeight="true" outlineLevel="0" collapsed="false">
      <c r="D149" s="310"/>
    </row>
    <row r="150" customFormat="false" ht="22.5" hidden="false" customHeight="true" outlineLevel="0" collapsed="false">
      <c r="D150" s="310"/>
    </row>
    <row r="151" customFormat="false" ht="22.5" hidden="false" customHeight="true" outlineLevel="0" collapsed="false">
      <c r="D151" s="310"/>
    </row>
    <row r="152" customFormat="false" ht="22.5" hidden="false" customHeight="true" outlineLevel="0" collapsed="false">
      <c r="D152" s="310"/>
    </row>
    <row r="153" customFormat="false" ht="22.5" hidden="false" customHeight="true" outlineLevel="0" collapsed="false">
      <c r="D153" s="310"/>
    </row>
    <row r="154" customFormat="false" ht="22.5" hidden="false" customHeight="true" outlineLevel="0" collapsed="false">
      <c r="D154" s="310"/>
    </row>
    <row r="155" customFormat="false" ht="22.5" hidden="false" customHeight="true" outlineLevel="0" collapsed="false">
      <c r="D155" s="310"/>
    </row>
    <row r="156" customFormat="false" ht="22.5" hidden="false" customHeight="true" outlineLevel="0" collapsed="false">
      <c r="D156" s="310"/>
    </row>
    <row r="157" customFormat="false" ht="22.5" hidden="false" customHeight="true" outlineLevel="0" collapsed="false">
      <c r="D157" s="310"/>
    </row>
    <row r="158" customFormat="false" ht="22.5" hidden="false" customHeight="true" outlineLevel="0" collapsed="false">
      <c r="D158" s="310"/>
    </row>
    <row r="159" customFormat="false" ht="22.5" hidden="false" customHeight="true" outlineLevel="0" collapsed="false">
      <c r="D159" s="310"/>
    </row>
    <row r="160" customFormat="false" ht="22.5" hidden="false" customHeight="true" outlineLevel="0" collapsed="false">
      <c r="D160" s="310"/>
    </row>
    <row r="161" customFormat="false" ht="22.5" hidden="false" customHeight="true" outlineLevel="0" collapsed="false">
      <c r="D161" s="310"/>
    </row>
    <row r="162" customFormat="false" ht="22.5" hidden="false" customHeight="true" outlineLevel="0" collapsed="false">
      <c r="D162" s="310"/>
    </row>
    <row r="163" customFormat="false" ht="22.5" hidden="false" customHeight="true" outlineLevel="0" collapsed="false">
      <c r="D163" s="310"/>
    </row>
    <row r="164" customFormat="false" ht="22.5" hidden="false" customHeight="true" outlineLevel="0" collapsed="false">
      <c r="D164" s="310"/>
    </row>
    <row r="165" customFormat="false" ht="22.5" hidden="false" customHeight="true" outlineLevel="0" collapsed="false">
      <c r="D165" s="310"/>
    </row>
    <row r="166" customFormat="false" ht="22.5" hidden="false" customHeight="true" outlineLevel="0" collapsed="false">
      <c r="D166" s="310"/>
    </row>
    <row r="167" customFormat="false" ht="22.5" hidden="false" customHeight="true" outlineLevel="0" collapsed="false">
      <c r="D167" s="310"/>
    </row>
    <row r="168" customFormat="false" ht="22.5" hidden="false" customHeight="true" outlineLevel="0" collapsed="false">
      <c r="D168" s="310"/>
    </row>
    <row r="169" customFormat="false" ht="22.5" hidden="false" customHeight="true" outlineLevel="0" collapsed="false">
      <c r="D169" s="310"/>
    </row>
    <row r="170" customFormat="false" ht="22.5" hidden="false" customHeight="true" outlineLevel="0" collapsed="false">
      <c r="D170" s="310"/>
    </row>
    <row r="171" customFormat="false" ht="22.5" hidden="false" customHeight="true" outlineLevel="0" collapsed="false">
      <c r="D171" s="310"/>
    </row>
    <row r="172" customFormat="false" ht="22.5" hidden="false" customHeight="true" outlineLevel="0" collapsed="false">
      <c r="D172" s="310"/>
    </row>
    <row r="173" customFormat="false" ht="22.5" hidden="false" customHeight="true" outlineLevel="0" collapsed="false">
      <c r="D173" s="310"/>
    </row>
    <row r="174" customFormat="false" ht="22.5" hidden="false" customHeight="true" outlineLevel="0" collapsed="false">
      <c r="D174" s="310"/>
    </row>
    <row r="175" customFormat="false" ht="22.5" hidden="false" customHeight="true" outlineLevel="0" collapsed="false">
      <c r="D175" s="310"/>
    </row>
    <row r="176" customFormat="false" ht="22.5" hidden="false" customHeight="true" outlineLevel="0" collapsed="false">
      <c r="D176" s="310"/>
    </row>
    <row r="177" customFormat="false" ht="22.5" hidden="false" customHeight="true" outlineLevel="0" collapsed="false">
      <c r="D177" s="310"/>
    </row>
    <row r="178" customFormat="false" ht="22.5" hidden="false" customHeight="true" outlineLevel="0" collapsed="false">
      <c r="D178" s="310"/>
    </row>
    <row r="179" customFormat="false" ht="22.5" hidden="false" customHeight="true" outlineLevel="0" collapsed="false">
      <c r="D179" s="310"/>
    </row>
    <row r="180" customFormat="false" ht="22.5" hidden="false" customHeight="true" outlineLevel="0" collapsed="false">
      <c r="D180" s="310"/>
    </row>
    <row r="181" customFormat="false" ht="22.5" hidden="false" customHeight="true" outlineLevel="0" collapsed="false">
      <c r="D181" s="310"/>
    </row>
    <row r="182" customFormat="false" ht="22.5" hidden="false" customHeight="true" outlineLevel="0" collapsed="false">
      <c r="D182" s="310"/>
    </row>
    <row r="183" customFormat="false" ht="22.5" hidden="false" customHeight="true" outlineLevel="0" collapsed="false">
      <c r="D183" s="310"/>
    </row>
    <row r="184" customFormat="false" ht="22.5" hidden="false" customHeight="true" outlineLevel="0" collapsed="false">
      <c r="D184" s="310"/>
    </row>
    <row r="185" customFormat="false" ht="22.5" hidden="false" customHeight="true" outlineLevel="0" collapsed="false">
      <c r="D185" s="310"/>
    </row>
    <row r="186" customFormat="false" ht="22.5" hidden="false" customHeight="true" outlineLevel="0" collapsed="false">
      <c r="D186" s="310"/>
    </row>
    <row r="187" customFormat="false" ht="22.5" hidden="false" customHeight="true" outlineLevel="0" collapsed="false">
      <c r="D187" s="310"/>
    </row>
    <row r="188" customFormat="false" ht="22.5" hidden="false" customHeight="true" outlineLevel="0" collapsed="false">
      <c r="D188" s="310"/>
    </row>
    <row r="189" customFormat="false" ht="22.5" hidden="false" customHeight="true" outlineLevel="0" collapsed="false">
      <c r="D189" s="310"/>
    </row>
    <row r="190" customFormat="false" ht="22.5" hidden="false" customHeight="true" outlineLevel="0" collapsed="false">
      <c r="D190" s="310"/>
    </row>
    <row r="191" customFormat="false" ht="22.5" hidden="false" customHeight="true" outlineLevel="0" collapsed="false">
      <c r="D191" s="310"/>
    </row>
    <row r="192" customFormat="false" ht="22.5" hidden="false" customHeight="true" outlineLevel="0" collapsed="false">
      <c r="D192" s="310"/>
    </row>
    <row r="193" customFormat="false" ht="22.5" hidden="false" customHeight="true" outlineLevel="0" collapsed="false">
      <c r="D193" s="310"/>
    </row>
    <row r="194" customFormat="false" ht="22.5" hidden="false" customHeight="true" outlineLevel="0" collapsed="false">
      <c r="D194" s="310"/>
    </row>
    <row r="195" customFormat="false" ht="22.5" hidden="false" customHeight="true" outlineLevel="0" collapsed="false">
      <c r="D195" s="310"/>
    </row>
    <row r="196" customFormat="false" ht="22.5" hidden="false" customHeight="true" outlineLevel="0" collapsed="false">
      <c r="D196" s="310"/>
    </row>
    <row r="197" customFormat="false" ht="22.5" hidden="false" customHeight="true" outlineLevel="0" collapsed="false">
      <c r="D197" s="310"/>
    </row>
    <row r="198" customFormat="false" ht="22.5" hidden="false" customHeight="true" outlineLevel="0" collapsed="false">
      <c r="D198" s="310"/>
    </row>
  </sheetData>
  <sheetProtection sheet="true" password="d72a" objects="true" scenarios="true" formatCells="false" formatColumns="false" formatRows="false"/>
  <autoFilter ref="C1:C122"/>
  <mergeCells count="176">
    <mergeCell ref="C15:K15"/>
    <mergeCell ref="C16:K16"/>
    <mergeCell ref="B18:B20"/>
    <mergeCell ref="C18:C20"/>
    <mergeCell ref="D18:D20"/>
    <mergeCell ref="E18:E20"/>
    <mergeCell ref="F18:F20"/>
    <mergeCell ref="G18:I18"/>
    <mergeCell ref="J18:J20"/>
    <mergeCell ref="K18:K20"/>
    <mergeCell ref="L18:L20"/>
    <mergeCell ref="M18:M20"/>
    <mergeCell ref="N18:N20"/>
    <mergeCell ref="G19:G20"/>
    <mergeCell ref="H19:H20"/>
    <mergeCell ref="I19:I20"/>
    <mergeCell ref="B21:B28"/>
    <mergeCell ref="C21:C28"/>
    <mergeCell ref="D21:D28"/>
    <mergeCell ref="E21:E28"/>
    <mergeCell ref="F21:F28"/>
    <mergeCell ref="I21:I28"/>
    <mergeCell ref="J21:J28"/>
    <mergeCell ref="K21:K28"/>
    <mergeCell ref="L21:L28"/>
    <mergeCell ref="M21:M28"/>
    <mergeCell ref="N21:N28"/>
    <mergeCell ref="B29:B36"/>
    <mergeCell ref="C29:C36"/>
    <mergeCell ref="D29:D36"/>
    <mergeCell ref="E29:E36"/>
    <mergeCell ref="F29:F36"/>
    <mergeCell ref="I29:I36"/>
    <mergeCell ref="J29:J36"/>
    <mergeCell ref="K29:K36"/>
    <mergeCell ref="L29:L36"/>
    <mergeCell ref="M29:M36"/>
    <mergeCell ref="N29:N36"/>
    <mergeCell ref="B37:B44"/>
    <mergeCell ref="C37:C44"/>
    <mergeCell ref="D37:D44"/>
    <mergeCell ref="E37:E44"/>
    <mergeCell ref="F37:F44"/>
    <mergeCell ref="I37:I44"/>
    <mergeCell ref="J37:J44"/>
    <mergeCell ref="K37:K44"/>
    <mergeCell ref="L37:L44"/>
    <mergeCell ref="M37:M44"/>
    <mergeCell ref="N37:N44"/>
    <mergeCell ref="B45:B47"/>
    <mergeCell ref="C45:C47"/>
    <mergeCell ref="D45:D47"/>
    <mergeCell ref="E45:E47"/>
    <mergeCell ref="F45:F47"/>
    <mergeCell ref="G45:I45"/>
    <mergeCell ref="J45:J47"/>
    <mergeCell ref="K45:K47"/>
    <mergeCell ref="L45:L47"/>
    <mergeCell ref="M45:M47"/>
    <mergeCell ref="N45:N47"/>
    <mergeCell ref="G46:G47"/>
    <mergeCell ref="H46:H47"/>
    <mergeCell ref="I46:I47"/>
    <mergeCell ref="B48:B55"/>
    <mergeCell ref="C48:C55"/>
    <mergeCell ref="D48:D55"/>
    <mergeCell ref="E48:E55"/>
    <mergeCell ref="F48:F55"/>
    <mergeCell ref="I48:I55"/>
    <mergeCell ref="J48:J55"/>
    <mergeCell ref="K48:K55"/>
    <mergeCell ref="L48:L55"/>
    <mergeCell ref="M48:M55"/>
    <mergeCell ref="N48:N55"/>
    <mergeCell ref="B56:B63"/>
    <mergeCell ref="C56:C63"/>
    <mergeCell ref="D56:D63"/>
    <mergeCell ref="E56:E63"/>
    <mergeCell ref="F56:F63"/>
    <mergeCell ref="I56:I63"/>
    <mergeCell ref="J56:J63"/>
    <mergeCell ref="K56:K63"/>
    <mergeCell ref="L56:L63"/>
    <mergeCell ref="M56:M63"/>
    <mergeCell ref="N56:N63"/>
    <mergeCell ref="B64:B71"/>
    <mergeCell ref="C64:C71"/>
    <mergeCell ref="D64:D71"/>
    <mergeCell ref="E64:E71"/>
    <mergeCell ref="F64:F71"/>
    <mergeCell ref="I64:I71"/>
    <mergeCell ref="J64:J71"/>
    <mergeCell ref="K64:K71"/>
    <mergeCell ref="L64:L71"/>
    <mergeCell ref="M64:M71"/>
    <mergeCell ref="N64:N71"/>
    <mergeCell ref="B72:B79"/>
    <mergeCell ref="C72:C79"/>
    <mergeCell ref="D72:D79"/>
    <mergeCell ref="E72:E79"/>
    <mergeCell ref="F72:F79"/>
    <mergeCell ref="I72:I79"/>
    <mergeCell ref="J72:J79"/>
    <mergeCell ref="K72:K79"/>
    <mergeCell ref="L72:L79"/>
    <mergeCell ref="M72:M79"/>
    <mergeCell ref="N72:N79"/>
    <mergeCell ref="B80:B82"/>
    <mergeCell ref="C80:C82"/>
    <mergeCell ref="D80:D82"/>
    <mergeCell ref="E80:E82"/>
    <mergeCell ref="F80:F82"/>
    <mergeCell ref="G80:I80"/>
    <mergeCell ref="J80:J82"/>
    <mergeCell ref="K80:K82"/>
    <mergeCell ref="L80:L82"/>
    <mergeCell ref="M80:M82"/>
    <mergeCell ref="N80:N82"/>
    <mergeCell ref="G81:G82"/>
    <mergeCell ref="H81:H82"/>
    <mergeCell ref="I81:I82"/>
    <mergeCell ref="B83:B90"/>
    <mergeCell ref="C83:C90"/>
    <mergeCell ref="D83:D90"/>
    <mergeCell ref="E83:E90"/>
    <mergeCell ref="F83:F90"/>
    <mergeCell ref="I83:I90"/>
    <mergeCell ref="J83:J90"/>
    <mergeCell ref="K83:K90"/>
    <mergeCell ref="L83:L90"/>
    <mergeCell ref="M83:M90"/>
    <mergeCell ref="N83:N90"/>
    <mergeCell ref="B91:B98"/>
    <mergeCell ref="C91:C98"/>
    <mergeCell ref="D91:D98"/>
    <mergeCell ref="E91:E98"/>
    <mergeCell ref="F91:F98"/>
    <mergeCell ref="I91:I98"/>
    <mergeCell ref="J91:J98"/>
    <mergeCell ref="K91:K98"/>
    <mergeCell ref="L91:L98"/>
    <mergeCell ref="M91:M98"/>
    <mergeCell ref="N91:N98"/>
    <mergeCell ref="B99:B106"/>
    <mergeCell ref="C99:C106"/>
    <mergeCell ref="D99:D106"/>
    <mergeCell ref="E99:E106"/>
    <mergeCell ref="F99:F106"/>
    <mergeCell ref="I99:I106"/>
    <mergeCell ref="J99:J106"/>
    <mergeCell ref="K99:K106"/>
    <mergeCell ref="L99:L106"/>
    <mergeCell ref="M99:M106"/>
    <mergeCell ref="N99:N106"/>
    <mergeCell ref="B107:B114"/>
    <mergeCell ref="C107:C114"/>
    <mergeCell ref="D107:D114"/>
    <mergeCell ref="E107:E114"/>
    <mergeCell ref="F107:F114"/>
    <mergeCell ref="I107:I114"/>
    <mergeCell ref="J107:J114"/>
    <mergeCell ref="K107:K114"/>
    <mergeCell ref="L107:L114"/>
    <mergeCell ref="M107:M114"/>
    <mergeCell ref="N107:N114"/>
    <mergeCell ref="B115:B122"/>
    <mergeCell ref="C115:C122"/>
    <mergeCell ref="D115:D122"/>
    <mergeCell ref="E115:E122"/>
    <mergeCell ref="F115:F122"/>
    <mergeCell ref="I115:I122"/>
    <mergeCell ref="J115:J122"/>
    <mergeCell ref="K115:K122"/>
    <mergeCell ref="L115:L122"/>
    <mergeCell ref="M115:M122"/>
    <mergeCell ref="N115:N122"/>
  </mergeCells>
  <dataValidations count="1">
    <dataValidation allowBlank="true" operator="between" showDropDown="false" showErrorMessage="true" showInputMessage="true" sqref="F21:F44 J21:J44 F48:F79 J48:J79 F83:F122 J83:J122" type="list">
      <formula1>"1,2,3"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38"/>
  <sheetViews>
    <sheetView showFormulas="false" showGridLines="false" showRowColHeaders="true" showZeros="true" rightToLeft="false" tabSelected="false" showOutlineSymbols="true" defaultGridColor="true" view="normal" topLeftCell="D122" colorId="64" zoomScale="95" zoomScaleNormal="95" zoomScalePageLayoutView="100" workbookViewId="0">
      <selection pane="topLeft" activeCell="J139" activeCellId="0" sqref="J139"/>
    </sheetView>
  </sheetViews>
  <sheetFormatPr defaultColWidth="9.13671875" defaultRowHeight="16.5" zeroHeight="false" outlineLevelRow="0" outlineLevelCol="0"/>
  <cols>
    <col collapsed="false" customWidth="true" hidden="false" outlineLevel="0" max="1" min="1" style="62" width="2.57"/>
    <col collapsed="false" customWidth="true" hidden="true" outlineLevel="0" max="2" min="2" style="62" width="4.43"/>
    <col collapsed="false" customWidth="true" hidden="false" outlineLevel="0" max="3" min="3" style="62" width="37.86"/>
    <col collapsed="false" customWidth="true" hidden="false" outlineLevel="0" max="4" min="4" style="62" width="31.15"/>
    <col collapsed="false" customWidth="true" hidden="false" outlineLevel="0" max="5" min="5" style="62" width="52.58"/>
    <col collapsed="false" customWidth="true" hidden="false" outlineLevel="0" max="6" min="6" style="62" width="7.41"/>
    <col collapsed="false" customWidth="true" hidden="false" outlineLevel="0" max="7" min="7" style="62" width="3.57"/>
    <col collapsed="false" customWidth="true" hidden="false" outlineLevel="0" max="8" min="8" style="62" width="46.86"/>
    <col collapsed="false" customWidth="true" hidden="false" outlineLevel="0" max="9" min="9" style="62" width="39.57"/>
    <col collapsed="false" customWidth="true" hidden="false" outlineLevel="0" max="10" min="10" style="62" width="7.41"/>
    <col collapsed="false" customWidth="true" hidden="false" outlineLevel="0" max="11" min="11" style="62" width="10.29"/>
    <col collapsed="false" customWidth="false" hidden="false" outlineLevel="0" max="14" min="12" style="212" width="9.13"/>
    <col collapsed="false" customWidth="false" hidden="false" outlineLevel="0" max="1024" min="15" style="62" width="9.13"/>
  </cols>
  <sheetData>
    <row r="1" customFormat="false" ht="16.5" hidden="true" customHeight="false" outlineLevel="0" collapsed="false"/>
    <row r="2" customFormat="false" ht="16.5" hidden="true" customHeight="false" outlineLevel="0" collapsed="false"/>
    <row r="3" customFormat="false" ht="16.5" hidden="true" customHeight="false" outlineLevel="0" collapsed="false"/>
    <row r="4" customFormat="false" ht="16.5" hidden="true" customHeight="false" outlineLevel="0" collapsed="false"/>
    <row r="5" customFormat="false" ht="16.5" hidden="true" customHeight="false" outlineLevel="0" collapsed="false"/>
    <row r="6" customFormat="false" ht="16.5" hidden="true" customHeight="false" outlineLevel="0" collapsed="false"/>
    <row r="7" customFormat="false" ht="16.5" hidden="true" customHeight="false" outlineLevel="0" collapsed="false"/>
    <row r="8" customFormat="false" ht="16.5" hidden="true" customHeight="false" outlineLevel="0" collapsed="false"/>
    <row r="9" customFormat="false" ht="16.5" hidden="true" customHeight="false" outlineLevel="0" collapsed="false"/>
    <row r="10" customFormat="false" ht="16.5" hidden="true" customHeight="false" outlineLevel="0" collapsed="false"/>
    <row r="11" customFormat="false" ht="16.5" hidden="true" customHeight="false" outlineLevel="0" collapsed="false">
      <c r="C11" s="311"/>
      <c r="D11" s="311"/>
      <c r="E11" s="311"/>
      <c r="F11" s="311"/>
      <c r="G11" s="311"/>
      <c r="H11" s="311"/>
      <c r="I11" s="311"/>
    </row>
    <row r="12" customFormat="false" ht="26.25" hidden="true" customHeight="true" outlineLevel="0" collapsed="false">
      <c r="C12" s="312" t="s">
        <v>369</v>
      </c>
      <c r="D12" s="312"/>
      <c r="E12" s="312"/>
      <c r="F12" s="312"/>
      <c r="G12" s="312"/>
      <c r="H12" s="312"/>
      <c r="I12" s="312"/>
      <c r="J12" s="312"/>
      <c r="K12" s="312"/>
    </row>
    <row r="13" customFormat="false" ht="66.75" hidden="true" customHeight="true" outlineLevel="0" collapsed="false">
      <c r="C13" s="72" t="s">
        <v>370</v>
      </c>
      <c r="D13" s="72"/>
      <c r="E13" s="72"/>
      <c r="F13" s="72"/>
      <c r="G13" s="72"/>
      <c r="H13" s="72"/>
      <c r="I13" s="72"/>
      <c r="J13" s="72"/>
      <c r="K13" s="72"/>
    </row>
    <row r="14" customFormat="false" ht="16.5" hidden="true" customHeight="false" outlineLevel="0" collapsed="false"/>
    <row r="15" customFormat="false" ht="12.75" hidden="false" customHeight="true" outlineLevel="0" collapsed="false">
      <c r="B15" s="313" t="s">
        <v>111</v>
      </c>
      <c r="C15" s="313" t="s">
        <v>371</v>
      </c>
      <c r="D15" s="314" t="s">
        <v>8</v>
      </c>
      <c r="E15" s="315" t="s">
        <v>114</v>
      </c>
      <c r="F15" s="316" t="s">
        <v>244</v>
      </c>
      <c r="G15" s="317" t="s">
        <v>116</v>
      </c>
      <c r="H15" s="317"/>
      <c r="I15" s="317"/>
      <c r="J15" s="316" t="s">
        <v>245</v>
      </c>
      <c r="K15" s="318" t="s">
        <v>152</v>
      </c>
      <c r="L15" s="222"/>
      <c r="M15" s="222"/>
      <c r="N15" s="222"/>
    </row>
    <row r="16" customFormat="false" ht="15" hidden="false" customHeight="true" outlineLevel="0" collapsed="false">
      <c r="B16" s="313"/>
      <c r="C16" s="313"/>
      <c r="D16" s="314"/>
      <c r="E16" s="315"/>
      <c r="F16" s="316"/>
      <c r="G16" s="317"/>
      <c r="H16" s="317"/>
      <c r="I16" s="317"/>
      <c r="J16" s="316"/>
      <c r="K16" s="318"/>
      <c r="L16" s="222"/>
      <c r="M16" s="222"/>
      <c r="N16" s="222"/>
    </row>
    <row r="17" customFormat="false" ht="27.75" hidden="false" customHeight="true" outlineLevel="0" collapsed="false">
      <c r="B17" s="313"/>
      <c r="C17" s="313"/>
      <c r="D17" s="314"/>
      <c r="E17" s="315"/>
      <c r="F17" s="316"/>
      <c r="G17" s="317" t="s">
        <v>13</v>
      </c>
      <c r="H17" s="314" t="s">
        <v>15</v>
      </c>
      <c r="I17" s="314" t="s">
        <v>17</v>
      </c>
      <c r="J17" s="316"/>
      <c r="K17" s="318"/>
      <c r="L17" s="222"/>
      <c r="M17" s="222"/>
      <c r="N17" s="222"/>
    </row>
    <row r="18" customFormat="false" ht="14.45" hidden="false" customHeight="true" outlineLevel="0" collapsed="false">
      <c r="B18" s="313"/>
      <c r="C18" s="313"/>
      <c r="D18" s="314"/>
      <c r="E18" s="315"/>
      <c r="F18" s="316"/>
      <c r="G18" s="317"/>
      <c r="H18" s="317"/>
      <c r="I18" s="317"/>
      <c r="J18" s="316"/>
      <c r="K18" s="318"/>
      <c r="L18" s="222"/>
      <c r="M18" s="222"/>
      <c r="N18" s="222"/>
    </row>
    <row r="19" s="95" customFormat="true" ht="16.15" hidden="false" customHeight="true" outlineLevel="0" collapsed="false">
      <c r="B19" s="159" t="str">
        <f aca="false">+LEFT(C19,4)</f>
        <v>13.1</v>
      </c>
      <c r="C19" s="319" t="s">
        <v>372</v>
      </c>
      <c r="D19" s="160" t="s">
        <v>373</v>
      </c>
      <c r="E19" s="320" t="s">
        <v>374</v>
      </c>
      <c r="F19" s="201" t="n">
        <v>3</v>
      </c>
      <c r="G19" s="162" t="n">
        <v>1</v>
      </c>
      <c r="H19" s="321" t="s">
        <v>375</v>
      </c>
      <c r="I19" s="322" t="s">
        <v>376</v>
      </c>
      <c r="J19" s="323" t="n">
        <v>3</v>
      </c>
      <c r="K19" s="164" t="str">
        <f aca="false">+IF(OR(ISBLANK(F19),ISBLANK(J19)),"",IF(OR(AND(F19=1,J19=1),AND(F19=1,J19=2),AND(F19=1,J19=3)),"Deficiencia de control mayor (diseño y ejecución)",IF(OR(AND(F19=2,J19=2),AND(F19=3,J19=1),AND(F19=3,J19=2),AND(F19=2,J19=1)),"Deficiencia de control (diseño o ejecución)",IF(AND(F19=2,J19=3),"Oportunidad de mejora","Mantenimiento del control"))))</f>
        <v>Mantenimiento del control</v>
      </c>
      <c r="L19" s="92" t="n">
        <f aca="false">+IF(K19="",231,IF(K19="Deficiencia de control mayor (diseño y ejecución)",240,IF(K19="Deficiencia de control (diseño o ejecución)",260,IF(K19="Oportunidad de mejora",280,300))))</f>
        <v>300</v>
      </c>
      <c r="M19" s="230" t="n">
        <v>4.4569</v>
      </c>
      <c r="N19" s="230" t="n">
        <f aca="false">+L19+M19</f>
        <v>304.4569</v>
      </c>
    </row>
    <row r="20" s="95" customFormat="true" ht="16.15" hidden="false" customHeight="true" outlineLevel="0" collapsed="false">
      <c r="B20" s="159"/>
      <c r="C20" s="319"/>
      <c r="D20" s="160"/>
      <c r="E20" s="320"/>
      <c r="F20" s="201"/>
      <c r="G20" s="165" t="n">
        <v>2</v>
      </c>
      <c r="H20" s="321"/>
      <c r="I20" s="322"/>
      <c r="J20" s="323"/>
      <c r="K20" s="164"/>
      <c r="L20" s="92"/>
      <c r="M20" s="230"/>
      <c r="N20" s="230"/>
    </row>
    <row r="21" s="95" customFormat="true" ht="16.15" hidden="false" customHeight="true" outlineLevel="0" collapsed="false">
      <c r="B21" s="159"/>
      <c r="C21" s="319"/>
      <c r="D21" s="160"/>
      <c r="E21" s="320"/>
      <c r="F21" s="201"/>
      <c r="G21" s="165" t="n">
        <v>3</v>
      </c>
      <c r="H21" s="324"/>
      <c r="I21" s="322"/>
      <c r="J21" s="323"/>
      <c r="K21" s="164"/>
      <c r="L21" s="92"/>
      <c r="M21" s="230"/>
      <c r="N21" s="230"/>
    </row>
    <row r="22" s="95" customFormat="true" ht="16.15" hidden="false" customHeight="true" outlineLevel="0" collapsed="false">
      <c r="B22" s="159"/>
      <c r="C22" s="319"/>
      <c r="D22" s="160"/>
      <c r="E22" s="320"/>
      <c r="F22" s="201"/>
      <c r="G22" s="165" t="n">
        <v>4</v>
      </c>
      <c r="H22" s="294"/>
      <c r="I22" s="322"/>
      <c r="J22" s="323"/>
      <c r="K22" s="164"/>
      <c r="L22" s="92"/>
      <c r="M22" s="230"/>
      <c r="N22" s="230"/>
    </row>
    <row r="23" s="95" customFormat="true" ht="16.15" hidden="false" customHeight="true" outlineLevel="0" collapsed="false">
      <c r="B23" s="159"/>
      <c r="C23" s="319"/>
      <c r="D23" s="160"/>
      <c r="E23" s="320"/>
      <c r="F23" s="201"/>
      <c r="G23" s="165" t="n">
        <v>5</v>
      </c>
      <c r="H23" s="294"/>
      <c r="I23" s="322"/>
      <c r="J23" s="323"/>
      <c r="K23" s="164"/>
      <c r="L23" s="92"/>
      <c r="M23" s="230"/>
      <c r="N23" s="230"/>
    </row>
    <row r="24" s="95" customFormat="true" ht="16.15" hidden="false" customHeight="true" outlineLevel="0" collapsed="false">
      <c r="B24" s="159"/>
      <c r="C24" s="319"/>
      <c r="D24" s="160"/>
      <c r="E24" s="320"/>
      <c r="F24" s="201"/>
      <c r="G24" s="165" t="n">
        <v>6</v>
      </c>
      <c r="H24" s="294"/>
      <c r="I24" s="322"/>
      <c r="J24" s="323"/>
      <c r="K24" s="164"/>
      <c r="L24" s="92"/>
      <c r="M24" s="230"/>
      <c r="N24" s="230"/>
    </row>
    <row r="25" s="95" customFormat="true" ht="16.15" hidden="false" customHeight="true" outlineLevel="0" collapsed="false">
      <c r="B25" s="159"/>
      <c r="C25" s="319"/>
      <c r="D25" s="160"/>
      <c r="E25" s="320"/>
      <c r="F25" s="201"/>
      <c r="G25" s="165" t="n">
        <v>7</v>
      </c>
      <c r="H25" s="294"/>
      <c r="I25" s="322"/>
      <c r="J25" s="323"/>
      <c r="K25" s="164"/>
      <c r="L25" s="92"/>
      <c r="M25" s="230"/>
      <c r="N25" s="230"/>
    </row>
    <row r="26" customFormat="false" ht="16.15" hidden="false" customHeight="true" outlineLevel="0" collapsed="false">
      <c r="B26" s="159"/>
      <c r="C26" s="319"/>
      <c r="D26" s="160"/>
      <c r="E26" s="320"/>
      <c r="F26" s="201"/>
      <c r="G26" s="167" t="n">
        <v>8</v>
      </c>
      <c r="H26" s="295"/>
      <c r="I26" s="322"/>
      <c r="J26" s="323"/>
      <c r="K26" s="164"/>
      <c r="L26" s="92"/>
      <c r="M26" s="230"/>
      <c r="N26" s="230"/>
    </row>
    <row r="27" s="95" customFormat="true" ht="16.15" hidden="false" customHeight="true" outlineLevel="0" collapsed="false">
      <c r="B27" s="159" t="str">
        <f aca="false">+LEFT(C27,4)</f>
        <v>13.2</v>
      </c>
      <c r="C27" s="325" t="s">
        <v>377</v>
      </c>
      <c r="D27" s="160" t="s">
        <v>378</v>
      </c>
      <c r="E27" s="326" t="s">
        <v>379</v>
      </c>
      <c r="F27" s="201" t="n">
        <v>3</v>
      </c>
      <c r="G27" s="162" t="n">
        <v>1</v>
      </c>
      <c r="H27" s="327" t="s">
        <v>380</v>
      </c>
      <c r="I27" s="322" t="s">
        <v>381</v>
      </c>
      <c r="J27" s="323" t="n">
        <v>2</v>
      </c>
      <c r="K27" s="164" t="str">
        <f aca="false">+IF(OR(ISBLANK(F27),ISBLANK(J27)),"",IF(OR(AND(F27=1,J27=1),AND(F27=1,J27=2),AND(F27=1,J27=3)),"Deficiencia de control mayor (diseño y ejecución)",IF(OR(AND(F27=2,J27=2),AND(F27=3,J27=1),AND(F27=3,J27=2),AND(F27=2,J27=1)),"Deficiencia de control (diseño o ejecución)",IF(AND(F27=2,J27=3),"Oportunidad de mejora","Mantenimiento del control"))))</f>
        <v>Deficiencia de control (diseño o ejecución)</v>
      </c>
      <c r="L27" s="92" t="n">
        <f aca="false">+IF(K27="",231,IF(K27="Deficiencia de control mayor (diseño y ejecución)",240,IF(K27="Deficiencia de control (diseño o ejecución)",260,IF(K27="Oportunidad de mejora",280,300))))</f>
        <v>260</v>
      </c>
      <c r="M27" s="230" t="n">
        <v>4.5632</v>
      </c>
      <c r="N27" s="230" t="n">
        <f aca="false">+L27+M27</f>
        <v>264.5632</v>
      </c>
    </row>
    <row r="28" s="95" customFormat="true" ht="16.15" hidden="false" customHeight="true" outlineLevel="0" collapsed="false">
      <c r="B28" s="159"/>
      <c r="C28" s="325"/>
      <c r="D28" s="160"/>
      <c r="E28" s="326"/>
      <c r="F28" s="201"/>
      <c r="G28" s="165" t="n">
        <v>2</v>
      </c>
      <c r="H28" s="294"/>
      <c r="I28" s="322"/>
      <c r="J28" s="323"/>
      <c r="K28" s="164"/>
      <c r="L28" s="92"/>
      <c r="M28" s="230"/>
      <c r="N28" s="230"/>
    </row>
    <row r="29" s="95" customFormat="true" ht="16.15" hidden="false" customHeight="true" outlineLevel="0" collapsed="false">
      <c r="B29" s="159"/>
      <c r="C29" s="325"/>
      <c r="D29" s="160"/>
      <c r="E29" s="326"/>
      <c r="F29" s="201"/>
      <c r="G29" s="165" t="n">
        <v>3</v>
      </c>
      <c r="H29" s="294"/>
      <c r="I29" s="322"/>
      <c r="J29" s="323"/>
      <c r="K29" s="164"/>
      <c r="L29" s="92"/>
      <c r="M29" s="230"/>
      <c r="N29" s="230"/>
    </row>
    <row r="30" s="95" customFormat="true" ht="16.15" hidden="false" customHeight="true" outlineLevel="0" collapsed="false">
      <c r="B30" s="159"/>
      <c r="C30" s="325"/>
      <c r="D30" s="160"/>
      <c r="E30" s="326"/>
      <c r="F30" s="201"/>
      <c r="G30" s="165" t="n">
        <v>4</v>
      </c>
      <c r="H30" s="294"/>
      <c r="I30" s="322"/>
      <c r="J30" s="323"/>
      <c r="K30" s="164"/>
      <c r="L30" s="92"/>
      <c r="M30" s="230"/>
      <c r="N30" s="230"/>
    </row>
    <row r="31" s="95" customFormat="true" ht="16.15" hidden="false" customHeight="true" outlineLevel="0" collapsed="false">
      <c r="B31" s="159"/>
      <c r="C31" s="325"/>
      <c r="D31" s="160"/>
      <c r="E31" s="326"/>
      <c r="F31" s="201"/>
      <c r="G31" s="165" t="n">
        <v>5</v>
      </c>
      <c r="H31" s="294"/>
      <c r="I31" s="322"/>
      <c r="J31" s="323"/>
      <c r="K31" s="164"/>
      <c r="L31" s="92"/>
      <c r="M31" s="230"/>
      <c r="N31" s="230"/>
    </row>
    <row r="32" s="95" customFormat="true" ht="16.15" hidden="false" customHeight="true" outlineLevel="0" collapsed="false">
      <c r="B32" s="159"/>
      <c r="C32" s="325"/>
      <c r="D32" s="160"/>
      <c r="E32" s="326"/>
      <c r="F32" s="201"/>
      <c r="G32" s="165" t="n">
        <v>6</v>
      </c>
      <c r="H32" s="294"/>
      <c r="I32" s="322"/>
      <c r="J32" s="323"/>
      <c r="K32" s="164"/>
      <c r="L32" s="92"/>
      <c r="M32" s="230"/>
      <c r="N32" s="230"/>
    </row>
    <row r="33" s="95" customFormat="true" ht="16.15" hidden="false" customHeight="true" outlineLevel="0" collapsed="false">
      <c r="B33" s="159"/>
      <c r="C33" s="325"/>
      <c r="D33" s="160"/>
      <c r="E33" s="326"/>
      <c r="F33" s="201"/>
      <c r="G33" s="165" t="n">
        <v>7</v>
      </c>
      <c r="H33" s="294"/>
      <c r="I33" s="322"/>
      <c r="J33" s="323"/>
      <c r="K33" s="164"/>
      <c r="L33" s="92"/>
      <c r="M33" s="230"/>
      <c r="N33" s="230"/>
    </row>
    <row r="34" customFormat="false" ht="16.15" hidden="false" customHeight="true" outlineLevel="0" collapsed="false">
      <c r="B34" s="159"/>
      <c r="C34" s="325"/>
      <c r="D34" s="160"/>
      <c r="E34" s="326"/>
      <c r="F34" s="201"/>
      <c r="G34" s="167" t="n">
        <v>8</v>
      </c>
      <c r="H34" s="295"/>
      <c r="I34" s="322"/>
      <c r="J34" s="323"/>
      <c r="K34" s="164"/>
      <c r="L34" s="92"/>
      <c r="M34" s="230"/>
      <c r="N34" s="230"/>
    </row>
    <row r="35" customFormat="false" ht="16.15" hidden="false" customHeight="true" outlineLevel="0" collapsed="false">
      <c r="B35" s="159" t="str">
        <f aca="false">+LEFT(C35,4)</f>
        <v>13.3</v>
      </c>
      <c r="C35" s="325" t="s">
        <v>382</v>
      </c>
      <c r="D35" s="160" t="s">
        <v>378</v>
      </c>
      <c r="E35" s="328" t="s">
        <v>383</v>
      </c>
      <c r="F35" s="201" t="n">
        <v>3</v>
      </c>
      <c r="G35" s="162" t="n">
        <v>1</v>
      </c>
      <c r="H35" s="321" t="s">
        <v>384</v>
      </c>
      <c r="I35" s="322" t="s">
        <v>385</v>
      </c>
      <c r="J35" s="323" t="n">
        <v>3</v>
      </c>
      <c r="K35" s="164" t="str">
        <f aca="false">+IF(OR(ISBLANK(F35),ISBLANK(J35)),"",IF(OR(AND(F35=1,J35=1),AND(F35=1,J35=2),AND(F35=1,J35=3)),"Deficiencia de control mayor (diseño y ejecución)",IF(OR(AND(F35=2,J35=2),AND(F35=3,J35=1),AND(F35=3,J35=2),AND(F35=2,J35=1)),"Deficiencia de control (diseño o ejecución)",IF(AND(F35=2,J35=3),"Oportunidad de mejora","Mantenimiento del control"))))</f>
        <v>Mantenimiento del control</v>
      </c>
      <c r="L35" s="92" t="n">
        <f aca="false">+IF(K35="",231,IF(K35="Deficiencia de control mayor (diseño y ejecución)",240,IF(K35="Deficiencia de control (diseño o ejecución)",260,IF(K35="Oportunidad de mejora",280,300))))</f>
        <v>300</v>
      </c>
      <c r="M35" s="230" t="n">
        <v>4.6321</v>
      </c>
      <c r="N35" s="230" t="n">
        <f aca="false">+L35+M35</f>
        <v>304.6321</v>
      </c>
    </row>
    <row r="36" customFormat="false" ht="16.15" hidden="false" customHeight="true" outlineLevel="0" collapsed="false">
      <c r="B36" s="159"/>
      <c r="C36" s="325"/>
      <c r="D36" s="160"/>
      <c r="E36" s="328"/>
      <c r="F36" s="201"/>
      <c r="G36" s="165" t="n">
        <v>2</v>
      </c>
      <c r="H36" s="321"/>
      <c r="I36" s="322"/>
      <c r="J36" s="323"/>
      <c r="K36" s="164"/>
      <c r="L36" s="92"/>
      <c r="M36" s="230"/>
      <c r="N36" s="230"/>
    </row>
    <row r="37" customFormat="false" ht="16.15" hidden="false" customHeight="true" outlineLevel="0" collapsed="false">
      <c r="B37" s="159"/>
      <c r="C37" s="325"/>
      <c r="D37" s="160"/>
      <c r="E37" s="328"/>
      <c r="F37" s="201"/>
      <c r="G37" s="165" t="n">
        <v>3</v>
      </c>
      <c r="H37" s="251"/>
      <c r="I37" s="322"/>
      <c r="J37" s="323"/>
      <c r="K37" s="164"/>
      <c r="L37" s="92"/>
      <c r="M37" s="230"/>
      <c r="N37" s="230"/>
    </row>
    <row r="38" customFormat="false" ht="16.15" hidden="false" customHeight="true" outlineLevel="0" collapsed="false">
      <c r="B38" s="159"/>
      <c r="C38" s="325"/>
      <c r="D38" s="160"/>
      <c r="E38" s="328"/>
      <c r="F38" s="201"/>
      <c r="G38" s="165" t="n">
        <v>4</v>
      </c>
      <c r="H38" s="321"/>
      <c r="I38" s="322"/>
      <c r="J38" s="323"/>
      <c r="K38" s="164"/>
      <c r="L38" s="92"/>
      <c r="M38" s="230"/>
      <c r="N38" s="230"/>
    </row>
    <row r="39" customFormat="false" ht="16.15" hidden="false" customHeight="true" outlineLevel="0" collapsed="false">
      <c r="B39" s="159"/>
      <c r="C39" s="325"/>
      <c r="D39" s="160"/>
      <c r="E39" s="328"/>
      <c r="F39" s="201"/>
      <c r="G39" s="165" t="n">
        <v>5</v>
      </c>
      <c r="H39" s="294"/>
      <c r="I39" s="322"/>
      <c r="J39" s="323"/>
      <c r="K39" s="164"/>
      <c r="L39" s="92"/>
      <c r="M39" s="230"/>
      <c r="N39" s="230"/>
    </row>
    <row r="40" customFormat="false" ht="16.15" hidden="false" customHeight="true" outlineLevel="0" collapsed="false">
      <c r="B40" s="159"/>
      <c r="C40" s="325"/>
      <c r="D40" s="160"/>
      <c r="E40" s="328"/>
      <c r="F40" s="201"/>
      <c r="G40" s="165" t="n">
        <v>6</v>
      </c>
      <c r="H40" s="294"/>
      <c r="I40" s="322"/>
      <c r="J40" s="323"/>
      <c r="K40" s="164"/>
      <c r="L40" s="92"/>
      <c r="M40" s="230"/>
      <c r="N40" s="230"/>
    </row>
    <row r="41" customFormat="false" ht="16.15" hidden="false" customHeight="true" outlineLevel="0" collapsed="false">
      <c r="B41" s="159"/>
      <c r="C41" s="325"/>
      <c r="D41" s="160"/>
      <c r="E41" s="328"/>
      <c r="F41" s="201"/>
      <c r="G41" s="165" t="n">
        <v>7</v>
      </c>
      <c r="H41" s="294"/>
      <c r="I41" s="322"/>
      <c r="J41" s="323"/>
      <c r="K41" s="164"/>
      <c r="L41" s="92"/>
      <c r="M41" s="230"/>
      <c r="N41" s="230"/>
    </row>
    <row r="42" customFormat="false" ht="16.15" hidden="false" customHeight="true" outlineLevel="0" collapsed="false">
      <c r="B42" s="159"/>
      <c r="C42" s="325"/>
      <c r="D42" s="160"/>
      <c r="E42" s="328"/>
      <c r="F42" s="201"/>
      <c r="G42" s="167" t="n">
        <v>8</v>
      </c>
      <c r="H42" s="295"/>
      <c r="I42" s="322"/>
      <c r="J42" s="323"/>
      <c r="K42" s="164"/>
      <c r="L42" s="92"/>
      <c r="M42" s="230"/>
      <c r="N42" s="230"/>
    </row>
    <row r="43" customFormat="false" ht="16.15" hidden="false" customHeight="true" outlineLevel="0" collapsed="false">
      <c r="A43" s="329"/>
      <c r="B43" s="159" t="str">
        <f aca="false">+LEFT(C43,4)</f>
        <v>13.4</v>
      </c>
      <c r="C43" s="330" t="s">
        <v>386</v>
      </c>
      <c r="D43" s="160" t="s">
        <v>378</v>
      </c>
      <c r="E43" s="331" t="s">
        <v>387</v>
      </c>
      <c r="F43" s="332" t="n">
        <v>2</v>
      </c>
      <c r="G43" s="162" t="n">
        <v>1</v>
      </c>
      <c r="H43" s="321" t="s">
        <v>384</v>
      </c>
      <c r="I43" s="322" t="s">
        <v>388</v>
      </c>
      <c r="J43" s="323" t="n">
        <v>2</v>
      </c>
      <c r="K43" s="164" t="str">
        <f aca="false">+IF(OR(ISBLANK(F43),ISBLANK(J43)),"",IF(OR(AND(F43=1,J43=1),AND(F43=1,J43=2),AND(F43=1,J43=3)),"Deficiencia de control mayor (diseño y ejecución)",IF(OR(AND(F43=2,J43=2),AND(F43=3,J43=1),AND(F43=3,J43=2),AND(F43=2,J43=1)),"Deficiencia de control (diseño o ejecución)",IF(AND(F43=2,J43=3),"Oportunidad de mejora","Mantenimiento del control"))))</f>
        <v>Deficiencia de control (diseño o ejecución)</v>
      </c>
      <c r="L43" s="92" t="n">
        <f aca="false">+IF(K43="",231,IF(K43="Deficiencia de control mayor (diseño y ejecución)",240,IF(K43="Deficiencia de control (diseño o ejecución)",260,IF(K43="Oportunidad de mejora",280,300))))</f>
        <v>260</v>
      </c>
      <c r="M43" s="230" t="n">
        <v>4.7896</v>
      </c>
      <c r="N43" s="230" t="n">
        <f aca="false">+L43+M43</f>
        <v>264.7896</v>
      </c>
    </row>
    <row r="44" customFormat="false" ht="16.15" hidden="false" customHeight="true" outlineLevel="0" collapsed="false">
      <c r="A44" s="329"/>
      <c r="B44" s="159"/>
      <c r="C44" s="330"/>
      <c r="D44" s="160"/>
      <c r="E44" s="331"/>
      <c r="F44" s="332"/>
      <c r="G44" s="165" t="n">
        <v>2</v>
      </c>
      <c r="H44" s="321"/>
      <c r="I44" s="322"/>
      <c r="J44" s="323"/>
      <c r="K44" s="164"/>
      <c r="L44" s="92"/>
      <c r="M44" s="230"/>
      <c r="N44" s="230"/>
    </row>
    <row r="45" customFormat="false" ht="16.15" hidden="false" customHeight="true" outlineLevel="0" collapsed="false">
      <c r="B45" s="159"/>
      <c r="C45" s="330"/>
      <c r="D45" s="160"/>
      <c r="E45" s="331"/>
      <c r="F45" s="332"/>
      <c r="G45" s="165" t="n">
        <v>3</v>
      </c>
      <c r="H45" s="321"/>
      <c r="I45" s="322"/>
      <c r="J45" s="323"/>
      <c r="K45" s="164"/>
      <c r="L45" s="92"/>
      <c r="M45" s="230"/>
      <c r="N45" s="230"/>
    </row>
    <row r="46" customFormat="false" ht="16.15" hidden="false" customHeight="true" outlineLevel="0" collapsed="false">
      <c r="B46" s="159"/>
      <c r="C46" s="330"/>
      <c r="D46" s="160"/>
      <c r="E46" s="331"/>
      <c r="F46" s="332"/>
      <c r="G46" s="165" t="n">
        <v>4</v>
      </c>
      <c r="H46" s="321"/>
      <c r="I46" s="322"/>
      <c r="J46" s="323"/>
      <c r="K46" s="164"/>
      <c r="L46" s="92"/>
      <c r="M46" s="230"/>
      <c r="N46" s="230"/>
    </row>
    <row r="47" customFormat="false" ht="16.15" hidden="false" customHeight="true" outlineLevel="0" collapsed="false">
      <c r="B47" s="159"/>
      <c r="C47" s="330"/>
      <c r="D47" s="160"/>
      <c r="E47" s="331"/>
      <c r="F47" s="332"/>
      <c r="G47" s="165" t="n">
        <v>5</v>
      </c>
      <c r="H47" s="333"/>
      <c r="I47" s="322"/>
      <c r="J47" s="323"/>
      <c r="K47" s="164"/>
      <c r="L47" s="92"/>
      <c r="M47" s="230"/>
      <c r="N47" s="230"/>
    </row>
    <row r="48" customFormat="false" ht="16.15" hidden="false" customHeight="true" outlineLevel="0" collapsed="false">
      <c r="B48" s="159"/>
      <c r="C48" s="330"/>
      <c r="D48" s="160"/>
      <c r="E48" s="331"/>
      <c r="F48" s="332"/>
      <c r="G48" s="165" t="n">
        <v>6</v>
      </c>
      <c r="H48" s="334"/>
      <c r="I48" s="322"/>
      <c r="J48" s="323"/>
      <c r="K48" s="164"/>
      <c r="L48" s="92"/>
      <c r="M48" s="230"/>
      <c r="N48" s="230"/>
    </row>
    <row r="49" customFormat="false" ht="16.15" hidden="false" customHeight="true" outlineLevel="0" collapsed="false">
      <c r="B49" s="159"/>
      <c r="C49" s="330"/>
      <c r="D49" s="160"/>
      <c r="E49" s="331"/>
      <c r="F49" s="332"/>
      <c r="G49" s="165" t="n">
        <v>7</v>
      </c>
      <c r="H49" s="294"/>
      <c r="I49" s="322"/>
      <c r="J49" s="323"/>
      <c r="K49" s="164"/>
      <c r="L49" s="92"/>
      <c r="M49" s="230"/>
      <c r="N49" s="230"/>
    </row>
    <row r="50" customFormat="false" ht="16.15" hidden="false" customHeight="true" outlineLevel="0" collapsed="false">
      <c r="B50" s="159"/>
      <c r="C50" s="330"/>
      <c r="D50" s="160"/>
      <c r="E50" s="331"/>
      <c r="F50" s="332"/>
      <c r="G50" s="167" t="n">
        <v>8</v>
      </c>
      <c r="H50" s="295"/>
      <c r="I50" s="322"/>
      <c r="J50" s="323"/>
      <c r="K50" s="164"/>
      <c r="L50" s="92"/>
      <c r="M50" s="230"/>
      <c r="N50" s="230"/>
    </row>
    <row r="51" customFormat="false" ht="16.15" hidden="false" customHeight="true" outlineLevel="0" collapsed="false">
      <c r="B51" s="335"/>
      <c r="C51" s="335" t="s">
        <v>389</v>
      </c>
      <c r="D51" s="314" t="s">
        <v>8</v>
      </c>
      <c r="E51" s="336" t="s">
        <v>114</v>
      </c>
      <c r="F51" s="337" t="s">
        <v>244</v>
      </c>
      <c r="G51" s="338" t="s">
        <v>116</v>
      </c>
      <c r="H51" s="338"/>
      <c r="I51" s="338"/>
      <c r="J51" s="337" t="s">
        <v>245</v>
      </c>
      <c r="K51" s="339" t="s">
        <v>152</v>
      </c>
      <c r="L51" s="243"/>
      <c r="M51" s="243"/>
      <c r="N51" s="243"/>
    </row>
    <row r="52" customFormat="false" ht="16.15" hidden="false" customHeight="true" outlineLevel="0" collapsed="false">
      <c r="B52" s="335"/>
      <c r="C52" s="335"/>
      <c r="D52" s="314"/>
      <c r="E52" s="336"/>
      <c r="F52" s="337"/>
      <c r="G52" s="338"/>
      <c r="H52" s="338"/>
      <c r="I52" s="338"/>
      <c r="J52" s="337"/>
      <c r="K52" s="339"/>
      <c r="L52" s="243"/>
      <c r="M52" s="243"/>
      <c r="N52" s="243"/>
    </row>
    <row r="53" customFormat="false" ht="16.15" hidden="false" customHeight="true" outlineLevel="0" collapsed="false">
      <c r="B53" s="335"/>
      <c r="C53" s="335"/>
      <c r="D53" s="314"/>
      <c r="E53" s="336"/>
      <c r="F53" s="337"/>
      <c r="G53" s="338" t="s">
        <v>13</v>
      </c>
      <c r="H53" s="340" t="s">
        <v>15</v>
      </c>
      <c r="I53" s="340" t="s">
        <v>17</v>
      </c>
      <c r="J53" s="337"/>
      <c r="K53" s="339"/>
      <c r="L53" s="243"/>
      <c r="M53" s="243"/>
      <c r="N53" s="243"/>
    </row>
    <row r="54" customFormat="false" ht="16.15" hidden="false" customHeight="true" outlineLevel="0" collapsed="false">
      <c r="B54" s="335"/>
      <c r="C54" s="335"/>
      <c r="D54" s="314"/>
      <c r="E54" s="336"/>
      <c r="F54" s="337"/>
      <c r="G54" s="338"/>
      <c r="H54" s="338"/>
      <c r="I54" s="338"/>
      <c r="J54" s="337"/>
      <c r="K54" s="339"/>
      <c r="L54" s="243"/>
      <c r="M54" s="243"/>
      <c r="N54" s="243"/>
    </row>
    <row r="55" customFormat="false" ht="16.15" hidden="false" customHeight="true" outlineLevel="0" collapsed="false">
      <c r="B55" s="159" t="str">
        <f aca="false">+LEFT(C55,4)</f>
        <v>14.1</v>
      </c>
      <c r="C55" s="341" t="s">
        <v>390</v>
      </c>
      <c r="D55" s="160" t="s">
        <v>391</v>
      </c>
      <c r="E55" s="342" t="s">
        <v>392</v>
      </c>
      <c r="F55" s="201" t="n">
        <v>3</v>
      </c>
      <c r="G55" s="162" t="n">
        <v>1</v>
      </c>
      <c r="H55" s="343" t="s">
        <v>393</v>
      </c>
      <c r="I55" s="331" t="s">
        <v>394</v>
      </c>
      <c r="J55" s="178" t="n">
        <v>3</v>
      </c>
      <c r="K55" s="164" t="str">
        <f aca="false">+IF(OR(ISBLANK(F55),ISBLANK(J55)),"",IF(OR(AND(F55=1,J55=1),AND(F55=1,J55=2),AND(F55=1,J55=3)),"Deficiencia de control mayor (diseño y ejecución)",IF(OR(AND(F55=2,J55=2),AND(F55=3,J55=1),AND(F55=3,J55=2),AND(F55=2,J55=1)),"Deficiencia de control (diseño o ejecución)",IF(AND(F55=2,J55=3),"Oportunidad de mejora","Mantenimiento del control"))))</f>
        <v>Mantenimiento del control</v>
      </c>
      <c r="L55" s="92" t="n">
        <f aca="false">+IF(K55="",231,IF(K55="Deficiencia de control mayor (diseño y ejecución)",240,IF(K55="Deficiencia de control (diseño o ejecución)",260,IF(K55="Oportunidad de mejora",280,300))))</f>
        <v>300</v>
      </c>
      <c r="M55" s="230" t="n">
        <v>4.8965</v>
      </c>
      <c r="N55" s="230" t="n">
        <f aca="false">+L55+M55</f>
        <v>304.8965</v>
      </c>
    </row>
    <row r="56" customFormat="false" ht="16.15" hidden="false" customHeight="true" outlineLevel="0" collapsed="false">
      <c r="B56" s="159"/>
      <c r="C56" s="341"/>
      <c r="D56" s="160"/>
      <c r="E56" s="342"/>
      <c r="F56" s="201"/>
      <c r="G56" s="165" t="n">
        <v>2</v>
      </c>
      <c r="H56" s="343"/>
      <c r="I56" s="331"/>
      <c r="J56" s="178"/>
      <c r="K56" s="164"/>
      <c r="L56" s="92"/>
      <c r="M56" s="230"/>
      <c r="N56" s="230"/>
    </row>
    <row r="57" customFormat="false" ht="16.15" hidden="false" customHeight="true" outlineLevel="0" collapsed="false">
      <c r="B57" s="159"/>
      <c r="C57" s="341"/>
      <c r="D57" s="160"/>
      <c r="E57" s="342"/>
      <c r="F57" s="201"/>
      <c r="G57" s="165" t="n">
        <v>3</v>
      </c>
      <c r="H57" s="343"/>
      <c r="I57" s="331"/>
      <c r="J57" s="178"/>
      <c r="K57" s="164"/>
      <c r="L57" s="92"/>
      <c r="M57" s="230"/>
      <c r="N57" s="230"/>
    </row>
    <row r="58" customFormat="false" ht="16.15" hidden="false" customHeight="true" outlineLevel="0" collapsed="false">
      <c r="B58" s="159"/>
      <c r="C58" s="341"/>
      <c r="D58" s="160"/>
      <c r="E58" s="342"/>
      <c r="F58" s="201"/>
      <c r="G58" s="165" t="n">
        <v>4</v>
      </c>
      <c r="H58" s="343"/>
      <c r="I58" s="331"/>
      <c r="J58" s="178"/>
      <c r="K58" s="164"/>
      <c r="L58" s="92"/>
      <c r="M58" s="230"/>
      <c r="N58" s="230"/>
    </row>
    <row r="59" customFormat="false" ht="16.15" hidden="false" customHeight="true" outlineLevel="0" collapsed="false">
      <c r="B59" s="159"/>
      <c r="C59" s="341"/>
      <c r="D59" s="160"/>
      <c r="E59" s="342"/>
      <c r="F59" s="201"/>
      <c r="G59" s="165" t="n">
        <v>5</v>
      </c>
      <c r="H59" s="292"/>
      <c r="I59" s="331"/>
      <c r="J59" s="178"/>
      <c r="K59" s="164"/>
      <c r="L59" s="92"/>
      <c r="M59" s="230"/>
      <c r="N59" s="230"/>
    </row>
    <row r="60" customFormat="false" ht="16.15" hidden="false" customHeight="true" outlineLevel="0" collapsed="false">
      <c r="B60" s="159"/>
      <c r="C60" s="341"/>
      <c r="D60" s="160"/>
      <c r="E60" s="342"/>
      <c r="F60" s="201"/>
      <c r="G60" s="165" t="n">
        <v>6</v>
      </c>
      <c r="H60" s="248"/>
      <c r="I60" s="331"/>
      <c r="J60" s="178"/>
      <c r="K60" s="164"/>
      <c r="L60" s="92"/>
      <c r="M60" s="230"/>
      <c r="N60" s="230"/>
    </row>
    <row r="61" customFormat="false" ht="16.15" hidden="false" customHeight="true" outlineLevel="0" collapsed="false">
      <c r="B61" s="159"/>
      <c r="C61" s="341"/>
      <c r="D61" s="160"/>
      <c r="E61" s="342"/>
      <c r="F61" s="201"/>
      <c r="G61" s="165" t="n">
        <v>7</v>
      </c>
      <c r="H61" s="248"/>
      <c r="I61" s="331"/>
      <c r="J61" s="178"/>
      <c r="K61" s="164"/>
      <c r="L61" s="92"/>
      <c r="M61" s="230"/>
      <c r="N61" s="230"/>
    </row>
    <row r="62" customFormat="false" ht="16.15" hidden="false" customHeight="true" outlineLevel="0" collapsed="false">
      <c r="B62" s="159"/>
      <c r="C62" s="341"/>
      <c r="D62" s="160"/>
      <c r="E62" s="342"/>
      <c r="F62" s="201"/>
      <c r="G62" s="167" t="n">
        <v>8</v>
      </c>
      <c r="H62" s="249"/>
      <c r="I62" s="331"/>
      <c r="J62" s="178"/>
      <c r="K62" s="164"/>
      <c r="L62" s="92"/>
      <c r="M62" s="230"/>
      <c r="N62" s="230"/>
    </row>
    <row r="63" customFormat="false" ht="16.15" hidden="false" customHeight="true" outlineLevel="0" collapsed="false">
      <c r="B63" s="159" t="str">
        <f aca="false">+LEFT(C63,4)</f>
        <v>14.2</v>
      </c>
      <c r="C63" s="330" t="s">
        <v>395</v>
      </c>
      <c r="D63" s="160" t="s">
        <v>391</v>
      </c>
      <c r="E63" s="331" t="s">
        <v>396</v>
      </c>
      <c r="F63" s="201" t="n">
        <v>3</v>
      </c>
      <c r="G63" s="162" t="n">
        <v>1</v>
      </c>
      <c r="H63" s="343" t="s">
        <v>384</v>
      </c>
      <c r="I63" s="331" t="s">
        <v>397</v>
      </c>
      <c r="J63" s="178" t="n">
        <v>3</v>
      </c>
      <c r="K63" s="164" t="str">
        <f aca="false">+IF(OR(ISBLANK(F63),ISBLANK(J63)),"",IF(OR(AND(F63=1,J63=1),AND(F63=1,J63=2),AND(F63=1,J63=3)),"Deficiencia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92" t="n">
        <f aca="false">+IF(K63="",231,IF(K63="Deficiencia de control mayor (diseño y ejecución)",240,IF(K63="Deficiencia de control (diseño o ejecución)",260,IF(K63="Oportunidad de mejora",280,300))))</f>
        <v>300</v>
      </c>
      <c r="M63" s="230" t="n">
        <v>4.9854</v>
      </c>
      <c r="N63" s="230" t="n">
        <f aca="false">+L63+M63</f>
        <v>304.9854</v>
      </c>
    </row>
    <row r="64" customFormat="false" ht="16.15" hidden="false" customHeight="true" outlineLevel="0" collapsed="false">
      <c r="B64" s="159"/>
      <c r="C64" s="330"/>
      <c r="D64" s="160"/>
      <c r="E64" s="331"/>
      <c r="F64" s="201"/>
      <c r="G64" s="165" t="n">
        <v>2</v>
      </c>
      <c r="H64" s="343"/>
      <c r="I64" s="331"/>
      <c r="J64" s="178"/>
      <c r="K64" s="164"/>
      <c r="L64" s="92"/>
      <c r="M64" s="230"/>
      <c r="N64" s="230"/>
    </row>
    <row r="65" customFormat="false" ht="16.15" hidden="false" customHeight="true" outlineLevel="0" collapsed="false">
      <c r="B65" s="159"/>
      <c r="C65" s="330"/>
      <c r="D65" s="160"/>
      <c r="E65" s="331"/>
      <c r="F65" s="201"/>
      <c r="G65" s="165" t="n">
        <v>3</v>
      </c>
      <c r="H65" s="344"/>
      <c r="I65" s="331"/>
      <c r="J65" s="178"/>
      <c r="K65" s="164"/>
      <c r="L65" s="92"/>
      <c r="M65" s="230"/>
      <c r="N65" s="230"/>
    </row>
    <row r="66" customFormat="false" ht="16.15" hidden="false" customHeight="true" outlineLevel="0" collapsed="false">
      <c r="B66" s="159"/>
      <c r="C66" s="330"/>
      <c r="D66" s="160"/>
      <c r="E66" s="331"/>
      <c r="F66" s="201"/>
      <c r="G66" s="165" t="n">
        <v>4</v>
      </c>
      <c r="H66" s="343"/>
      <c r="I66" s="331"/>
      <c r="J66" s="178"/>
      <c r="K66" s="164"/>
      <c r="L66" s="92"/>
      <c r="M66" s="230"/>
      <c r="N66" s="230"/>
    </row>
    <row r="67" customFormat="false" ht="16.15" hidden="false" customHeight="true" outlineLevel="0" collapsed="false">
      <c r="B67" s="159"/>
      <c r="C67" s="330"/>
      <c r="D67" s="160"/>
      <c r="E67" s="331"/>
      <c r="F67" s="201"/>
      <c r="G67" s="165" t="n">
        <v>5</v>
      </c>
      <c r="H67" s="248"/>
      <c r="I67" s="331"/>
      <c r="J67" s="178"/>
      <c r="K67" s="164"/>
      <c r="L67" s="92"/>
      <c r="M67" s="230"/>
      <c r="N67" s="230"/>
    </row>
    <row r="68" customFormat="false" ht="16.15" hidden="false" customHeight="true" outlineLevel="0" collapsed="false">
      <c r="B68" s="159"/>
      <c r="C68" s="330"/>
      <c r="D68" s="160"/>
      <c r="E68" s="331"/>
      <c r="F68" s="201"/>
      <c r="G68" s="165" t="n">
        <v>6</v>
      </c>
      <c r="H68" s="248"/>
      <c r="I68" s="331"/>
      <c r="J68" s="178"/>
      <c r="K68" s="164"/>
      <c r="L68" s="92"/>
      <c r="M68" s="230"/>
      <c r="N68" s="230"/>
    </row>
    <row r="69" customFormat="false" ht="16.15" hidden="false" customHeight="true" outlineLevel="0" collapsed="false">
      <c r="B69" s="159"/>
      <c r="C69" s="330"/>
      <c r="D69" s="160"/>
      <c r="E69" s="331"/>
      <c r="F69" s="201"/>
      <c r="G69" s="165" t="n">
        <v>7</v>
      </c>
      <c r="H69" s="248"/>
      <c r="I69" s="331"/>
      <c r="J69" s="178"/>
      <c r="K69" s="164"/>
      <c r="L69" s="92"/>
      <c r="M69" s="230"/>
      <c r="N69" s="230"/>
    </row>
    <row r="70" customFormat="false" ht="16.15" hidden="false" customHeight="true" outlineLevel="0" collapsed="false">
      <c r="B70" s="159"/>
      <c r="C70" s="330"/>
      <c r="D70" s="160"/>
      <c r="E70" s="331"/>
      <c r="F70" s="201"/>
      <c r="G70" s="167" t="n">
        <v>8</v>
      </c>
      <c r="H70" s="249"/>
      <c r="I70" s="331"/>
      <c r="J70" s="178"/>
      <c r="K70" s="164"/>
      <c r="L70" s="92"/>
      <c r="M70" s="230"/>
      <c r="N70" s="230"/>
    </row>
    <row r="71" customFormat="false" ht="16.15" hidden="false" customHeight="true" outlineLevel="0" collapsed="false">
      <c r="B71" s="159" t="str">
        <f aca="false">+LEFT(C71,4)</f>
        <v>14.3</v>
      </c>
      <c r="C71" s="345" t="s">
        <v>398</v>
      </c>
      <c r="D71" s="160" t="s">
        <v>391</v>
      </c>
      <c r="E71" s="331" t="s">
        <v>399</v>
      </c>
      <c r="F71" s="201" t="n">
        <v>3</v>
      </c>
      <c r="G71" s="162" t="n">
        <v>1</v>
      </c>
      <c r="H71" s="343" t="s">
        <v>384</v>
      </c>
      <c r="I71" s="331" t="s">
        <v>400</v>
      </c>
      <c r="J71" s="178" t="n">
        <v>2</v>
      </c>
      <c r="K71" s="164" t="str">
        <f aca="false">+IF(OR(ISBLANK(F71),ISBLANK(J71)),"",IF(OR(AND(F71=1,J71=1),AND(F71=1,J71=2),AND(F71=1,J71=3)),"Deficiencia de control mayor (diseño y ejecución)",IF(OR(AND(F71=2,J71=2),AND(F71=3,J71=1),AND(F71=3,J71=2),AND(F71=2,J71=1)),"Deficiencia de control (diseño o ejecución)",IF(AND(F71=2,J71=3),"Oportunidad de mejora","Mantenimiento del control"))))</f>
        <v>Deficiencia de control (diseño o ejecución)</v>
      </c>
      <c r="L71" s="92" t="n">
        <f aca="false">+IF(K71="",231,IF(K71="Deficiencia de control mayor (diseño y ejecución)",240,IF(K71="Deficiencia de control (diseño o ejecución)",260,IF(K71="Oportunidad de mejora",280,300))))</f>
        <v>260</v>
      </c>
      <c r="M71" s="230" t="n">
        <v>5.0123</v>
      </c>
      <c r="N71" s="230" t="n">
        <f aca="false">+L71+M71</f>
        <v>265.0123</v>
      </c>
    </row>
    <row r="72" customFormat="false" ht="16.15" hidden="false" customHeight="true" outlineLevel="0" collapsed="false">
      <c r="B72" s="159"/>
      <c r="C72" s="345"/>
      <c r="D72" s="160"/>
      <c r="E72" s="331"/>
      <c r="F72" s="201"/>
      <c r="G72" s="165" t="n">
        <v>2</v>
      </c>
      <c r="H72" s="346"/>
      <c r="I72" s="331"/>
      <c r="J72" s="178"/>
      <c r="K72" s="164"/>
      <c r="L72" s="92"/>
      <c r="M72" s="230"/>
      <c r="N72" s="230"/>
    </row>
    <row r="73" customFormat="false" ht="16.15" hidden="false" customHeight="true" outlineLevel="0" collapsed="false">
      <c r="B73" s="159"/>
      <c r="C73" s="345"/>
      <c r="D73" s="160"/>
      <c r="E73" s="331"/>
      <c r="F73" s="201"/>
      <c r="G73" s="165" t="n">
        <v>3</v>
      </c>
      <c r="H73" s="346"/>
      <c r="I73" s="331"/>
      <c r="J73" s="178"/>
      <c r="K73" s="164"/>
      <c r="L73" s="92"/>
      <c r="M73" s="230"/>
      <c r="N73" s="230"/>
    </row>
    <row r="74" customFormat="false" ht="16.15" hidden="false" customHeight="true" outlineLevel="0" collapsed="false">
      <c r="B74" s="159"/>
      <c r="C74" s="345"/>
      <c r="D74" s="160"/>
      <c r="E74" s="331"/>
      <c r="F74" s="201"/>
      <c r="G74" s="165" t="n">
        <v>4</v>
      </c>
      <c r="H74" s="248"/>
      <c r="I74" s="331"/>
      <c r="J74" s="178"/>
      <c r="K74" s="164"/>
      <c r="L74" s="92"/>
      <c r="M74" s="230"/>
      <c r="N74" s="230"/>
    </row>
    <row r="75" customFormat="false" ht="16.15" hidden="false" customHeight="true" outlineLevel="0" collapsed="false">
      <c r="B75" s="159"/>
      <c r="C75" s="345"/>
      <c r="D75" s="160"/>
      <c r="E75" s="331"/>
      <c r="F75" s="201"/>
      <c r="G75" s="165" t="n">
        <v>5</v>
      </c>
      <c r="H75" s="292" t="s">
        <v>401</v>
      </c>
      <c r="I75" s="331"/>
      <c r="J75" s="178"/>
      <c r="K75" s="164"/>
      <c r="L75" s="92"/>
      <c r="M75" s="230"/>
      <c r="N75" s="230"/>
    </row>
    <row r="76" customFormat="false" ht="16.15" hidden="false" customHeight="true" outlineLevel="0" collapsed="false">
      <c r="B76" s="159"/>
      <c r="C76" s="345"/>
      <c r="D76" s="160"/>
      <c r="E76" s="331"/>
      <c r="F76" s="201"/>
      <c r="G76" s="165" t="n">
        <v>6</v>
      </c>
      <c r="H76" s="248"/>
      <c r="I76" s="331"/>
      <c r="J76" s="178"/>
      <c r="K76" s="164"/>
      <c r="L76" s="92"/>
      <c r="M76" s="230"/>
      <c r="N76" s="230"/>
    </row>
    <row r="77" customFormat="false" ht="16.15" hidden="false" customHeight="true" outlineLevel="0" collapsed="false">
      <c r="B77" s="159"/>
      <c r="C77" s="345"/>
      <c r="D77" s="160"/>
      <c r="E77" s="331"/>
      <c r="F77" s="201"/>
      <c r="G77" s="165" t="n">
        <v>7</v>
      </c>
      <c r="H77" s="248"/>
      <c r="I77" s="331"/>
      <c r="J77" s="178"/>
      <c r="K77" s="164"/>
      <c r="L77" s="92"/>
      <c r="M77" s="230"/>
      <c r="N77" s="230"/>
    </row>
    <row r="78" customFormat="false" ht="16.15" hidden="false" customHeight="true" outlineLevel="0" collapsed="false">
      <c r="B78" s="159"/>
      <c r="C78" s="345"/>
      <c r="D78" s="160"/>
      <c r="E78" s="331"/>
      <c r="F78" s="201"/>
      <c r="G78" s="167" t="n">
        <v>8</v>
      </c>
      <c r="H78" s="249"/>
      <c r="I78" s="331"/>
      <c r="J78" s="178"/>
      <c r="K78" s="164"/>
      <c r="L78" s="92"/>
      <c r="M78" s="230"/>
      <c r="N78" s="230"/>
    </row>
    <row r="79" customFormat="false" ht="16.15" hidden="false" customHeight="true" outlineLevel="0" collapsed="false">
      <c r="B79" s="159" t="str">
        <f aca="false">+LEFT(C79,4)</f>
        <v>14.4</v>
      </c>
      <c r="C79" s="330" t="s">
        <v>402</v>
      </c>
      <c r="D79" s="160" t="s">
        <v>391</v>
      </c>
      <c r="E79" s="331" t="s">
        <v>403</v>
      </c>
      <c r="F79" s="201" t="n">
        <v>3</v>
      </c>
      <c r="G79" s="347" t="n">
        <v>1</v>
      </c>
      <c r="H79" s="343" t="s">
        <v>384</v>
      </c>
      <c r="I79" s="331" t="s">
        <v>404</v>
      </c>
      <c r="J79" s="178" t="n">
        <v>3</v>
      </c>
      <c r="K79" s="164" t="str">
        <f aca="false">+IF(OR(ISBLANK(F79),ISBLANK(J79)),"",IF(OR(AND(F79=1,J79=1),AND(F79=1,J79=2),AND(F79=1,J79=3)),"Deficiencia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92" t="n">
        <f aca="false">+IF(K79="",231,IF(K79="Deficiencia de control mayor (diseño y ejecución)",240,IF(K79="Deficiencia de control (diseño o ejecución)",260,IF(K79="Oportunidad de mejora",280,300))))</f>
        <v>300</v>
      </c>
      <c r="M79" s="230" t="n">
        <v>5.1236</v>
      </c>
      <c r="N79" s="230" t="n">
        <f aca="false">+L79+M79</f>
        <v>305.1236</v>
      </c>
    </row>
    <row r="80" customFormat="false" ht="16.15" hidden="false" customHeight="true" outlineLevel="0" collapsed="false">
      <c r="B80" s="159"/>
      <c r="C80" s="330"/>
      <c r="D80" s="160"/>
      <c r="E80" s="331"/>
      <c r="F80" s="201"/>
      <c r="G80" s="166" t="n">
        <v>2</v>
      </c>
      <c r="H80" s="343"/>
      <c r="I80" s="331"/>
      <c r="J80" s="178"/>
      <c r="K80" s="164"/>
      <c r="L80" s="92"/>
      <c r="M80" s="230"/>
      <c r="N80" s="230"/>
    </row>
    <row r="81" customFormat="false" ht="16.15" hidden="false" customHeight="true" outlineLevel="0" collapsed="false">
      <c r="B81" s="159"/>
      <c r="C81" s="330"/>
      <c r="D81" s="160"/>
      <c r="E81" s="331"/>
      <c r="F81" s="201"/>
      <c r="G81" s="166" t="n">
        <v>3</v>
      </c>
      <c r="H81" s="343"/>
      <c r="I81" s="331"/>
      <c r="J81" s="178"/>
      <c r="K81" s="164"/>
      <c r="L81" s="92"/>
      <c r="M81" s="230"/>
      <c r="N81" s="230"/>
    </row>
    <row r="82" customFormat="false" ht="16.15" hidden="false" customHeight="true" outlineLevel="0" collapsed="false">
      <c r="B82" s="159"/>
      <c r="C82" s="330"/>
      <c r="D82" s="160"/>
      <c r="E82" s="331"/>
      <c r="F82" s="201"/>
      <c r="G82" s="166" t="n">
        <v>4</v>
      </c>
      <c r="H82" s="348"/>
      <c r="I82" s="331"/>
      <c r="J82" s="178"/>
      <c r="K82" s="164"/>
      <c r="L82" s="92"/>
      <c r="M82" s="230"/>
      <c r="N82" s="230"/>
    </row>
    <row r="83" customFormat="false" ht="16.15" hidden="false" customHeight="true" outlineLevel="0" collapsed="false">
      <c r="B83" s="159"/>
      <c r="C83" s="330"/>
      <c r="D83" s="160"/>
      <c r="E83" s="331"/>
      <c r="F83" s="201"/>
      <c r="G83" s="166" t="n">
        <v>5</v>
      </c>
      <c r="H83" s="343"/>
      <c r="I83" s="331"/>
      <c r="J83" s="178"/>
      <c r="K83" s="164"/>
      <c r="L83" s="92"/>
      <c r="M83" s="230"/>
      <c r="N83" s="230"/>
    </row>
    <row r="84" customFormat="false" ht="16.15" hidden="false" customHeight="true" outlineLevel="0" collapsed="false">
      <c r="B84" s="159"/>
      <c r="C84" s="330"/>
      <c r="D84" s="160"/>
      <c r="E84" s="331"/>
      <c r="F84" s="201"/>
      <c r="G84" s="166" t="n">
        <v>6</v>
      </c>
      <c r="H84" s="343"/>
      <c r="I84" s="331"/>
      <c r="J84" s="178"/>
      <c r="K84" s="164"/>
      <c r="L84" s="92"/>
      <c r="M84" s="230"/>
      <c r="N84" s="230"/>
    </row>
    <row r="85" customFormat="false" ht="16.15" hidden="false" customHeight="true" outlineLevel="0" collapsed="false">
      <c r="B85" s="159"/>
      <c r="C85" s="330"/>
      <c r="D85" s="160"/>
      <c r="E85" s="331"/>
      <c r="F85" s="201"/>
      <c r="G85" s="166" t="n">
        <v>7</v>
      </c>
      <c r="H85" s="344"/>
      <c r="I85" s="331"/>
      <c r="J85" s="178"/>
      <c r="K85" s="164"/>
      <c r="L85" s="92"/>
      <c r="M85" s="230"/>
      <c r="N85" s="230"/>
    </row>
    <row r="86" customFormat="false" ht="16.15" hidden="false" customHeight="true" outlineLevel="0" collapsed="false">
      <c r="B86" s="159"/>
      <c r="C86" s="330"/>
      <c r="D86" s="160"/>
      <c r="E86" s="331"/>
      <c r="F86" s="201"/>
      <c r="G86" s="168" t="n">
        <v>8</v>
      </c>
      <c r="H86" s="349"/>
      <c r="I86" s="331"/>
      <c r="J86" s="178"/>
      <c r="K86" s="164"/>
      <c r="L86" s="92"/>
      <c r="M86" s="230"/>
      <c r="N86" s="230"/>
    </row>
    <row r="87" customFormat="false" ht="16.15" hidden="false" customHeight="true" outlineLevel="0" collapsed="false">
      <c r="B87" s="335"/>
      <c r="C87" s="335" t="s">
        <v>405</v>
      </c>
      <c r="D87" s="314" t="s">
        <v>8</v>
      </c>
      <c r="E87" s="336" t="s">
        <v>114</v>
      </c>
      <c r="F87" s="337" t="s">
        <v>244</v>
      </c>
      <c r="G87" s="338" t="s">
        <v>116</v>
      </c>
      <c r="H87" s="338"/>
      <c r="I87" s="338"/>
      <c r="J87" s="337" t="s">
        <v>245</v>
      </c>
      <c r="K87" s="339" t="s">
        <v>152</v>
      </c>
      <c r="L87" s="243"/>
      <c r="M87" s="243"/>
      <c r="N87" s="243"/>
    </row>
    <row r="88" customFormat="false" ht="16.15" hidden="false" customHeight="true" outlineLevel="0" collapsed="false">
      <c r="B88" s="335"/>
      <c r="C88" s="335"/>
      <c r="D88" s="314"/>
      <c r="E88" s="336"/>
      <c r="F88" s="337"/>
      <c r="G88" s="338"/>
      <c r="H88" s="338"/>
      <c r="I88" s="338"/>
      <c r="J88" s="337"/>
      <c r="K88" s="339"/>
      <c r="L88" s="243"/>
      <c r="M88" s="243"/>
      <c r="N88" s="243"/>
    </row>
    <row r="89" customFormat="false" ht="16.15" hidden="false" customHeight="true" outlineLevel="0" collapsed="false">
      <c r="B89" s="335"/>
      <c r="C89" s="335"/>
      <c r="D89" s="314"/>
      <c r="E89" s="336"/>
      <c r="F89" s="337"/>
      <c r="G89" s="338" t="s">
        <v>13</v>
      </c>
      <c r="H89" s="340" t="s">
        <v>15</v>
      </c>
      <c r="I89" s="340" t="s">
        <v>17</v>
      </c>
      <c r="J89" s="337"/>
      <c r="K89" s="339"/>
      <c r="L89" s="243"/>
      <c r="M89" s="243"/>
      <c r="N89" s="243"/>
    </row>
    <row r="90" customFormat="false" ht="16.15" hidden="false" customHeight="true" outlineLevel="0" collapsed="false">
      <c r="B90" s="335"/>
      <c r="C90" s="335"/>
      <c r="D90" s="314"/>
      <c r="E90" s="336"/>
      <c r="F90" s="337"/>
      <c r="G90" s="338"/>
      <c r="H90" s="338"/>
      <c r="I90" s="338"/>
      <c r="J90" s="337"/>
      <c r="K90" s="339"/>
      <c r="L90" s="243"/>
      <c r="M90" s="243"/>
      <c r="N90" s="243"/>
    </row>
    <row r="91" customFormat="false" ht="16.15" hidden="false" customHeight="true" outlineLevel="0" collapsed="false">
      <c r="B91" s="159" t="str">
        <f aca="false">+LEFT(C91,4)</f>
        <v>15.1</v>
      </c>
      <c r="C91" s="350" t="s">
        <v>406</v>
      </c>
      <c r="D91" s="160" t="s">
        <v>407</v>
      </c>
      <c r="E91" s="351" t="s">
        <v>408</v>
      </c>
      <c r="F91" s="201" t="n">
        <v>3</v>
      </c>
      <c r="G91" s="162" t="n">
        <v>1</v>
      </c>
      <c r="H91" s="321" t="s">
        <v>409</v>
      </c>
      <c r="I91" s="326" t="s">
        <v>410</v>
      </c>
      <c r="J91" s="178" t="n">
        <v>3</v>
      </c>
      <c r="K91" s="164" t="str">
        <f aca="false">+IF(OR(ISBLANK(F91),ISBLANK(J91)),"",IF(OR(AND(F91=1,J91=1),AND(F91=1,J91=2),AND(F91=1,J91=3)),"Deficiencia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92" t="n">
        <f aca="false">+IF(K91="",231,IF(K91="Deficiencia de control mayor (diseño y ejecución)",240,IF(K91="Deficiencia de control (diseño o ejecución)",260,IF(K91="Oportunidad de mejora",280,300))))</f>
        <v>300</v>
      </c>
      <c r="M91" s="230" t="n">
        <v>5.2369</v>
      </c>
      <c r="N91" s="230" t="n">
        <f aca="false">+L91+M91</f>
        <v>305.2369</v>
      </c>
    </row>
    <row r="92" customFormat="false" ht="16.15" hidden="false" customHeight="true" outlineLevel="0" collapsed="false">
      <c r="B92" s="159"/>
      <c r="C92" s="350"/>
      <c r="D92" s="160"/>
      <c r="E92" s="351"/>
      <c r="F92" s="201"/>
      <c r="G92" s="165" t="n">
        <v>2</v>
      </c>
      <c r="H92" s="321"/>
      <c r="I92" s="326"/>
      <c r="J92" s="178"/>
      <c r="K92" s="164"/>
      <c r="L92" s="92"/>
      <c r="M92" s="230"/>
      <c r="N92" s="230"/>
    </row>
    <row r="93" customFormat="false" ht="16.15" hidden="false" customHeight="true" outlineLevel="0" collapsed="false">
      <c r="B93" s="159"/>
      <c r="C93" s="350"/>
      <c r="D93" s="160"/>
      <c r="E93" s="351"/>
      <c r="F93" s="201"/>
      <c r="G93" s="165" t="n">
        <v>3</v>
      </c>
      <c r="H93" s="321"/>
      <c r="I93" s="326"/>
      <c r="J93" s="178"/>
      <c r="K93" s="164"/>
      <c r="L93" s="92"/>
      <c r="M93" s="230"/>
      <c r="N93" s="230"/>
    </row>
    <row r="94" customFormat="false" ht="16.15" hidden="false" customHeight="true" outlineLevel="0" collapsed="false">
      <c r="B94" s="159"/>
      <c r="C94" s="350"/>
      <c r="D94" s="160"/>
      <c r="E94" s="351"/>
      <c r="F94" s="201"/>
      <c r="G94" s="165" t="n">
        <v>4</v>
      </c>
      <c r="H94" s="321"/>
      <c r="I94" s="326"/>
      <c r="J94" s="178"/>
      <c r="K94" s="164"/>
      <c r="L94" s="92"/>
      <c r="M94" s="230"/>
      <c r="N94" s="230"/>
    </row>
    <row r="95" customFormat="false" ht="16.15" hidden="false" customHeight="true" outlineLevel="0" collapsed="false">
      <c r="B95" s="159"/>
      <c r="C95" s="350"/>
      <c r="D95" s="160"/>
      <c r="E95" s="351"/>
      <c r="F95" s="201"/>
      <c r="G95" s="165" t="n">
        <v>5</v>
      </c>
      <c r="H95" s="321"/>
      <c r="I95" s="326"/>
      <c r="J95" s="178"/>
      <c r="K95" s="164"/>
      <c r="L95" s="92"/>
      <c r="M95" s="230"/>
      <c r="N95" s="230"/>
    </row>
    <row r="96" customFormat="false" ht="16.15" hidden="false" customHeight="true" outlineLevel="0" collapsed="false">
      <c r="B96" s="159"/>
      <c r="C96" s="350"/>
      <c r="D96" s="160"/>
      <c r="E96" s="351"/>
      <c r="F96" s="201"/>
      <c r="G96" s="165" t="n">
        <v>6</v>
      </c>
      <c r="H96" s="321"/>
      <c r="I96" s="326"/>
      <c r="J96" s="178"/>
      <c r="K96" s="164"/>
      <c r="L96" s="92"/>
      <c r="M96" s="230"/>
      <c r="N96" s="230"/>
    </row>
    <row r="97" customFormat="false" ht="16.15" hidden="false" customHeight="true" outlineLevel="0" collapsed="false">
      <c r="B97" s="159"/>
      <c r="C97" s="350"/>
      <c r="D97" s="160"/>
      <c r="E97" s="351"/>
      <c r="F97" s="201"/>
      <c r="G97" s="165" t="n">
        <v>7</v>
      </c>
      <c r="H97" s="321"/>
      <c r="I97" s="326"/>
      <c r="J97" s="178"/>
      <c r="K97" s="164"/>
      <c r="L97" s="92"/>
      <c r="M97" s="230"/>
      <c r="N97" s="230"/>
    </row>
    <row r="98" customFormat="false" ht="16.15" hidden="false" customHeight="true" outlineLevel="0" collapsed="false">
      <c r="B98" s="159"/>
      <c r="C98" s="350"/>
      <c r="D98" s="160"/>
      <c r="E98" s="351"/>
      <c r="F98" s="201"/>
      <c r="G98" s="167" t="n">
        <v>8</v>
      </c>
      <c r="H98" s="321"/>
      <c r="I98" s="326"/>
      <c r="J98" s="178"/>
      <c r="K98" s="164"/>
      <c r="L98" s="92"/>
      <c r="M98" s="230"/>
      <c r="N98" s="230"/>
    </row>
    <row r="99" customFormat="false" ht="16.15" hidden="false" customHeight="true" outlineLevel="0" collapsed="false">
      <c r="B99" s="159" t="str">
        <f aca="false">+LEFT(C99,4)</f>
        <v>15.2</v>
      </c>
      <c r="C99" s="352" t="s">
        <v>411</v>
      </c>
      <c r="D99" s="160" t="s">
        <v>412</v>
      </c>
      <c r="E99" s="351" t="s">
        <v>413</v>
      </c>
      <c r="F99" s="201" t="n">
        <v>3</v>
      </c>
      <c r="G99" s="162" t="n">
        <v>1</v>
      </c>
      <c r="H99" s="321" t="s">
        <v>414</v>
      </c>
      <c r="I99" s="353" t="s">
        <v>415</v>
      </c>
      <c r="J99" s="178" t="n">
        <v>3</v>
      </c>
      <c r="K99" s="164" t="str">
        <f aca="false">+IF(OR(ISBLANK(F99),ISBLANK(J99)),"",IF(OR(AND(F99=1,J99=1),AND(F99=1,J99=2),AND(F99=1,J99=3)),"Deficiencia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92" t="n">
        <f aca="false">+IF(K99="",231,IF(K99="Deficiencia de control mayor (diseño y ejecución)",240,IF(K99="Deficiencia de control (diseño o ejecución)",260,IF(K99="Oportunidad de mejora",280,300))))</f>
        <v>300</v>
      </c>
      <c r="M99" s="230" t="n">
        <v>5.3654</v>
      </c>
      <c r="N99" s="230" t="n">
        <f aca="false">+L99+M99</f>
        <v>305.3654</v>
      </c>
    </row>
    <row r="100" customFormat="false" ht="16.15" hidden="false" customHeight="true" outlineLevel="0" collapsed="false">
      <c r="B100" s="159"/>
      <c r="C100" s="352"/>
      <c r="D100" s="160"/>
      <c r="E100" s="351"/>
      <c r="F100" s="201"/>
      <c r="G100" s="165" t="n">
        <v>2</v>
      </c>
      <c r="H100" s="321"/>
      <c r="I100" s="353"/>
      <c r="J100" s="178"/>
      <c r="K100" s="164"/>
      <c r="L100" s="92"/>
      <c r="M100" s="230"/>
      <c r="N100" s="230"/>
    </row>
    <row r="101" customFormat="false" ht="16.15" hidden="false" customHeight="true" outlineLevel="0" collapsed="false">
      <c r="B101" s="159"/>
      <c r="C101" s="352"/>
      <c r="D101" s="160"/>
      <c r="E101" s="351"/>
      <c r="F101" s="201"/>
      <c r="G101" s="165" t="n">
        <v>3</v>
      </c>
      <c r="H101" s="354"/>
      <c r="I101" s="353"/>
      <c r="J101" s="178"/>
      <c r="K101" s="164"/>
      <c r="L101" s="92"/>
      <c r="M101" s="230"/>
      <c r="N101" s="230"/>
    </row>
    <row r="102" customFormat="false" ht="17.25" hidden="false" customHeight="false" outlineLevel="0" collapsed="false">
      <c r="B102" s="159"/>
      <c r="C102" s="352"/>
      <c r="D102" s="160"/>
      <c r="E102" s="351"/>
      <c r="F102" s="201"/>
      <c r="G102" s="165" t="n">
        <v>4</v>
      </c>
      <c r="H102" s="355"/>
      <c r="I102" s="353"/>
      <c r="J102" s="178"/>
      <c r="K102" s="164"/>
      <c r="L102" s="92"/>
      <c r="M102" s="230"/>
      <c r="N102" s="230"/>
    </row>
    <row r="103" customFormat="false" ht="17.25" hidden="false" customHeight="false" outlineLevel="0" collapsed="false">
      <c r="B103" s="159"/>
      <c r="C103" s="352"/>
      <c r="D103" s="160"/>
      <c r="E103" s="351"/>
      <c r="F103" s="201"/>
      <c r="G103" s="165" t="n">
        <v>5</v>
      </c>
      <c r="H103" s="321"/>
      <c r="I103" s="353"/>
      <c r="J103" s="178"/>
      <c r="K103" s="164"/>
      <c r="L103" s="92"/>
      <c r="M103" s="230"/>
      <c r="N103" s="230"/>
    </row>
    <row r="104" customFormat="false" ht="17.25" hidden="false" customHeight="false" outlineLevel="0" collapsed="false">
      <c r="B104" s="159"/>
      <c r="C104" s="352"/>
      <c r="D104" s="160"/>
      <c r="E104" s="351"/>
      <c r="F104" s="201"/>
      <c r="G104" s="165" t="n">
        <v>6</v>
      </c>
      <c r="H104" s="321"/>
      <c r="I104" s="353"/>
      <c r="J104" s="178"/>
      <c r="K104" s="164"/>
      <c r="L104" s="92"/>
      <c r="M104" s="230"/>
      <c r="N104" s="230"/>
    </row>
    <row r="105" customFormat="false" ht="16.15" hidden="false" customHeight="true" outlineLevel="0" collapsed="false">
      <c r="B105" s="159"/>
      <c r="C105" s="352"/>
      <c r="D105" s="160"/>
      <c r="E105" s="351"/>
      <c r="F105" s="201"/>
      <c r="G105" s="165" t="n">
        <v>7</v>
      </c>
      <c r="H105" s="321"/>
      <c r="I105" s="353"/>
      <c r="J105" s="178"/>
      <c r="K105" s="164"/>
      <c r="L105" s="92"/>
      <c r="M105" s="230"/>
      <c r="N105" s="230"/>
    </row>
    <row r="106" customFormat="false" ht="16.15" hidden="false" customHeight="true" outlineLevel="0" collapsed="false">
      <c r="B106" s="159"/>
      <c r="C106" s="352"/>
      <c r="D106" s="160"/>
      <c r="E106" s="351"/>
      <c r="F106" s="201"/>
      <c r="G106" s="167" t="n">
        <v>8</v>
      </c>
      <c r="H106" s="321"/>
      <c r="I106" s="353"/>
      <c r="J106" s="178"/>
      <c r="K106" s="164"/>
      <c r="L106" s="92"/>
      <c r="M106" s="230"/>
      <c r="N106" s="230"/>
    </row>
    <row r="107" customFormat="false" ht="16.15" hidden="false" customHeight="true" outlineLevel="0" collapsed="false">
      <c r="B107" s="159" t="str">
        <f aca="false">+LEFT(C107,4)</f>
        <v>15.3</v>
      </c>
      <c r="C107" s="330" t="s">
        <v>416</v>
      </c>
      <c r="D107" s="160" t="s">
        <v>417</v>
      </c>
      <c r="E107" s="351" t="s">
        <v>418</v>
      </c>
      <c r="F107" s="201" t="n">
        <v>3</v>
      </c>
      <c r="G107" s="162" t="n">
        <v>1</v>
      </c>
      <c r="H107" s="343" t="s">
        <v>292</v>
      </c>
      <c r="I107" s="351" t="s">
        <v>419</v>
      </c>
      <c r="J107" s="178" t="n">
        <v>3</v>
      </c>
      <c r="K107" s="164" t="str">
        <f aca="false">+IF(OR(ISBLANK(F107),ISBLANK(J107)),"",IF(OR(AND(F107=1,J107=1),AND(F107=1,J107=2),AND(F107=1,J107=3)),"Deficiencia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92" t="n">
        <f aca="false">+IF(K107="",231,IF(K107="Deficiencia de control mayor (diseño y ejecución)",240,IF(K107="Deficiencia de control (diseño o ejecución)",260,IF(K107="Oportunidad de mejora",280,300))))</f>
        <v>300</v>
      </c>
      <c r="M107" s="230" t="n">
        <v>5.4563</v>
      </c>
      <c r="N107" s="230" t="n">
        <f aca="false">+L107+M107</f>
        <v>305.4563</v>
      </c>
    </row>
    <row r="108" customFormat="false" ht="16.15" hidden="false" customHeight="true" outlineLevel="0" collapsed="false">
      <c r="B108" s="159"/>
      <c r="C108" s="330"/>
      <c r="D108" s="160"/>
      <c r="E108" s="351"/>
      <c r="F108" s="201"/>
      <c r="G108" s="165" t="n">
        <v>2</v>
      </c>
      <c r="H108" s="343"/>
      <c r="I108" s="351"/>
      <c r="J108" s="178"/>
      <c r="K108" s="164"/>
      <c r="L108" s="92"/>
      <c r="M108" s="230"/>
      <c r="N108" s="230"/>
    </row>
    <row r="109" customFormat="false" ht="16.15" hidden="false" customHeight="true" outlineLevel="0" collapsed="false">
      <c r="B109" s="159"/>
      <c r="C109" s="330"/>
      <c r="D109" s="160"/>
      <c r="E109" s="351"/>
      <c r="F109" s="201"/>
      <c r="G109" s="165" t="n">
        <v>3</v>
      </c>
      <c r="H109" s="343"/>
      <c r="I109" s="351"/>
      <c r="J109" s="178"/>
      <c r="K109" s="164"/>
      <c r="L109" s="92"/>
      <c r="M109" s="230"/>
      <c r="N109" s="230"/>
    </row>
    <row r="110" customFormat="false" ht="16.15" hidden="false" customHeight="true" outlineLevel="0" collapsed="false">
      <c r="B110" s="159"/>
      <c r="C110" s="330"/>
      <c r="D110" s="160"/>
      <c r="E110" s="351"/>
      <c r="F110" s="201"/>
      <c r="G110" s="165" t="n">
        <v>4</v>
      </c>
      <c r="H110" s="343"/>
      <c r="I110" s="351"/>
      <c r="J110" s="178"/>
      <c r="K110" s="164"/>
      <c r="L110" s="92"/>
      <c r="M110" s="230"/>
      <c r="N110" s="230"/>
    </row>
    <row r="111" customFormat="false" ht="16.15" hidden="false" customHeight="true" outlineLevel="0" collapsed="false">
      <c r="B111" s="159"/>
      <c r="C111" s="330"/>
      <c r="D111" s="160"/>
      <c r="E111" s="351"/>
      <c r="F111" s="201"/>
      <c r="G111" s="165" t="n">
        <v>5</v>
      </c>
      <c r="H111" s="343"/>
      <c r="I111" s="351"/>
      <c r="J111" s="178"/>
      <c r="K111" s="164"/>
      <c r="L111" s="92"/>
      <c r="M111" s="230"/>
      <c r="N111" s="230"/>
    </row>
    <row r="112" customFormat="false" ht="16.15" hidden="false" customHeight="true" outlineLevel="0" collapsed="false">
      <c r="B112" s="159"/>
      <c r="C112" s="330"/>
      <c r="D112" s="160"/>
      <c r="E112" s="351"/>
      <c r="F112" s="201"/>
      <c r="G112" s="165" t="n">
        <v>6</v>
      </c>
      <c r="H112" s="343"/>
      <c r="I112" s="351"/>
      <c r="J112" s="178"/>
      <c r="K112" s="164"/>
      <c r="L112" s="92"/>
      <c r="M112" s="230"/>
      <c r="N112" s="230"/>
    </row>
    <row r="113" customFormat="false" ht="16.15" hidden="false" customHeight="true" outlineLevel="0" collapsed="false">
      <c r="B113" s="159"/>
      <c r="C113" s="330"/>
      <c r="D113" s="160"/>
      <c r="E113" s="351"/>
      <c r="F113" s="201"/>
      <c r="G113" s="165" t="n">
        <v>7</v>
      </c>
      <c r="H113" s="343"/>
      <c r="I113" s="351"/>
      <c r="J113" s="178"/>
      <c r="K113" s="164"/>
      <c r="L113" s="92"/>
      <c r="M113" s="230"/>
      <c r="N113" s="230"/>
    </row>
    <row r="114" customFormat="false" ht="16.15" hidden="false" customHeight="true" outlineLevel="0" collapsed="false">
      <c r="B114" s="159"/>
      <c r="C114" s="330"/>
      <c r="D114" s="160"/>
      <c r="E114" s="351"/>
      <c r="F114" s="201"/>
      <c r="G114" s="167" t="n">
        <v>8</v>
      </c>
      <c r="H114" s="343"/>
      <c r="I114" s="351"/>
      <c r="J114" s="178"/>
      <c r="K114" s="164"/>
      <c r="L114" s="92"/>
      <c r="M114" s="230"/>
      <c r="N114" s="230"/>
    </row>
    <row r="115" customFormat="false" ht="16.15" hidden="false" customHeight="true" outlineLevel="0" collapsed="false">
      <c r="B115" s="159" t="str">
        <f aca="false">+LEFT(C115,4)</f>
        <v>15.4</v>
      </c>
      <c r="C115" s="356" t="s">
        <v>420</v>
      </c>
      <c r="D115" s="237" t="s">
        <v>421</v>
      </c>
      <c r="E115" s="351" t="s">
        <v>422</v>
      </c>
      <c r="F115" s="201" t="n">
        <v>3</v>
      </c>
      <c r="G115" s="162" t="n">
        <v>1</v>
      </c>
      <c r="H115" s="343" t="s">
        <v>304</v>
      </c>
      <c r="I115" s="351" t="s">
        <v>423</v>
      </c>
      <c r="J115" s="178" t="n">
        <v>3</v>
      </c>
      <c r="K115" s="164" t="str">
        <f aca="false">+IF(OR(ISBLANK(F115),ISBLANK(J115)),"",IF(OR(AND(F115=1,J115=1),AND(F115=1,J115=2),AND(F115=1,J115=3)),"Deficiencia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92" t="n">
        <f aca="false">+IF(K115="",231,IF(K115="Deficiencia de control mayor (diseño y ejecución)",240,IF(K115="Deficiencia de control (diseño o ejecución)",260,IF(K115="Oportunidad de mejora",280,300))))</f>
        <v>300</v>
      </c>
      <c r="M115" s="230" t="n">
        <v>5.5632</v>
      </c>
      <c r="N115" s="230" t="n">
        <f aca="false">+L115+M115</f>
        <v>305.5632</v>
      </c>
    </row>
    <row r="116" customFormat="false" ht="16.15" hidden="false" customHeight="true" outlineLevel="0" collapsed="false">
      <c r="B116" s="159"/>
      <c r="C116" s="356"/>
      <c r="D116" s="237"/>
      <c r="E116" s="351"/>
      <c r="F116" s="201"/>
      <c r="G116" s="165" t="n">
        <v>2</v>
      </c>
      <c r="H116" s="343"/>
      <c r="I116" s="351"/>
      <c r="J116" s="178"/>
      <c r="K116" s="164"/>
      <c r="L116" s="92"/>
      <c r="M116" s="230"/>
      <c r="N116" s="230"/>
    </row>
    <row r="117" customFormat="false" ht="16.15" hidden="false" customHeight="true" outlineLevel="0" collapsed="false">
      <c r="B117" s="159"/>
      <c r="C117" s="356"/>
      <c r="D117" s="237"/>
      <c r="E117" s="351"/>
      <c r="F117" s="201"/>
      <c r="G117" s="165" t="n">
        <v>3</v>
      </c>
      <c r="H117" s="343"/>
      <c r="I117" s="351"/>
      <c r="J117" s="178"/>
      <c r="K117" s="164"/>
      <c r="L117" s="92"/>
      <c r="M117" s="230"/>
      <c r="N117" s="230"/>
    </row>
    <row r="118" customFormat="false" ht="16.15" hidden="false" customHeight="true" outlineLevel="0" collapsed="false">
      <c r="B118" s="159"/>
      <c r="C118" s="356"/>
      <c r="D118" s="237"/>
      <c r="E118" s="351"/>
      <c r="F118" s="201"/>
      <c r="G118" s="165" t="n">
        <v>4</v>
      </c>
      <c r="H118" s="343"/>
      <c r="I118" s="351"/>
      <c r="J118" s="178"/>
      <c r="K118" s="164"/>
      <c r="L118" s="92"/>
      <c r="M118" s="230"/>
      <c r="N118" s="230"/>
    </row>
    <row r="119" customFormat="false" ht="16.15" hidden="false" customHeight="true" outlineLevel="0" collapsed="false">
      <c r="B119" s="159"/>
      <c r="C119" s="356"/>
      <c r="D119" s="237"/>
      <c r="E119" s="351"/>
      <c r="F119" s="201"/>
      <c r="G119" s="165" t="n">
        <v>5</v>
      </c>
      <c r="H119" s="343"/>
      <c r="I119" s="351"/>
      <c r="J119" s="178"/>
      <c r="K119" s="164"/>
      <c r="L119" s="92"/>
      <c r="M119" s="230"/>
      <c r="N119" s="230"/>
    </row>
    <row r="120" customFormat="false" ht="16.15" hidden="false" customHeight="true" outlineLevel="0" collapsed="false">
      <c r="B120" s="159"/>
      <c r="C120" s="356"/>
      <c r="D120" s="237"/>
      <c r="E120" s="351"/>
      <c r="F120" s="201"/>
      <c r="G120" s="165" t="n">
        <v>6</v>
      </c>
      <c r="H120" s="343"/>
      <c r="I120" s="351"/>
      <c r="J120" s="178"/>
      <c r="K120" s="164"/>
      <c r="L120" s="92"/>
      <c r="M120" s="230"/>
      <c r="N120" s="230"/>
    </row>
    <row r="121" customFormat="false" ht="16.15" hidden="false" customHeight="true" outlineLevel="0" collapsed="false">
      <c r="B121" s="159"/>
      <c r="C121" s="356"/>
      <c r="D121" s="237"/>
      <c r="E121" s="351"/>
      <c r="F121" s="201"/>
      <c r="G121" s="165" t="n">
        <v>7</v>
      </c>
      <c r="H121" s="343"/>
      <c r="I121" s="351"/>
      <c r="J121" s="178"/>
      <c r="K121" s="164"/>
      <c r="L121" s="92"/>
      <c r="M121" s="230"/>
      <c r="N121" s="230"/>
    </row>
    <row r="122" customFormat="false" ht="16.15" hidden="false" customHeight="true" outlineLevel="0" collapsed="false">
      <c r="B122" s="159"/>
      <c r="C122" s="356"/>
      <c r="D122" s="237"/>
      <c r="E122" s="351"/>
      <c r="F122" s="201"/>
      <c r="G122" s="167" t="n">
        <v>8</v>
      </c>
      <c r="H122" s="343"/>
      <c r="I122" s="351"/>
      <c r="J122" s="178"/>
      <c r="K122" s="164"/>
      <c r="L122" s="92"/>
      <c r="M122" s="230"/>
      <c r="N122" s="230"/>
    </row>
    <row r="123" customFormat="false" ht="16.15" hidden="false" customHeight="true" outlineLevel="0" collapsed="false">
      <c r="B123" s="159" t="str">
        <f aca="false">+LEFT(C123,4)</f>
        <v>15.5</v>
      </c>
      <c r="C123" s="357" t="s">
        <v>424</v>
      </c>
      <c r="D123" s="237" t="s">
        <v>425</v>
      </c>
      <c r="E123" s="351" t="s">
        <v>426</v>
      </c>
      <c r="F123" s="201" t="n">
        <v>3</v>
      </c>
      <c r="G123" s="162" t="n">
        <v>1</v>
      </c>
      <c r="H123" s="343" t="s">
        <v>304</v>
      </c>
      <c r="I123" s="351" t="s">
        <v>427</v>
      </c>
      <c r="J123" s="178" t="n">
        <v>3</v>
      </c>
      <c r="K123" s="164" t="str">
        <f aca="false">+IF(OR(ISBLANK(F123),ISBLANK(J123)),"",IF(OR(AND(F123=1,J123=1),AND(F123=1,J123=2),AND(F123=1,J123=3)),"Deficiencia de control mayor (diseño y ejecución)",IF(OR(AND(F123=2,J123=2),AND(F123=3,J123=1),AND(F123=3,J123=2),AND(F123=2,J123=1)),"Deficiencia de control (diseño o ejecución)",IF(AND(F123=2,J123=3),"Oportunidad de mejora","Mantenimiento del control"))))</f>
        <v>Mantenimiento del control</v>
      </c>
      <c r="L123" s="92" t="n">
        <f aca="false">+IF(K123="",231,IF(K123="Deficiencia de control mayor (diseño y ejecución)",240,IF(K123="Deficiencia de control (diseño o ejecución)",260,IF(K123="Oportunidad de mejora",280,300))))</f>
        <v>300</v>
      </c>
      <c r="M123" s="230" t="n">
        <v>5.6321</v>
      </c>
      <c r="N123" s="230" t="n">
        <f aca="false">+L123+M123</f>
        <v>305.6321</v>
      </c>
    </row>
    <row r="124" customFormat="false" ht="16.15" hidden="false" customHeight="true" outlineLevel="0" collapsed="false">
      <c r="B124" s="159"/>
      <c r="C124" s="357"/>
      <c r="D124" s="237"/>
      <c r="E124" s="351"/>
      <c r="F124" s="201"/>
      <c r="G124" s="165" t="n">
        <v>2</v>
      </c>
      <c r="H124" s="343"/>
      <c r="I124" s="351"/>
      <c r="J124" s="178"/>
      <c r="K124" s="164"/>
      <c r="L124" s="92"/>
      <c r="M124" s="230"/>
      <c r="N124" s="230"/>
    </row>
    <row r="125" customFormat="false" ht="16.15" hidden="false" customHeight="true" outlineLevel="0" collapsed="false">
      <c r="B125" s="159"/>
      <c r="C125" s="357"/>
      <c r="D125" s="237"/>
      <c r="E125" s="351"/>
      <c r="F125" s="201"/>
      <c r="G125" s="165" t="n">
        <v>3</v>
      </c>
      <c r="H125" s="343"/>
      <c r="I125" s="351"/>
      <c r="J125" s="178"/>
      <c r="K125" s="164"/>
      <c r="L125" s="92"/>
      <c r="M125" s="230"/>
      <c r="N125" s="230"/>
    </row>
    <row r="126" customFormat="false" ht="16.15" hidden="false" customHeight="true" outlineLevel="0" collapsed="false">
      <c r="B126" s="159"/>
      <c r="C126" s="357"/>
      <c r="D126" s="237"/>
      <c r="E126" s="351"/>
      <c r="F126" s="201"/>
      <c r="G126" s="165" t="n">
        <v>4</v>
      </c>
      <c r="H126" s="343"/>
      <c r="I126" s="351"/>
      <c r="J126" s="178"/>
      <c r="K126" s="164"/>
      <c r="L126" s="92"/>
      <c r="M126" s="230"/>
      <c r="N126" s="230"/>
    </row>
    <row r="127" customFormat="false" ht="16.15" hidden="false" customHeight="true" outlineLevel="0" collapsed="false">
      <c r="B127" s="159"/>
      <c r="C127" s="357"/>
      <c r="D127" s="237"/>
      <c r="E127" s="351"/>
      <c r="F127" s="201"/>
      <c r="G127" s="165" t="n">
        <v>5</v>
      </c>
      <c r="H127" s="343"/>
      <c r="I127" s="351"/>
      <c r="J127" s="178"/>
      <c r="K127" s="164"/>
      <c r="L127" s="92"/>
      <c r="M127" s="230"/>
      <c r="N127" s="230"/>
    </row>
    <row r="128" customFormat="false" ht="16.15" hidden="false" customHeight="true" outlineLevel="0" collapsed="false">
      <c r="B128" s="159"/>
      <c r="C128" s="357"/>
      <c r="D128" s="237"/>
      <c r="E128" s="351"/>
      <c r="F128" s="201"/>
      <c r="G128" s="165" t="n">
        <v>6</v>
      </c>
      <c r="H128" s="343"/>
      <c r="I128" s="351"/>
      <c r="J128" s="178"/>
      <c r="K128" s="164"/>
      <c r="L128" s="92"/>
      <c r="M128" s="230"/>
      <c r="N128" s="230"/>
    </row>
    <row r="129" customFormat="false" ht="16.15" hidden="false" customHeight="true" outlineLevel="0" collapsed="false">
      <c r="B129" s="159"/>
      <c r="C129" s="357"/>
      <c r="D129" s="237"/>
      <c r="E129" s="351"/>
      <c r="F129" s="201"/>
      <c r="G129" s="165" t="n">
        <v>7</v>
      </c>
      <c r="H129" s="343"/>
      <c r="I129" s="351"/>
      <c r="J129" s="178"/>
      <c r="K129" s="164"/>
      <c r="L129" s="92"/>
      <c r="M129" s="230"/>
      <c r="N129" s="230"/>
    </row>
    <row r="130" customFormat="false" ht="16.15" hidden="false" customHeight="true" outlineLevel="0" collapsed="false">
      <c r="B130" s="159"/>
      <c r="C130" s="357"/>
      <c r="D130" s="237"/>
      <c r="E130" s="351"/>
      <c r="F130" s="201"/>
      <c r="G130" s="167" t="n">
        <v>8</v>
      </c>
      <c r="H130" s="343"/>
      <c r="I130" s="351"/>
      <c r="J130" s="178"/>
      <c r="K130" s="164"/>
      <c r="L130" s="92"/>
      <c r="M130" s="230"/>
      <c r="N130" s="230"/>
    </row>
    <row r="131" customFormat="false" ht="16.15" hidden="false" customHeight="true" outlineLevel="0" collapsed="false">
      <c r="B131" s="159" t="str">
        <f aca="false">+LEFT(C131,4)</f>
        <v>15.6</v>
      </c>
      <c r="C131" s="357" t="s">
        <v>428</v>
      </c>
      <c r="D131" s="358" t="s">
        <v>425</v>
      </c>
      <c r="E131" s="351" t="s">
        <v>429</v>
      </c>
      <c r="F131" s="201" t="n">
        <v>3</v>
      </c>
      <c r="G131" s="162" t="n">
        <v>1</v>
      </c>
      <c r="H131" s="343" t="s">
        <v>304</v>
      </c>
      <c r="I131" s="351" t="s">
        <v>427</v>
      </c>
      <c r="J131" s="178" t="n">
        <v>3</v>
      </c>
      <c r="K131" s="164" t="str">
        <f aca="false">+IF(OR(ISBLANK(F131),ISBLANK(J131)),"",IF(OR(AND(F131=1,J131=1),AND(F131=1,J131=2),AND(F131=1,J131=3)),"Deficiencia de control mayor (diseño y ejecución)",IF(OR(AND(F131=2,J131=2),AND(F131=3,J131=1),AND(F131=3,J131=2),AND(F131=2,J131=1)),"Deficiencia de control (diseño o ejecución)",IF(AND(F131=2,J131=3),"Oportunidad de mejora","Mantenimiento del control"))))</f>
        <v>Mantenimiento del control</v>
      </c>
      <c r="L131" s="92" t="n">
        <f aca="false">+IF(K131="",231,IF(K131="Deficiencia de control mayor (diseño y ejecución)",240,IF(K131="Deficiencia de control (diseño o ejecución)",260,IF(K131="Oportunidad de mejora",280,300))))</f>
        <v>300</v>
      </c>
      <c r="M131" s="230" t="n">
        <v>5.7896</v>
      </c>
      <c r="N131" s="230" t="n">
        <f aca="false">+L131+M131</f>
        <v>305.7896</v>
      </c>
    </row>
    <row r="132" customFormat="false" ht="16.15" hidden="false" customHeight="true" outlineLevel="0" collapsed="false">
      <c r="B132" s="159"/>
      <c r="C132" s="357"/>
      <c r="D132" s="358"/>
      <c r="E132" s="351"/>
      <c r="F132" s="201"/>
      <c r="G132" s="165" t="n">
        <v>2</v>
      </c>
      <c r="H132" s="343"/>
      <c r="I132" s="351"/>
      <c r="J132" s="178"/>
      <c r="K132" s="164"/>
      <c r="L132" s="92"/>
      <c r="M132" s="230"/>
      <c r="N132" s="230"/>
    </row>
    <row r="133" customFormat="false" ht="16.15" hidden="false" customHeight="true" outlineLevel="0" collapsed="false">
      <c r="B133" s="159"/>
      <c r="C133" s="357"/>
      <c r="D133" s="358"/>
      <c r="E133" s="351"/>
      <c r="F133" s="201"/>
      <c r="G133" s="165" t="n">
        <v>3</v>
      </c>
      <c r="H133" s="343"/>
      <c r="I133" s="351"/>
      <c r="J133" s="178"/>
      <c r="K133" s="164"/>
      <c r="L133" s="92"/>
      <c r="M133" s="230"/>
      <c r="N133" s="230"/>
    </row>
    <row r="134" customFormat="false" ht="16.15" hidden="false" customHeight="true" outlineLevel="0" collapsed="false">
      <c r="B134" s="159"/>
      <c r="C134" s="357"/>
      <c r="D134" s="358"/>
      <c r="E134" s="351"/>
      <c r="F134" s="201"/>
      <c r="G134" s="165" t="n">
        <v>4</v>
      </c>
      <c r="H134" s="343"/>
      <c r="I134" s="351"/>
      <c r="J134" s="178"/>
      <c r="K134" s="164"/>
      <c r="L134" s="92"/>
      <c r="M134" s="230"/>
      <c r="N134" s="230"/>
    </row>
    <row r="135" customFormat="false" ht="16.15" hidden="false" customHeight="true" outlineLevel="0" collapsed="false">
      <c r="B135" s="159"/>
      <c r="C135" s="357"/>
      <c r="D135" s="358"/>
      <c r="E135" s="351"/>
      <c r="F135" s="201"/>
      <c r="G135" s="165" t="n">
        <v>5</v>
      </c>
      <c r="H135" s="343"/>
      <c r="I135" s="351"/>
      <c r="J135" s="178"/>
      <c r="K135" s="164"/>
      <c r="L135" s="92"/>
      <c r="M135" s="230"/>
      <c r="N135" s="230"/>
    </row>
    <row r="136" customFormat="false" ht="16.15" hidden="false" customHeight="true" outlineLevel="0" collapsed="false">
      <c r="B136" s="159"/>
      <c r="C136" s="357"/>
      <c r="D136" s="358"/>
      <c r="E136" s="351"/>
      <c r="F136" s="201"/>
      <c r="G136" s="165" t="n">
        <v>6</v>
      </c>
      <c r="H136" s="343"/>
      <c r="I136" s="351"/>
      <c r="J136" s="178"/>
      <c r="K136" s="164"/>
      <c r="L136" s="92"/>
      <c r="M136" s="230"/>
      <c r="N136" s="230"/>
    </row>
    <row r="137" customFormat="false" ht="16.15" hidden="false" customHeight="true" outlineLevel="0" collapsed="false">
      <c r="B137" s="159"/>
      <c r="C137" s="357"/>
      <c r="D137" s="358"/>
      <c r="E137" s="351"/>
      <c r="F137" s="201"/>
      <c r="G137" s="165" t="n">
        <v>7</v>
      </c>
      <c r="H137" s="343"/>
      <c r="I137" s="351"/>
      <c r="J137" s="178"/>
      <c r="K137" s="164"/>
      <c r="L137" s="92"/>
      <c r="M137" s="230"/>
      <c r="N137" s="230"/>
    </row>
    <row r="138" customFormat="false" ht="16.15" hidden="false" customHeight="true" outlineLevel="0" collapsed="false">
      <c r="B138" s="159"/>
      <c r="C138" s="357"/>
      <c r="D138" s="358"/>
      <c r="E138" s="351"/>
      <c r="F138" s="201"/>
      <c r="G138" s="167" t="n">
        <v>8</v>
      </c>
      <c r="H138" s="343"/>
      <c r="I138" s="351"/>
      <c r="J138" s="178"/>
      <c r="K138" s="164"/>
      <c r="L138" s="92"/>
      <c r="M138" s="230"/>
      <c r="N138" s="230"/>
    </row>
  </sheetData>
  <sheetProtection sheet="true" password="d72a" objects="true" scenarios="true" formatCells="false" formatColumns="false" formatRows="false"/>
  <autoFilter ref="C1:C138"/>
  <mergeCells count="199">
    <mergeCell ref="C12:K12"/>
    <mergeCell ref="C13:K13"/>
    <mergeCell ref="B15:B18"/>
    <mergeCell ref="C15:C18"/>
    <mergeCell ref="D15:D18"/>
    <mergeCell ref="E15:E18"/>
    <mergeCell ref="F15:F18"/>
    <mergeCell ref="G15:I16"/>
    <mergeCell ref="J15:J18"/>
    <mergeCell ref="K15:K18"/>
    <mergeCell ref="L15:L18"/>
    <mergeCell ref="M15:M18"/>
    <mergeCell ref="N15:N18"/>
    <mergeCell ref="G17:G18"/>
    <mergeCell ref="H17:H18"/>
    <mergeCell ref="I17:I18"/>
    <mergeCell ref="B19:B26"/>
    <mergeCell ref="C19:C26"/>
    <mergeCell ref="D19:D26"/>
    <mergeCell ref="E19:E26"/>
    <mergeCell ref="F19:F26"/>
    <mergeCell ref="I19:I26"/>
    <mergeCell ref="J19:J26"/>
    <mergeCell ref="K19:K26"/>
    <mergeCell ref="L19:L26"/>
    <mergeCell ref="M19:M26"/>
    <mergeCell ref="N19:N26"/>
    <mergeCell ref="B27:B34"/>
    <mergeCell ref="C27:C34"/>
    <mergeCell ref="D27:D34"/>
    <mergeCell ref="E27:E34"/>
    <mergeCell ref="F27:F34"/>
    <mergeCell ref="I27:I34"/>
    <mergeCell ref="J27:J34"/>
    <mergeCell ref="K27:K34"/>
    <mergeCell ref="L27:L34"/>
    <mergeCell ref="M27:M34"/>
    <mergeCell ref="N27:N34"/>
    <mergeCell ref="B35:B42"/>
    <mergeCell ref="C35:C42"/>
    <mergeCell ref="D35:D42"/>
    <mergeCell ref="E35:E42"/>
    <mergeCell ref="F35:F42"/>
    <mergeCell ref="I35:I42"/>
    <mergeCell ref="J35:J42"/>
    <mergeCell ref="K35:K42"/>
    <mergeCell ref="L35:L42"/>
    <mergeCell ref="M35:M42"/>
    <mergeCell ref="N35:N42"/>
    <mergeCell ref="A43:A44"/>
    <mergeCell ref="B43:B50"/>
    <mergeCell ref="C43:C50"/>
    <mergeCell ref="D43:D50"/>
    <mergeCell ref="E43:E50"/>
    <mergeCell ref="F43:F50"/>
    <mergeCell ref="I43:I50"/>
    <mergeCell ref="J43:J50"/>
    <mergeCell ref="K43:K50"/>
    <mergeCell ref="L43:L50"/>
    <mergeCell ref="M43:M50"/>
    <mergeCell ref="N43:N50"/>
    <mergeCell ref="B51:B54"/>
    <mergeCell ref="C51:C54"/>
    <mergeCell ref="D51:D54"/>
    <mergeCell ref="E51:E54"/>
    <mergeCell ref="F51:F54"/>
    <mergeCell ref="G51:I52"/>
    <mergeCell ref="J51:J54"/>
    <mergeCell ref="K51:K54"/>
    <mergeCell ref="L51:L54"/>
    <mergeCell ref="M51:M54"/>
    <mergeCell ref="N51:N54"/>
    <mergeCell ref="G53:G54"/>
    <mergeCell ref="H53:H54"/>
    <mergeCell ref="I53:I54"/>
    <mergeCell ref="B55:B62"/>
    <mergeCell ref="C55:C62"/>
    <mergeCell ref="D55:D62"/>
    <mergeCell ref="E55:E62"/>
    <mergeCell ref="F55:F62"/>
    <mergeCell ref="I55:I62"/>
    <mergeCell ref="J55:J62"/>
    <mergeCell ref="K55:K62"/>
    <mergeCell ref="L55:L62"/>
    <mergeCell ref="M55:M62"/>
    <mergeCell ref="N55:N62"/>
    <mergeCell ref="B63:B70"/>
    <mergeCell ref="C63:C70"/>
    <mergeCell ref="D63:D70"/>
    <mergeCell ref="E63:E70"/>
    <mergeCell ref="F63:F70"/>
    <mergeCell ref="I63:I70"/>
    <mergeCell ref="J63:J70"/>
    <mergeCell ref="K63:K70"/>
    <mergeCell ref="L63:L70"/>
    <mergeCell ref="M63:M70"/>
    <mergeCell ref="N63:N70"/>
    <mergeCell ref="B71:B78"/>
    <mergeCell ref="C71:C78"/>
    <mergeCell ref="D71:D78"/>
    <mergeCell ref="E71:E78"/>
    <mergeCell ref="F71:F78"/>
    <mergeCell ref="I71:I78"/>
    <mergeCell ref="J71:J78"/>
    <mergeCell ref="K71:K78"/>
    <mergeCell ref="L71:L78"/>
    <mergeCell ref="M71:M78"/>
    <mergeCell ref="N71:N78"/>
    <mergeCell ref="B79:B86"/>
    <mergeCell ref="C79:C86"/>
    <mergeCell ref="D79:D86"/>
    <mergeCell ref="E79:E86"/>
    <mergeCell ref="F79:F86"/>
    <mergeCell ref="I79:I86"/>
    <mergeCell ref="J79:J86"/>
    <mergeCell ref="K79:K86"/>
    <mergeCell ref="L79:L86"/>
    <mergeCell ref="M79:M86"/>
    <mergeCell ref="N79:N86"/>
    <mergeCell ref="B87:B90"/>
    <mergeCell ref="C87:C90"/>
    <mergeCell ref="D87:D90"/>
    <mergeCell ref="E87:E90"/>
    <mergeCell ref="F87:F90"/>
    <mergeCell ref="G87:I88"/>
    <mergeCell ref="J87:J90"/>
    <mergeCell ref="K87:K90"/>
    <mergeCell ref="L87:L90"/>
    <mergeCell ref="M87:M90"/>
    <mergeCell ref="N87:N90"/>
    <mergeCell ref="G89:G90"/>
    <mergeCell ref="H89:H90"/>
    <mergeCell ref="I89:I90"/>
    <mergeCell ref="B91:B98"/>
    <mergeCell ref="C91:C98"/>
    <mergeCell ref="D91:D98"/>
    <mergeCell ref="E91:E98"/>
    <mergeCell ref="F91:F98"/>
    <mergeCell ref="I91:I98"/>
    <mergeCell ref="J91:J98"/>
    <mergeCell ref="K91:K98"/>
    <mergeCell ref="L91:L98"/>
    <mergeCell ref="M91:M98"/>
    <mergeCell ref="N91:N98"/>
    <mergeCell ref="B99:B106"/>
    <mergeCell ref="C99:C106"/>
    <mergeCell ref="D99:D106"/>
    <mergeCell ref="E99:E106"/>
    <mergeCell ref="F99:F106"/>
    <mergeCell ref="I99:I106"/>
    <mergeCell ref="J99:J106"/>
    <mergeCell ref="K99:K106"/>
    <mergeCell ref="L99:L106"/>
    <mergeCell ref="M99:M106"/>
    <mergeCell ref="N99:N106"/>
    <mergeCell ref="B107:B114"/>
    <mergeCell ref="C107:C114"/>
    <mergeCell ref="D107:D114"/>
    <mergeCell ref="E107:E114"/>
    <mergeCell ref="F107:F114"/>
    <mergeCell ref="I107:I114"/>
    <mergeCell ref="J107:J114"/>
    <mergeCell ref="K107:K114"/>
    <mergeCell ref="L107:L114"/>
    <mergeCell ref="M107:M114"/>
    <mergeCell ref="N107:N114"/>
    <mergeCell ref="B115:B122"/>
    <mergeCell ref="C115:C122"/>
    <mergeCell ref="D115:D122"/>
    <mergeCell ref="E115:E122"/>
    <mergeCell ref="F115:F122"/>
    <mergeCell ref="I115:I122"/>
    <mergeCell ref="J115:J122"/>
    <mergeCell ref="K115:K122"/>
    <mergeCell ref="L115:L122"/>
    <mergeCell ref="M115:M122"/>
    <mergeCell ref="N115:N122"/>
    <mergeCell ref="B123:B130"/>
    <mergeCell ref="C123:C130"/>
    <mergeCell ref="D123:D130"/>
    <mergeCell ref="E123:E130"/>
    <mergeCell ref="F123:F130"/>
    <mergeCell ref="I123:I130"/>
    <mergeCell ref="J123:J130"/>
    <mergeCell ref="K123:K130"/>
    <mergeCell ref="L123:L130"/>
    <mergeCell ref="M123:M130"/>
    <mergeCell ref="N123:N130"/>
    <mergeCell ref="B131:B138"/>
    <mergeCell ref="C131:C138"/>
    <mergeCell ref="D131:D138"/>
    <mergeCell ref="E131:E138"/>
    <mergeCell ref="F131:F138"/>
    <mergeCell ref="I131:I138"/>
    <mergeCell ref="J131:J138"/>
    <mergeCell ref="K131:K138"/>
    <mergeCell ref="L131:L138"/>
    <mergeCell ref="M131:M138"/>
    <mergeCell ref="N131:N138"/>
  </mergeCells>
  <dataValidations count="1">
    <dataValidation allowBlank="true" operator="between" showDropDown="false" showErrorMessage="true" showInputMessage="true" sqref="F19:F50 J19:J50 F55:F86 J55:J86 F91:F138 J91:J138" type="list">
      <formula1>"1,2,3"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N134"/>
  <sheetViews>
    <sheetView showFormulas="false" showGridLines="false" showRowColHeaders="true" showZeros="true" rightToLeft="false" tabSelected="false" showOutlineSymbols="true" defaultGridColor="true" view="normal" topLeftCell="E17" colorId="64" zoomScale="95" zoomScaleNormal="95" zoomScalePageLayoutView="100" workbookViewId="0">
      <selection pane="topLeft" activeCell="K20" activeCellId="0" sqref="K20"/>
    </sheetView>
  </sheetViews>
  <sheetFormatPr defaultColWidth="3.1484375" defaultRowHeight="16.5" zeroHeight="false" outlineLevelRow="0" outlineLevelCol="0"/>
  <cols>
    <col collapsed="false" customWidth="true" hidden="false" outlineLevel="0" max="1" min="1" style="62" width="2.57"/>
    <col collapsed="false" customWidth="true" hidden="true" outlineLevel="0" max="2" min="2" style="62" width="4.43"/>
    <col collapsed="false" customWidth="true" hidden="false" outlineLevel="0" max="3" min="3" style="62" width="42.57"/>
    <col collapsed="false" customWidth="true" hidden="false" outlineLevel="0" max="4" min="4" style="62" width="18.29"/>
    <col collapsed="false" customWidth="true" hidden="false" outlineLevel="0" max="5" min="5" style="62" width="51"/>
    <col collapsed="false" customWidth="true" hidden="false" outlineLevel="0" max="6" min="6" style="62" width="7.41"/>
    <col collapsed="false" customWidth="true" hidden="false" outlineLevel="0" max="7" min="7" style="62" width="3.57"/>
    <col collapsed="false" customWidth="true" hidden="false" outlineLevel="0" max="8" min="8" style="62" width="48.86"/>
    <col collapsed="false" customWidth="true" hidden="false" outlineLevel="0" max="9" min="9" style="62" width="42.57"/>
    <col collapsed="false" customWidth="true" hidden="false" outlineLevel="0" max="10" min="10" style="62" width="7.41"/>
    <col collapsed="false" customWidth="true" hidden="false" outlineLevel="0" max="11" min="11" style="62" width="22.57"/>
    <col collapsed="false" customWidth="true" hidden="false" outlineLevel="0" max="12" min="12" style="212" width="3.98"/>
    <col collapsed="false" customWidth="true" hidden="false" outlineLevel="0" max="13" min="13" style="212" width="8.4"/>
    <col collapsed="false" customWidth="true" hidden="false" outlineLevel="0" max="14" min="14" style="359" width="9.59"/>
    <col collapsed="false" customWidth="false" hidden="false" outlineLevel="0" max="1024" min="15" style="62" width="3.14"/>
  </cols>
  <sheetData>
    <row r="1" customFormat="false" ht="9.95" hidden="true" customHeight="true" outlineLevel="0" collapsed="false"/>
    <row r="2" customFormat="false" ht="9.95" hidden="true" customHeight="true" outlineLevel="0" collapsed="false"/>
    <row r="3" customFormat="false" ht="9.95" hidden="true" customHeight="true" outlineLevel="0" collapsed="false"/>
    <row r="4" customFormat="false" ht="9.95" hidden="true" customHeight="true" outlineLevel="0" collapsed="false"/>
    <row r="5" customFormat="false" ht="9.95" hidden="true" customHeight="true" outlineLevel="0" collapsed="false"/>
    <row r="6" customFormat="false" ht="9.95" hidden="true" customHeight="true" outlineLevel="0" collapsed="false"/>
    <row r="7" customFormat="false" ht="9.95" hidden="true" customHeight="true" outlineLevel="0" collapsed="false"/>
    <row r="8" customFormat="false" ht="9.95" hidden="true" customHeight="true" outlineLevel="0" collapsed="false"/>
    <row r="9" customFormat="false" ht="9.95" hidden="true" customHeight="true" outlineLevel="0" collapsed="false"/>
    <row r="10" customFormat="false" ht="31.5" hidden="true" customHeight="true" outlineLevel="0" collapsed="false"/>
    <row r="11" customFormat="false" ht="24.75" hidden="true" customHeight="true" outlineLevel="0" collapsed="false"/>
    <row r="12" customFormat="false" ht="20.25" hidden="true" customHeight="true" outlineLevel="0" collapsed="false"/>
    <row r="13" customFormat="false" ht="9.95" hidden="true" customHeight="true" outlineLevel="0" collapsed="false"/>
    <row r="14" customFormat="false" ht="20.1" hidden="true" customHeight="true" outlineLevel="0" collapsed="false">
      <c r="C14" s="360" t="s">
        <v>430</v>
      </c>
      <c r="D14" s="360"/>
      <c r="E14" s="360"/>
      <c r="F14" s="360"/>
      <c r="G14" s="360"/>
      <c r="H14" s="360"/>
      <c r="I14" s="360"/>
      <c r="J14" s="360"/>
      <c r="K14" s="360"/>
    </row>
    <row r="15" customFormat="false" ht="33.6" hidden="true" customHeight="true" outlineLevel="0" collapsed="false">
      <c r="C15" s="72" t="s">
        <v>431</v>
      </c>
      <c r="D15" s="72"/>
      <c r="E15" s="72"/>
      <c r="F15" s="72"/>
      <c r="G15" s="72"/>
      <c r="H15" s="72"/>
      <c r="I15" s="72"/>
      <c r="J15" s="72"/>
      <c r="K15" s="72"/>
    </row>
    <row r="16" customFormat="false" ht="9.95" hidden="true" customHeight="true" outlineLevel="0" collapsed="false">
      <c r="C16" s="74"/>
      <c r="D16" s="74"/>
      <c r="F16" s="75"/>
    </row>
    <row r="17" customFormat="false" ht="19.15" hidden="false" customHeight="true" outlineLevel="0" collapsed="false">
      <c r="B17" s="361" t="s">
        <v>111</v>
      </c>
      <c r="C17" s="362" t="s">
        <v>432</v>
      </c>
      <c r="D17" s="363" t="s">
        <v>8</v>
      </c>
      <c r="E17" s="364" t="s">
        <v>114</v>
      </c>
      <c r="F17" s="365" t="s">
        <v>244</v>
      </c>
      <c r="G17" s="366" t="s">
        <v>116</v>
      </c>
      <c r="H17" s="366"/>
      <c r="I17" s="366"/>
      <c r="J17" s="365" t="s">
        <v>245</v>
      </c>
      <c r="K17" s="367" t="s">
        <v>152</v>
      </c>
      <c r="L17" s="222"/>
      <c r="M17" s="222"/>
      <c r="N17" s="368"/>
    </row>
    <row r="18" customFormat="false" ht="19.15" hidden="false" customHeight="true" outlineLevel="0" collapsed="false">
      <c r="B18" s="361"/>
      <c r="C18" s="362"/>
      <c r="D18" s="363"/>
      <c r="E18" s="364"/>
      <c r="F18" s="365"/>
      <c r="G18" s="366" t="s">
        <v>13</v>
      </c>
      <c r="H18" s="363" t="s">
        <v>15</v>
      </c>
      <c r="I18" s="363" t="s">
        <v>433</v>
      </c>
      <c r="J18" s="365"/>
      <c r="K18" s="367"/>
      <c r="L18" s="222"/>
      <c r="M18" s="222"/>
      <c r="N18" s="368"/>
    </row>
    <row r="19" customFormat="false" ht="19.15" hidden="false" customHeight="true" outlineLevel="0" collapsed="false">
      <c r="B19" s="361"/>
      <c r="C19" s="362"/>
      <c r="D19" s="363"/>
      <c r="E19" s="364"/>
      <c r="F19" s="365"/>
      <c r="G19" s="366"/>
      <c r="H19" s="366"/>
      <c r="I19" s="366"/>
      <c r="J19" s="365"/>
      <c r="K19" s="367"/>
      <c r="L19" s="222"/>
      <c r="M19" s="222"/>
      <c r="N19" s="368"/>
    </row>
    <row r="20" customFormat="false" ht="17.45" hidden="false" customHeight="true" outlineLevel="0" collapsed="false">
      <c r="B20" s="159" t="str">
        <f aca="false">+LEFT(C20,4)</f>
        <v>16.1</v>
      </c>
      <c r="C20" s="369" t="s">
        <v>434</v>
      </c>
      <c r="D20" s="126" t="s">
        <v>435</v>
      </c>
      <c r="E20" s="194" t="s">
        <v>436</v>
      </c>
      <c r="F20" s="184" t="n">
        <v>3</v>
      </c>
      <c r="G20" s="141" t="n">
        <v>1</v>
      </c>
      <c r="H20" s="370" t="s">
        <v>437</v>
      </c>
      <c r="I20" s="371" t="s">
        <v>438</v>
      </c>
      <c r="J20" s="146" t="n">
        <v>3</v>
      </c>
      <c r="K20" s="119" t="str">
        <f aca="false">+IF(OR(ISBLANK(F20),ISBLANK(J20)),"",IF(OR(AND(F20=1,J20=1),AND(F20=1,J20=2),AND(F20=1,J20=3)),"Deficiencia de control mayor (diseño y ejecución)",IF(OR(AND(F20=2,J20=2),AND(F20=3,J20=1),AND(F20=3,J20=2),AND(F20=2,J20=1)),"Deficiencia de control (diseño o ejecución)",IF(AND(F20=2,J20=3),"Oportunidad de mejora","Mantenimiento del control"))))</f>
        <v>Mantenimiento del control</v>
      </c>
      <c r="L20" s="92" t="n">
        <f aca="false">+IF(K20="",312,IF(K20="Deficiencia de control mayor (diseño y ejecución)",320,IF(K20="Deficiencia de control (diseño o ejecución)",340,IF(K20="Oportunidad de mejora",360,380))))</f>
        <v>380</v>
      </c>
      <c r="M20" s="230" t="n">
        <v>5.8745</v>
      </c>
      <c r="N20" s="372" t="n">
        <f aca="false">+L20+M20</f>
        <v>385.8745</v>
      </c>
    </row>
    <row r="21" s="95" customFormat="true" ht="17.45" hidden="false" customHeight="true" outlineLevel="0" collapsed="false">
      <c r="B21" s="159"/>
      <c r="C21" s="369"/>
      <c r="D21" s="126"/>
      <c r="E21" s="194"/>
      <c r="F21" s="184"/>
      <c r="G21" s="107" t="n">
        <v>2</v>
      </c>
      <c r="H21" s="370"/>
      <c r="I21" s="371"/>
      <c r="J21" s="146"/>
      <c r="K21" s="119"/>
      <c r="L21" s="92"/>
      <c r="M21" s="230"/>
      <c r="N21" s="372"/>
    </row>
    <row r="22" s="95" customFormat="true" ht="17.45" hidden="false" customHeight="true" outlineLevel="0" collapsed="false">
      <c r="B22" s="159"/>
      <c r="C22" s="369"/>
      <c r="D22" s="126"/>
      <c r="E22" s="194"/>
      <c r="F22" s="184"/>
      <c r="G22" s="107" t="n">
        <v>3</v>
      </c>
      <c r="H22" s="370"/>
      <c r="I22" s="371"/>
      <c r="J22" s="146"/>
      <c r="K22" s="119"/>
      <c r="L22" s="92"/>
      <c r="M22" s="230"/>
      <c r="N22" s="372"/>
    </row>
    <row r="23" s="95" customFormat="true" ht="17.45" hidden="false" customHeight="true" outlineLevel="0" collapsed="false">
      <c r="B23" s="159"/>
      <c r="C23" s="369"/>
      <c r="D23" s="126"/>
      <c r="E23" s="194"/>
      <c r="F23" s="184"/>
      <c r="G23" s="107" t="n">
        <v>4</v>
      </c>
      <c r="H23" s="107"/>
      <c r="I23" s="371"/>
      <c r="J23" s="146"/>
      <c r="K23" s="119"/>
      <c r="L23" s="92"/>
      <c r="M23" s="230"/>
      <c r="N23" s="372"/>
    </row>
    <row r="24" s="95" customFormat="true" ht="17.45" hidden="false" customHeight="true" outlineLevel="0" collapsed="false">
      <c r="B24" s="159"/>
      <c r="C24" s="369"/>
      <c r="D24" s="126"/>
      <c r="E24" s="194"/>
      <c r="F24" s="184"/>
      <c r="G24" s="107" t="n">
        <v>5</v>
      </c>
      <c r="H24" s="107"/>
      <c r="I24" s="371"/>
      <c r="J24" s="146"/>
      <c r="K24" s="119"/>
      <c r="L24" s="92"/>
      <c r="M24" s="230"/>
      <c r="N24" s="372"/>
    </row>
    <row r="25" s="95" customFormat="true" ht="17.45" hidden="false" customHeight="true" outlineLevel="0" collapsed="false">
      <c r="B25" s="159"/>
      <c r="C25" s="369"/>
      <c r="D25" s="126"/>
      <c r="E25" s="194"/>
      <c r="F25" s="184"/>
      <c r="G25" s="107" t="n">
        <v>6</v>
      </c>
      <c r="H25" s="107"/>
      <c r="I25" s="371"/>
      <c r="J25" s="146"/>
      <c r="K25" s="119"/>
      <c r="L25" s="92"/>
      <c r="M25" s="230"/>
      <c r="N25" s="372"/>
    </row>
    <row r="26" s="95" customFormat="true" ht="17.45" hidden="false" customHeight="true" outlineLevel="0" collapsed="false">
      <c r="B26" s="159"/>
      <c r="C26" s="369"/>
      <c r="D26" s="126"/>
      <c r="E26" s="194"/>
      <c r="F26" s="184"/>
      <c r="G26" s="107" t="n">
        <v>7</v>
      </c>
      <c r="H26" s="107"/>
      <c r="I26" s="371"/>
      <c r="J26" s="146"/>
      <c r="K26" s="119"/>
      <c r="L26" s="92"/>
      <c r="M26" s="230"/>
      <c r="N26" s="372"/>
    </row>
    <row r="27" s="95" customFormat="true" ht="17.45" hidden="false" customHeight="true" outlineLevel="0" collapsed="false">
      <c r="B27" s="159"/>
      <c r="C27" s="369"/>
      <c r="D27" s="126"/>
      <c r="E27" s="194"/>
      <c r="F27" s="184"/>
      <c r="G27" s="121" t="n">
        <v>8</v>
      </c>
      <c r="H27" s="121"/>
      <c r="I27" s="371"/>
      <c r="J27" s="146"/>
      <c r="K27" s="119"/>
      <c r="L27" s="92"/>
      <c r="M27" s="230"/>
      <c r="N27" s="372"/>
    </row>
    <row r="28" s="95" customFormat="true" ht="96.75" hidden="false" customHeight="true" outlineLevel="0" collapsed="false">
      <c r="B28" s="159" t="str">
        <f aca="false">+LEFT(C28,4)</f>
        <v>16.2</v>
      </c>
      <c r="C28" s="125" t="s">
        <v>439</v>
      </c>
      <c r="D28" s="126" t="s">
        <v>435</v>
      </c>
      <c r="E28" s="194" t="s">
        <v>440</v>
      </c>
      <c r="F28" s="184" t="n">
        <v>3</v>
      </c>
      <c r="G28" s="141" t="n">
        <v>1</v>
      </c>
      <c r="H28" s="304" t="s">
        <v>441</v>
      </c>
      <c r="I28" s="371" t="s">
        <v>442</v>
      </c>
      <c r="J28" s="146" t="n">
        <v>3</v>
      </c>
      <c r="K28" s="119" t="str">
        <f aca="false">+IF(OR(ISBLANK(F28),ISBLANK(J28)),"",IF(OR(AND(F28=1,J28=1),AND(F28=1,J28=2),AND(F28=1,J28=3)),"Deficiencia de control mayor (diseño y ejecución)",IF(OR(AND(F28=2,J28=2),AND(F28=3,J28=1),AND(F28=3,J28=2),AND(F28=2,J28=1)),"Deficiencia de control (diseño o ejecución)",IF(AND(F28=2,J28=3),"Oportunidad de mejora","Mantenimiento del control"))))</f>
        <v>Mantenimiento del control</v>
      </c>
      <c r="L28" s="92" t="n">
        <f aca="false">+IF(K28="",312,IF(K28="Deficiencia de control mayor (diseño y ejecución)",320,IF(K28="Deficiencia de control (diseño o ejecución)",340,IF(K28="Oportunidad de mejora",360,380))))</f>
        <v>380</v>
      </c>
      <c r="M28" s="230" t="n">
        <v>5.9654</v>
      </c>
      <c r="N28" s="372" t="n">
        <f aca="false">+L28+M28</f>
        <v>385.9654</v>
      </c>
    </row>
    <row r="29" s="95" customFormat="true" ht="17.45" hidden="false" customHeight="true" outlineLevel="0" collapsed="false">
      <c r="B29" s="159"/>
      <c r="C29" s="125"/>
      <c r="D29" s="126"/>
      <c r="E29" s="194"/>
      <c r="F29" s="184"/>
      <c r="G29" s="107" t="n">
        <v>2</v>
      </c>
      <c r="H29" s="370"/>
      <c r="I29" s="371"/>
      <c r="J29" s="146"/>
      <c r="K29" s="119"/>
      <c r="L29" s="92"/>
      <c r="M29" s="230"/>
      <c r="N29" s="372"/>
    </row>
    <row r="30" s="95" customFormat="true" ht="17.45" hidden="false" customHeight="true" outlineLevel="0" collapsed="false">
      <c r="B30" s="159"/>
      <c r="C30" s="125"/>
      <c r="D30" s="126"/>
      <c r="E30" s="194"/>
      <c r="F30" s="184"/>
      <c r="G30" s="107" t="n">
        <v>3</v>
      </c>
      <c r="H30" s="370"/>
      <c r="I30" s="371"/>
      <c r="J30" s="146"/>
      <c r="K30" s="119"/>
      <c r="L30" s="92"/>
      <c r="M30" s="230"/>
      <c r="N30" s="372"/>
    </row>
    <row r="31" s="95" customFormat="true" ht="17.45" hidden="false" customHeight="true" outlineLevel="0" collapsed="false">
      <c r="B31" s="159"/>
      <c r="C31" s="125"/>
      <c r="D31" s="126"/>
      <c r="E31" s="194"/>
      <c r="F31" s="184"/>
      <c r="G31" s="107" t="n">
        <v>4</v>
      </c>
      <c r="H31" s="107"/>
      <c r="I31" s="371"/>
      <c r="J31" s="146"/>
      <c r="K31" s="119"/>
      <c r="L31" s="92"/>
      <c r="M31" s="230"/>
      <c r="N31" s="372"/>
    </row>
    <row r="32" s="95" customFormat="true" ht="17.45" hidden="false" customHeight="true" outlineLevel="0" collapsed="false">
      <c r="B32" s="159"/>
      <c r="C32" s="125"/>
      <c r="D32" s="126"/>
      <c r="E32" s="194"/>
      <c r="F32" s="184"/>
      <c r="G32" s="107" t="n">
        <v>5</v>
      </c>
      <c r="H32" s="107"/>
      <c r="I32" s="371"/>
      <c r="J32" s="146"/>
      <c r="K32" s="119"/>
      <c r="L32" s="92"/>
      <c r="M32" s="230"/>
      <c r="N32" s="372"/>
    </row>
    <row r="33" s="95" customFormat="true" ht="17.45" hidden="false" customHeight="true" outlineLevel="0" collapsed="false">
      <c r="B33" s="159"/>
      <c r="C33" s="125"/>
      <c r="D33" s="126"/>
      <c r="E33" s="194"/>
      <c r="F33" s="184"/>
      <c r="G33" s="107" t="n">
        <v>6</v>
      </c>
      <c r="H33" s="107"/>
      <c r="I33" s="371"/>
      <c r="J33" s="146"/>
      <c r="K33" s="119"/>
      <c r="L33" s="92"/>
      <c r="M33" s="230"/>
      <c r="N33" s="372"/>
    </row>
    <row r="34" s="95" customFormat="true" ht="17.45" hidden="false" customHeight="true" outlineLevel="0" collapsed="false">
      <c r="B34" s="159"/>
      <c r="C34" s="125"/>
      <c r="D34" s="126"/>
      <c r="E34" s="194"/>
      <c r="F34" s="184"/>
      <c r="G34" s="107" t="n">
        <v>7</v>
      </c>
      <c r="H34" s="107"/>
      <c r="I34" s="371"/>
      <c r="J34" s="146"/>
      <c r="K34" s="119"/>
      <c r="L34" s="92"/>
      <c r="M34" s="230"/>
      <c r="N34" s="372"/>
    </row>
    <row r="35" s="95" customFormat="true" ht="17.45" hidden="false" customHeight="true" outlineLevel="0" collapsed="false">
      <c r="B35" s="159"/>
      <c r="C35" s="125"/>
      <c r="D35" s="126"/>
      <c r="E35" s="194"/>
      <c r="F35" s="184"/>
      <c r="G35" s="121" t="n">
        <v>8</v>
      </c>
      <c r="H35" s="121"/>
      <c r="I35" s="371"/>
      <c r="J35" s="146"/>
      <c r="K35" s="119"/>
      <c r="L35" s="92"/>
      <c r="M35" s="230"/>
      <c r="N35" s="372"/>
    </row>
    <row r="36" customFormat="false" ht="72" hidden="false" customHeight="true" outlineLevel="0" collapsed="false">
      <c r="B36" s="159" t="str">
        <f aca="false">+LEFT(C36,4)</f>
        <v>16.3</v>
      </c>
      <c r="C36" s="125" t="s">
        <v>443</v>
      </c>
      <c r="D36" s="126" t="s">
        <v>444</v>
      </c>
      <c r="E36" s="194" t="s">
        <v>445</v>
      </c>
      <c r="F36" s="184" t="n">
        <v>3</v>
      </c>
      <c r="G36" s="141" t="n">
        <v>1</v>
      </c>
      <c r="H36" s="304" t="s">
        <v>446</v>
      </c>
      <c r="I36" s="371" t="s">
        <v>447</v>
      </c>
      <c r="J36" s="146" t="n">
        <v>3</v>
      </c>
      <c r="K36" s="119" t="str">
        <f aca="false">+IF(OR(ISBLANK(F36),ISBLANK(J36)),"",IF(OR(AND(F36=1,J36=1),AND(F36=1,J36=2),AND(F36=1,J36=3)),"Deficiencia de control mayor (diseño y ejecución)",IF(OR(AND(F36=2,J36=2),AND(F36=3,J36=1),AND(F36=3,J36=2),AND(F36=2,J36=1)),"Deficiencia de control (diseño o ejecución)",IF(AND(F36=2,J36=3),"Oportunidad de mejora","Mantenimiento del control"))))</f>
        <v>Mantenimiento del control</v>
      </c>
      <c r="L36" s="92" t="n">
        <f aca="false">+IF(K36="",312,IF(K36="Deficiencia de control mayor (diseño y ejecución)",320,IF(K36="Deficiencia de control (diseño o ejecución)",340,IF(K36="Oportunidad de mejora",360,380))))</f>
        <v>380</v>
      </c>
      <c r="M36" s="230" t="n">
        <v>6.0123</v>
      </c>
      <c r="N36" s="372" t="n">
        <f aca="false">+L36+M36</f>
        <v>386.0123</v>
      </c>
    </row>
    <row r="37" customFormat="false" ht="17.25" hidden="false" customHeight="false" outlineLevel="0" collapsed="false">
      <c r="B37" s="159"/>
      <c r="C37" s="125"/>
      <c r="D37" s="126"/>
      <c r="E37" s="194"/>
      <c r="F37" s="184"/>
      <c r="G37" s="107" t="n">
        <v>2</v>
      </c>
      <c r="H37" s="309"/>
      <c r="I37" s="371"/>
      <c r="J37" s="146"/>
      <c r="K37" s="119"/>
      <c r="L37" s="92"/>
      <c r="M37" s="230"/>
      <c r="N37" s="372"/>
    </row>
    <row r="38" customFormat="false" ht="17.45" hidden="false" customHeight="true" outlineLevel="0" collapsed="false">
      <c r="B38" s="159"/>
      <c r="C38" s="125"/>
      <c r="D38" s="126"/>
      <c r="E38" s="194"/>
      <c r="F38" s="184"/>
      <c r="G38" s="107" t="n">
        <v>3</v>
      </c>
      <c r="H38" s="370"/>
      <c r="I38" s="371"/>
      <c r="J38" s="146"/>
      <c r="K38" s="119"/>
      <c r="L38" s="92"/>
      <c r="M38" s="230"/>
      <c r="N38" s="372"/>
    </row>
    <row r="39" customFormat="false" ht="17.45" hidden="false" customHeight="true" outlineLevel="0" collapsed="false">
      <c r="B39" s="159"/>
      <c r="C39" s="125"/>
      <c r="D39" s="126"/>
      <c r="E39" s="194"/>
      <c r="F39" s="184"/>
      <c r="G39" s="107" t="n">
        <v>4</v>
      </c>
      <c r="H39" s="370"/>
      <c r="I39" s="371"/>
      <c r="J39" s="146"/>
      <c r="K39" s="119"/>
      <c r="L39" s="92"/>
      <c r="M39" s="230"/>
      <c r="N39" s="372"/>
    </row>
    <row r="40" customFormat="false" ht="17.45" hidden="false" customHeight="true" outlineLevel="0" collapsed="false">
      <c r="B40" s="159"/>
      <c r="C40" s="125"/>
      <c r="D40" s="126"/>
      <c r="E40" s="194"/>
      <c r="F40" s="184"/>
      <c r="G40" s="107" t="n">
        <v>5</v>
      </c>
      <c r="H40" s="107"/>
      <c r="I40" s="371"/>
      <c r="J40" s="146"/>
      <c r="K40" s="119"/>
      <c r="L40" s="92"/>
      <c r="M40" s="230"/>
      <c r="N40" s="372"/>
    </row>
    <row r="41" customFormat="false" ht="17.45" hidden="false" customHeight="true" outlineLevel="0" collapsed="false">
      <c r="B41" s="159"/>
      <c r="C41" s="125"/>
      <c r="D41" s="126"/>
      <c r="E41" s="194"/>
      <c r="F41" s="184"/>
      <c r="G41" s="107" t="n">
        <v>6</v>
      </c>
      <c r="H41" s="107"/>
      <c r="I41" s="371"/>
      <c r="J41" s="146"/>
      <c r="K41" s="119"/>
      <c r="L41" s="92"/>
      <c r="M41" s="230"/>
      <c r="N41" s="372"/>
    </row>
    <row r="42" customFormat="false" ht="17.45" hidden="false" customHeight="true" outlineLevel="0" collapsed="false">
      <c r="B42" s="159"/>
      <c r="C42" s="125"/>
      <c r="D42" s="126"/>
      <c r="E42" s="194"/>
      <c r="F42" s="184"/>
      <c r="G42" s="107" t="n">
        <v>7</v>
      </c>
      <c r="H42" s="107"/>
      <c r="I42" s="371"/>
      <c r="J42" s="146"/>
      <c r="K42" s="119"/>
      <c r="L42" s="92"/>
      <c r="M42" s="230"/>
      <c r="N42" s="372"/>
    </row>
    <row r="43" customFormat="false" ht="17.45" hidden="false" customHeight="true" outlineLevel="0" collapsed="false">
      <c r="B43" s="159"/>
      <c r="C43" s="125"/>
      <c r="D43" s="126"/>
      <c r="E43" s="194"/>
      <c r="F43" s="184"/>
      <c r="G43" s="121" t="n">
        <v>8</v>
      </c>
      <c r="H43" s="121"/>
      <c r="I43" s="371"/>
      <c r="J43" s="146"/>
      <c r="K43" s="119"/>
      <c r="L43" s="92"/>
      <c r="M43" s="230"/>
      <c r="N43" s="372"/>
    </row>
    <row r="44" customFormat="false" ht="50.25" hidden="false" customHeight="true" outlineLevel="0" collapsed="false">
      <c r="B44" s="159" t="str">
        <f aca="false">+LEFT(C44,4)</f>
        <v>16.4</v>
      </c>
      <c r="C44" s="125" t="s">
        <v>448</v>
      </c>
      <c r="D44" s="126" t="s">
        <v>449</v>
      </c>
      <c r="E44" s="194" t="s">
        <v>450</v>
      </c>
      <c r="F44" s="184" t="n">
        <v>3</v>
      </c>
      <c r="G44" s="141" t="n">
        <v>1</v>
      </c>
      <c r="H44" s="373" t="s">
        <v>451</v>
      </c>
      <c r="I44" s="194" t="s">
        <v>452</v>
      </c>
      <c r="J44" s="146" t="n">
        <v>3</v>
      </c>
      <c r="K44" s="119" t="str">
        <f aca="false">+IF(OR(ISBLANK(F44),ISBLANK(J44)),"",IF(OR(AND(F44=1,J44=1),AND(F44=1,J44=2),AND(F44=1,J44=3)),"Deficiencia de control mayor (diseño y ejecución)",IF(OR(AND(F44=2,J44=2),AND(F44=3,J44=1),AND(F44=3,J44=2),AND(F44=2,J44=1)),"Deficiencia de control (diseño o ejecución)",IF(AND(F44=2,J44=3),"Oportunidad de mejora","Mantenimiento del control"))))</f>
        <v>Mantenimiento del control</v>
      </c>
      <c r="L44" s="92" t="n">
        <f aca="false">+IF(K44="",312,IF(K44="Deficiencia de control mayor (diseño y ejecución)",320,IF(K44="Deficiencia de control (diseño o ejecución)",340,IF(K44="Oportunidad de mejora",360,380))))</f>
        <v>380</v>
      </c>
      <c r="M44" s="230" t="n">
        <v>6.1236</v>
      </c>
      <c r="N44" s="372" t="n">
        <f aca="false">+L44+M44</f>
        <v>386.1236</v>
      </c>
    </row>
    <row r="45" customFormat="false" ht="17.45" hidden="false" customHeight="true" outlineLevel="0" collapsed="false">
      <c r="B45" s="159"/>
      <c r="C45" s="125"/>
      <c r="D45" s="126"/>
      <c r="E45" s="194"/>
      <c r="F45" s="184"/>
      <c r="G45" s="107" t="n">
        <v>2</v>
      </c>
      <c r="H45" s="107"/>
      <c r="I45" s="194"/>
      <c r="J45" s="146"/>
      <c r="K45" s="119"/>
      <c r="L45" s="92"/>
      <c r="M45" s="230"/>
      <c r="N45" s="372"/>
    </row>
    <row r="46" customFormat="false" ht="17.45" hidden="false" customHeight="true" outlineLevel="0" collapsed="false">
      <c r="B46" s="159"/>
      <c r="C46" s="125"/>
      <c r="D46" s="126"/>
      <c r="E46" s="194"/>
      <c r="F46" s="184"/>
      <c r="G46" s="107" t="n">
        <v>3</v>
      </c>
      <c r="H46" s="107"/>
      <c r="I46" s="194"/>
      <c r="J46" s="146"/>
      <c r="K46" s="119"/>
      <c r="L46" s="92"/>
      <c r="M46" s="230"/>
      <c r="N46" s="372"/>
    </row>
    <row r="47" customFormat="false" ht="17.45" hidden="false" customHeight="true" outlineLevel="0" collapsed="false">
      <c r="B47" s="159"/>
      <c r="C47" s="125"/>
      <c r="D47" s="126"/>
      <c r="E47" s="194"/>
      <c r="F47" s="184"/>
      <c r="G47" s="107" t="n">
        <v>4</v>
      </c>
      <c r="H47" s="107"/>
      <c r="I47" s="194"/>
      <c r="J47" s="146"/>
      <c r="K47" s="119"/>
      <c r="L47" s="92"/>
      <c r="M47" s="230"/>
      <c r="N47" s="372"/>
    </row>
    <row r="48" customFormat="false" ht="17.45" hidden="false" customHeight="true" outlineLevel="0" collapsed="false">
      <c r="B48" s="159"/>
      <c r="C48" s="125"/>
      <c r="D48" s="126"/>
      <c r="E48" s="194"/>
      <c r="F48" s="184"/>
      <c r="G48" s="107" t="n">
        <v>5</v>
      </c>
      <c r="H48" s="107"/>
      <c r="I48" s="194"/>
      <c r="J48" s="146"/>
      <c r="K48" s="119"/>
      <c r="L48" s="92"/>
      <c r="M48" s="230"/>
      <c r="N48" s="372"/>
    </row>
    <row r="49" customFormat="false" ht="17.45" hidden="false" customHeight="true" outlineLevel="0" collapsed="false">
      <c r="B49" s="159"/>
      <c r="C49" s="125"/>
      <c r="D49" s="126"/>
      <c r="E49" s="194"/>
      <c r="F49" s="184"/>
      <c r="G49" s="107" t="n">
        <v>6</v>
      </c>
      <c r="H49" s="107"/>
      <c r="I49" s="194"/>
      <c r="J49" s="146"/>
      <c r="K49" s="119"/>
      <c r="L49" s="92"/>
      <c r="M49" s="230"/>
      <c r="N49" s="372"/>
    </row>
    <row r="50" customFormat="false" ht="17.45" hidden="false" customHeight="true" outlineLevel="0" collapsed="false">
      <c r="B50" s="159"/>
      <c r="C50" s="125"/>
      <c r="D50" s="126"/>
      <c r="E50" s="194"/>
      <c r="F50" s="184"/>
      <c r="G50" s="107" t="n">
        <v>7</v>
      </c>
      <c r="H50" s="107"/>
      <c r="I50" s="194"/>
      <c r="J50" s="146"/>
      <c r="K50" s="119"/>
      <c r="L50" s="92"/>
      <c r="M50" s="230"/>
      <c r="N50" s="372"/>
    </row>
    <row r="51" customFormat="false" ht="17.45" hidden="false" customHeight="true" outlineLevel="0" collapsed="false">
      <c r="B51" s="159"/>
      <c r="C51" s="125"/>
      <c r="D51" s="126"/>
      <c r="E51" s="194"/>
      <c r="F51" s="184"/>
      <c r="G51" s="121" t="n">
        <v>8</v>
      </c>
      <c r="H51" s="121"/>
      <c r="I51" s="194"/>
      <c r="J51" s="146"/>
      <c r="K51" s="119"/>
      <c r="L51" s="92"/>
      <c r="M51" s="230"/>
      <c r="N51" s="372"/>
    </row>
    <row r="52" customFormat="false" ht="41.25" hidden="false" customHeight="true" outlineLevel="0" collapsed="false">
      <c r="B52" s="159" t="str">
        <f aca="false">+LEFT(C52,4)</f>
        <v>16.5</v>
      </c>
      <c r="C52" s="125" t="s">
        <v>453</v>
      </c>
      <c r="D52" s="126" t="s">
        <v>307</v>
      </c>
      <c r="E52" s="194" t="s">
        <v>454</v>
      </c>
      <c r="F52" s="184" t="n">
        <v>3</v>
      </c>
      <c r="G52" s="141" t="n">
        <v>1</v>
      </c>
      <c r="H52" s="374" t="s">
        <v>455</v>
      </c>
      <c r="I52" s="371" t="s">
        <v>456</v>
      </c>
      <c r="J52" s="146" t="n">
        <v>3</v>
      </c>
      <c r="K52" s="119" t="str">
        <f aca="false">+IF(OR(ISBLANK(F52),ISBLANK(J52)),"",IF(OR(AND(F52=1,J52=1),AND(F52=1,J52=2),AND(F52=1,J52=3)),"Deficiencia de control mayor (diseño y ejecución)",IF(OR(AND(F52=2,J52=2),AND(F52=3,J52=1),AND(F52=3,J52=2),AND(F52=2,J52=1)),"Deficiencia de control (diseño o ejecución)",IF(AND(F52=2,J52=3),"Oportunidad de mejora","Mantenimiento del control"))))</f>
        <v>Mantenimiento del control</v>
      </c>
      <c r="L52" s="92" t="n">
        <f aca="false">+IF(K52="",312,IF(K52="Deficiencia de control mayor (diseño y ejecución)",320,IF(K52="Deficiencia de control (diseño o ejecución)",340,IF(K52="Oportunidad de mejora",360,380))))</f>
        <v>380</v>
      </c>
      <c r="M52" s="230" t="n">
        <v>6.2136</v>
      </c>
      <c r="N52" s="372" t="n">
        <f aca="false">+L52+M52</f>
        <v>386.2136</v>
      </c>
    </row>
    <row r="53" customFormat="false" ht="17.45" hidden="false" customHeight="true" outlineLevel="0" collapsed="false">
      <c r="B53" s="159"/>
      <c r="C53" s="125"/>
      <c r="D53" s="126"/>
      <c r="E53" s="194"/>
      <c r="F53" s="184"/>
      <c r="G53" s="107" t="n">
        <v>2</v>
      </c>
      <c r="H53" s="120"/>
      <c r="I53" s="371"/>
      <c r="J53" s="146"/>
      <c r="K53" s="119"/>
      <c r="L53" s="92"/>
      <c r="M53" s="230"/>
      <c r="N53" s="372"/>
    </row>
    <row r="54" customFormat="false" ht="17.45" hidden="false" customHeight="true" outlineLevel="0" collapsed="false">
      <c r="B54" s="159"/>
      <c r="C54" s="125"/>
      <c r="D54" s="126"/>
      <c r="E54" s="194"/>
      <c r="F54" s="184"/>
      <c r="G54" s="107" t="n">
        <v>3</v>
      </c>
      <c r="H54" s="107"/>
      <c r="I54" s="371"/>
      <c r="J54" s="146"/>
      <c r="K54" s="119"/>
      <c r="L54" s="92"/>
      <c r="M54" s="230"/>
      <c r="N54" s="372"/>
    </row>
    <row r="55" customFormat="false" ht="17.45" hidden="false" customHeight="true" outlineLevel="0" collapsed="false">
      <c r="B55" s="159"/>
      <c r="C55" s="125"/>
      <c r="D55" s="126"/>
      <c r="E55" s="194"/>
      <c r="F55" s="184"/>
      <c r="G55" s="107" t="n">
        <v>4</v>
      </c>
      <c r="H55" s="107"/>
      <c r="I55" s="371"/>
      <c r="J55" s="146"/>
      <c r="K55" s="119"/>
      <c r="L55" s="92"/>
      <c r="M55" s="230"/>
      <c r="N55" s="372"/>
    </row>
    <row r="56" customFormat="false" ht="17.45" hidden="false" customHeight="true" outlineLevel="0" collapsed="false">
      <c r="B56" s="159"/>
      <c r="C56" s="125"/>
      <c r="D56" s="126"/>
      <c r="E56" s="194"/>
      <c r="F56" s="184"/>
      <c r="G56" s="107" t="n">
        <v>5</v>
      </c>
      <c r="H56" s="107"/>
      <c r="I56" s="371"/>
      <c r="J56" s="146"/>
      <c r="K56" s="119"/>
      <c r="L56" s="92"/>
      <c r="M56" s="230"/>
      <c r="N56" s="372"/>
    </row>
    <row r="57" customFormat="false" ht="17.45" hidden="false" customHeight="true" outlineLevel="0" collapsed="false">
      <c r="B57" s="159"/>
      <c r="C57" s="125"/>
      <c r="D57" s="126"/>
      <c r="E57" s="194"/>
      <c r="F57" s="184"/>
      <c r="G57" s="107" t="n">
        <v>6</v>
      </c>
      <c r="H57" s="107"/>
      <c r="I57" s="371"/>
      <c r="J57" s="146"/>
      <c r="K57" s="119"/>
      <c r="L57" s="92"/>
      <c r="M57" s="230"/>
      <c r="N57" s="372"/>
    </row>
    <row r="58" customFormat="false" ht="17.45" hidden="false" customHeight="true" outlineLevel="0" collapsed="false">
      <c r="B58" s="159"/>
      <c r="C58" s="125"/>
      <c r="D58" s="126"/>
      <c r="E58" s="194"/>
      <c r="F58" s="184"/>
      <c r="G58" s="107" t="n">
        <v>7</v>
      </c>
      <c r="H58" s="107"/>
      <c r="I58" s="371"/>
      <c r="J58" s="146"/>
      <c r="K58" s="119"/>
      <c r="L58" s="92"/>
      <c r="M58" s="230"/>
      <c r="N58" s="372"/>
    </row>
    <row r="59" customFormat="false" ht="17.45" hidden="false" customHeight="true" outlineLevel="0" collapsed="false">
      <c r="B59" s="159"/>
      <c r="C59" s="125"/>
      <c r="D59" s="126"/>
      <c r="E59" s="194"/>
      <c r="F59" s="184"/>
      <c r="G59" s="121" t="n">
        <v>8</v>
      </c>
      <c r="H59" s="121"/>
      <c r="I59" s="371"/>
      <c r="J59" s="146"/>
      <c r="K59" s="119"/>
      <c r="L59" s="92"/>
      <c r="M59" s="230"/>
      <c r="N59" s="372"/>
    </row>
    <row r="60" customFormat="false" ht="17.45" hidden="false" customHeight="true" outlineLevel="0" collapsed="false">
      <c r="B60" s="362"/>
      <c r="C60" s="362" t="s">
        <v>457</v>
      </c>
      <c r="D60" s="363" t="s">
        <v>8</v>
      </c>
      <c r="E60" s="375" t="s">
        <v>114</v>
      </c>
      <c r="F60" s="376" t="s">
        <v>244</v>
      </c>
      <c r="G60" s="377" t="s">
        <v>116</v>
      </c>
      <c r="H60" s="377"/>
      <c r="I60" s="377"/>
      <c r="J60" s="376" t="s">
        <v>245</v>
      </c>
      <c r="K60" s="378" t="s">
        <v>152</v>
      </c>
      <c r="L60" s="243"/>
      <c r="M60" s="243"/>
      <c r="N60" s="379"/>
    </row>
    <row r="61" customFormat="false" ht="17.45" hidden="false" customHeight="true" outlineLevel="0" collapsed="false">
      <c r="B61" s="362"/>
      <c r="C61" s="362"/>
      <c r="D61" s="363"/>
      <c r="E61" s="375"/>
      <c r="F61" s="376"/>
      <c r="G61" s="377" t="s">
        <v>13</v>
      </c>
      <c r="H61" s="363" t="s">
        <v>15</v>
      </c>
      <c r="I61" s="363" t="s">
        <v>433</v>
      </c>
      <c r="J61" s="376"/>
      <c r="K61" s="378"/>
      <c r="L61" s="243"/>
      <c r="M61" s="243"/>
      <c r="N61" s="379"/>
    </row>
    <row r="62" customFormat="false" ht="17.45" hidden="false" customHeight="true" outlineLevel="0" collapsed="false">
      <c r="B62" s="362"/>
      <c r="C62" s="362"/>
      <c r="D62" s="363"/>
      <c r="E62" s="375"/>
      <c r="F62" s="376"/>
      <c r="G62" s="377"/>
      <c r="H62" s="363"/>
      <c r="I62" s="363"/>
      <c r="J62" s="376"/>
      <c r="K62" s="378"/>
      <c r="L62" s="243"/>
      <c r="M62" s="243"/>
      <c r="N62" s="379"/>
    </row>
    <row r="63" customFormat="false" ht="17.45" hidden="false" customHeight="true" outlineLevel="0" collapsed="false">
      <c r="B63" s="159" t="str">
        <f aca="false">+LEFT(C63,5)</f>
        <v>17.1</v>
      </c>
      <c r="C63" s="279" t="s">
        <v>458</v>
      </c>
      <c r="D63" s="160" t="s">
        <v>307</v>
      </c>
      <c r="E63" s="238" t="s">
        <v>459</v>
      </c>
      <c r="F63" s="201" t="n">
        <v>3</v>
      </c>
      <c r="G63" s="162" t="n">
        <v>1</v>
      </c>
      <c r="H63" s="229" t="s">
        <v>460</v>
      </c>
      <c r="I63" s="173" t="s">
        <v>461</v>
      </c>
      <c r="J63" s="178" t="n">
        <v>3</v>
      </c>
      <c r="K63" s="164" t="str">
        <f aca="false">+IF(OR(ISBLANK(F63),ISBLANK(J63)),"",IF(OR(AND(F63=1,J63=1),AND(F63=1,J63=2),AND(F63=1,J63=3)),"Deficiencia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92" t="n">
        <f aca="false">+IF(K63="",312,IF(K63="Deficiencia de control mayor (diseño y ejecución)",320,IF(K63="Deficiencia de control (diseño o ejecución)",340,IF(K63="Oportunidad de mejora",360,380))))</f>
        <v>380</v>
      </c>
      <c r="M63" s="230" t="n">
        <v>6.3258</v>
      </c>
      <c r="N63" s="372" t="n">
        <f aca="false">+L63+M63</f>
        <v>386.3258</v>
      </c>
    </row>
    <row r="64" customFormat="false" ht="17.45" hidden="false" customHeight="true" outlineLevel="0" collapsed="false">
      <c r="B64" s="159"/>
      <c r="C64" s="279"/>
      <c r="D64" s="160"/>
      <c r="E64" s="238"/>
      <c r="F64" s="201"/>
      <c r="G64" s="165" t="n">
        <v>2</v>
      </c>
      <c r="H64" s="165"/>
      <c r="I64" s="173"/>
      <c r="J64" s="178"/>
      <c r="K64" s="164"/>
      <c r="L64" s="92"/>
      <c r="M64" s="230"/>
      <c r="N64" s="372"/>
    </row>
    <row r="65" customFormat="false" ht="17.45" hidden="false" customHeight="true" outlineLevel="0" collapsed="false">
      <c r="B65" s="159"/>
      <c r="C65" s="279"/>
      <c r="D65" s="160"/>
      <c r="E65" s="238"/>
      <c r="F65" s="201"/>
      <c r="G65" s="165" t="n">
        <v>3</v>
      </c>
      <c r="H65" s="165"/>
      <c r="I65" s="173"/>
      <c r="J65" s="178"/>
      <c r="K65" s="164"/>
      <c r="L65" s="92"/>
      <c r="M65" s="230"/>
      <c r="N65" s="372"/>
    </row>
    <row r="66" customFormat="false" ht="17.45" hidden="false" customHeight="true" outlineLevel="0" collapsed="false">
      <c r="B66" s="159"/>
      <c r="C66" s="279"/>
      <c r="D66" s="160"/>
      <c r="E66" s="238"/>
      <c r="F66" s="201"/>
      <c r="G66" s="165" t="n">
        <v>4</v>
      </c>
      <c r="H66" s="165"/>
      <c r="I66" s="173"/>
      <c r="J66" s="178"/>
      <c r="K66" s="164"/>
      <c r="L66" s="92"/>
      <c r="M66" s="230"/>
      <c r="N66" s="372"/>
    </row>
    <row r="67" customFormat="false" ht="17.45" hidden="false" customHeight="true" outlineLevel="0" collapsed="false">
      <c r="B67" s="159"/>
      <c r="C67" s="279"/>
      <c r="D67" s="160"/>
      <c r="E67" s="238"/>
      <c r="F67" s="201"/>
      <c r="G67" s="165" t="n">
        <v>5</v>
      </c>
      <c r="H67" s="165"/>
      <c r="I67" s="173"/>
      <c r="J67" s="178"/>
      <c r="K67" s="164"/>
      <c r="L67" s="92"/>
      <c r="M67" s="230"/>
      <c r="N67" s="372"/>
    </row>
    <row r="68" customFormat="false" ht="17.45" hidden="false" customHeight="true" outlineLevel="0" collapsed="false">
      <c r="B68" s="159"/>
      <c r="C68" s="279"/>
      <c r="D68" s="160"/>
      <c r="E68" s="238"/>
      <c r="F68" s="201"/>
      <c r="G68" s="165" t="n">
        <v>6</v>
      </c>
      <c r="H68" s="165"/>
      <c r="I68" s="173"/>
      <c r="J68" s="178"/>
      <c r="K68" s="164"/>
      <c r="L68" s="92"/>
      <c r="M68" s="230"/>
      <c r="N68" s="372"/>
    </row>
    <row r="69" customFormat="false" ht="17.45" hidden="false" customHeight="true" outlineLevel="0" collapsed="false">
      <c r="B69" s="159"/>
      <c r="C69" s="279"/>
      <c r="D69" s="160"/>
      <c r="E69" s="238"/>
      <c r="F69" s="201"/>
      <c r="G69" s="165" t="n">
        <v>7</v>
      </c>
      <c r="H69" s="165"/>
      <c r="I69" s="173"/>
      <c r="J69" s="178"/>
      <c r="K69" s="164"/>
      <c r="L69" s="92"/>
      <c r="M69" s="230"/>
      <c r="N69" s="372"/>
    </row>
    <row r="70" customFormat="false" ht="17.45" hidden="false" customHeight="true" outlineLevel="0" collapsed="false">
      <c r="B70" s="159"/>
      <c r="C70" s="279"/>
      <c r="D70" s="160"/>
      <c r="E70" s="238"/>
      <c r="F70" s="201"/>
      <c r="G70" s="167" t="n">
        <v>8</v>
      </c>
      <c r="H70" s="167"/>
      <c r="I70" s="173"/>
      <c r="J70" s="178"/>
      <c r="K70" s="164"/>
      <c r="L70" s="92"/>
      <c r="M70" s="230"/>
      <c r="N70" s="372"/>
    </row>
    <row r="71" customFormat="false" ht="17.45" hidden="false" customHeight="true" outlineLevel="0" collapsed="false">
      <c r="B71" s="159" t="str">
        <f aca="false">+LEFT(C71,5)</f>
        <v>17.2</v>
      </c>
      <c r="C71" s="380" t="s">
        <v>462</v>
      </c>
      <c r="D71" s="160" t="s">
        <v>307</v>
      </c>
      <c r="E71" s="228" t="s">
        <v>463</v>
      </c>
      <c r="F71" s="201" t="n">
        <v>3</v>
      </c>
      <c r="G71" s="162" t="n">
        <v>1</v>
      </c>
      <c r="H71" s="381" t="s">
        <v>464</v>
      </c>
      <c r="I71" s="228" t="s">
        <v>465</v>
      </c>
      <c r="J71" s="178" t="n">
        <v>3</v>
      </c>
      <c r="K71" s="164" t="str">
        <f aca="false">+IF(OR(ISBLANK(F71),ISBLANK(J71)),"",IF(OR(AND(F71=1,J71=1),AND(F71=1,J71=2),AND(F71=1,J71=3)),"Deficiencia de control mayor (diseño y ejecución)",IF(OR(AND(F71=2,J71=2),AND(F71=3,J71=1),AND(F71=3,J71=2),AND(F71=2,J71=1)),"Deficiencia de control (diseño o ejecución)",IF(AND(F71=2,J71=3),"Oportunidad de mejora","Mantenimiento del control"))))</f>
        <v>Mantenimiento del control</v>
      </c>
      <c r="L71" s="92" t="n">
        <f aca="false">+IF(K71="",312,IF(K71="Deficiencia de control mayor (diseño y ejecución)",320,IF(K71="Deficiencia de control (diseño o ejecución)",340,IF(K71="Oportunidad de mejora",360,380))))</f>
        <v>380</v>
      </c>
      <c r="M71" s="230" t="n">
        <v>6.4569</v>
      </c>
      <c r="N71" s="372" t="n">
        <f aca="false">+L71+M71</f>
        <v>386.4569</v>
      </c>
    </row>
    <row r="72" customFormat="false" ht="17.45" hidden="false" customHeight="true" outlineLevel="0" collapsed="false">
      <c r="B72" s="159"/>
      <c r="C72" s="380"/>
      <c r="D72" s="160"/>
      <c r="E72" s="228"/>
      <c r="F72" s="201"/>
      <c r="G72" s="165" t="n">
        <v>2</v>
      </c>
      <c r="H72" s="165"/>
      <c r="I72" s="228"/>
      <c r="J72" s="178"/>
      <c r="K72" s="164"/>
      <c r="L72" s="92"/>
      <c r="M72" s="230"/>
      <c r="N72" s="372"/>
    </row>
    <row r="73" customFormat="false" ht="17.45" hidden="false" customHeight="true" outlineLevel="0" collapsed="false">
      <c r="B73" s="159"/>
      <c r="C73" s="380"/>
      <c r="D73" s="160"/>
      <c r="E73" s="228"/>
      <c r="F73" s="201"/>
      <c r="G73" s="165" t="n">
        <v>3</v>
      </c>
      <c r="H73" s="165"/>
      <c r="I73" s="228"/>
      <c r="J73" s="178"/>
      <c r="K73" s="164"/>
      <c r="L73" s="92"/>
      <c r="M73" s="230"/>
      <c r="N73" s="372"/>
    </row>
    <row r="74" customFormat="false" ht="17.45" hidden="false" customHeight="true" outlineLevel="0" collapsed="false">
      <c r="B74" s="159"/>
      <c r="C74" s="380"/>
      <c r="D74" s="160"/>
      <c r="E74" s="228"/>
      <c r="F74" s="201"/>
      <c r="G74" s="165" t="n">
        <v>4</v>
      </c>
      <c r="H74" s="165"/>
      <c r="I74" s="228"/>
      <c r="J74" s="178"/>
      <c r="K74" s="164"/>
      <c r="L74" s="92"/>
      <c r="M74" s="230"/>
      <c r="N74" s="372"/>
    </row>
    <row r="75" customFormat="false" ht="17.45" hidden="false" customHeight="true" outlineLevel="0" collapsed="false">
      <c r="B75" s="159"/>
      <c r="C75" s="380"/>
      <c r="D75" s="160"/>
      <c r="E75" s="228"/>
      <c r="F75" s="201"/>
      <c r="G75" s="165" t="n">
        <v>5</v>
      </c>
      <c r="H75" s="165"/>
      <c r="I75" s="228"/>
      <c r="J75" s="178"/>
      <c r="K75" s="164"/>
      <c r="L75" s="92"/>
      <c r="M75" s="230"/>
      <c r="N75" s="372"/>
    </row>
    <row r="76" customFormat="false" ht="17.45" hidden="false" customHeight="true" outlineLevel="0" collapsed="false">
      <c r="B76" s="159"/>
      <c r="C76" s="380"/>
      <c r="D76" s="160"/>
      <c r="E76" s="228"/>
      <c r="F76" s="201"/>
      <c r="G76" s="165" t="n">
        <v>6</v>
      </c>
      <c r="H76" s="165"/>
      <c r="I76" s="228"/>
      <c r="J76" s="178"/>
      <c r="K76" s="164"/>
      <c r="L76" s="92"/>
      <c r="M76" s="230"/>
      <c r="N76" s="372"/>
    </row>
    <row r="77" customFormat="false" ht="17.45" hidden="false" customHeight="true" outlineLevel="0" collapsed="false">
      <c r="B77" s="159"/>
      <c r="C77" s="380"/>
      <c r="D77" s="160"/>
      <c r="E77" s="228"/>
      <c r="F77" s="201"/>
      <c r="G77" s="165" t="n">
        <v>7</v>
      </c>
      <c r="H77" s="165"/>
      <c r="I77" s="228"/>
      <c r="J77" s="178"/>
      <c r="K77" s="164"/>
      <c r="L77" s="92"/>
      <c r="M77" s="230"/>
      <c r="N77" s="372"/>
    </row>
    <row r="78" customFormat="false" ht="17.45" hidden="false" customHeight="true" outlineLevel="0" collapsed="false">
      <c r="B78" s="159"/>
      <c r="C78" s="380"/>
      <c r="D78" s="160"/>
      <c r="E78" s="228"/>
      <c r="F78" s="201"/>
      <c r="G78" s="167" t="n">
        <v>8</v>
      </c>
      <c r="H78" s="167"/>
      <c r="I78" s="228"/>
      <c r="J78" s="178"/>
      <c r="K78" s="164"/>
      <c r="L78" s="92"/>
      <c r="M78" s="230"/>
      <c r="N78" s="372"/>
    </row>
    <row r="79" customFormat="false" ht="17.45" hidden="false" customHeight="true" outlineLevel="0" collapsed="false">
      <c r="B79" s="159" t="str">
        <f aca="false">+LEFT(C79,5)</f>
        <v>17.3</v>
      </c>
      <c r="C79" s="279" t="s">
        <v>466</v>
      </c>
      <c r="D79" s="160" t="s">
        <v>307</v>
      </c>
      <c r="E79" s="200" t="s">
        <v>467</v>
      </c>
      <c r="F79" s="201" t="n">
        <v>3</v>
      </c>
      <c r="G79" s="162" t="n">
        <v>1</v>
      </c>
      <c r="H79" s="229" t="s">
        <v>460</v>
      </c>
      <c r="I79" s="173" t="s">
        <v>461</v>
      </c>
      <c r="J79" s="178" t="n">
        <v>3</v>
      </c>
      <c r="K79" s="164" t="str">
        <f aca="false">+IF(OR(ISBLANK(F79),ISBLANK(J79)),"",IF(OR(AND(F79=1,J79=1),AND(F79=1,J79=2),AND(F79=1,J79=3)),"Deficiencia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92" t="n">
        <f aca="false">+IF(K79="",312,IF(K79="Deficiencia de control mayor (diseño y ejecución)",320,IF(K79="Deficiencia de control (diseño o ejecución)",340,IF(K79="Oportunidad de mejora",360,380))))</f>
        <v>380</v>
      </c>
      <c r="M79" s="230" t="n">
        <v>6.5632</v>
      </c>
      <c r="N79" s="372" t="n">
        <f aca="false">+L79+M79</f>
        <v>386.5632</v>
      </c>
    </row>
    <row r="80" customFormat="false" ht="17.45" hidden="false" customHeight="true" outlineLevel="0" collapsed="false">
      <c r="B80" s="159"/>
      <c r="C80" s="279"/>
      <c r="D80" s="160"/>
      <c r="E80" s="200"/>
      <c r="F80" s="201"/>
      <c r="G80" s="165" t="n">
        <v>2</v>
      </c>
      <c r="H80" s="165"/>
      <c r="I80" s="173"/>
      <c r="J80" s="178"/>
      <c r="K80" s="164"/>
      <c r="L80" s="92"/>
      <c r="M80" s="230"/>
      <c r="N80" s="372"/>
    </row>
    <row r="81" customFormat="false" ht="17.45" hidden="false" customHeight="true" outlineLevel="0" collapsed="false">
      <c r="B81" s="159"/>
      <c r="C81" s="279"/>
      <c r="D81" s="160"/>
      <c r="E81" s="200"/>
      <c r="F81" s="201"/>
      <c r="G81" s="165" t="n">
        <v>3</v>
      </c>
      <c r="H81" s="165"/>
      <c r="I81" s="173"/>
      <c r="J81" s="178"/>
      <c r="K81" s="164"/>
      <c r="L81" s="92"/>
      <c r="M81" s="230"/>
      <c r="N81" s="372"/>
    </row>
    <row r="82" customFormat="false" ht="17.45" hidden="false" customHeight="true" outlineLevel="0" collapsed="false">
      <c r="B82" s="159"/>
      <c r="C82" s="279"/>
      <c r="D82" s="160"/>
      <c r="E82" s="200"/>
      <c r="F82" s="201"/>
      <c r="G82" s="165" t="n">
        <v>4</v>
      </c>
      <c r="H82" s="165"/>
      <c r="I82" s="173"/>
      <c r="J82" s="178"/>
      <c r="K82" s="164"/>
      <c r="L82" s="92"/>
      <c r="M82" s="230"/>
      <c r="N82" s="372"/>
    </row>
    <row r="83" customFormat="false" ht="17.45" hidden="false" customHeight="true" outlineLevel="0" collapsed="false">
      <c r="B83" s="159"/>
      <c r="C83" s="279"/>
      <c r="D83" s="160"/>
      <c r="E83" s="200"/>
      <c r="F83" s="201"/>
      <c r="G83" s="165" t="n">
        <v>5</v>
      </c>
      <c r="H83" s="165"/>
      <c r="I83" s="173"/>
      <c r="J83" s="178"/>
      <c r="K83" s="164"/>
      <c r="L83" s="92"/>
      <c r="M83" s="230"/>
      <c r="N83" s="372"/>
    </row>
    <row r="84" customFormat="false" ht="17.45" hidden="false" customHeight="true" outlineLevel="0" collapsed="false">
      <c r="B84" s="159"/>
      <c r="C84" s="279"/>
      <c r="D84" s="160"/>
      <c r="E84" s="200"/>
      <c r="F84" s="201"/>
      <c r="G84" s="165" t="n">
        <v>6</v>
      </c>
      <c r="H84" s="165"/>
      <c r="I84" s="173"/>
      <c r="J84" s="178"/>
      <c r="K84" s="164"/>
      <c r="L84" s="92"/>
      <c r="M84" s="230"/>
      <c r="N84" s="372"/>
    </row>
    <row r="85" customFormat="false" ht="17.45" hidden="false" customHeight="true" outlineLevel="0" collapsed="false">
      <c r="B85" s="159"/>
      <c r="C85" s="279"/>
      <c r="D85" s="160"/>
      <c r="E85" s="200"/>
      <c r="F85" s="201"/>
      <c r="G85" s="165" t="n">
        <v>7</v>
      </c>
      <c r="H85" s="165"/>
      <c r="I85" s="173"/>
      <c r="J85" s="178"/>
      <c r="K85" s="164"/>
      <c r="L85" s="92"/>
      <c r="M85" s="230"/>
      <c r="N85" s="372"/>
    </row>
    <row r="86" customFormat="false" ht="17.45" hidden="false" customHeight="true" outlineLevel="0" collapsed="false">
      <c r="B86" s="159"/>
      <c r="C86" s="279"/>
      <c r="D86" s="160"/>
      <c r="E86" s="200"/>
      <c r="F86" s="201"/>
      <c r="G86" s="167" t="n">
        <v>8</v>
      </c>
      <c r="H86" s="167"/>
      <c r="I86" s="173"/>
      <c r="J86" s="178"/>
      <c r="K86" s="164"/>
      <c r="L86" s="92"/>
      <c r="M86" s="230"/>
      <c r="N86" s="372"/>
    </row>
    <row r="87" customFormat="false" ht="17.45" hidden="false" customHeight="true" outlineLevel="0" collapsed="false">
      <c r="B87" s="159" t="str">
        <f aca="false">+LEFT(C87,5)</f>
        <v>17.4</v>
      </c>
      <c r="C87" s="279" t="s">
        <v>468</v>
      </c>
      <c r="D87" s="160" t="s">
        <v>307</v>
      </c>
      <c r="E87" s="238" t="s">
        <v>469</v>
      </c>
      <c r="F87" s="201" t="n">
        <v>3</v>
      </c>
      <c r="G87" s="162" t="n">
        <v>1</v>
      </c>
      <c r="H87" s="381" t="s">
        <v>470</v>
      </c>
      <c r="I87" s="173" t="s">
        <v>461</v>
      </c>
      <c r="J87" s="178" t="n">
        <v>3</v>
      </c>
      <c r="K87" s="164" t="str">
        <f aca="false">+IF(OR(ISBLANK(F87),ISBLANK(J87)),"",IF(OR(AND(F87=1,J87=1),AND(F87=1,J87=2),AND(F87=1,J87=3)),"Deficiencia de control mayor (diseño y ejecución)",IF(OR(AND(F87=2,J87=2),AND(F87=3,J87=1),AND(F87=3,J87=2),AND(F87=2,J87=1)),"Deficiencia de control (diseño o ejecución)",IF(AND(F87=2,J87=3),"Oportunidad de mejora","Mantenimiento del control"))))</f>
        <v>Mantenimiento del control</v>
      </c>
      <c r="L87" s="92" t="n">
        <f aca="false">+IF(K87="",312,IF(K87="Deficiencia de control mayor (diseño y ejecución)",320,IF(K87="Deficiencia de control (diseño o ejecución)",340,IF(K87="Oportunidad de mejora",360,380))))</f>
        <v>380</v>
      </c>
      <c r="M87" s="230" t="n">
        <v>6.7854</v>
      </c>
      <c r="N87" s="372" t="n">
        <f aca="false">+L87+M87</f>
        <v>386.7854</v>
      </c>
    </row>
    <row r="88" customFormat="false" ht="17.45" hidden="false" customHeight="true" outlineLevel="0" collapsed="false">
      <c r="B88" s="159"/>
      <c r="C88" s="279"/>
      <c r="D88" s="160"/>
      <c r="E88" s="238"/>
      <c r="F88" s="201"/>
      <c r="G88" s="165" t="n">
        <v>2</v>
      </c>
      <c r="H88" s="176"/>
      <c r="I88" s="173"/>
      <c r="J88" s="178"/>
      <c r="K88" s="164"/>
      <c r="L88" s="92"/>
      <c r="M88" s="230"/>
      <c r="N88" s="372"/>
    </row>
    <row r="89" customFormat="false" ht="17.45" hidden="false" customHeight="true" outlineLevel="0" collapsed="false">
      <c r="B89" s="159"/>
      <c r="C89" s="279"/>
      <c r="D89" s="160"/>
      <c r="E89" s="238"/>
      <c r="F89" s="201"/>
      <c r="G89" s="165" t="n">
        <v>3</v>
      </c>
      <c r="H89" s="176"/>
      <c r="I89" s="173"/>
      <c r="J89" s="178"/>
      <c r="K89" s="164"/>
      <c r="L89" s="92"/>
      <c r="M89" s="230"/>
      <c r="N89" s="372"/>
    </row>
    <row r="90" customFormat="false" ht="17.45" hidden="false" customHeight="true" outlineLevel="0" collapsed="false">
      <c r="B90" s="159"/>
      <c r="C90" s="279"/>
      <c r="D90" s="160"/>
      <c r="E90" s="238"/>
      <c r="F90" s="201"/>
      <c r="G90" s="165" t="n">
        <v>4</v>
      </c>
      <c r="H90" s="176"/>
      <c r="I90" s="173"/>
      <c r="J90" s="178"/>
      <c r="K90" s="164"/>
      <c r="L90" s="92"/>
      <c r="M90" s="230"/>
      <c r="N90" s="372"/>
    </row>
    <row r="91" customFormat="false" ht="17.45" hidden="false" customHeight="true" outlineLevel="0" collapsed="false">
      <c r="B91" s="159"/>
      <c r="C91" s="279"/>
      <c r="D91" s="160"/>
      <c r="E91" s="238"/>
      <c r="F91" s="201"/>
      <c r="G91" s="165" t="n">
        <v>5</v>
      </c>
      <c r="H91" s="176"/>
      <c r="I91" s="173"/>
      <c r="J91" s="178"/>
      <c r="K91" s="164"/>
      <c r="L91" s="92"/>
      <c r="M91" s="230"/>
      <c r="N91" s="372"/>
    </row>
    <row r="92" customFormat="false" ht="17.45" hidden="false" customHeight="true" outlineLevel="0" collapsed="false">
      <c r="B92" s="159"/>
      <c r="C92" s="279"/>
      <c r="D92" s="160"/>
      <c r="E92" s="238"/>
      <c r="F92" s="201"/>
      <c r="G92" s="165" t="n">
        <v>6</v>
      </c>
      <c r="H92" s="176"/>
      <c r="I92" s="173"/>
      <c r="J92" s="178"/>
      <c r="K92" s="164"/>
      <c r="L92" s="92"/>
      <c r="M92" s="230"/>
      <c r="N92" s="372"/>
    </row>
    <row r="93" customFormat="false" ht="17.45" hidden="false" customHeight="true" outlineLevel="0" collapsed="false">
      <c r="B93" s="159"/>
      <c r="C93" s="279"/>
      <c r="D93" s="160"/>
      <c r="E93" s="238"/>
      <c r="F93" s="201"/>
      <c r="G93" s="165" t="n">
        <v>7</v>
      </c>
      <c r="H93" s="176"/>
      <c r="I93" s="173"/>
      <c r="J93" s="178"/>
      <c r="K93" s="164"/>
      <c r="L93" s="92"/>
      <c r="M93" s="230"/>
      <c r="N93" s="372"/>
    </row>
    <row r="94" customFormat="false" ht="17.45" hidden="false" customHeight="true" outlineLevel="0" collapsed="false">
      <c r="B94" s="159"/>
      <c r="C94" s="279"/>
      <c r="D94" s="160"/>
      <c r="E94" s="238"/>
      <c r="F94" s="201"/>
      <c r="G94" s="167" t="n">
        <v>8</v>
      </c>
      <c r="H94" s="167"/>
      <c r="I94" s="173"/>
      <c r="J94" s="178"/>
      <c r="K94" s="164"/>
      <c r="L94" s="92"/>
      <c r="M94" s="230"/>
      <c r="N94" s="372"/>
    </row>
    <row r="95" customFormat="false" ht="17.45" hidden="false" customHeight="true" outlineLevel="0" collapsed="false">
      <c r="B95" s="159" t="str">
        <f aca="false">+LEFT(C95,5)</f>
        <v>17.5</v>
      </c>
      <c r="C95" s="382" t="s">
        <v>471</v>
      </c>
      <c r="D95" s="383" t="s">
        <v>307</v>
      </c>
      <c r="E95" s="238" t="s">
        <v>472</v>
      </c>
      <c r="F95" s="201" t="n">
        <v>3</v>
      </c>
      <c r="G95" s="162" t="n">
        <v>1</v>
      </c>
      <c r="H95" s="381" t="s">
        <v>470</v>
      </c>
      <c r="I95" s="173" t="s">
        <v>473</v>
      </c>
      <c r="J95" s="178" t="n">
        <v>2</v>
      </c>
      <c r="K95" s="164" t="str">
        <f aca="false">+IF(OR(ISBLANK(F95),ISBLANK(J95)),"",IF(OR(AND(F95=1,J95=1),AND(F95=1,J95=2),AND(F95=1,J95=3)),"Deficiencia de control mayor (diseño y ejecución)",IF(OR(AND(F95=2,J95=2),AND(F95=3,J95=1),AND(F95=3,J95=2),AND(F95=2,J95=1)),"Deficiencia de control (diseño o ejecución)",IF(AND(F95=2,J95=3),"Oportunidad de mejora","Mantenimiento del control"))))</f>
        <v>Deficiencia de control (diseño o ejecución)</v>
      </c>
      <c r="L95" s="92" t="n">
        <f aca="false">+IF(K95="",312,IF(K95="Deficiencia de control mayor (diseño y ejecución)",320,IF(K95="Deficiencia de control (diseño o ejecución)",340,IF(K95="Oportunidad de mejora",360,380))))</f>
        <v>340</v>
      </c>
      <c r="M95" s="230" t="n">
        <v>6.8745</v>
      </c>
      <c r="N95" s="372" t="n">
        <f aca="false">+L95+M95</f>
        <v>346.8745</v>
      </c>
    </row>
    <row r="96" customFormat="false" ht="17.45" hidden="false" customHeight="true" outlineLevel="0" collapsed="false">
      <c r="B96" s="159"/>
      <c r="C96" s="382"/>
      <c r="D96" s="383"/>
      <c r="E96" s="238"/>
      <c r="F96" s="201"/>
      <c r="G96" s="165" t="n">
        <v>2</v>
      </c>
      <c r="H96" s="176"/>
      <c r="I96" s="173"/>
      <c r="J96" s="178"/>
      <c r="K96" s="164"/>
      <c r="L96" s="92"/>
      <c r="M96" s="230"/>
      <c r="N96" s="372"/>
    </row>
    <row r="97" customFormat="false" ht="17.45" hidden="false" customHeight="true" outlineLevel="0" collapsed="false">
      <c r="B97" s="159"/>
      <c r="C97" s="382"/>
      <c r="D97" s="383"/>
      <c r="E97" s="238"/>
      <c r="F97" s="201"/>
      <c r="G97" s="165" t="n">
        <v>3</v>
      </c>
      <c r="H97" s="176"/>
      <c r="I97" s="173"/>
      <c r="J97" s="178"/>
      <c r="K97" s="164"/>
      <c r="L97" s="92"/>
      <c r="M97" s="230"/>
      <c r="N97" s="372"/>
    </row>
    <row r="98" customFormat="false" ht="17.45" hidden="false" customHeight="true" outlineLevel="0" collapsed="false">
      <c r="B98" s="159"/>
      <c r="C98" s="382"/>
      <c r="D98" s="383"/>
      <c r="E98" s="238"/>
      <c r="F98" s="201"/>
      <c r="G98" s="165" t="n">
        <v>4</v>
      </c>
      <c r="H98" s="176"/>
      <c r="I98" s="173"/>
      <c r="J98" s="178"/>
      <c r="K98" s="164"/>
      <c r="L98" s="92"/>
      <c r="M98" s="230"/>
      <c r="N98" s="372"/>
    </row>
    <row r="99" customFormat="false" ht="17.45" hidden="false" customHeight="true" outlineLevel="0" collapsed="false">
      <c r="B99" s="159"/>
      <c r="C99" s="382"/>
      <c r="D99" s="383"/>
      <c r="E99" s="238"/>
      <c r="F99" s="201"/>
      <c r="G99" s="165" t="n">
        <v>5</v>
      </c>
      <c r="H99" s="176"/>
      <c r="I99" s="173"/>
      <c r="J99" s="178"/>
      <c r="K99" s="164"/>
      <c r="L99" s="92"/>
      <c r="M99" s="230"/>
      <c r="N99" s="372"/>
    </row>
    <row r="100" customFormat="false" ht="17.45" hidden="false" customHeight="true" outlineLevel="0" collapsed="false">
      <c r="B100" s="159"/>
      <c r="C100" s="382"/>
      <c r="D100" s="383"/>
      <c r="E100" s="238"/>
      <c r="F100" s="201"/>
      <c r="G100" s="165" t="n">
        <v>6</v>
      </c>
      <c r="H100" s="176"/>
      <c r="I100" s="173"/>
      <c r="J100" s="178"/>
      <c r="K100" s="164"/>
      <c r="L100" s="92"/>
      <c r="M100" s="230"/>
      <c r="N100" s="372"/>
    </row>
    <row r="101" customFormat="false" ht="17.45" hidden="false" customHeight="true" outlineLevel="0" collapsed="false">
      <c r="B101" s="159"/>
      <c r="C101" s="382"/>
      <c r="D101" s="383"/>
      <c r="E101" s="238"/>
      <c r="F101" s="201"/>
      <c r="G101" s="165" t="n">
        <v>7</v>
      </c>
      <c r="H101" s="176"/>
      <c r="I101" s="173"/>
      <c r="J101" s="178"/>
      <c r="K101" s="164"/>
      <c r="L101" s="92"/>
      <c r="M101" s="230"/>
      <c r="N101" s="372"/>
    </row>
    <row r="102" customFormat="false" ht="17.45" hidden="false" customHeight="true" outlineLevel="0" collapsed="false">
      <c r="B102" s="159"/>
      <c r="C102" s="382"/>
      <c r="D102" s="383"/>
      <c r="E102" s="238"/>
      <c r="F102" s="201"/>
      <c r="G102" s="167" t="n">
        <v>8</v>
      </c>
      <c r="H102" s="167"/>
      <c r="I102" s="173"/>
      <c r="J102" s="178"/>
      <c r="K102" s="164"/>
      <c r="L102" s="92"/>
      <c r="M102" s="230"/>
      <c r="N102" s="372"/>
    </row>
    <row r="103" customFormat="false" ht="17.45" hidden="false" customHeight="true" outlineLevel="0" collapsed="false">
      <c r="B103" s="159" t="str">
        <f aca="false">+LEFT(C103,5)</f>
        <v>17.6</v>
      </c>
      <c r="C103" s="279" t="s">
        <v>474</v>
      </c>
      <c r="D103" s="160" t="s">
        <v>475</v>
      </c>
      <c r="E103" s="173" t="s">
        <v>476</v>
      </c>
      <c r="F103" s="201" t="n">
        <v>3</v>
      </c>
      <c r="G103" s="162" t="n">
        <v>1</v>
      </c>
      <c r="H103" s="381" t="s">
        <v>477</v>
      </c>
      <c r="I103" s="173" t="s">
        <v>478</v>
      </c>
      <c r="J103" s="178" t="n">
        <v>3</v>
      </c>
      <c r="K103" s="164" t="str">
        <f aca="false">+IF(OR(ISBLANK(F103),ISBLANK(J103)),"",IF(OR(AND(F103=1,J103=1),AND(F103=1,J103=2),AND(F103=1,J103=3)),"Deficiencia de control mayor (diseño y ejecución)",IF(OR(AND(F103=2,J103=2),AND(F103=3,J103=1),AND(F103=3,J103=2),AND(F103=2,J103=1)),"Deficiencia de control (diseño o ejecución)",IF(AND(F103=2,J103=3),"Oportunidad de mejora","Mantenimiento del control"))))</f>
        <v>Mantenimiento del control</v>
      </c>
      <c r="L103" s="92" t="n">
        <f aca="false">+IF(K103="",312,IF(K103="Deficiencia de control mayor (diseño y ejecución)",320,IF(K103="Deficiencia de control (diseño o ejecución)",340,IF(K103="Oportunidad de mejora",360,380))))</f>
        <v>380</v>
      </c>
      <c r="M103" s="230" t="n">
        <v>6.9874</v>
      </c>
      <c r="N103" s="372" t="n">
        <f aca="false">+L103+M103</f>
        <v>386.9874</v>
      </c>
    </row>
    <row r="104" customFormat="false" ht="17.45" hidden="false" customHeight="true" outlineLevel="0" collapsed="false">
      <c r="B104" s="159"/>
      <c r="C104" s="279"/>
      <c r="D104" s="160"/>
      <c r="E104" s="173"/>
      <c r="F104" s="201"/>
      <c r="G104" s="165" t="n">
        <v>2</v>
      </c>
      <c r="H104" s="165"/>
      <c r="I104" s="173"/>
      <c r="J104" s="178"/>
      <c r="K104" s="164"/>
      <c r="L104" s="92"/>
      <c r="M104" s="230"/>
      <c r="N104" s="372"/>
    </row>
    <row r="105" customFormat="false" ht="17.45" hidden="false" customHeight="true" outlineLevel="0" collapsed="false">
      <c r="B105" s="159"/>
      <c r="C105" s="279"/>
      <c r="D105" s="160"/>
      <c r="E105" s="173"/>
      <c r="F105" s="201"/>
      <c r="G105" s="165" t="n">
        <v>3</v>
      </c>
      <c r="H105" s="165"/>
      <c r="I105" s="173"/>
      <c r="J105" s="178"/>
      <c r="K105" s="164"/>
      <c r="L105" s="92"/>
      <c r="M105" s="230"/>
      <c r="N105" s="372"/>
    </row>
    <row r="106" customFormat="false" ht="17.45" hidden="false" customHeight="true" outlineLevel="0" collapsed="false">
      <c r="B106" s="159"/>
      <c r="C106" s="279"/>
      <c r="D106" s="160"/>
      <c r="E106" s="173"/>
      <c r="F106" s="201"/>
      <c r="G106" s="165" t="n">
        <v>4</v>
      </c>
      <c r="H106" s="165"/>
      <c r="I106" s="173"/>
      <c r="J106" s="178"/>
      <c r="K106" s="164"/>
      <c r="L106" s="92"/>
      <c r="M106" s="230"/>
      <c r="N106" s="372"/>
    </row>
    <row r="107" customFormat="false" ht="17.45" hidden="false" customHeight="true" outlineLevel="0" collapsed="false">
      <c r="B107" s="159"/>
      <c r="C107" s="279"/>
      <c r="D107" s="160"/>
      <c r="E107" s="173"/>
      <c r="F107" s="201"/>
      <c r="G107" s="165" t="n">
        <v>5</v>
      </c>
      <c r="H107" s="165"/>
      <c r="I107" s="173"/>
      <c r="J107" s="178"/>
      <c r="K107" s="164"/>
      <c r="L107" s="92"/>
      <c r="M107" s="230"/>
      <c r="N107" s="372"/>
    </row>
    <row r="108" customFormat="false" ht="17.45" hidden="false" customHeight="true" outlineLevel="0" collapsed="false">
      <c r="B108" s="159"/>
      <c r="C108" s="279"/>
      <c r="D108" s="160"/>
      <c r="E108" s="173"/>
      <c r="F108" s="201"/>
      <c r="G108" s="165" t="n">
        <v>6</v>
      </c>
      <c r="H108" s="165"/>
      <c r="I108" s="173"/>
      <c r="J108" s="178"/>
      <c r="K108" s="164"/>
      <c r="L108" s="92"/>
      <c r="M108" s="230"/>
      <c r="N108" s="372"/>
    </row>
    <row r="109" customFormat="false" ht="17.45" hidden="false" customHeight="true" outlineLevel="0" collapsed="false">
      <c r="B109" s="159"/>
      <c r="C109" s="279"/>
      <c r="D109" s="160"/>
      <c r="E109" s="173"/>
      <c r="F109" s="201"/>
      <c r="G109" s="165" t="n">
        <v>7</v>
      </c>
      <c r="H109" s="165"/>
      <c r="I109" s="173"/>
      <c r="J109" s="178"/>
      <c r="K109" s="164"/>
      <c r="L109" s="92"/>
      <c r="M109" s="230"/>
      <c r="N109" s="372"/>
    </row>
    <row r="110" customFormat="false" ht="17.45" hidden="false" customHeight="true" outlineLevel="0" collapsed="false">
      <c r="B110" s="159"/>
      <c r="C110" s="279"/>
      <c r="D110" s="160"/>
      <c r="E110" s="173"/>
      <c r="F110" s="201"/>
      <c r="G110" s="167" t="n">
        <v>8</v>
      </c>
      <c r="H110" s="167"/>
      <c r="I110" s="173"/>
      <c r="J110" s="178"/>
      <c r="K110" s="164"/>
      <c r="L110" s="92"/>
      <c r="M110" s="230"/>
      <c r="N110" s="372"/>
    </row>
    <row r="111" customFormat="false" ht="17.45" hidden="false" customHeight="true" outlineLevel="0" collapsed="false">
      <c r="B111" s="159" t="str">
        <f aca="false">+LEFT(C111,5)</f>
        <v>17.7</v>
      </c>
      <c r="C111" s="384" t="s">
        <v>479</v>
      </c>
      <c r="D111" s="160" t="s">
        <v>480</v>
      </c>
      <c r="E111" s="200" t="s">
        <v>481</v>
      </c>
      <c r="F111" s="201" t="n">
        <v>3</v>
      </c>
      <c r="G111" s="162" t="n">
        <v>1</v>
      </c>
      <c r="H111" s="381" t="s">
        <v>482</v>
      </c>
      <c r="I111" s="173" t="s">
        <v>483</v>
      </c>
      <c r="J111" s="178" t="n">
        <v>2</v>
      </c>
      <c r="K111" s="164" t="str">
        <f aca="false">+IF(OR(ISBLANK(F111),ISBLANK(J111)),"",IF(OR(AND(F111=1,J111=1),AND(F111=1,J111=2),AND(F111=1,J111=3)),"Deficiencia de control mayor (diseño y ejecución)",IF(OR(AND(F111=2,J111=2),AND(F111=3,J111=1),AND(F111=3,J111=2),AND(F111=2,J111=1)),"Deficiencia de control (diseño o ejecución)",IF(AND(F111=2,J111=3),"Oportunidad de mejora","Mantenimiento del control"))))</f>
        <v>Deficiencia de control (diseño o ejecución)</v>
      </c>
      <c r="L111" s="92" t="n">
        <f aca="false">+IF(K111="",312,IF(K111="Deficiencia de control mayor (diseño y ejecución)",320,IF(K111="Deficiencia de control (diseño o ejecución)",340,IF(K111="Oportunidad de mejora",360,380))))</f>
        <v>340</v>
      </c>
      <c r="M111" s="230" t="n">
        <v>6.98745</v>
      </c>
      <c r="N111" s="372" t="n">
        <f aca="false">+L111+M111</f>
        <v>346.98745</v>
      </c>
    </row>
    <row r="112" customFormat="false" ht="17.45" hidden="false" customHeight="true" outlineLevel="0" collapsed="false">
      <c r="B112" s="159"/>
      <c r="C112" s="384"/>
      <c r="D112" s="160"/>
      <c r="E112" s="200"/>
      <c r="F112" s="201"/>
      <c r="G112" s="165" t="n">
        <v>2</v>
      </c>
      <c r="H112" s="165"/>
      <c r="I112" s="173"/>
      <c r="J112" s="178"/>
      <c r="K112" s="164"/>
      <c r="L112" s="92"/>
      <c r="M112" s="230"/>
      <c r="N112" s="372"/>
    </row>
    <row r="113" customFormat="false" ht="17.45" hidden="false" customHeight="true" outlineLevel="0" collapsed="false">
      <c r="B113" s="159"/>
      <c r="C113" s="384"/>
      <c r="D113" s="160"/>
      <c r="E113" s="200"/>
      <c r="F113" s="201"/>
      <c r="G113" s="165" t="n">
        <v>3</v>
      </c>
      <c r="H113" s="165"/>
      <c r="I113" s="173"/>
      <c r="J113" s="178"/>
      <c r="K113" s="164"/>
      <c r="L113" s="92"/>
      <c r="M113" s="230"/>
      <c r="N113" s="372"/>
    </row>
    <row r="114" customFormat="false" ht="17.45" hidden="false" customHeight="true" outlineLevel="0" collapsed="false">
      <c r="B114" s="159"/>
      <c r="C114" s="384"/>
      <c r="D114" s="160"/>
      <c r="E114" s="200"/>
      <c r="F114" s="201"/>
      <c r="G114" s="165" t="n">
        <v>4</v>
      </c>
      <c r="H114" s="165"/>
      <c r="I114" s="173"/>
      <c r="J114" s="178"/>
      <c r="K114" s="164"/>
      <c r="L114" s="92"/>
      <c r="M114" s="230"/>
      <c r="N114" s="372"/>
    </row>
    <row r="115" customFormat="false" ht="17.45" hidden="false" customHeight="true" outlineLevel="0" collapsed="false">
      <c r="B115" s="159"/>
      <c r="C115" s="384"/>
      <c r="D115" s="160"/>
      <c r="E115" s="200"/>
      <c r="F115" s="201"/>
      <c r="G115" s="165" t="n">
        <v>5</v>
      </c>
      <c r="H115" s="165"/>
      <c r="I115" s="173"/>
      <c r="J115" s="178"/>
      <c r="K115" s="164"/>
      <c r="L115" s="92"/>
      <c r="M115" s="230"/>
      <c r="N115" s="372"/>
    </row>
    <row r="116" customFormat="false" ht="17.45" hidden="false" customHeight="true" outlineLevel="0" collapsed="false">
      <c r="B116" s="159"/>
      <c r="C116" s="384"/>
      <c r="D116" s="160"/>
      <c r="E116" s="200"/>
      <c r="F116" s="201"/>
      <c r="G116" s="165" t="n">
        <v>6</v>
      </c>
      <c r="H116" s="165"/>
      <c r="I116" s="173"/>
      <c r="J116" s="178"/>
      <c r="K116" s="164"/>
      <c r="L116" s="92"/>
      <c r="M116" s="230"/>
      <c r="N116" s="372"/>
    </row>
    <row r="117" customFormat="false" ht="17.45" hidden="false" customHeight="true" outlineLevel="0" collapsed="false">
      <c r="B117" s="159"/>
      <c r="C117" s="384"/>
      <c r="D117" s="160"/>
      <c r="E117" s="200"/>
      <c r="F117" s="201"/>
      <c r="G117" s="165" t="n">
        <v>7</v>
      </c>
      <c r="H117" s="165"/>
      <c r="I117" s="173"/>
      <c r="J117" s="178"/>
      <c r="K117" s="164"/>
      <c r="L117" s="92"/>
      <c r="M117" s="230"/>
      <c r="N117" s="372"/>
    </row>
    <row r="118" customFormat="false" ht="17.45" hidden="false" customHeight="true" outlineLevel="0" collapsed="false">
      <c r="B118" s="159"/>
      <c r="C118" s="384"/>
      <c r="D118" s="160"/>
      <c r="E118" s="200"/>
      <c r="F118" s="201"/>
      <c r="G118" s="167" t="n">
        <v>8</v>
      </c>
      <c r="H118" s="167"/>
      <c r="I118" s="173"/>
      <c r="J118" s="178"/>
      <c r="K118" s="164"/>
      <c r="L118" s="92"/>
      <c r="M118" s="230"/>
      <c r="N118" s="372"/>
    </row>
    <row r="119" customFormat="false" ht="17.45" hidden="false" customHeight="true" outlineLevel="0" collapsed="false">
      <c r="B119" s="159" t="str">
        <f aca="false">+LEFT(C119,5)</f>
        <v>17.8</v>
      </c>
      <c r="C119" s="279" t="s">
        <v>484</v>
      </c>
      <c r="D119" s="160" t="s">
        <v>480</v>
      </c>
      <c r="E119" s="173" t="s">
        <v>485</v>
      </c>
      <c r="F119" s="201" t="n">
        <v>3</v>
      </c>
      <c r="G119" s="274" t="n">
        <v>1</v>
      </c>
      <c r="H119" s="381" t="s">
        <v>470</v>
      </c>
      <c r="I119" s="173" t="s">
        <v>473</v>
      </c>
      <c r="J119" s="178" t="n">
        <v>3</v>
      </c>
      <c r="K119" s="164" t="str">
        <f aca="false">+IF(OR(ISBLANK(F119),ISBLANK(J119)),"",IF(OR(AND(F119=1,J119=1),AND(F119=1,J119=2),AND(F119=1,J119=3)),"Deficiencia de control mayor (diseño y ejecución)",IF(OR(AND(F119=2,J119=2),AND(F119=3,J119=1),AND(F119=3,J119=2),AND(F119=2,J119=1)),"Deficiencia de control (diseño o ejecución)",IF(AND(F119=2,J119=3),"Oportunidad de mejora","Mantenimiento del control"))))</f>
        <v>Mantenimiento del control</v>
      </c>
      <c r="L119" s="92" t="n">
        <f aca="false">+IF(K119="",312,IF(K119="Deficiencia de control mayor (diseño y ejecución)",320,IF(K119="Deficiencia de control (diseño o ejecución)",340,IF(K119="Oportunidad de mejora",360,380))))</f>
        <v>380</v>
      </c>
      <c r="M119" s="230" t="n">
        <v>6.987456</v>
      </c>
      <c r="N119" s="372" t="n">
        <f aca="false">+L119+M119</f>
        <v>386.987456</v>
      </c>
    </row>
    <row r="120" customFormat="false" ht="17.45" hidden="false" customHeight="true" outlineLevel="0" collapsed="false">
      <c r="B120" s="159"/>
      <c r="C120" s="279"/>
      <c r="D120" s="160"/>
      <c r="E120" s="173"/>
      <c r="F120" s="201"/>
      <c r="G120" s="165" t="n">
        <v>2</v>
      </c>
      <c r="H120" s="176"/>
      <c r="I120" s="173"/>
      <c r="J120" s="178"/>
      <c r="K120" s="164"/>
      <c r="L120" s="92"/>
      <c r="M120" s="230"/>
      <c r="N120" s="372"/>
    </row>
    <row r="121" customFormat="false" ht="17.45" hidden="false" customHeight="true" outlineLevel="0" collapsed="false">
      <c r="B121" s="159"/>
      <c r="C121" s="279"/>
      <c r="D121" s="160"/>
      <c r="E121" s="173"/>
      <c r="F121" s="201"/>
      <c r="G121" s="165" t="n">
        <v>3</v>
      </c>
      <c r="H121" s="176"/>
      <c r="I121" s="173"/>
      <c r="J121" s="178"/>
      <c r="K121" s="164"/>
      <c r="L121" s="92"/>
      <c r="M121" s="230"/>
      <c r="N121" s="372"/>
    </row>
    <row r="122" customFormat="false" ht="17.45" hidden="false" customHeight="true" outlineLevel="0" collapsed="false">
      <c r="B122" s="159"/>
      <c r="C122" s="279"/>
      <c r="D122" s="160"/>
      <c r="E122" s="173"/>
      <c r="F122" s="201"/>
      <c r="G122" s="165" t="n">
        <v>4</v>
      </c>
      <c r="H122" s="176"/>
      <c r="I122" s="173"/>
      <c r="J122" s="178"/>
      <c r="K122" s="164"/>
      <c r="L122" s="92"/>
      <c r="M122" s="230"/>
      <c r="N122" s="372"/>
    </row>
    <row r="123" customFormat="false" ht="17.45" hidden="false" customHeight="true" outlineLevel="0" collapsed="false">
      <c r="B123" s="159"/>
      <c r="C123" s="279"/>
      <c r="D123" s="160"/>
      <c r="E123" s="173"/>
      <c r="F123" s="201"/>
      <c r="G123" s="165" t="n">
        <v>5</v>
      </c>
      <c r="H123" s="176"/>
      <c r="I123" s="173"/>
      <c r="J123" s="178"/>
      <c r="K123" s="164"/>
      <c r="L123" s="92"/>
      <c r="M123" s="230"/>
      <c r="N123" s="372"/>
    </row>
    <row r="124" customFormat="false" ht="17.45" hidden="false" customHeight="true" outlineLevel="0" collapsed="false">
      <c r="B124" s="159"/>
      <c r="C124" s="279"/>
      <c r="D124" s="160"/>
      <c r="E124" s="173"/>
      <c r="F124" s="201"/>
      <c r="G124" s="165" t="n">
        <v>6</v>
      </c>
      <c r="H124" s="176"/>
      <c r="I124" s="173"/>
      <c r="J124" s="178"/>
      <c r="K124" s="164"/>
      <c r="L124" s="92"/>
      <c r="M124" s="230"/>
      <c r="N124" s="372"/>
    </row>
    <row r="125" customFormat="false" ht="17.45" hidden="false" customHeight="true" outlineLevel="0" collapsed="false">
      <c r="B125" s="159"/>
      <c r="C125" s="279"/>
      <c r="D125" s="160"/>
      <c r="E125" s="173"/>
      <c r="F125" s="201"/>
      <c r="G125" s="165" t="n">
        <v>7</v>
      </c>
      <c r="H125" s="176"/>
      <c r="I125" s="173"/>
      <c r="J125" s="178"/>
      <c r="K125" s="164"/>
      <c r="L125" s="92"/>
      <c r="M125" s="230"/>
      <c r="N125" s="372"/>
    </row>
    <row r="126" customFormat="false" ht="17.45" hidden="false" customHeight="true" outlineLevel="0" collapsed="false">
      <c r="B126" s="159"/>
      <c r="C126" s="279"/>
      <c r="D126" s="160"/>
      <c r="E126" s="173"/>
      <c r="F126" s="201"/>
      <c r="G126" s="167" t="n">
        <v>8</v>
      </c>
      <c r="H126" s="167"/>
      <c r="I126" s="173"/>
      <c r="J126" s="178"/>
      <c r="K126" s="164"/>
      <c r="L126" s="92"/>
      <c r="M126" s="230"/>
      <c r="N126" s="372"/>
    </row>
    <row r="127" customFormat="false" ht="17.45" hidden="false" customHeight="true" outlineLevel="0" collapsed="false">
      <c r="B127" s="159" t="str">
        <f aca="false">+LEFT(C127,5)</f>
        <v>17.9</v>
      </c>
      <c r="C127" s="279" t="s">
        <v>486</v>
      </c>
      <c r="D127" s="160" t="s">
        <v>480</v>
      </c>
      <c r="E127" s="228" t="s">
        <v>487</v>
      </c>
      <c r="F127" s="201" t="n">
        <v>3</v>
      </c>
      <c r="G127" s="162" t="n">
        <v>1</v>
      </c>
      <c r="H127" s="381" t="s">
        <v>470</v>
      </c>
      <c r="I127" s="173" t="s">
        <v>473</v>
      </c>
      <c r="J127" s="178" t="n">
        <v>3</v>
      </c>
      <c r="K127" s="164" t="str">
        <f aca="false">+IF(OR(ISBLANK(F127),ISBLANK(J127)),"",IF(OR(AND(F127=1,J127=1),AND(F127=1,J127=2),AND(F127=1,J127=3)),"Deficiencia de control mayor (diseño y ejecución)",IF(OR(AND(F127=2,J127=2),AND(F127=3,J127=1),AND(F127=3,J127=2),AND(F127=2,J127=1)),"Deficiencia de control (diseño o ejecución)",IF(AND(F127=2,J127=3),"Oportunidad de mejora","Mantenimiento del control"))))</f>
        <v>Mantenimiento del control</v>
      </c>
      <c r="L127" s="92" t="n">
        <f aca="false">+IF(K127="",312,IF(K127="Deficiencia de control mayor (diseño y ejecución)",320,IF(K127="Deficiencia de control (diseño o ejecución)",340,IF(K127="Oportunidad de mejora",360,380))))</f>
        <v>380</v>
      </c>
      <c r="M127" s="230" t="n">
        <v>7.0123</v>
      </c>
      <c r="N127" s="372" t="n">
        <f aca="false">+L127+M127</f>
        <v>387.0123</v>
      </c>
    </row>
    <row r="128" customFormat="false" ht="17.45" hidden="false" customHeight="true" outlineLevel="0" collapsed="false">
      <c r="B128" s="159"/>
      <c r="C128" s="279"/>
      <c r="D128" s="160"/>
      <c r="E128" s="228"/>
      <c r="F128" s="201"/>
      <c r="G128" s="165" t="n">
        <v>2</v>
      </c>
      <c r="H128" s="176"/>
      <c r="I128" s="173"/>
      <c r="J128" s="178"/>
      <c r="K128" s="164"/>
      <c r="L128" s="92"/>
      <c r="M128" s="230"/>
      <c r="N128" s="372"/>
    </row>
    <row r="129" customFormat="false" ht="17.45" hidden="false" customHeight="true" outlineLevel="0" collapsed="false">
      <c r="B129" s="159"/>
      <c r="C129" s="279"/>
      <c r="D129" s="160"/>
      <c r="E129" s="228"/>
      <c r="F129" s="201"/>
      <c r="G129" s="165" t="n">
        <v>3</v>
      </c>
      <c r="H129" s="176"/>
      <c r="I129" s="173"/>
      <c r="J129" s="178"/>
      <c r="K129" s="164"/>
      <c r="L129" s="92"/>
      <c r="M129" s="230"/>
      <c r="N129" s="372"/>
    </row>
    <row r="130" customFormat="false" ht="17.45" hidden="false" customHeight="true" outlineLevel="0" collapsed="false">
      <c r="B130" s="159"/>
      <c r="C130" s="279"/>
      <c r="D130" s="160"/>
      <c r="E130" s="228"/>
      <c r="F130" s="201"/>
      <c r="G130" s="165" t="n">
        <v>4</v>
      </c>
      <c r="H130" s="176"/>
      <c r="I130" s="173"/>
      <c r="J130" s="178"/>
      <c r="K130" s="164"/>
      <c r="L130" s="92"/>
      <c r="M130" s="230"/>
      <c r="N130" s="372"/>
    </row>
    <row r="131" customFormat="false" ht="17.45" hidden="false" customHeight="true" outlineLevel="0" collapsed="false">
      <c r="B131" s="159"/>
      <c r="C131" s="279"/>
      <c r="D131" s="160"/>
      <c r="E131" s="228"/>
      <c r="F131" s="201"/>
      <c r="G131" s="165" t="n">
        <v>5</v>
      </c>
      <c r="H131" s="176"/>
      <c r="I131" s="173"/>
      <c r="J131" s="178"/>
      <c r="K131" s="164"/>
      <c r="L131" s="92"/>
      <c r="M131" s="230"/>
      <c r="N131" s="372"/>
    </row>
    <row r="132" customFormat="false" ht="17.45" hidden="false" customHeight="true" outlineLevel="0" collapsed="false">
      <c r="B132" s="159"/>
      <c r="C132" s="279"/>
      <c r="D132" s="160"/>
      <c r="E132" s="228"/>
      <c r="F132" s="201"/>
      <c r="G132" s="165" t="n">
        <v>6</v>
      </c>
      <c r="H132" s="176"/>
      <c r="I132" s="173"/>
      <c r="J132" s="178"/>
      <c r="K132" s="164"/>
      <c r="L132" s="92"/>
      <c r="M132" s="230"/>
      <c r="N132" s="372"/>
    </row>
    <row r="133" customFormat="false" ht="17.45" hidden="false" customHeight="true" outlineLevel="0" collapsed="false">
      <c r="B133" s="159"/>
      <c r="C133" s="279"/>
      <c r="D133" s="160"/>
      <c r="E133" s="228"/>
      <c r="F133" s="201"/>
      <c r="G133" s="165" t="n">
        <v>7</v>
      </c>
      <c r="H133" s="176"/>
      <c r="I133" s="173"/>
      <c r="J133" s="178"/>
      <c r="K133" s="164"/>
      <c r="L133" s="92"/>
      <c r="M133" s="230"/>
      <c r="N133" s="372"/>
    </row>
    <row r="134" customFormat="false" ht="17.45" hidden="false" customHeight="true" outlineLevel="0" collapsed="false">
      <c r="B134" s="159"/>
      <c r="C134" s="279"/>
      <c r="D134" s="160"/>
      <c r="E134" s="228"/>
      <c r="F134" s="201"/>
      <c r="G134" s="167" t="n">
        <v>8</v>
      </c>
      <c r="H134" s="167"/>
      <c r="I134" s="173"/>
      <c r="J134" s="178"/>
      <c r="K134" s="164"/>
      <c r="L134" s="92"/>
      <c r="M134" s="230"/>
      <c r="N134" s="372"/>
    </row>
  </sheetData>
  <sheetProtection algorithmName="SHA-512" hashValue="/tR0gKwhLUIcI41yyV/9oHtI8OFb9GS6nBTWkL/cEQd+nJxyYqlDCIi7nBBZ1npnuwPsuGxD7EEQrWa0+uFnFg==" saltValue="rXYnqHjtiEc5Az5h9Unf3A==" spinCount="100000" sheet="true" objects="true" scenarios="true" formatCells="false" formatColumns="false" formatRows="false"/>
  <mergeCells count="184">
    <mergeCell ref="C14:K14"/>
    <mergeCell ref="C15:K15"/>
    <mergeCell ref="B17:B19"/>
    <mergeCell ref="C17:C19"/>
    <mergeCell ref="D17:D19"/>
    <mergeCell ref="E17:E19"/>
    <mergeCell ref="F17:F19"/>
    <mergeCell ref="G17:I17"/>
    <mergeCell ref="J17:J19"/>
    <mergeCell ref="K17:K19"/>
    <mergeCell ref="L17:L19"/>
    <mergeCell ref="M17:M19"/>
    <mergeCell ref="N17:N19"/>
    <mergeCell ref="G18:G19"/>
    <mergeCell ref="H18:H19"/>
    <mergeCell ref="I18:I19"/>
    <mergeCell ref="B20:B27"/>
    <mergeCell ref="C20:C27"/>
    <mergeCell ref="D20:D27"/>
    <mergeCell ref="E20:E27"/>
    <mergeCell ref="F20:F27"/>
    <mergeCell ref="I20:I27"/>
    <mergeCell ref="J20:J27"/>
    <mergeCell ref="K20:K27"/>
    <mergeCell ref="L20:L27"/>
    <mergeCell ref="M20:M27"/>
    <mergeCell ref="N20:N27"/>
    <mergeCell ref="B28:B35"/>
    <mergeCell ref="C28:C35"/>
    <mergeCell ref="D28:D35"/>
    <mergeCell ref="E28:E35"/>
    <mergeCell ref="F28:F35"/>
    <mergeCell ref="I28:I35"/>
    <mergeCell ref="J28:J35"/>
    <mergeCell ref="K28:K35"/>
    <mergeCell ref="L28:L35"/>
    <mergeCell ref="M28:M35"/>
    <mergeCell ref="N28:N35"/>
    <mergeCell ref="B36:B43"/>
    <mergeCell ref="C36:C43"/>
    <mergeCell ref="D36:D43"/>
    <mergeCell ref="E36:E43"/>
    <mergeCell ref="F36:F43"/>
    <mergeCell ref="I36:I43"/>
    <mergeCell ref="J36:J43"/>
    <mergeCell ref="K36:K43"/>
    <mergeCell ref="L36:L43"/>
    <mergeCell ref="M36:M43"/>
    <mergeCell ref="N36:N43"/>
    <mergeCell ref="B44:B51"/>
    <mergeCell ref="C44:C51"/>
    <mergeCell ref="D44:D51"/>
    <mergeCell ref="E44:E51"/>
    <mergeCell ref="F44:F51"/>
    <mergeCell ref="I44:I51"/>
    <mergeCell ref="J44:J51"/>
    <mergeCell ref="K44:K51"/>
    <mergeCell ref="L44:L51"/>
    <mergeCell ref="M44:M51"/>
    <mergeCell ref="N44:N51"/>
    <mergeCell ref="B52:B59"/>
    <mergeCell ref="C52:C59"/>
    <mergeCell ref="D52:D59"/>
    <mergeCell ref="E52:E59"/>
    <mergeCell ref="F52:F59"/>
    <mergeCell ref="I52:I59"/>
    <mergeCell ref="J52:J59"/>
    <mergeCell ref="K52:K59"/>
    <mergeCell ref="L52:L59"/>
    <mergeCell ref="M52:M59"/>
    <mergeCell ref="N52:N59"/>
    <mergeCell ref="B60:B62"/>
    <mergeCell ref="C60:C62"/>
    <mergeCell ref="D60:D62"/>
    <mergeCell ref="E60:E62"/>
    <mergeCell ref="F60:F62"/>
    <mergeCell ref="G60:I60"/>
    <mergeCell ref="J60:J62"/>
    <mergeCell ref="K60:K62"/>
    <mergeCell ref="L60:L62"/>
    <mergeCell ref="M60:M62"/>
    <mergeCell ref="N60:N62"/>
    <mergeCell ref="G61:G62"/>
    <mergeCell ref="H61:H62"/>
    <mergeCell ref="I61:I62"/>
    <mergeCell ref="B63:B70"/>
    <mergeCell ref="C63:C70"/>
    <mergeCell ref="D63:D70"/>
    <mergeCell ref="E63:E70"/>
    <mergeCell ref="F63:F70"/>
    <mergeCell ref="I63:I70"/>
    <mergeCell ref="J63:J70"/>
    <mergeCell ref="K63:K70"/>
    <mergeCell ref="L63:L70"/>
    <mergeCell ref="M63:M70"/>
    <mergeCell ref="N63:N70"/>
    <mergeCell ref="B71:B78"/>
    <mergeCell ref="C71:C78"/>
    <mergeCell ref="D71:D78"/>
    <mergeCell ref="E71:E78"/>
    <mergeCell ref="F71:F78"/>
    <mergeCell ref="I71:I78"/>
    <mergeCell ref="J71:J78"/>
    <mergeCell ref="K71:K78"/>
    <mergeCell ref="L71:L78"/>
    <mergeCell ref="M71:M78"/>
    <mergeCell ref="N71:N78"/>
    <mergeCell ref="B79:B86"/>
    <mergeCell ref="C79:C86"/>
    <mergeCell ref="D79:D86"/>
    <mergeCell ref="E79:E86"/>
    <mergeCell ref="F79:F86"/>
    <mergeCell ref="I79:I86"/>
    <mergeCell ref="J79:J86"/>
    <mergeCell ref="K79:K86"/>
    <mergeCell ref="L79:L86"/>
    <mergeCell ref="M79:M86"/>
    <mergeCell ref="N79:N86"/>
    <mergeCell ref="B87:B94"/>
    <mergeCell ref="C87:C94"/>
    <mergeCell ref="D87:D94"/>
    <mergeCell ref="E87:E94"/>
    <mergeCell ref="F87:F94"/>
    <mergeCell ref="I87:I94"/>
    <mergeCell ref="J87:J94"/>
    <mergeCell ref="K87:K94"/>
    <mergeCell ref="L87:L94"/>
    <mergeCell ref="M87:M94"/>
    <mergeCell ref="N87:N94"/>
    <mergeCell ref="B95:B102"/>
    <mergeCell ref="C95:C102"/>
    <mergeCell ref="D95:D102"/>
    <mergeCell ref="E95:E102"/>
    <mergeCell ref="F95:F102"/>
    <mergeCell ref="I95:I102"/>
    <mergeCell ref="J95:J102"/>
    <mergeCell ref="K95:K102"/>
    <mergeCell ref="L95:L102"/>
    <mergeCell ref="M95:M102"/>
    <mergeCell ref="N95:N102"/>
    <mergeCell ref="B103:B110"/>
    <mergeCell ref="C103:C110"/>
    <mergeCell ref="D103:D110"/>
    <mergeCell ref="E103:E110"/>
    <mergeCell ref="F103:F110"/>
    <mergeCell ref="I103:I110"/>
    <mergeCell ref="J103:J110"/>
    <mergeCell ref="K103:K110"/>
    <mergeCell ref="L103:L110"/>
    <mergeCell ref="M103:M110"/>
    <mergeCell ref="N103:N110"/>
    <mergeCell ref="B111:B118"/>
    <mergeCell ref="C111:C118"/>
    <mergeCell ref="D111:D118"/>
    <mergeCell ref="E111:E118"/>
    <mergeCell ref="F111:F118"/>
    <mergeCell ref="I111:I118"/>
    <mergeCell ref="J111:J118"/>
    <mergeCell ref="K111:K118"/>
    <mergeCell ref="L111:L118"/>
    <mergeCell ref="M111:M118"/>
    <mergeCell ref="N111:N118"/>
    <mergeCell ref="B119:B126"/>
    <mergeCell ref="C119:C126"/>
    <mergeCell ref="D119:D126"/>
    <mergeCell ref="E119:E126"/>
    <mergeCell ref="F119:F126"/>
    <mergeCell ref="I119:I126"/>
    <mergeCell ref="J119:J126"/>
    <mergeCell ref="K119:K126"/>
    <mergeCell ref="L119:L126"/>
    <mergeCell ref="M119:M126"/>
    <mergeCell ref="N119:N126"/>
    <mergeCell ref="B127:B134"/>
    <mergeCell ref="C127:C134"/>
    <mergeCell ref="D127:D134"/>
    <mergeCell ref="E127:E134"/>
    <mergeCell ref="F127:F134"/>
    <mergeCell ref="I127:I134"/>
    <mergeCell ref="J127:J134"/>
    <mergeCell ref="K127:K134"/>
    <mergeCell ref="L127:L134"/>
    <mergeCell ref="M127:M134"/>
    <mergeCell ref="N127:N134"/>
  </mergeCells>
  <dataValidations count="1">
    <dataValidation allowBlank="true" operator="between" showDropDown="false" showErrorMessage="true" showInputMessage="true" sqref="F20:F59 J20:J59 F63:F134 J63:J134" type="list">
      <formula1>"1,2,3"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V37"/>
  <sheetViews>
    <sheetView showFormulas="false" showGridLines="true" showRowColHeaders="true" showZeros="true" rightToLeft="false" tabSelected="true" showOutlineSymbols="true" defaultGridColor="true" view="normal" topLeftCell="M34" colorId="64" zoomScale="95" zoomScaleNormal="95" zoomScalePageLayoutView="100" workbookViewId="0">
      <selection pane="topLeft" activeCell="M34" activeCellId="0" sqref="M34"/>
    </sheetView>
  </sheetViews>
  <sheetFormatPr defaultColWidth="11.43359375" defaultRowHeight="12.75" zeroHeight="false" outlineLevelRow="0" outlineLevelCol="0"/>
  <cols>
    <col collapsed="false" customWidth="true" hidden="false" outlineLevel="0" max="1" min="1" style="385" width="3.14"/>
    <col collapsed="false" customWidth="true" hidden="false" outlineLevel="0" max="2" min="2" style="385" width="3.42"/>
    <col collapsed="false" customWidth="true" hidden="false" outlineLevel="0" max="3" min="3" style="385" width="35.58"/>
    <col collapsed="false" customWidth="true" hidden="false" outlineLevel="0" max="4" min="4" style="385" width="2.57"/>
    <col collapsed="false" customWidth="true" hidden="false" outlineLevel="0" max="5" min="5" style="385" width="38.7"/>
    <col collapsed="false" customWidth="true" hidden="false" outlineLevel="0" max="6" min="6" style="385" width="10.85"/>
    <col collapsed="false" customWidth="true" hidden="false" outlineLevel="0" max="7" min="7" style="385" width="23.42"/>
    <col collapsed="false" customWidth="true" hidden="false" outlineLevel="0" max="8" min="8" style="385" width="7.57"/>
    <col collapsed="false" customWidth="true" hidden="true" outlineLevel="0" max="9" min="9" style="385" width="244.29"/>
    <col collapsed="false" customWidth="true" hidden="false" outlineLevel="0" max="10" min="10" style="385" width="5.86"/>
    <col collapsed="false" customWidth="true" hidden="false" outlineLevel="0" max="11" min="11" style="385" width="28.14"/>
    <col collapsed="false" customWidth="true" hidden="false" outlineLevel="0" max="12" min="12" style="385" width="4.29"/>
    <col collapsed="false" customWidth="true" hidden="false" outlineLevel="0" max="13" min="13" style="385" width="200.14"/>
    <col collapsed="false" customWidth="true" hidden="false" outlineLevel="0" max="14" min="14" style="385" width="5.86"/>
    <col collapsed="false" customWidth="true" hidden="false" outlineLevel="0" max="15" min="15" style="385" width="24.87"/>
    <col collapsed="false" customWidth="true" hidden="false" outlineLevel="0" max="16" min="16" style="385" width="7"/>
    <col collapsed="false" customWidth="false" hidden="false" outlineLevel="0" max="1024" min="17" style="385" width="11.42"/>
  </cols>
  <sheetData>
    <row r="2" customFormat="false" ht="18" hidden="false" customHeight="true" outlineLevel="0" collapsed="false">
      <c r="B2" s="386"/>
      <c r="C2" s="387"/>
      <c r="D2" s="387"/>
      <c r="E2" s="387"/>
      <c r="F2" s="387"/>
      <c r="G2" s="387"/>
      <c r="H2" s="387"/>
      <c r="I2" s="387"/>
      <c r="J2" s="387"/>
      <c r="K2" s="387"/>
      <c r="L2" s="387"/>
      <c r="M2" s="387"/>
      <c r="N2" s="387"/>
      <c r="O2" s="387"/>
      <c r="P2" s="388"/>
    </row>
    <row r="3" customFormat="false" ht="18" hidden="false" customHeight="true" outlineLevel="0" collapsed="false">
      <c r="B3" s="389"/>
      <c r="C3" s="390"/>
      <c r="D3" s="390"/>
      <c r="E3" s="391" t="s">
        <v>488</v>
      </c>
      <c r="F3" s="392" t="s">
        <v>489</v>
      </c>
      <c r="G3" s="392"/>
      <c r="H3" s="392"/>
      <c r="I3" s="392"/>
      <c r="J3" s="392"/>
      <c r="K3" s="392"/>
      <c r="L3" s="392"/>
      <c r="M3" s="392"/>
      <c r="N3" s="68"/>
      <c r="O3" s="68"/>
      <c r="P3" s="393"/>
    </row>
    <row r="4" customFormat="false" ht="18" hidden="false" customHeight="true" outlineLevel="0" collapsed="false">
      <c r="B4" s="389"/>
      <c r="C4" s="390"/>
      <c r="D4" s="390"/>
      <c r="E4" s="391"/>
      <c r="F4" s="392"/>
      <c r="G4" s="392"/>
      <c r="H4" s="392"/>
      <c r="I4" s="392"/>
      <c r="J4" s="392"/>
      <c r="K4" s="392"/>
      <c r="L4" s="392"/>
      <c r="M4" s="392"/>
      <c r="N4" s="68"/>
      <c r="O4" s="68"/>
      <c r="P4" s="393"/>
    </row>
    <row r="5" customFormat="false" ht="41.25" hidden="false" customHeight="true" outlineLevel="0" collapsed="false">
      <c r="B5" s="389"/>
      <c r="C5" s="390"/>
      <c r="D5" s="390"/>
      <c r="E5" s="394" t="s">
        <v>490</v>
      </c>
      <c r="F5" s="395" t="s">
        <v>491</v>
      </c>
      <c r="G5" s="395"/>
      <c r="H5" s="395"/>
      <c r="I5" s="395"/>
      <c r="J5" s="395"/>
      <c r="K5" s="395"/>
      <c r="L5" s="395"/>
      <c r="M5" s="395"/>
      <c r="N5" s="70"/>
      <c r="O5" s="70"/>
      <c r="P5" s="393"/>
    </row>
    <row r="6" customFormat="false" ht="18" hidden="false" customHeight="true" outlineLevel="0" collapsed="false">
      <c r="B6" s="389"/>
      <c r="C6" s="390"/>
      <c r="D6" s="390"/>
      <c r="E6" s="396"/>
      <c r="F6" s="70"/>
      <c r="G6" s="70"/>
      <c r="H6" s="70"/>
      <c r="I6" s="70"/>
      <c r="J6" s="70"/>
      <c r="K6" s="70"/>
      <c r="L6" s="70"/>
      <c r="M6" s="390"/>
      <c r="N6" s="390"/>
      <c r="O6" s="390"/>
      <c r="P6" s="393"/>
    </row>
    <row r="7" customFormat="false" ht="93" hidden="false" customHeight="true" outlineLevel="0" collapsed="false">
      <c r="B7" s="389"/>
      <c r="C7" s="390"/>
      <c r="D7" s="390"/>
      <c r="E7" s="390"/>
      <c r="F7" s="390"/>
      <c r="G7" s="390"/>
      <c r="H7" s="390"/>
      <c r="I7" s="397" t="s">
        <v>492</v>
      </c>
      <c r="J7" s="397"/>
      <c r="K7" s="397"/>
      <c r="L7" s="390"/>
      <c r="M7" s="398" t="n">
        <f aca="false">+AVERAGE(G25,G27,G29,G31,G33)</f>
        <v>0.923354341736695</v>
      </c>
      <c r="N7" s="399"/>
      <c r="O7" s="399"/>
      <c r="P7" s="393"/>
    </row>
    <row r="8" customFormat="false" ht="18" hidden="false" customHeight="true" outlineLevel="0" collapsed="false">
      <c r="B8" s="389"/>
      <c r="C8" s="390"/>
      <c r="D8" s="390"/>
      <c r="E8" s="390"/>
      <c r="F8" s="390"/>
      <c r="G8" s="390"/>
      <c r="H8" s="390"/>
      <c r="I8" s="390"/>
      <c r="J8" s="390"/>
      <c r="K8" s="390"/>
      <c r="L8" s="390"/>
      <c r="M8" s="400"/>
      <c r="N8" s="400"/>
      <c r="O8" s="400"/>
      <c r="P8" s="393"/>
    </row>
    <row r="9" customFormat="false" ht="18" hidden="false" customHeight="true" outlineLevel="0" collapsed="false">
      <c r="B9" s="389"/>
      <c r="C9" s="390"/>
      <c r="D9" s="390"/>
      <c r="E9" s="390"/>
      <c r="F9" s="390"/>
      <c r="G9" s="390"/>
      <c r="H9" s="390"/>
      <c r="I9" s="390"/>
      <c r="J9" s="390"/>
      <c r="K9" s="390"/>
      <c r="L9" s="390"/>
      <c r="M9" s="390"/>
      <c r="N9" s="390"/>
      <c r="O9" s="390"/>
      <c r="P9" s="393"/>
    </row>
    <row r="10" customFormat="false" ht="12.75" hidden="false" customHeight="false" outlineLevel="0" collapsed="false">
      <c r="B10" s="389"/>
      <c r="C10" s="390"/>
      <c r="D10" s="390"/>
      <c r="E10" s="390"/>
      <c r="F10" s="390"/>
      <c r="G10" s="390"/>
      <c r="H10" s="390"/>
      <c r="I10" s="390"/>
      <c r="J10" s="390"/>
      <c r="K10" s="390"/>
      <c r="L10" s="390"/>
      <c r="M10" s="390"/>
      <c r="N10" s="390"/>
      <c r="O10" s="390"/>
      <c r="P10" s="393"/>
    </row>
    <row r="11" customFormat="false" ht="12.75" hidden="false" customHeight="false" outlineLevel="0" collapsed="false">
      <c r="B11" s="389"/>
      <c r="C11" s="390"/>
      <c r="D11" s="390"/>
      <c r="E11" s="390"/>
      <c r="F11" s="390"/>
      <c r="G11" s="390"/>
      <c r="H11" s="390"/>
      <c r="I11" s="390"/>
      <c r="J11" s="390"/>
      <c r="K11" s="390"/>
      <c r="L11" s="390"/>
      <c r="M11" s="390"/>
      <c r="N11" s="390"/>
      <c r="O11" s="390"/>
      <c r="P11" s="393"/>
    </row>
    <row r="12" customFormat="false" ht="12.75" hidden="false" customHeight="false" outlineLevel="0" collapsed="false">
      <c r="B12" s="389"/>
      <c r="C12" s="390"/>
      <c r="D12" s="390"/>
      <c r="E12" s="390"/>
      <c r="F12" s="390"/>
      <c r="G12" s="390"/>
      <c r="H12" s="390"/>
      <c r="I12" s="390"/>
      <c r="J12" s="390"/>
      <c r="K12" s="390"/>
      <c r="L12" s="390"/>
      <c r="M12" s="390"/>
      <c r="N12" s="390"/>
      <c r="O12" s="390"/>
      <c r="P12" s="393"/>
    </row>
    <row r="13" customFormat="false" ht="12.75" hidden="false" customHeight="false" outlineLevel="0" collapsed="false">
      <c r="B13" s="389"/>
      <c r="C13" s="390"/>
      <c r="D13" s="390"/>
      <c r="E13" s="390"/>
      <c r="F13" s="390"/>
      <c r="G13" s="390"/>
      <c r="H13" s="390"/>
      <c r="I13" s="390"/>
      <c r="J13" s="390"/>
      <c r="K13" s="390"/>
      <c r="L13" s="390"/>
      <c r="M13" s="390"/>
      <c r="N13" s="390"/>
      <c r="O13" s="390"/>
      <c r="P13" s="393"/>
    </row>
    <row r="14" customFormat="false" ht="12.75" hidden="false" customHeight="false" outlineLevel="0" collapsed="false">
      <c r="B14" s="389"/>
      <c r="C14" s="390"/>
      <c r="D14" s="390"/>
      <c r="E14" s="390"/>
      <c r="F14" s="390"/>
      <c r="G14" s="390"/>
      <c r="H14" s="390"/>
      <c r="I14" s="390"/>
      <c r="J14" s="390"/>
      <c r="K14" s="390"/>
      <c r="L14" s="390"/>
      <c r="M14" s="390"/>
      <c r="N14" s="390"/>
      <c r="O14" s="390"/>
      <c r="P14" s="393"/>
    </row>
    <row r="15" customFormat="false" ht="12.75" hidden="false" customHeight="false" outlineLevel="0" collapsed="false">
      <c r="B15" s="389"/>
      <c r="C15" s="390"/>
      <c r="D15" s="390"/>
      <c r="E15" s="390"/>
      <c r="F15" s="390"/>
      <c r="G15" s="390"/>
      <c r="H15" s="390"/>
      <c r="I15" s="390"/>
      <c r="J15" s="390"/>
      <c r="K15" s="390"/>
      <c r="L15" s="390"/>
      <c r="M15" s="390"/>
      <c r="N15" s="390"/>
      <c r="O15" s="390"/>
      <c r="P15" s="393"/>
    </row>
    <row r="16" customFormat="false" ht="12.75" hidden="false" customHeight="false" outlineLevel="0" collapsed="false">
      <c r="B16" s="389"/>
      <c r="C16" s="390"/>
      <c r="D16" s="390"/>
      <c r="E16" s="390"/>
      <c r="F16" s="390"/>
      <c r="G16" s="390"/>
      <c r="H16" s="390"/>
      <c r="I16" s="390"/>
      <c r="J16" s="390"/>
      <c r="K16" s="390"/>
      <c r="L16" s="390"/>
      <c r="M16" s="401"/>
      <c r="N16" s="390"/>
      <c r="O16" s="390"/>
      <c r="P16" s="393"/>
    </row>
    <row r="17" customFormat="false" ht="23.25" hidden="false" customHeight="false" outlineLevel="0" collapsed="false">
      <c r="B17" s="389"/>
      <c r="C17" s="402" t="s">
        <v>493</v>
      </c>
      <c r="D17" s="402"/>
      <c r="E17" s="402"/>
      <c r="F17" s="402"/>
      <c r="G17" s="402"/>
      <c r="H17" s="402"/>
      <c r="I17" s="402"/>
      <c r="J17" s="402"/>
      <c r="K17" s="402"/>
      <c r="L17" s="402"/>
      <c r="M17" s="402"/>
      <c r="N17" s="403"/>
      <c r="O17" s="403"/>
      <c r="P17" s="393"/>
    </row>
    <row r="18" customFormat="false" ht="15.75" hidden="false" customHeight="true" outlineLevel="0" collapsed="false">
      <c r="B18" s="389"/>
      <c r="C18" s="404"/>
      <c r="D18" s="404"/>
      <c r="E18" s="404"/>
      <c r="F18" s="404"/>
      <c r="G18" s="404"/>
      <c r="H18" s="404"/>
      <c r="I18" s="404"/>
      <c r="J18" s="404"/>
      <c r="K18" s="404"/>
      <c r="L18" s="404"/>
      <c r="M18" s="404"/>
      <c r="N18" s="405"/>
      <c r="O18" s="405"/>
      <c r="P18" s="393"/>
    </row>
    <row r="19" customFormat="false" ht="403.5" hidden="false" customHeight="true" outlineLevel="0" collapsed="false">
      <c r="B19" s="389"/>
      <c r="C19" s="406" t="s">
        <v>494</v>
      </c>
      <c r="D19" s="406"/>
      <c r="E19" s="407" t="s">
        <v>495</v>
      </c>
      <c r="F19" s="408" t="s">
        <v>496</v>
      </c>
      <c r="G19" s="408"/>
      <c r="H19" s="408"/>
      <c r="I19" s="408"/>
      <c r="J19" s="408"/>
      <c r="K19" s="408"/>
      <c r="L19" s="408"/>
      <c r="M19" s="408"/>
      <c r="N19" s="409"/>
      <c r="O19" s="409"/>
      <c r="P19" s="393"/>
    </row>
    <row r="20" customFormat="false" ht="90.75" hidden="false" customHeight="true" outlineLevel="0" collapsed="false">
      <c r="B20" s="389"/>
      <c r="C20" s="406" t="s">
        <v>497</v>
      </c>
      <c r="D20" s="406"/>
      <c r="E20" s="407" t="s">
        <v>495</v>
      </c>
      <c r="F20" s="410" t="s">
        <v>498</v>
      </c>
      <c r="G20" s="410"/>
      <c r="H20" s="410"/>
      <c r="I20" s="410"/>
      <c r="J20" s="410"/>
      <c r="K20" s="410"/>
      <c r="L20" s="410"/>
      <c r="M20" s="410"/>
      <c r="N20" s="409"/>
      <c r="O20" s="409"/>
      <c r="P20" s="393"/>
    </row>
    <row r="21" customFormat="false" ht="84.75" hidden="false" customHeight="true" outlineLevel="0" collapsed="false">
      <c r="B21" s="389"/>
      <c r="C21" s="411" t="s">
        <v>499</v>
      </c>
      <c r="D21" s="411"/>
      <c r="E21" s="407" t="s">
        <v>495</v>
      </c>
      <c r="F21" s="410" t="s">
        <v>500</v>
      </c>
      <c r="G21" s="410"/>
      <c r="H21" s="410"/>
      <c r="I21" s="410"/>
      <c r="J21" s="410"/>
      <c r="K21" s="410"/>
      <c r="L21" s="410"/>
      <c r="M21" s="410"/>
      <c r="N21" s="409"/>
      <c r="O21" s="409"/>
      <c r="P21" s="393"/>
    </row>
    <row r="22" customFormat="false" ht="28.5" hidden="false" customHeight="true" outlineLevel="0" collapsed="false">
      <c r="B22" s="389"/>
      <c r="C22" s="390"/>
      <c r="D22" s="390"/>
      <c r="E22" s="390"/>
      <c r="F22" s="390"/>
      <c r="G22" s="412"/>
      <c r="H22" s="390"/>
      <c r="I22" s="390"/>
      <c r="J22" s="390"/>
      <c r="K22" s="390"/>
      <c r="L22" s="390"/>
      <c r="M22" s="390"/>
      <c r="N22" s="390"/>
      <c r="O22" s="390"/>
      <c r="P22" s="393"/>
    </row>
    <row r="23" customFormat="false" ht="102.75" hidden="false" customHeight="true" outlineLevel="0" collapsed="false">
      <c r="B23" s="389"/>
      <c r="C23" s="413" t="s">
        <v>50</v>
      </c>
      <c r="D23" s="414"/>
      <c r="E23" s="415" t="s">
        <v>501</v>
      </c>
      <c r="F23" s="414"/>
      <c r="G23" s="415" t="s">
        <v>502</v>
      </c>
      <c r="H23" s="414"/>
      <c r="I23" s="416" t="s">
        <v>503</v>
      </c>
      <c r="J23" s="417"/>
      <c r="K23" s="418" t="s">
        <v>504</v>
      </c>
      <c r="L23" s="417"/>
      <c r="M23" s="419" t="s">
        <v>505</v>
      </c>
      <c r="N23" s="417"/>
      <c r="O23" s="420" t="s">
        <v>506</v>
      </c>
      <c r="P23" s="393"/>
      <c r="Q23" s="421"/>
    </row>
    <row r="24" customFormat="false" ht="6.75" hidden="false" customHeight="true" outlineLevel="0" collapsed="false">
      <c r="B24" s="389"/>
      <c r="C24" s="422"/>
      <c r="D24" s="423"/>
      <c r="E24" s="423"/>
      <c r="F24" s="423"/>
      <c r="G24" s="423"/>
      <c r="H24" s="423"/>
      <c r="I24" s="424"/>
      <c r="J24" s="423"/>
      <c r="K24" s="424"/>
      <c r="L24" s="423"/>
      <c r="M24" s="423"/>
      <c r="N24" s="423"/>
      <c r="O24" s="423"/>
      <c r="P24" s="393"/>
    </row>
    <row r="25" customFormat="false" ht="409.6" hidden="false" customHeight="true" outlineLevel="0" collapsed="false">
      <c r="B25" s="389"/>
      <c r="C25" s="425" t="s">
        <v>44</v>
      </c>
      <c r="D25" s="426"/>
      <c r="E25" s="427" t="str">
        <f aca="false">+IF(Hoja1!$N$2&gt;=0.5,"Si","No")</f>
        <v>Si</v>
      </c>
      <c r="F25" s="428"/>
      <c r="G25" s="429" t="n">
        <f aca="false">+Hoja1!N2</f>
        <v>0.9375</v>
      </c>
      <c r="H25" s="428"/>
      <c r="I25" s="430" t="s">
        <v>507</v>
      </c>
      <c r="J25" s="431"/>
      <c r="K25" s="432" t="n">
        <v>0.92</v>
      </c>
      <c r="L25" s="433"/>
      <c r="M25" s="434" t="s">
        <v>508</v>
      </c>
      <c r="N25" s="435"/>
      <c r="O25" s="436" t="n">
        <f aca="false">G25-K25</f>
        <v>0.0175</v>
      </c>
      <c r="P25" s="437"/>
      <c r="Q25" s="438"/>
      <c r="R25" s="438"/>
      <c r="S25" s="438"/>
      <c r="T25" s="438"/>
      <c r="U25" s="438"/>
      <c r="V25" s="438"/>
    </row>
    <row r="26" customFormat="false" ht="6.75" hidden="false" customHeight="true" outlineLevel="0" collapsed="false">
      <c r="B26" s="389"/>
      <c r="C26" s="422"/>
      <c r="D26" s="423"/>
      <c r="E26" s="439"/>
      <c r="F26" s="423"/>
      <c r="G26" s="440"/>
      <c r="H26" s="423"/>
      <c r="I26" s="441"/>
      <c r="J26" s="423"/>
      <c r="K26" s="442"/>
      <c r="L26" s="423"/>
      <c r="M26" s="443"/>
      <c r="N26" s="443"/>
      <c r="O26" s="444"/>
      <c r="P26" s="393"/>
    </row>
    <row r="27" customFormat="false" ht="335.25" hidden="false" customHeight="true" outlineLevel="0" collapsed="false">
      <c r="B27" s="389"/>
      <c r="C27" s="445" t="s">
        <v>509</v>
      </c>
      <c r="D27" s="426"/>
      <c r="E27" s="427" t="str">
        <f aca="false">+IF(Hoja1!$N$26&gt;=0.5,"Si","No")</f>
        <v>Si</v>
      </c>
      <c r="F27" s="423"/>
      <c r="G27" s="429" t="n">
        <f aca="false">+Hoja1!N26</f>
        <v>0.941176470588235</v>
      </c>
      <c r="H27" s="423"/>
      <c r="I27" s="430" t="s">
        <v>510</v>
      </c>
      <c r="J27" s="423"/>
      <c r="K27" s="432" t="n">
        <v>0.85</v>
      </c>
      <c r="L27" s="446"/>
      <c r="M27" s="434" t="s">
        <v>511</v>
      </c>
      <c r="N27" s="435"/>
      <c r="O27" s="436" t="n">
        <f aca="false">G27-K27</f>
        <v>0.0911764705882353</v>
      </c>
      <c r="P27" s="393"/>
    </row>
    <row r="28" customFormat="false" ht="6.75" hidden="false" customHeight="true" outlineLevel="0" collapsed="false">
      <c r="B28" s="389"/>
      <c r="C28" s="422"/>
      <c r="D28" s="423"/>
      <c r="E28" s="439"/>
      <c r="F28" s="423"/>
      <c r="G28" s="440"/>
      <c r="H28" s="423"/>
      <c r="I28" s="441"/>
      <c r="J28" s="423"/>
      <c r="K28" s="442"/>
      <c r="L28" s="423"/>
      <c r="M28" s="443"/>
      <c r="N28" s="443"/>
      <c r="O28" s="444"/>
      <c r="P28" s="393"/>
    </row>
    <row r="29" customFormat="false" ht="184.9" hidden="false" customHeight="true" outlineLevel="0" collapsed="false">
      <c r="B29" s="389"/>
      <c r="C29" s="447" t="s">
        <v>512</v>
      </c>
      <c r="D29" s="426"/>
      <c r="E29" s="427" t="str">
        <f aca="false">+IF(Hoja1!$N$43&gt;=0.5,"Si","No")</f>
        <v>Si</v>
      </c>
      <c r="F29" s="423"/>
      <c r="G29" s="429" t="n">
        <f aca="false">+Hoja1!N43</f>
        <v>0.916666666666667</v>
      </c>
      <c r="H29" s="423"/>
      <c r="I29" s="430" t="s">
        <v>513</v>
      </c>
      <c r="J29" s="423"/>
      <c r="K29" s="432" t="n">
        <v>0.92</v>
      </c>
      <c r="L29" s="446"/>
      <c r="M29" s="434" t="s">
        <v>514</v>
      </c>
      <c r="N29" s="435"/>
      <c r="O29" s="436" t="n">
        <f aca="false">G29-K29</f>
        <v>-0.00333333333333341</v>
      </c>
      <c r="P29" s="393"/>
    </row>
    <row r="30" customFormat="false" ht="6.75" hidden="false" customHeight="true" outlineLevel="0" collapsed="false">
      <c r="B30" s="389"/>
      <c r="C30" s="422"/>
      <c r="D30" s="423"/>
      <c r="E30" s="439"/>
      <c r="F30" s="423"/>
      <c r="G30" s="440"/>
      <c r="H30" s="423"/>
      <c r="I30" s="441"/>
      <c r="J30" s="423"/>
      <c r="K30" s="442"/>
      <c r="L30" s="423"/>
      <c r="M30" s="443"/>
      <c r="N30" s="443"/>
      <c r="O30" s="444"/>
      <c r="P30" s="393"/>
    </row>
    <row r="31" customFormat="false" ht="211.15" hidden="false" customHeight="true" outlineLevel="0" collapsed="false">
      <c r="B31" s="389"/>
      <c r="C31" s="448" t="s">
        <v>515</v>
      </c>
      <c r="D31" s="426"/>
      <c r="E31" s="427" t="str">
        <f aca="false">+IF(Hoja1!$N$55&gt;=0.5,"Si","No")</f>
        <v>Si</v>
      </c>
      <c r="F31" s="423"/>
      <c r="G31" s="429" t="n">
        <f aca="false">+Hoja1!N55</f>
        <v>0.892857142857143</v>
      </c>
      <c r="H31" s="423"/>
      <c r="I31" s="430" t="s">
        <v>516</v>
      </c>
      <c r="J31" s="423"/>
      <c r="K31" s="432" t="n">
        <v>0.86</v>
      </c>
      <c r="L31" s="446"/>
      <c r="M31" s="434" t="s">
        <v>517</v>
      </c>
      <c r="N31" s="435"/>
      <c r="O31" s="436" t="n">
        <f aca="false">G31-K31</f>
        <v>0.0328571428571429</v>
      </c>
      <c r="P31" s="393"/>
    </row>
    <row r="32" customFormat="false" ht="6.75" hidden="false" customHeight="true" outlineLevel="0" collapsed="false">
      <c r="B32" s="389"/>
      <c r="C32" s="422"/>
      <c r="D32" s="423"/>
      <c r="E32" s="439"/>
      <c r="F32" s="423"/>
      <c r="G32" s="440"/>
      <c r="H32" s="423"/>
      <c r="I32" s="441"/>
      <c r="J32" s="423"/>
      <c r="K32" s="442"/>
      <c r="L32" s="423"/>
      <c r="M32" s="443"/>
      <c r="N32" s="443"/>
      <c r="O32" s="444"/>
      <c r="P32" s="393"/>
    </row>
    <row r="33" customFormat="false" ht="340.5" hidden="false" customHeight="true" outlineLevel="0" collapsed="false">
      <c r="B33" s="389"/>
      <c r="C33" s="449" t="s">
        <v>518</v>
      </c>
      <c r="D33" s="426"/>
      <c r="E33" s="427" t="str">
        <f aca="false">+IF(Hoja1!$N$69&gt;=0.5,"Si","No")</f>
        <v>Si</v>
      </c>
      <c r="F33" s="423"/>
      <c r="G33" s="429" t="n">
        <f aca="false">+Hoja1!N69</f>
        <v>0.928571428571429</v>
      </c>
      <c r="H33" s="423"/>
      <c r="I33" s="430" t="s">
        <v>519</v>
      </c>
      <c r="J33" s="423"/>
      <c r="K33" s="432" t="n">
        <v>0.93</v>
      </c>
      <c r="L33" s="446"/>
      <c r="M33" s="434" t="s">
        <v>520</v>
      </c>
      <c r="N33" s="435"/>
      <c r="O33" s="436" t="n">
        <f aca="false">G33-K33</f>
        <v>-0.00142857142857145</v>
      </c>
      <c r="P33" s="393"/>
    </row>
    <row r="34" customFormat="false" ht="15.75" hidden="false" customHeight="false" outlineLevel="0" collapsed="false">
      <c r="B34" s="389"/>
      <c r="C34" s="450"/>
      <c r="D34" s="450"/>
      <c r="E34" s="405"/>
      <c r="F34" s="390"/>
      <c r="G34" s="390"/>
      <c r="H34" s="390"/>
      <c r="I34" s="390"/>
      <c r="J34" s="390"/>
      <c r="K34" s="390"/>
      <c r="L34" s="390"/>
      <c r="M34" s="451"/>
      <c r="N34" s="451"/>
      <c r="O34" s="451"/>
      <c r="P34" s="393"/>
    </row>
    <row r="35" customFormat="false" ht="15.75" hidden="false" customHeight="false" outlineLevel="0" collapsed="false">
      <c r="B35" s="389"/>
      <c r="C35" s="452"/>
      <c r="D35" s="450"/>
      <c r="E35" s="405"/>
      <c r="F35" s="390"/>
      <c r="G35" s="390"/>
      <c r="H35" s="390"/>
      <c r="I35" s="390"/>
      <c r="J35" s="390"/>
      <c r="K35" s="390"/>
      <c r="L35" s="390"/>
      <c r="M35" s="451"/>
      <c r="N35" s="451"/>
      <c r="O35" s="451"/>
      <c r="P35" s="393"/>
    </row>
    <row r="36" customFormat="false" ht="12.75" hidden="false" customHeight="false" outlineLevel="0" collapsed="false">
      <c r="B36" s="389"/>
      <c r="C36" s="453"/>
      <c r="D36" s="390"/>
      <c r="E36" s="390"/>
      <c r="F36" s="390"/>
      <c r="G36" s="390"/>
      <c r="H36" s="390"/>
      <c r="I36" s="390"/>
      <c r="J36" s="390"/>
      <c r="K36" s="390"/>
      <c r="L36" s="390"/>
      <c r="M36" s="390"/>
      <c r="N36" s="390"/>
      <c r="O36" s="390"/>
      <c r="P36" s="393"/>
    </row>
    <row r="37" customFormat="false" ht="12.75" hidden="false" customHeight="false" outlineLevel="0" collapsed="false">
      <c r="B37" s="454"/>
      <c r="C37" s="455"/>
      <c r="D37" s="455"/>
      <c r="E37" s="455"/>
      <c r="F37" s="455"/>
      <c r="G37" s="455"/>
      <c r="H37" s="455"/>
      <c r="I37" s="455"/>
      <c r="J37" s="455"/>
      <c r="K37" s="455"/>
      <c r="L37" s="455"/>
      <c r="M37" s="455"/>
      <c r="N37" s="455"/>
      <c r="O37" s="455"/>
      <c r="P37" s="456"/>
    </row>
  </sheetData>
  <sheetProtection sheet="true" password="d72a" objects="true" scenarios="true" formatCells="false" formatColumns="false" formatRows="false"/>
  <mergeCells count="11">
    <mergeCell ref="E3:E4"/>
    <mergeCell ref="F3:M4"/>
    <mergeCell ref="F5:M5"/>
    <mergeCell ref="I7:K7"/>
    <mergeCell ref="C17:M17"/>
    <mergeCell ref="C19:D19"/>
    <mergeCell ref="F19:M19"/>
    <mergeCell ref="C20:D20"/>
    <mergeCell ref="F20:M20"/>
    <mergeCell ref="C21:D21"/>
    <mergeCell ref="F21:M21"/>
  </mergeCells>
  <conditionalFormatting sqref="G25 G27 G29 G31 G33">
    <cfRule type="cellIs" priority="2" operator="between" aboveAverage="0" equalAverage="0" bottom="0" percent="0" rank="0" text="" dxfId="0">
      <formula>0.76</formula>
      <formula>1</formula>
    </cfRule>
    <cfRule type="cellIs" priority="3" operator="between" aboveAverage="0" equalAverage="0" bottom="0" percent="0" rank="0" text="" dxfId="1">
      <formula>0.51</formula>
      <formula>0.75</formula>
    </cfRule>
    <cfRule type="cellIs" priority="4" operator="between" aboveAverage="0" equalAverage="0" bottom="0" percent="0" rank="0" text="" dxfId="2">
      <formula>0.26</formula>
      <formula>0.5</formula>
    </cfRule>
  </conditionalFormatting>
  <conditionalFormatting sqref="M7">
    <cfRule type="cellIs" priority="6" operator="between" aboveAverage="0" equalAverage="0" bottom="0" percent="0" rank="0" text="" dxfId="3">
      <formula>0.76</formula>
      <formula>1</formula>
    </cfRule>
    <cfRule type="cellIs" priority="7" operator="between" aboveAverage="0" equalAverage="0" bottom="0" percent="0" rank="0" text="" dxfId="4">
      <formula>0.51</formula>
      <formula>0.75</formula>
    </cfRule>
    <cfRule type="cellIs" priority="8" operator="between" aboveAverage="0" equalAverage="0" bottom="0" percent="0" rank="0" text="" dxfId="5">
      <formula>0.26</formula>
      <formula>0.5</formula>
    </cfRule>
    <cfRule type="cellIs" priority="9" operator="between" aboveAverage="0" equalAverage="0" bottom="0" percent="0" rank="0" text="" dxfId="6">
      <formula>0</formula>
      <formula>0.25</formula>
    </cfRule>
  </conditionalFormatting>
  <conditionalFormatting sqref="K25">
    <cfRule type="cellIs" priority="10" operator="between" aboveAverage="0" equalAverage="0" bottom="0" percent="0" rank="0" text="" dxfId="7">
      <formula>0.76</formula>
      <formula>1</formula>
    </cfRule>
    <cfRule type="cellIs" priority="11" operator="between" aboveAverage="0" equalAverage="0" bottom="0" percent="0" rank="0" text="" dxfId="8">
      <formula>0.51</formula>
      <formula>0.75</formula>
    </cfRule>
    <cfRule type="cellIs" priority="12" operator="between" aboveAverage="0" equalAverage="0" bottom="0" percent="0" rank="0" text="" dxfId="9">
      <formula>0.26</formula>
      <formula>0.5</formula>
    </cfRule>
  </conditionalFormatting>
  <conditionalFormatting sqref="K27">
    <cfRule type="cellIs" priority="14" operator="between" aboveAverage="0" equalAverage="0" bottom="0" percent="0" rank="0" text="" dxfId="10">
      <formula>0.76</formula>
      <formula>1</formula>
    </cfRule>
    <cfRule type="cellIs" priority="15" operator="between" aboveAverage="0" equalAverage="0" bottom="0" percent="0" rank="0" text="" dxfId="11">
      <formula>0.51</formula>
      <formula>0.75</formula>
    </cfRule>
    <cfRule type="cellIs" priority="16" operator="between" aboveAverage="0" equalAverage="0" bottom="0" percent="0" rank="0" text="" dxfId="12">
      <formula>0.26</formula>
      <formula>0.5</formula>
    </cfRule>
  </conditionalFormatting>
  <conditionalFormatting sqref="K29">
    <cfRule type="cellIs" priority="18" operator="between" aboveAverage="0" equalAverage="0" bottom="0" percent="0" rank="0" text="" dxfId="13">
      <formula>0.76</formula>
      <formula>1</formula>
    </cfRule>
    <cfRule type="cellIs" priority="19" operator="between" aboveAverage="0" equalAverage="0" bottom="0" percent="0" rank="0" text="" dxfId="14">
      <formula>0.51</formula>
      <formula>0.75</formula>
    </cfRule>
    <cfRule type="cellIs" priority="20" operator="between" aboveAverage="0" equalAverage="0" bottom="0" percent="0" rank="0" text="" dxfId="15">
      <formula>0.26</formula>
      <formula>0.5</formula>
    </cfRule>
  </conditionalFormatting>
  <conditionalFormatting sqref="K31">
    <cfRule type="cellIs" priority="22" operator="between" aboveAverage="0" equalAverage="0" bottom="0" percent="0" rank="0" text="" dxfId="16">
      <formula>0.76</formula>
      <formula>1</formula>
    </cfRule>
    <cfRule type="cellIs" priority="23" operator="between" aboveAverage="0" equalAverage="0" bottom="0" percent="0" rank="0" text="" dxfId="17">
      <formula>0.51</formula>
      <formula>0.75</formula>
    </cfRule>
    <cfRule type="cellIs" priority="24" operator="between" aboveAverage="0" equalAverage="0" bottom="0" percent="0" rank="0" text="" dxfId="18">
      <formula>0.26</formula>
      <formula>0.5</formula>
    </cfRule>
  </conditionalFormatting>
  <conditionalFormatting sqref="K33">
    <cfRule type="cellIs" priority="26" operator="between" aboveAverage="0" equalAverage="0" bottom="0" percent="0" rank="0" text="" dxfId="19">
      <formula>0.76</formula>
      <formula>1</formula>
    </cfRule>
    <cfRule type="cellIs" priority="27" operator="between" aboveAverage="0" equalAverage="0" bottom="0" percent="0" rank="0" text="" dxfId="20">
      <formula>0.51</formula>
      <formula>0.75</formula>
    </cfRule>
    <cfRule type="cellIs" priority="28" operator="between" aboveAverage="0" equalAverage="0" bottom="0" percent="0" rank="0" text="" dxfId="21">
      <formula>0.26</formula>
      <formula>0.5</formula>
    </cfRule>
  </conditionalFormatting>
  <conditionalFormatting sqref="G25 G27 G29 G31 G33">
    <cfRule type="cellIs" priority="30" operator="between" aboveAverage="0" equalAverage="0" bottom="0" percent="0" rank="0" text="" dxfId="22">
      <formula>0</formula>
      <formula>0</formula>
    </cfRule>
  </conditionalFormatting>
  <conditionalFormatting sqref="K25">
    <cfRule type="cellIs" priority="31" operator="between" aboveAverage="0" equalAverage="0" bottom="0" percent="0" rank="0" text="" dxfId="23">
      <formula>0</formula>
      <formula>0</formula>
    </cfRule>
  </conditionalFormatting>
  <conditionalFormatting sqref="K27">
    <cfRule type="cellIs" priority="32" operator="between" aboveAverage="0" equalAverage="0" bottom="0" percent="0" rank="0" text="" dxfId="24">
      <formula>0</formula>
      <formula>0</formula>
    </cfRule>
  </conditionalFormatting>
  <conditionalFormatting sqref="K29">
    <cfRule type="cellIs" priority="33" operator="between" aboveAverage="0" equalAverage="0" bottom="0" percent="0" rank="0" text="" dxfId="25">
      <formula>0</formula>
      <formula>0</formula>
    </cfRule>
  </conditionalFormatting>
  <conditionalFormatting sqref="K31">
    <cfRule type="cellIs" priority="34" operator="between" aboveAverage="0" equalAverage="0" bottom="0" percent="0" rank="0" text="" dxfId="26">
      <formula>0</formula>
      <formula>0</formula>
    </cfRule>
  </conditionalFormatting>
  <conditionalFormatting sqref="K33">
    <cfRule type="cellIs" priority="35" operator="between" aboveAverage="0" equalAverage="0" bottom="0" percent="0" rank="0" text="" dxfId="27">
      <formula>0</formula>
      <formula>0</formula>
    </cfRule>
  </conditionalFormatting>
  <dataValidations count="3">
    <dataValidation allowBlank="true" operator="between" prompt="Celda formulada, información proveniente de la pestaña de deficiencias." showDropDown="false" showErrorMessage="true" showInputMessage="true" sqref="E23" type="none">
      <formula1>0</formula1>
      <formula2>0</formula2>
    </dataValidation>
    <dataValidation allowBlank="true" operator="between" showDropDown="false" showErrorMessage="true" showInputMessage="true" sqref="N19:O20 E20:E21" type="list">
      <formula1>"Si,No"</formula1>
      <formula2>0</formula2>
    </dataValidation>
    <dataValidation allowBlank="true" operator="between" showDropDown="false" showErrorMessage="true" showInputMessage="true" sqref="E19" type="list">
      <formula1>"Si,No,En proceso"</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extLst>
    <ext xmlns:x14="http://schemas.microsoft.com/office/spreadsheetml/2009/9/main" uri="{78C0D931-6437-407d-A8EE-F0AAD7539E65}">
      <x14:conditionalFormattings>
        <x14:conditionalFormatting xmlns:xm="http://schemas.microsoft.com/office/excel/2006/main">
          <x14:cfRule type="cellIs" priority="5" operator="between" id="{6C606A98-868F-4123-89D5-7812B38F1DEA}">
            <xm:f>'Analisis de Resultados'!$I$10</xm:f>
            <x14:dxf>
              <font>
                <name val="Arial"/>
                <charset val="1"/>
                <family val="0"/>
                <color rgb="FF000000"/>
              </font>
            </x14:dxf>
          </x14:cfRule>
          <xm:sqref>G25 G27 G29 G31 G33</xm:sqref>
        </x14:conditionalFormatting>
        <x14:conditionalFormatting xmlns:xm="http://schemas.microsoft.com/office/excel/2006/main">
          <x14:cfRule type="cellIs" priority="13" operator="between" id="{8F2CCFC0-E0AC-4696-BBE9-1BF15092A280}">
            <xm:f>'Analisis de Resultados'!$I$10</xm:f>
            <x14:dxf>
              <font>
                <name val="Arial"/>
                <charset val="1"/>
                <family val="0"/>
                <color rgb="FF000000"/>
              </font>
            </x14:dxf>
          </x14:cfRule>
          <xm:sqref>K25</xm:sqref>
        </x14:conditionalFormatting>
        <x14:conditionalFormatting xmlns:xm="http://schemas.microsoft.com/office/excel/2006/main">
          <x14:cfRule type="cellIs" priority="17" operator="between" id="{342B8DB7-756D-4D98-BAA4-4597D8571CE8}">
            <xm:f>'Analisis de Resultados'!$I$10</xm:f>
            <x14:dxf>
              <font>
                <name val="Arial"/>
                <charset val="1"/>
                <family val="0"/>
                <color rgb="FF000000"/>
              </font>
            </x14:dxf>
          </x14:cfRule>
          <xm:sqref>K27</xm:sqref>
        </x14:conditionalFormatting>
        <x14:conditionalFormatting xmlns:xm="http://schemas.microsoft.com/office/excel/2006/main">
          <x14:cfRule type="cellIs" priority="21" operator="between" id="{E423B870-FB19-45A1-9B2C-F03094FC276A}">
            <xm:f>'Analisis de Resultados'!$I$10</xm:f>
            <x14:dxf>
              <font>
                <name val="Arial"/>
                <charset val="1"/>
                <family val="0"/>
                <color rgb="FF000000"/>
              </font>
            </x14:dxf>
          </x14:cfRule>
          <xm:sqref>K29</xm:sqref>
        </x14:conditionalFormatting>
        <x14:conditionalFormatting xmlns:xm="http://schemas.microsoft.com/office/excel/2006/main">
          <x14:cfRule type="cellIs" priority="25" operator="between" id="{7B5DAEE5-CFAB-4626-A6F5-B0A88160ACE5}">
            <xm:f>'Analisis de Resultados'!$I$10</xm:f>
            <x14:dxf>
              <font>
                <name val="Arial"/>
                <charset val="1"/>
                <family val="0"/>
                <color rgb="FF000000"/>
              </font>
            </x14:dxf>
          </x14:cfRule>
          <xm:sqref>K31</xm:sqref>
        </x14:conditionalFormatting>
        <x14:conditionalFormatting xmlns:xm="http://schemas.microsoft.com/office/excel/2006/main">
          <x14:cfRule type="cellIs" priority="29" operator="between" id="{F84BE288-DFC2-4781-9E6B-C63F6A4BD038}">
            <xm:f>'Analisis de Resultados'!$I$10</xm:f>
            <x14:dxf>
              <font>
                <name val="Arial"/>
                <charset val="1"/>
                <family val="0"/>
                <color rgb="FF000000"/>
              </font>
            </x14:dxf>
          </x14:cfRule>
          <xm:sqref>K33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9"/>
  <sheetViews>
    <sheetView showFormulas="false" showGridLines="true" showRowColHeaders="true" showZeros="true" rightToLeft="false" tabSelected="false" showOutlineSymbols="true" defaultGridColor="true" view="normal" topLeftCell="A11" colorId="64" zoomScale="95" zoomScaleNormal="95" zoomScalePageLayoutView="100" workbookViewId="0">
      <selection pane="topLeft" activeCell="A28" activeCellId="0" sqref="A28"/>
    </sheetView>
  </sheetViews>
  <sheetFormatPr defaultColWidth="10.78515625" defaultRowHeight="12.8" zeroHeight="false" outlineLevelRow="0" outlineLevelCol="0"/>
  <cols>
    <col collapsed="false" customWidth="true" hidden="false" outlineLevel="0" max="1" min="1" style="0" width="22.23"/>
    <col collapsed="false" customWidth="true" hidden="false" outlineLevel="0" max="3" min="2" style="0" width="14.57"/>
    <col collapsed="false" customWidth="true" hidden="false" outlineLevel="0" max="4" min="4" style="457" width="10.69"/>
    <col collapsed="false" customWidth="true" hidden="false" outlineLevel="0" max="6" min="6" style="0" width="15.15"/>
    <col collapsed="false" customWidth="true" hidden="false" outlineLevel="0" max="7" min="7" style="0" width="14.57"/>
  </cols>
  <sheetData>
    <row r="1" s="459" customFormat="true" ht="24.4" hidden="false" customHeight="false" outlineLevel="0" collapsed="false">
      <c r="A1" s="458" t="s">
        <v>521</v>
      </c>
      <c r="B1" s="458" t="s">
        <v>522</v>
      </c>
      <c r="C1" s="458" t="s">
        <v>523</v>
      </c>
      <c r="D1" s="458" t="s">
        <v>524</v>
      </c>
      <c r="F1" s="458" t="s">
        <v>525</v>
      </c>
      <c r="G1" s="458" t="s">
        <v>522</v>
      </c>
      <c r="H1" s="458" t="s">
        <v>524</v>
      </c>
    </row>
    <row r="2" customFormat="false" ht="12.8" hidden="false" customHeight="false" outlineLevel="0" collapsed="false">
      <c r="A2" s="460" t="s">
        <v>44</v>
      </c>
      <c r="B2" s="461" t="n">
        <v>0.92</v>
      </c>
      <c r="C2" s="461" t="n">
        <v>0.94</v>
      </c>
      <c r="D2" s="462" t="n">
        <f aca="false">+B2-C2</f>
        <v>-0.02</v>
      </c>
      <c r="F2" s="461"/>
      <c r="G2" s="461" t="n">
        <v>0.92</v>
      </c>
      <c r="H2" s="461" t="n">
        <f aca="false">+F2-G2</f>
        <v>-0.92</v>
      </c>
    </row>
    <row r="3" customFormat="false" ht="12.8" hidden="false" customHeight="false" outlineLevel="0" collapsed="false">
      <c r="A3" s="460" t="s">
        <v>70</v>
      </c>
      <c r="B3" s="461" t="n">
        <v>0.88</v>
      </c>
      <c r="C3" s="461" t="n">
        <v>0.91</v>
      </c>
      <c r="D3" s="462" t="n">
        <f aca="false">+B3-C3</f>
        <v>-0.03</v>
      </c>
      <c r="F3" s="461"/>
      <c r="G3" s="461" t="n">
        <v>0.88</v>
      </c>
      <c r="H3" s="461" t="n">
        <f aca="false">+F3-G3</f>
        <v>-0.88</v>
      </c>
    </row>
    <row r="4" customFormat="false" ht="12.8" hidden="false" customHeight="false" outlineLevel="0" collapsed="false">
      <c r="A4" s="460" t="s">
        <v>526</v>
      </c>
      <c r="B4" s="461" t="n">
        <v>0.92</v>
      </c>
      <c r="C4" s="461" t="n">
        <v>0.92</v>
      </c>
      <c r="D4" s="462" t="n">
        <f aca="false">+B4-C4</f>
        <v>0</v>
      </c>
      <c r="F4" s="461"/>
      <c r="G4" s="461" t="n">
        <v>0.92</v>
      </c>
      <c r="H4" s="461" t="n">
        <f aca="false">+F4-G4</f>
        <v>-0.92</v>
      </c>
    </row>
    <row r="5" customFormat="false" ht="12.8" hidden="false" customHeight="false" outlineLevel="0" collapsed="false">
      <c r="A5" s="460" t="s">
        <v>527</v>
      </c>
      <c r="B5" s="461" t="n">
        <v>0.86</v>
      </c>
      <c r="C5" s="461" t="n">
        <v>0.88</v>
      </c>
      <c r="D5" s="462" t="n">
        <f aca="false">+B5-C5</f>
        <v>-0.02</v>
      </c>
      <c r="F5" s="461"/>
      <c r="G5" s="461" t="n">
        <v>0.86</v>
      </c>
      <c r="H5" s="461" t="n">
        <f aca="false">+F5-G5</f>
        <v>-0.86</v>
      </c>
    </row>
    <row r="6" customFormat="false" ht="12.8" hidden="false" customHeight="false" outlineLevel="0" collapsed="false">
      <c r="A6" s="460" t="s">
        <v>528</v>
      </c>
      <c r="B6" s="461" t="n">
        <v>0.93</v>
      </c>
      <c r="C6" s="461" t="n">
        <v>0.93</v>
      </c>
      <c r="D6" s="462" t="n">
        <f aca="false">+B6-C6</f>
        <v>0</v>
      </c>
      <c r="F6" s="461"/>
      <c r="G6" s="461" t="n">
        <v>0.93</v>
      </c>
      <c r="H6" s="461" t="n">
        <f aca="false">+F6-G6</f>
        <v>-0.93</v>
      </c>
    </row>
    <row r="7" customFormat="false" ht="12.8" hidden="false" customHeight="false" outlineLevel="0" collapsed="false">
      <c r="A7" s="460" t="s">
        <v>529</v>
      </c>
      <c r="B7" s="463" t="n">
        <f aca="false">SUM(B2:B6)/5</f>
        <v>0.902</v>
      </c>
      <c r="C7" s="463" t="n">
        <f aca="false">SUM(C2:C6)/5</f>
        <v>0.916</v>
      </c>
      <c r="D7" s="464" t="n">
        <f aca="false">+B7-C7</f>
        <v>-0.0139999999999999</v>
      </c>
      <c r="F7" s="463" t="n">
        <f aca="false">SUM(F2:F6)/5</f>
        <v>0</v>
      </c>
      <c r="G7" s="463" t="n">
        <f aca="false">SUM(G2:G6)/5</f>
        <v>0.902</v>
      </c>
      <c r="H7" s="464" t="n">
        <f aca="false">+F7-G7</f>
        <v>-0.902</v>
      </c>
    </row>
    <row r="11" customFormat="false" ht="13.8" hidden="false" customHeight="false" outlineLevel="0" collapsed="false">
      <c r="A11" s="465" t="s">
        <v>50</v>
      </c>
      <c r="B11" s="466" t="s">
        <v>80</v>
      </c>
      <c r="C11" s="467" t="s">
        <v>530</v>
      </c>
      <c r="D11" s="468"/>
    </row>
    <row r="12" customFormat="false" ht="13.8" hidden="false" customHeight="false" outlineLevel="0" collapsed="false">
      <c r="A12" s="469" t="s">
        <v>44</v>
      </c>
      <c r="B12" s="470" t="s">
        <v>531</v>
      </c>
      <c r="C12" s="471" t="n">
        <v>5</v>
      </c>
      <c r="D12" s="470" t="s">
        <v>532</v>
      </c>
      <c r="E12" s="472" t="n">
        <f aca="false">SUM(C12:C16)</f>
        <v>24</v>
      </c>
      <c r="F12" s="472"/>
    </row>
    <row r="13" customFormat="false" ht="14.15" hidden="false" customHeight="false" outlineLevel="0" collapsed="false">
      <c r="A13" s="473"/>
      <c r="B13" s="474" t="s">
        <v>533</v>
      </c>
      <c r="C13" s="471" t="n">
        <v>3</v>
      </c>
      <c r="D13" s="470" t="s">
        <v>534</v>
      </c>
      <c r="E13" s="472"/>
      <c r="F13" s="472"/>
    </row>
    <row r="14" customFormat="false" ht="14.15" hidden="false" customHeight="false" outlineLevel="0" collapsed="false">
      <c r="A14" s="473"/>
      <c r="B14" s="474" t="s">
        <v>535</v>
      </c>
      <c r="C14" s="471" t="n">
        <v>3</v>
      </c>
      <c r="D14" s="470" t="s">
        <v>534</v>
      </c>
      <c r="E14" s="472"/>
      <c r="F14" s="472"/>
    </row>
    <row r="15" customFormat="false" ht="13.8" hidden="false" customHeight="false" outlineLevel="0" collapsed="false">
      <c r="A15" s="473"/>
      <c r="B15" s="470" t="s">
        <v>536</v>
      </c>
      <c r="C15" s="471" t="n">
        <v>7</v>
      </c>
      <c r="D15" s="470" t="s">
        <v>532</v>
      </c>
      <c r="E15" s="472"/>
      <c r="F15" s="472"/>
    </row>
    <row r="16" customFormat="false" ht="13.8" hidden="false" customHeight="false" outlineLevel="0" collapsed="false">
      <c r="A16" s="473"/>
      <c r="B16" s="470" t="s">
        <v>537</v>
      </c>
      <c r="C16" s="471" t="n">
        <v>6</v>
      </c>
      <c r="D16" s="470" t="s">
        <v>534</v>
      </c>
      <c r="E16" s="472"/>
      <c r="F16" s="472"/>
    </row>
    <row r="17" customFormat="false" ht="13.8" hidden="false" customHeight="false" outlineLevel="0" collapsed="false">
      <c r="A17" s="475" t="s">
        <v>538</v>
      </c>
      <c r="B17" s="476" t="s">
        <v>539</v>
      </c>
      <c r="C17" s="477" t="n">
        <v>3</v>
      </c>
      <c r="D17" s="476" t="s">
        <v>534</v>
      </c>
      <c r="E17" s="478" t="n">
        <f aca="false">SUM(C17:C20)</f>
        <v>17</v>
      </c>
      <c r="F17" s="478"/>
    </row>
    <row r="18" customFormat="false" ht="13.8" hidden="false" customHeight="false" outlineLevel="0" collapsed="false">
      <c r="A18" s="475"/>
      <c r="B18" s="476" t="s">
        <v>540</v>
      </c>
      <c r="C18" s="477" t="n">
        <v>5</v>
      </c>
      <c r="D18" s="476" t="s">
        <v>541</v>
      </c>
      <c r="E18" s="478"/>
      <c r="F18" s="478"/>
    </row>
    <row r="19" customFormat="false" ht="13.8" hidden="false" customHeight="false" outlineLevel="0" collapsed="false">
      <c r="A19" s="475"/>
      <c r="B19" s="476" t="s">
        <v>542</v>
      </c>
      <c r="C19" s="477" t="n">
        <v>4</v>
      </c>
      <c r="D19" s="476" t="s">
        <v>532</v>
      </c>
      <c r="E19" s="478"/>
      <c r="F19" s="478"/>
    </row>
    <row r="20" customFormat="false" ht="13.8" hidden="false" customHeight="false" outlineLevel="0" collapsed="false">
      <c r="A20" s="475"/>
      <c r="B20" s="476" t="s">
        <v>543</v>
      </c>
      <c r="C20" s="477" t="n">
        <v>5</v>
      </c>
      <c r="D20" s="476" t="s">
        <v>541</v>
      </c>
      <c r="E20" s="478"/>
      <c r="F20" s="478"/>
    </row>
    <row r="21" customFormat="false" ht="13.8" hidden="false" customHeight="false" outlineLevel="0" collapsed="false">
      <c r="A21" s="479" t="s">
        <v>544</v>
      </c>
      <c r="B21" s="480" t="s">
        <v>545</v>
      </c>
      <c r="C21" s="481" t="n">
        <v>3</v>
      </c>
      <c r="D21" s="480" t="s">
        <v>534</v>
      </c>
      <c r="E21" s="478" t="n">
        <f aca="false">SUM(C21:C23)</f>
        <v>12</v>
      </c>
      <c r="F21" s="478"/>
    </row>
    <row r="22" customFormat="false" ht="13.8" hidden="false" customHeight="false" outlineLevel="0" collapsed="false">
      <c r="A22" s="479"/>
      <c r="B22" s="480" t="s">
        <v>546</v>
      </c>
      <c r="C22" s="481" t="n">
        <v>4</v>
      </c>
      <c r="D22" s="480" t="s">
        <v>541</v>
      </c>
      <c r="E22" s="478"/>
      <c r="F22" s="478"/>
    </row>
    <row r="23" customFormat="false" ht="13.8" hidden="false" customHeight="false" outlineLevel="0" collapsed="false">
      <c r="A23" s="479"/>
      <c r="B23" s="480" t="s">
        <v>547</v>
      </c>
      <c r="C23" s="481" t="n">
        <v>5</v>
      </c>
      <c r="D23" s="480" t="s">
        <v>532</v>
      </c>
      <c r="E23" s="478"/>
      <c r="F23" s="478"/>
    </row>
    <row r="24" customFormat="false" ht="13.8" hidden="false" customHeight="false" outlineLevel="0" collapsed="false">
      <c r="A24" s="482" t="s">
        <v>548</v>
      </c>
      <c r="B24" s="483" t="s">
        <v>549</v>
      </c>
      <c r="C24" s="484" t="n">
        <v>4</v>
      </c>
      <c r="D24" s="483" t="s">
        <v>541</v>
      </c>
      <c r="E24" s="478" t="n">
        <f aca="false">SUM(C24:C26)</f>
        <v>14</v>
      </c>
      <c r="F24" s="478"/>
    </row>
    <row r="25" customFormat="false" ht="13.8" hidden="false" customHeight="false" outlineLevel="0" collapsed="false">
      <c r="A25" s="482"/>
      <c r="B25" s="483" t="s">
        <v>550</v>
      </c>
      <c r="C25" s="484" t="n">
        <v>4</v>
      </c>
      <c r="D25" s="483" t="s">
        <v>541</v>
      </c>
      <c r="E25" s="478"/>
      <c r="F25" s="478"/>
    </row>
    <row r="26" customFormat="false" ht="13.8" hidden="false" customHeight="false" outlineLevel="0" collapsed="false">
      <c r="A26" s="482"/>
      <c r="B26" s="483" t="s">
        <v>551</v>
      </c>
      <c r="C26" s="484" t="n">
        <v>6</v>
      </c>
      <c r="D26" s="483" t="s">
        <v>541</v>
      </c>
      <c r="E26" s="478"/>
      <c r="F26" s="478"/>
    </row>
    <row r="27" customFormat="false" ht="13.8" hidden="false" customHeight="false" outlineLevel="0" collapsed="false">
      <c r="A27" s="485" t="s">
        <v>552</v>
      </c>
      <c r="B27" s="486" t="s">
        <v>553</v>
      </c>
      <c r="C27" s="487" t="n">
        <v>5</v>
      </c>
      <c r="D27" s="486" t="s">
        <v>532</v>
      </c>
      <c r="E27" s="478" t="n">
        <f aca="false">SUM(C27:C28)</f>
        <v>14</v>
      </c>
      <c r="F27" s="478"/>
    </row>
    <row r="28" customFormat="false" ht="13.8" hidden="false" customHeight="false" outlineLevel="0" collapsed="false">
      <c r="A28" s="488" t="s">
        <v>552</v>
      </c>
      <c r="B28" s="486" t="s">
        <v>554</v>
      </c>
      <c r="C28" s="487" t="n">
        <v>9</v>
      </c>
      <c r="D28" s="486" t="s">
        <v>534</v>
      </c>
      <c r="E28" s="478"/>
      <c r="F28" s="478"/>
    </row>
    <row r="29" customFormat="false" ht="13.8" hidden="false" customHeight="false" outlineLevel="0" collapsed="false">
      <c r="A29" s="489"/>
      <c r="B29" s="468"/>
      <c r="C29" s="467" t="n">
        <f aca="false">SUM(C12:C28)</f>
        <v>81</v>
      </c>
      <c r="D29" s="468"/>
    </row>
  </sheetData>
  <mergeCells count="10">
    <mergeCell ref="E12:E16"/>
    <mergeCell ref="F12:F16"/>
    <mergeCell ref="E17:E20"/>
    <mergeCell ref="F17:F20"/>
    <mergeCell ref="E21:E23"/>
    <mergeCell ref="F21:F23"/>
    <mergeCell ref="E24:E26"/>
    <mergeCell ref="F24:F26"/>
    <mergeCell ref="E27:E28"/>
    <mergeCell ref="F27:F28"/>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140</TotalTime>
  <Application>LibreOffice/6.4.7.2$Linux_X86_64 LibreOffice_project/40$Build-2</Application>
  <Company>Ernst &amp; Young</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2010-10-04T16:34:45Z</dcterms:created>
  <dc:creator>Diana Gomez</dc:creator>
  <dc:description/>
  <dc:language>es-CO</dc:language>
  <cp:lastModifiedBy/>
  <dcterms:modified xsi:type="dcterms:W3CDTF">2022-01-31T16:52:43Z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Ernst &amp; Young</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