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0" yWindow="0" windowWidth="20490" windowHeight="7155" tabRatio="373"/>
  </bookViews>
  <sheets>
    <sheet name="GESTIÓN" sheetId="5" r:id="rId1"/>
    <sheet name="INVERSIÓN" sheetId="6" r:id="rId2"/>
    <sheet name="ACTIVIDADES " sheetId="14" r:id="rId3"/>
    <sheet name="Hoja1" sheetId="9" state="hidden" r:id="rId4"/>
    <sheet name="Hoja2" sheetId="10" state="hidden" r:id="rId5"/>
    <sheet name="Hoja3" sheetId="11" state="hidden" r:id="rId6"/>
  </sheets>
  <externalReferences>
    <externalReference r:id="rId7"/>
    <externalReference r:id="rId8"/>
  </externalReferences>
  <definedNames>
    <definedName name="_xlnm.Print_Area" localSheetId="0">GESTIÓN!$A$1:$AQ$17</definedName>
    <definedName name="_xlnm.Print_Area" localSheetId="1">INVERSIÓN!$A$1:$AP$66</definedName>
    <definedName name="CONDICION_POBLACIONAL">[1]Variables!$C$1:$C$24</definedName>
    <definedName name="GRUPO_ETAREO">[1]Variables!$A$1:$A$8</definedName>
    <definedName name="GRUPO_ETAREOS" localSheetId="2">#REF!</definedName>
    <definedName name="GRUPO_ETAREOS">#REF!</definedName>
    <definedName name="GRUPO_ETARIO" localSheetId="2">#REF!</definedName>
    <definedName name="GRUPO_ETARIO">#REF!</definedName>
    <definedName name="GRUPO_ETNICO" localSheetId="2">#REF!</definedName>
    <definedName name="GRUPO_ETNICO">#REF!</definedName>
    <definedName name="GRUPOETNICO" localSheetId="2">#REF!</definedName>
    <definedName name="GRUPOETNICO">#REF!</definedName>
    <definedName name="GRUPOS_ETNICOS">[1]Variables!$H$1:$H$8</definedName>
    <definedName name="LOCALIDAD" localSheetId="2">#REF!</definedName>
    <definedName name="LOCALIDAD">#REF!</definedName>
    <definedName name="LOCALIZACION" localSheetId="2">#REF!</definedName>
    <definedName name="LOCALIZACION">#REF!</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AK58" i="6" l="1"/>
  <c r="AK57" i="6"/>
  <c r="AK52" i="6"/>
  <c r="AK51" i="6"/>
  <c r="AK46" i="6"/>
  <c r="AK45" i="6"/>
  <c r="AK40" i="6"/>
  <c r="AK39" i="6"/>
  <c r="AK34" i="6"/>
  <c r="AK33" i="6"/>
  <c r="AK28" i="6"/>
  <c r="AK27" i="6"/>
  <c r="AK16" i="6"/>
  <c r="AK15" i="6"/>
  <c r="AK10" i="6"/>
  <c r="AK9" i="6"/>
  <c r="AJ58" i="6"/>
  <c r="AJ57" i="6"/>
  <c r="AJ52" i="6"/>
  <c r="AJ51" i="6"/>
  <c r="AJ46" i="6"/>
  <c r="AJ45" i="6"/>
  <c r="AJ40" i="6"/>
  <c r="AJ39" i="6"/>
  <c r="AJ34" i="6"/>
  <c r="AJ33" i="6"/>
  <c r="AJ28" i="6"/>
  <c r="AJ27" i="6"/>
  <c r="AJ16" i="6"/>
  <c r="AJ15" i="6"/>
  <c r="AJ10" i="6"/>
  <c r="AJ9" i="6"/>
  <c r="AG64" i="6" l="1"/>
  <c r="AG63" i="6"/>
  <c r="AG65" i="6" s="1"/>
  <c r="AG19" i="6" l="1"/>
  <c r="M64" i="6"/>
  <c r="M63" i="6"/>
  <c r="M65" i="6" s="1"/>
  <c r="AK16" i="5"/>
  <c r="AK15" i="5"/>
  <c r="AK14" i="5"/>
  <c r="AL14" i="5"/>
  <c r="AL15" i="5"/>
  <c r="AL16" i="5"/>
  <c r="D3" i="14" l="1"/>
  <c r="D4" i="14"/>
  <c r="S8" i="14"/>
  <c r="U8" i="14"/>
  <c r="S9" i="14"/>
  <c r="U9" i="14" s="1"/>
  <c r="S10" i="14"/>
  <c r="U10" i="14"/>
  <c r="S11" i="14"/>
  <c r="U11" i="14" s="1"/>
  <c r="S12" i="14"/>
  <c r="U12" i="14"/>
  <c r="S13" i="14"/>
  <c r="U13" i="14" s="1"/>
  <c r="S14" i="14"/>
  <c r="U14" i="14"/>
  <c r="S15" i="14"/>
  <c r="U15" i="14" s="1"/>
  <c r="S16" i="14"/>
  <c r="S17" i="14"/>
  <c r="U17" i="14"/>
  <c r="S18" i="14"/>
  <c r="S19" i="14"/>
  <c r="U19" i="14" s="1"/>
  <c r="S20" i="14"/>
  <c r="S21" i="14"/>
  <c r="U21" i="14" s="1"/>
  <c r="A22" i="14"/>
  <c r="B22" i="14"/>
  <c r="S22" i="14"/>
  <c r="S23" i="14"/>
  <c r="U23" i="14" s="1"/>
  <c r="S24" i="14"/>
  <c r="U24" i="14"/>
  <c r="S25" i="14"/>
  <c r="S26" i="14"/>
  <c r="S27" i="14"/>
  <c r="U27" i="14" s="1"/>
  <c r="S28" i="14"/>
  <c r="U28" i="14"/>
  <c r="S29" i="14"/>
  <c r="S30" i="14"/>
  <c r="U30" i="14"/>
  <c r="S31" i="14"/>
  <c r="S32" i="14"/>
  <c r="S33" i="14"/>
  <c r="U33" i="14" s="1"/>
  <c r="S34" i="14"/>
  <c r="S35" i="14"/>
  <c r="U35" i="14"/>
  <c r="S36" i="14"/>
  <c r="S37" i="14"/>
  <c r="U37" i="14"/>
  <c r="S38" i="14"/>
  <c r="S39" i="14"/>
  <c r="U39" i="14" s="1"/>
  <c r="A40" i="14"/>
  <c r="B40" i="14"/>
  <c r="S40" i="14"/>
  <c r="S41" i="14"/>
  <c r="U41" i="14" s="1"/>
  <c r="S42" i="14"/>
  <c r="S43" i="14"/>
  <c r="U43" i="14" s="1"/>
  <c r="S44" i="14"/>
  <c r="S45" i="14"/>
  <c r="U45" i="14" s="1"/>
  <c r="S46" i="14"/>
  <c r="U46" i="14"/>
  <c r="S47" i="14"/>
  <c r="U47" i="14" s="1"/>
  <c r="S48" i="14"/>
  <c r="U48" i="14"/>
  <c r="S49" i="14"/>
  <c r="U49" i="14" s="1"/>
  <c r="T50" i="14"/>
  <c r="H58" i="6"/>
  <c r="H52" i="6"/>
  <c r="H46" i="6"/>
  <c r="H40" i="6"/>
  <c r="H34" i="6"/>
  <c r="H28" i="6"/>
  <c r="H16" i="6"/>
  <c r="H10" i="6"/>
  <c r="H9" i="6"/>
  <c r="AF64" i="6"/>
  <c r="AF63" i="6"/>
  <c r="AF65" i="6" s="1"/>
  <c r="L64" i="6"/>
  <c r="L63" i="6"/>
  <c r="L65" i="6" s="1"/>
  <c r="K65" i="6"/>
  <c r="K64" i="6"/>
  <c r="K63" i="6"/>
  <c r="U31" i="14" l="1"/>
  <c r="U29" i="14"/>
  <c r="U25" i="14"/>
  <c r="AI65" i="6"/>
  <c r="AI64" i="6"/>
  <c r="AI63" i="6"/>
  <c r="J65" i="6"/>
  <c r="J64" i="6"/>
  <c r="J63" i="6"/>
  <c r="AA50" i="6" l="1"/>
  <c r="V50" i="6"/>
  <c r="Q50" i="6"/>
  <c r="I50" i="6"/>
  <c r="I44" i="6"/>
  <c r="I38" i="6"/>
  <c r="I32" i="6"/>
  <c r="I20" i="6"/>
  <c r="I14" i="6"/>
  <c r="I63" i="6"/>
  <c r="Q63" i="6"/>
  <c r="AA64" i="6"/>
  <c r="AA63" i="6"/>
  <c r="V64" i="6"/>
  <c r="V63" i="6"/>
  <c r="Q64" i="6"/>
  <c r="I64" i="6"/>
  <c r="H64" i="6"/>
  <c r="I55" i="6"/>
  <c r="I37" i="6"/>
  <c r="I61" i="6"/>
  <c r="I62" i="6"/>
  <c r="Q49" i="6"/>
  <c r="R49" i="6"/>
  <c r="S49" i="6"/>
  <c r="T49" i="6"/>
  <c r="U49" i="6"/>
  <c r="V49" i="6"/>
  <c r="W49" i="6"/>
  <c r="X49" i="6"/>
  <c r="Y49" i="6"/>
  <c r="Z49" i="6"/>
  <c r="AA49" i="6"/>
  <c r="I49" i="6"/>
  <c r="AA62" i="6"/>
  <c r="V62" i="6"/>
  <c r="Q62" i="6"/>
  <c r="H61" i="6"/>
  <c r="H62" i="6"/>
  <c r="E51" i="6"/>
  <c r="E45" i="6"/>
  <c r="E39" i="6"/>
  <c r="E33" i="6"/>
  <c r="E27" i="6"/>
  <c r="E21" i="6"/>
  <c r="E15" i="6"/>
  <c r="E9" i="6"/>
  <c r="O4" i="6" l="1"/>
  <c r="O3" i="6"/>
  <c r="AA56" i="6"/>
  <c r="AA55" i="6"/>
  <c r="AA61" i="6" s="1"/>
  <c r="V56" i="6"/>
  <c r="V55" i="6"/>
  <c r="V61" i="6" s="1"/>
  <c r="Q56" i="6"/>
  <c r="Q55" i="6"/>
  <c r="Q61" i="6" s="1"/>
  <c r="I56" i="6"/>
  <c r="I65" i="6" s="1"/>
  <c r="H43" i="6"/>
  <c r="AA38" i="6"/>
  <c r="AA37" i="6"/>
  <c r="V38" i="6"/>
  <c r="V37" i="6"/>
  <c r="Q38" i="6"/>
  <c r="Q37" i="6"/>
  <c r="H37" i="6"/>
  <c r="H55" i="6"/>
  <c r="H49" i="6"/>
  <c r="H50" i="6"/>
  <c r="AA44" i="6"/>
  <c r="V44" i="6"/>
  <c r="Q44" i="6"/>
  <c r="H44" i="6"/>
  <c r="H38" i="6"/>
  <c r="AA32" i="6"/>
  <c r="V32" i="6"/>
  <c r="Q32" i="6"/>
  <c r="H32" i="6"/>
  <c r="AA20" i="6"/>
  <c r="V20" i="6"/>
  <c r="Q20" i="6"/>
  <c r="AA14" i="6"/>
  <c r="V14" i="6"/>
  <c r="V65" i="6" s="1"/>
  <c r="Q14" i="6"/>
  <c r="Q65" i="6" s="1"/>
  <c r="N32" i="6"/>
  <c r="AA65" i="6" l="1"/>
  <c r="H14" i="6"/>
  <c r="C22" i="11"/>
  <c r="C23" i="11" s="1"/>
  <c r="B22" i="11"/>
  <c r="B23" i="11" s="1"/>
  <c r="C25" i="10"/>
  <c r="D20" i="9"/>
  <c r="D21" i="9"/>
  <c r="D22" i="9"/>
  <c r="D23" i="9"/>
  <c r="D24" i="9" s="1"/>
  <c r="E15" i="9"/>
  <c r="E16" i="9"/>
  <c r="B21" i="9"/>
  <c r="B22" i="9" s="1"/>
  <c r="B20" i="9"/>
  <c r="B18" i="9"/>
  <c r="H22" i="6"/>
  <c r="H26" i="6" s="1"/>
  <c r="H20" i="6"/>
  <c r="H63" i="6" l="1"/>
  <c r="H56" i="6" l="1"/>
  <c r="H65" i="6" s="1"/>
</calcChain>
</file>

<file path=xl/comments1.xml><?xml version="1.0" encoding="utf-8"?>
<comments xmlns="http://schemas.openxmlformats.org/spreadsheetml/2006/main">
  <authors>
    <author>DIANA.MARTINEZ</author>
    <author>JUAN.HERNANDEZ</author>
  </authors>
  <commentList>
    <comment ref="C32" authorId="0">
      <text>
        <r>
          <rPr>
            <b/>
            <sz val="9"/>
            <color indexed="81"/>
            <rFont val="Tahoma"/>
            <family val="2"/>
          </rPr>
          <t>DIANA.MARTINEZ:</t>
        </r>
        <r>
          <rPr>
            <sz val="9"/>
            <color indexed="81"/>
            <rFont val="Tahoma"/>
            <family val="2"/>
          </rPr>
          <t xml:space="preserve">
El nombre de esta actividad debe cambiarse al que se encuentra entre paréntesis y en color rojo, debido a que el Programa de Monitoreo de la Calidad del Recurso Hídrico es de la meta  de proyecto anterior de la RCHC y no del Programa de Monitoreo de Afluentes y Efluentes y sus factores de presión sobre los recursos.</t>
        </r>
      </text>
    </comment>
    <comment ref="C34" authorId="0">
      <text>
        <r>
          <rPr>
            <b/>
            <sz val="9"/>
            <color indexed="81"/>
            <rFont val="Tahoma"/>
            <family val="2"/>
          </rPr>
          <t>DIANA.MARTINEZ:</t>
        </r>
        <r>
          <rPr>
            <sz val="9"/>
            <color indexed="81"/>
            <rFont val="Tahoma"/>
            <family val="2"/>
          </rPr>
          <t xml:space="preserve">
El nombre de esta actividad debe cambiarse al que se encuentra entre paréntesis y en color rojo, agregando solamente el año 2017, el cual es pertinente aclarar.</t>
        </r>
      </text>
    </comment>
    <comment ref="C36" authorId="0">
      <text>
        <r>
          <rPr>
            <b/>
            <sz val="9"/>
            <color indexed="81"/>
            <rFont val="Tahoma"/>
            <family val="2"/>
          </rPr>
          <t>DIANA.MARTINEZ:</t>
        </r>
        <r>
          <rPr>
            <sz val="9"/>
            <color indexed="81"/>
            <rFont val="Tahoma"/>
            <family val="2"/>
          </rPr>
          <t xml:space="preserve">
El nombre de esta actividad debe cambiarse al que se encuentra entre paréntesis y en color rojo, debido a que el Programa de Monitoreo de la Calidad del Recurso Hídrico es de la meta  de proyecto anterior de la RCHC y no del Programa de Monitoreo de Afluentes y Efluentes y sus factores de presión sobre los recursos.</t>
        </r>
      </text>
    </comment>
    <comment ref="C38" authorId="0">
      <text>
        <r>
          <rPr>
            <b/>
            <sz val="9"/>
            <color indexed="81"/>
            <rFont val="Tahoma"/>
            <family val="2"/>
          </rPr>
          <t>DIANA.MARTINEZ:</t>
        </r>
        <r>
          <rPr>
            <sz val="9"/>
            <color indexed="81"/>
            <rFont val="Tahoma"/>
            <family val="2"/>
          </rPr>
          <t xml:space="preserve">
El nombre de esta actividad debe cambiarse al que se encuentra entre paréntesis y en color rojo, debido a que el Programa de Monitoreo de la Calidad del Recurso Hídrico es de la meta  de proyecto anterior de la RCHC y no del Programa de Monitoreo de Afluentes y Efluentes y sus factores de presión sobre los recursos.</t>
        </r>
      </text>
    </comment>
    <comment ref="C42" authorId="1">
      <text>
        <r>
          <rPr>
            <b/>
            <sz val="9"/>
            <color indexed="81"/>
            <rFont val="Tahoma"/>
            <family val="2"/>
          </rPr>
          <t>JUAN.HERNANDEZ:</t>
        </r>
        <r>
          <rPr>
            <sz val="9"/>
            <color indexed="81"/>
            <rFont val="Tahoma"/>
            <family val="2"/>
          </rPr>
          <t xml:space="preserve">
validar si se puede modificar la actividad </t>
        </r>
      </text>
    </comment>
  </commentList>
</comments>
</file>

<file path=xl/sharedStrings.xml><?xml version="1.0" encoding="utf-8"?>
<sst xmlns="http://schemas.openxmlformats.org/spreadsheetml/2006/main" count="520" uniqueCount="305">
  <si>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</si>
  <si>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</si>
  <si>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</si>
  <si>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</si>
  <si>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</si>
  <si>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</si>
  <si>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</si>
  <si>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</si>
  <si>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</si>
  <si>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</si>
  <si>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</si>
  <si>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</si>
  <si>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</si>
  <si>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</si>
  <si>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</si>
  <si>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</si>
  <si>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</si>
  <si>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</si>
  <si>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</si>
  <si>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</si>
  <si>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</si>
  <si>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</si>
  <si>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</si>
  <si>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</si>
  <si>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</si>
  <si>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</si>
  <si>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</si>
  <si>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</si>
  <si>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</si>
  <si>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</si>
  <si>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</si>
  <si>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</si>
  <si>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</si>
  <si>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</si>
  <si>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Barrios Unidos</t>
  </si>
  <si>
    <t>Teusaquillo</t>
  </si>
  <si>
    <t>Antonio Nariño</t>
  </si>
  <si>
    <t>Puente Aranda</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</si>
  <si>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</si>
  <si>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</si>
  <si>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</si>
  <si>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</si>
  <si>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</si>
  <si>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</si>
  <si>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</si>
  <si>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</si>
  <si>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</si>
  <si>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</si>
  <si>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</si>
  <si>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</si>
  <si>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</si>
  <si>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</si>
  <si>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</si>
  <si>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</si>
  <si>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</si>
  <si>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</si>
  <si>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</si>
  <si>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</si>
  <si>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</si>
  <si>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</si>
  <si>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</si>
  <si>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</si>
  <si>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</si>
  <si>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</si>
  <si>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</si>
  <si>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</si>
  <si>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</si>
  <si>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</si>
  <si>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</si>
  <si>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</si>
  <si>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</si>
  <si>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</si>
  <si>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</si>
  <si>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</si>
  <si>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</si>
  <si>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</si>
  <si>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</si>
  <si>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</si>
  <si>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</si>
  <si>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</si>
  <si>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</si>
  <si>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</si>
  <si>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</si>
  <si>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</si>
  <si>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</si>
  <si>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</si>
  <si>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</si>
  <si>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</si>
  <si>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</si>
  <si>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126PG01-PR02-F-A5-V9.0</t>
  </si>
  <si>
    <t xml:space="preserve"> Centro de Información y Modelamiento Ambiental</t>
  </si>
  <si>
    <t>Avance en el diseño y construcción del Centro de Información y Modelamiento Ambiental de Bogotá D.C.</t>
  </si>
  <si>
    <t>%</t>
  </si>
  <si>
    <t>Generar información y conocimiento sobre el estado de los recursos Hídrico, Aire (Ruido y calidad a los ciudadanos del DC</t>
  </si>
  <si>
    <t>Línea de acción (1.1): Red de Monitoreo de Calidad del Aire de Bogotá D.C. (RMCAB)</t>
  </si>
  <si>
    <t>Línea de acción (1.2): Red de Ruido</t>
  </si>
  <si>
    <t>Línea de acción (1.3): Sistema de Alertas Ambientales de Bogotá en su componente aire, SATAB-aire</t>
  </si>
  <si>
    <t>Línea de acción (3) Generación de Información multipropósito</t>
  </si>
  <si>
    <t>Realizar 51 informes de calidad del aire, resultado de la operación de la red.</t>
  </si>
  <si>
    <t>Implementar 100% del Sistema de Alertas tempranas Ambientales de Bogotá</t>
  </si>
  <si>
    <t>Elaborar un Plan Estratégico ambiental para la ciudad, con horizonte al año 2040</t>
  </si>
  <si>
    <t>Entregar Informes de Calidad de Aire</t>
  </si>
  <si>
    <t>Desarrollar e implementar una Red Distrital de Monitoreo de black carbon para fortalecer el Sistema de Alertas Tempranas Ambientales de Bogotá.</t>
  </si>
  <si>
    <t>Implementar 100% de la red de ruido</t>
  </si>
  <si>
    <t xml:space="preserve"> </t>
  </si>
  <si>
    <t>Línea de acción (1.1): Red de Monitoreo de Calidad del Aire de Bogotá D.C. (RMCAB</t>
  </si>
  <si>
    <t>Realizar mantenimientos preventivos y correctivos en los equipos de RMCAB.</t>
  </si>
  <si>
    <t>Implementar 100% del componente aire del Sistema de Alertas Tempranas Ambientales de Bogotá</t>
  </si>
  <si>
    <t>Nombre de la estación</t>
  </si>
  <si>
    <t>Localidad</t>
  </si>
  <si>
    <t>UPZ</t>
  </si>
  <si>
    <t>Dirección</t>
  </si>
  <si>
    <t xml:space="preserve">Carvajal  </t>
  </si>
  <si>
    <t>Kennedy</t>
  </si>
  <si>
    <t>45 Carvajal</t>
  </si>
  <si>
    <t>Autopista Sur # 63-40</t>
  </si>
  <si>
    <t xml:space="preserve">Guaymaral </t>
  </si>
  <si>
    <t>Suba</t>
  </si>
  <si>
    <t>3 Guaymaral</t>
  </si>
  <si>
    <t>Autopista Norte # 205-59</t>
  </si>
  <si>
    <t>47 Kennedy Central</t>
  </si>
  <si>
    <t>Carrera 80 # 40-55 sur</t>
  </si>
  <si>
    <t xml:space="preserve">Parque Simon Bolivar </t>
  </si>
  <si>
    <t xml:space="preserve">Barrios
Unidos </t>
  </si>
  <si>
    <t>22 doce de octubre</t>
  </si>
  <si>
    <t>Calle 63 # 59A-06</t>
  </si>
  <si>
    <t>Puente
Aranda</t>
  </si>
  <si>
    <t>111 Puente Aranda</t>
  </si>
  <si>
    <t>Calle 10 # 65-28</t>
  </si>
  <si>
    <t xml:space="preserve">Las Ferias </t>
  </si>
  <si>
    <t xml:space="preserve">Engativá </t>
  </si>
  <si>
    <t>26 Las Ferias</t>
  </si>
  <si>
    <t>Avenida Calle 80 # 69Q-50</t>
  </si>
  <si>
    <t xml:space="preserve">Suba </t>
  </si>
  <si>
    <t>27 suba</t>
  </si>
  <si>
    <t>Carrera 111 # 159A-61</t>
  </si>
  <si>
    <t>San Cristóbal</t>
  </si>
  <si>
    <t>San
Cristóbal</t>
  </si>
  <si>
    <t>32 San Blas</t>
  </si>
  <si>
    <t>Carrera 2 Este # 12-78 sur</t>
  </si>
  <si>
    <t>Tunal</t>
  </si>
  <si>
    <t>Tunjuelito</t>
  </si>
  <si>
    <t>42 Venecia</t>
  </si>
  <si>
    <t>Carrera 24 # 49-86 sur</t>
  </si>
  <si>
    <t xml:space="preserve">Usaquén </t>
  </si>
  <si>
    <t>14 usaquén</t>
  </si>
  <si>
    <t>Carrera 7B Bis # 132-11</t>
  </si>
  <si>
    <t xml:space="preserve">Fontibón </t>
  </si>
  <si>
    <t>Fontibón</t>
  </si>
  <si>
    <t>75 Fontibón</t>
  </si>
  <si>
    <t>Carrera 96G # 17B-49</t>
  </si>
  <si>
    <t>Bolivia</t>
  </si>
  <si>
    <t>72 Bolivia</t>
  </si>
  <si>
    <t>Avenida Calle 80 # 121-98</t>
  </si>
  <si>
    <t>Sagrado Corazón</t>
  </si>
  <si>
    <t>Santa Fe</t>
  </si>
  <si>
    <t>91 Sagrado Corazón</t>
  </si>
  <si>
    <t>Calle 37 # 8-40</t>
  </si>
  <si>
    <t>KENNEDY</t>
  </si>
  <si>
    <t>PUENTE ARANDA</t>
  </si>
  <si>
    <t>SUBA</t>
  </si>
  <si>
    <t>USAQUÉN</t>
  </si>
  <si>
    <t>FONTIBÓN</t>
  </si>
  <si>
    <t xml:space="preserve">TOTAL </t>
  </si>
  <si>
    <t>SANTA FE</t>
  </si>
  <si>
    <t>calidad</t>
  </si>
  <si>
    <t>Total (ha)</t>
  </si>
  <si>
    <t>Urbano (ha)</t>
  </si>
  <si>
    <t>Usaquen</t>
  </si>
  <si>
    <t>Chapinero</t>
  </si>
  <si>
    <t>Usme</t>
  </si>
  <si>
    <t>Bosa</t>
  </si>
  <si>
    <t>Engativá</t>
  </si>
  <si>
    <t>Los Mártires</t>
  </si>
  <si>
    <t>La Candelaria</t>
  </si>
  <si>
    <t>Rafael Uribe Uribe</t>
  </si>
  <si>
    <t>Ciudad Bolivar</t>
  </si>
  <si>
    <t>Sumapaz</t>
  </si>
  <si>
    <t>TOTAL BOGOTÁ</t>
  </si>
  <si>
    <t>N.A</t>
  </si>
  <si>
    <t>CHAPINERO</t>
  </si>
  <si>
    <t>SAN CRISTÓBAL</t>
  </si>
  <si>
    <t>USME</t>
  </si>
  <si>
    <t>TUNJUELITO</t>
  </si>
  <si>
    <t>BOSA</t>
  </si>
  <si>
    <t>ENGATIVÁ</t>
  </si>
  <si>
    <t>BARRIOS UNIDOS</t>
  </si>
  <si>
    <t>TEUSAQUILLO</t>
  </si>
  <si>
    <t>LOS MÁRTIRES</t>
  </si>
  <si>
    <t>ANTONIO NARIÑO</t>
  </si>
  <si>
    <t>LA CANDELARIA</t>
  </si>
  <si>
    <t>RAFAEL URIBE URIBE</t>
  </si>
  <si>
    <t>CIUDAD BOLÍVAR</t>
  </si>
  <si>
    <t>SUMAPAZ</t>
  </si>
  <si>
    <t>1,1</t>
  </si>
  <si>
    <t>SUMA</t>
  </si>
  <si>
    <t>Línea de acción (1.4): Red de Calidad Hídrica de Bogotá RCHB, la Red de monitoreo aguas subterráneas y la captura de la información secundaria compilada mediante el reporte de terceros interesados o usuarios del recurso Hídrico.</t>
  </si>
  <si>
    <t>Línea de acción (1.5): Red de Monitoreo de Aguas Subterráneas RMAS (R+).</t>
  </si>
  <si>
    <t>Línea de acción (2) Centro de Información y Modelamiento Ambiental.</t>
  </si>
  <si>
    <t>2,1</t>
  </si>
  <si>
    <t xml:space="preserve">La cuenca hidrica del Rio Bogotá en proceso
de descontaminacion a traves de acciones
de corto y mediano plazo. </t>
  </si>
  <si>
    <t>No. De Accioes realizadas para dar cumplimiento a las ordenes de la sentencia Río Bogotá vinculadas al proyecto</t>
  </si>
  <si>
    <t>No. ACCIONES</t>
  </si>
  <si>
    <t xml:space="preserve"> Evaluación, definición y diseño la Red de Aguas Subterráneas de Bogotá, en la cual se establezcan las necesidades para determinar las condiciones en cuanto a tecnología, localización y cobertura</t>
  </si>
  <si>
    <t xml:space="preserve"> 978 - Centro de Información y Modelamiento Ambiental</t>
  </si>
  <si>
    <t>DIRECCIÓN DE CONTROL AMBIENTAL</t>
  </si>
  <si>
    <t>Sistemas de información para una política pública eficiente</t>
  </si>
  <si>
    <t>Un centro de información y modelamiento ambiental diseñado y construido</t>
  </si>
  <si>
    <t>Centro de información ambiental</t>
  </si>
  <si>
    <t>Diseñar y construir un centro de información y modelamiento ambiental de Bogotá D.C (Producto)</t>
  </si>
  <si>
    <t>Creciente</t>
  </si>
  <si>
    <t>07-Eje transversal Gobierno legítimo, fortalecimiento local y eficiencia</t>
  </si>
  <si>
    <t>44 - Gobierno y ciudadanía digital</t>
  </si>
  <si>
    <t>CRECIENTE</t>
  </si>
  <si>
    <t>Implementar 100 % la red de calidad de ruido</t>
  </si>
  <si>
    <t>Implementar 100 % del componente aire del Sistema de Alertas Tempranas Ambientales de Bogotá.</t>
  </si>
  <si>
    <t>Generar 4 informes anualizados de la calidad hídrica superficial.</t>
  </si>
  <si>
    <t>Implementar 100 % la red de aguas subterráneas.</t>
  </si>
  <si>
    <t>Establecer 1 centro de información y modelamiento.</t>
  </si>
  <si>
    <t>Elaborar 1 plan estratégico ambiental para la ciudad, al año 2040.</t>
  </si>
  <si>
    <t>Generar 4 informes anualizados sobre los factores de presión sobre los recursos.</t>
  </si>
  <si>
    <t xml:space="preserve">Dar a conocer a la ciudadania el comportamiento y mediciòn de las condiciones climáticas y atmosféricas de la ciudad, asi como establecer puntos críticos de contaminación. </t>
  </si>
  <si>
    <t>Generar las condiciones técnicas, ubicación y cobertura de la red de ruido úrbana de la ciudad</t>
  </si>
  <si>
    <t>Dar a conocer a la ciudad de manera másiva los estados de alerta por contaminación atmosférica y establecer el mecanismo, protocolos y reacción ante eventuales episodios por parte de las entidades que hacen parte del sistema.</t>
  </si>
  <si>
    <t>c, Observatorio Ambiental de Bogotá.</t>
  </si>
  <si>
    <t>Reajuste en la programación para el desarrollo del monitoreo</t>
  </si>
  <si>
    <t>La operación de la red (a través del contrato) permitirá tener información para el conocimiento del recurso hídrico y la verificación de la efectividad de las acciones de mejoramiento de la calidad del  recurso hídirico superficial</t>
  </si>
  <si>
    <t>Estudios previos y documentos del proceso SECOP: SDA SAM 059 DE 2016</t>
  </si>
  <si>
    <t>N. A.</t>
  </si>
  <si>
    <t>Informe Técnico  00852, 18 de julio del 2016. Rad. 2016IE122655. Radicado 2016IE218178 informando de pólizas que cubren el equipo instalado y visita técnica de instalación del equipo</t>
  </si>
  <si>
    <t>La ventana temporal al 2040, corresponde a un intervalo de 25 años, que permite la proyección de la ciudad en interacción con el medio ambiente y en el corto plazo el cumplimiento de las metas establecidas en el plan de desarrollo “Bogotá Mejor para Todos”, las actividades responden a la necesidad de ajustar estrategias en el marco regulatorio, metodologías de evaluación y valores de referencia que permitan el desarrollo de una ciudad sostenible y la reducción de la huella ambiental de la Ciudad.  Por lo anterior se requiere la revisión de los planes y normatividad desarrollada por la Secretaría Distrital de Ambiente en los que se incluyen entre otros, Plan Decenal de Descontaminación del Aire de Bogotá, los Planes Locales de Arbolado Urbano, Plan de Desmantelamiento de Infraestructura la revisión de la normatividad asociada al recurso hídrico y suelos contaminados. 
Para la Vigencia 2016 se elaboró el Proyecto Decreto para la modificación del Decreto Distrital 098/2011 y actualización  del PDDAB,  se consolidó versión final del Documento de Exposición de motivos para la modificación del Decreto 098/2011, se consolidó la  versión final del Documento Técnico Soporte -DTS para la actualización del PDDAB, se realizó jornada de trabajo con la Subdirección de Planes y Políticas Ambientales-SPPA para el acompañamiento y revisión de los documentos técnicos proyectados dando alcance al proceso de actualización y ajuste del PDDAB.</t>
  </si>
  <si>
    <t xml:space="preserve">Basado en  los lineamientos estratégicos de la Entidad y Dirección Legal  se determinó realizar la formulación del Plan por etapas, por lo cual, la elaboración de la  Metodología para la priorización y evaluación de proyectos está contemplada para la Etapa II; adicionalmente, considerando que se extendió el proceso de consolidación del documento técnico de soporte, a raíz de la inclusión de las observaciones expuestas por la SPPA en reuniones de trabajo, motivo por el cual aún falta finalizar  la verificación del proyecto Decreto  por parte de la Dirección Legal Ambiental-DLA. </t>
  </si>
  <si>
    <t>Finalizar el DTS del Plan Decenal de Desconatminación durante el mes de ENERO de 2017</t>
  </si>
  <si>
    <t>La reformulación del Plan Decenal de Descontaminaciòn del Aire para Bogotà, orienta las estrategias para que la ciudad implemente la polìtica de calidad del aire conjuntamente con los sectores de mayor aporte en la contaminaciòn de la ciudad</t>
  </si>
  <si>
    <t>Servidor de la SDA Carpeta SCAAV Soportes de avance en las metas 2016.</t>
  </si>
  <si>
    <t>x</t>
  </si>
  <si>
    <t>Constante</t>
  </si>
  <si>
    <t>Se realizó un (1) Informe de Calidad del Aire correspondiente al mes de enero de 2017, en dicho informe se relaciona el comportamiento de los contaminantes atmosféricos y sus respectivas concetraciones. 
Durante el primer trimestre se llevaron a cabo  los mantenimientos rutinarios (calibraciones y revisiones del estado de los equipos) y mantenimientos correctivos que fueran necesarios (cambio de tarjetas, cambio de bomba de muestreo).
Asi mismo se  trabajo en el desarrollo del pronóstico de calidad del aire y meteorología para el dia sin carro y sin moto del 2 de febrero de 2016. Para desarrollar dicho informe se simuló la calidad del aire de la ciudad sin la circulación de los vehiculos particulares y motos. se anexa infome del dis sin carro 2017</t>
  </si>
  <si>
    <t>1 informe de calidad del aire correspondiente al mes de febrero, ya que se desarrollon mes y medio vencido.</t>
  </si>
  <si>
    <t>Realizar los informes de calidad del aire en el segundo trimestre del presente año.</t>
  </si>
  <si>
    <t xml:space="preserve">Servidor de la SDA Carpeta SCAAV </t>
  </si>
  <si>
    <t>Para el primer triemestre del año 2017 se realizaron los estudios de mercado para la adquisición de Receptores ASD-B. Asimismo, se han determinado las primeras cinco (5) zonas de especial interés candidatas para hacer las pruebas pilotos al final de la vigencia, lo que corresponde al avance de 5% en la magnitud de la meta.</t>
  </si>
  <si>
    <t>no se tiene retraso</t>
  </si>
  <si>
    <t>Servidor de la SDA Carpeta SCAAV red de ruido</t>
  </si>
  <si>
    <t>Este 5% corresponde a: La SDA ha avanzado en el l 40% de la ejecución del contrato para el diseño y desarrollo de una aplicación móvil de espacialización, comunicación y uso del Índice Bogotano de Calidad del Aire, IBOCA, asi mismo se realizó el informe final  de la pre zonificación de los Protocolos distritales de actuación ante alertas y de respuesta ante emergencias por contaminación atmosférica de Bogotá. 
Se realizó el Mapa de ruta de las acciones a seguir cuando se presenten eventos excepcioanles de contaminación atmosférica. 
Se llevo a cabo la instalación y puesta en marcha el 20 de febrero de 2017 del equipo AQM-65 en la terraza del tercer piso de la Secretaria Distrital de Ambiente, como primera campaña de monitoreo de prueba.</t>
  </si>
  <si>
    <t>Formulación de la programación y plan de actividades para la operación del Monitoreo de la Red de la Calidad del Recurso Hídrico en el año 2017.
Remisión del plan de monitoreo para la elaboración del Plan Operativo, se realizaron recorridos de identificación de los puntos a monitorear por parte de la CAR y se revisó y aprobó el Plan Operativo. Se dispuso de los equipos de trabajo para los recorridos en campo, toma de muestras, seguimiento y acompañamiento.</t>
  </si>
  <si>
    <t>Retraso en el inicio de actividades de operación</t>
  </si>
  <si>
    <t xml:space="preserve">Se identificaron los puntos del recurso hídrico subterráneo que serán declarados dentro de la red de monitoreo como puntos de la red.  Identificación oficializada mediante Informe Técnico  00852, 18 de julio del 2016. 
Se instalaron los equipos de monitoreo en el primer pozo que conformará la red, cumpliendo con las condiciones técnicas, jurídicas y administrativas. </t>
  </si>
  <si>
    <t>Generar conocimiento sobre el comportamiento de la cantidad disponible, uso del recurso, tipos de usos posibles del recurso para tomar medidas efectivas de control, concesión y seguimiento para asegurar el mantenimiento y disponibilidad del recurso</t>
  </si>
  <si>
    <t>Después de la gestión del espacio físico para el centro de información y modelamiento ambiental, para el primer trimestre del año 2017 se inició la construcción de obras locativas, adecuación de redes de información e instalación de puestos de trabajo.  
Avances en el diseño e implementación del Centro de Información y Modelamiento Ambiental – CIMA, Se realizó un diagnostico incluyendo la cobertura actual y deseada de las redes de monitoreo ambientales de la Secretaria Distrital de Ambiente que se articulan con el CIMA, como la red de Monitoreo de Calidad del Agua que cuenta con 30 estaciones distribuidas por los cuatro ríos principales de la ciudad de Bogotá D.C. (Torca, Salitre, Fucha y Tunjuelo). La Red de Monitoreo de Calidad del Aire – RMCAB que está conformada por doce (12) estaciones automáticas y una estación móvil, las cuales registran en forma continua la concentración de contaminantes criterio y variables meteorológicas en la ciudad.
se realizo la compra de un Servidor para el funcionamiento del centro por valor de 250 millones aprox  con el contrato contrato 20161323, ETB esta entrega se realizara para el 3 de mayo de 2017</t>
  </si>
  <si>
    <t>Se tiene un retraso en el desarrollo del proceso "Big Data Ambiental”</t>
  </si>
  <si>
    <t xml:space="preserve">Reestructurar las variables las cuales están afectando el desarrollo del analisis de los datos por cada subdirección. </t>
  </si>
  <si>
    <t xml:space="preserve">control y gestion ambiental,  toma de desiciones con informacion completa y oportuna </t>
  </si>
  <si>
    <t>Metodologia PEAB
Evidencias avance centro de modelamiento</t>
  </si>
  <si>
    <t>Se establece diseño y formulación del Plan de Monitoreo de factores presión al recurso hídrico, estudios previos del Convenio Interadministrativo. Este avance se da en el marco del Convenio Interadministrativo SDA-CAR 1582/2016.
Se define la metodología para el registro de muestras frente a factores, actores o actividades que generan presión a los recursos naturales y los mecanismos de acción como soporte en los operativos de control que realice la entidad.</t>
  </si>
  <si>
    <t>Se presentó retraso en la ejecución de actividades operativas para el registro de información específica</t>
  </si>
  <si>
    <t>Reajuste en la programación para el desarrollo de la evaluación y monitoreo de los factores que generan presión a los recursos</t>
  </si>
  <si>
    <t>Definición de los criterios, periodos y espacios para el monitoreo de los recursos naturales y de los factores de presión</t>
  </si>
  <si>
    <t>Informes del Convenio interadministrativo 1582/2016</t>
  </si>
  <si>
    <t xml:space="preserve">Realizar seguimiento a las estrategias que hacen parte de la estructura reformulada del PDDAB. </t>
  </si>
  <si>
    <t>Desarrollar las acciones correspondientes para la reformulación Plan Decenal de Descontaminación del Aire de Bogotá.</t>
  </si>
  <si>
    <t>fortalecimiento tecnologico (big data, interfase, etc)</t>
  </si>
  <si>
    <t>estructura y alcances del plan estratégico ambiental Bogotá – 2040</t>
  </si>
  <si>
    <t xml:space="preserve">
Etapa precontractual de la siguiente Fase del Programa de Monitoreode los factores de presión al recurso hídrico 2018</t>
  </si>
  <si>
    <t>Diseño y formulación de la siguiente Fase del Programa de Monitoreo de los factores de presión al recurso hídrico 2018</t>
  </si>
  <si>
    <t>Informe de ejecución y resultados sobre el monitoreo de los factores de presión al recurso hídrico 2017</t>
  </si>
  <si>
    <t xml:space="preserve"> Ejecución de la Fase XIV del Programa de Monitoreo de los factores de presión al recurso hídrico 2017</t>
  </si>
  <si>
    <t xml:space="preserve">e identificaron los puntos del recurso hídrico subterráneo que serán declarados dentro de la red de monitoreo como puntos de la red.  Identificación oficializada mediante Informe Técnico  00852, 18 de julio del 2016. Rad. 2016IE122655 
Se instalaron los equipos de monitoreo en el primer pozo que conformará la red, cumpliendo con las condiciones técnicas, jurídicas y administrativas. Rad 2016IE218178.  </t>
  </si>
  <si>
    <t>10.00%</t>
  </si>
  <si>
    <t>Proceso de contratación del Plan de Monitoreo de la Red de Calidad Hídrica de Bogotá 2017-2018</t>
  </si>
  <si>
    <t>Diseño y formulación del Plan de Monitoreo de la Red de Calidad Hídrica de Bogotá 2017-2018</t>
  </si>
  <si>
    <t>Operación del monitoreo de la Red de la Calidad del Recurso Hídrico 2017</t>
  </si>
  <si>
    <t>Entrega de Informe de estado de Calidad de los Ríos Urbanos - Indicador WQI 2016 - 2017</t>
  </si>
  <si>
    <t>Desarrollar procedimientos,  estrategias y acciones con el fin de consolidar e implementar el Sistema de Alertas Tempranas Ambientales de Bogotá basado en contaminantes criterio.</t>
  </si>
  <si>
    <t>Diseño de la red de ruido fija y/o móvil y prueba Piloto del Sistema en dos zonas de especial atención. Sistema de Información y modelado</t>
  </si>
  <si>
    <t>Actividades precontractuales y/o previas y/o de diagnóstico  para la adquisición del sistema a implementar para la red de ruido</t>
  </si>
  <si>
    <t xml:space="preserve">
Modelamiento de escenarios de calidad del aire y reporte.</t>
  </si>
  <si>
    <t>5, PONDERACIÓN HORIZONTAL AÑO: 2017</t>
  </si>
  <si>
    <r>
      <t xml:space="preserve">Informes con interrelación de variables de segundo orden (3) </t>
    </r>
    <r>
      <rPr>
        <i/>
        <sz val="9"/>
        <color theme="1"/>
        <rFont val="Arial"/>
        <family val="2"/>
      </rPr>
      <t>(Avances en el diseño e implementación del Centro de Información y Modelamiento Ambiental – CIMA)</t>
    </r>
  </si>
  <si>
    <t>+</t>
  </si>
  <si>
    <t xml:space="preserve">Para el 2017  los productos que se han divulgado por el Centro de Modelamiento corresponde a: 
1, Informes de Calidad del Aire: durante este primer semestre de los informes corresponden a los meses de Enero, Febrero, Marzo y Abril del año 2017. 
2, implementación del IBOCA. Se avanza en la implementación del Sistema de Alertas tempranas ambientales con un avance para el primer semestre en el desarrollo de la aplicación móvil de divulgación del IBOCA y la finalización del estudio de zonificación ambiental del distrito.
3, Visualización censo de vertimientos con un avance en la construcción de una plataforma correspondiente al censo la cual cuenta con un sitio web público, donde se relacionaron: los puntos de vertimientos del PSMV, los usuarios de vertimientos sobre el recurso hídrico de Bogotá y la red de monitoreo ambiental  que permite  visualizar geográficamente el impacto sobre la calidad del hídrica.
4. El centro de Información y Modelamiento Ambiental CIMA, para el 2017 ha adelantado investigaciones  en diferentes temáticas, como: Ruido, Aguas Subterráneas, Calidad Hídrica, Calidad del Aire, entre otras. Lo cual tiene como fin ser divulgarla a la ciudadanía en general a través de los medios de comunicación con los que cuenta la Secretaría Distrital de Ambiente durante el Segundo Semestre. 
Total avance Plan de desarrollo: 20%  y un 50% para la vigencia 2017.  </t>
  </si>
  <si>
    <t>Dar a conocer a la ciudadanía el comportamiento y medición de las condiciones de calidad de los diferentes recursos naturales de la ciudad, así como establecer puntos críticos de contaminación. 
El “Centro de Información y Modelamiento Ambiental – CIMA” de la Secretaría Distrital de Ambiente,  divulgo a la ciudadanía información de calidad del Aire, predicción de calidad del Aire (IBOCA) e impactos sobre el recurso Hídrico (Censo Hídrico).  Lo que permite sensibilizar y contar con herramientas para la toma de decisiones de diferentes actores.</t>
  </si>
  <si>
    <t>Ninguno</t>
  </si>
  <si>
    <t xml:space="preserve">Servidor SDA-SCAAV y Anexos 
http://cartografia.dadep.gov.co/generica/index.html?webmap=a19fd5f9190645599275d1e424774ea9 </t>
  </si>
  <si>
    <t>Durante el año 2016 Se realizó la gestión del espacio físico para el centro de información y modelamiento ambiental,  también se adelantó la compra de un Servidor para el funcionamiento del centro.
Para el primer semestre del año 2017, se entrega avance del 80% de la obra civil de construcción del espacio físico implementando el diseño arquitectónico (aprobado en 2016) y la dotación de mobiliario. Avance del 0.8%.
Así mismo, conforme a la formulación del proyecto 978 para la vigencia 2017, se contempló:
1. La ampliación de capacidad técnica y tecnológica: se está adelantando los procesos precontractuales para la adquisición de Hardware y Software con un avance en 2017 del 0.5%.
2. Al fortalecimiento en los procesos de valor agregado de los datos: Se avanzó en el modelo conceptual y grafico de la valoración económica del arbolado urbano. Así como en la articulación de la red hídrica los puntos de vertimientos del PSMV con la caracterización de vertimientos del recurso hídrico para unificar condiciones del uso de la red hídrica del distrito y en la BIGDATA en la cual se avanzó en la elaboración del modelo entidad relación de los siguientes grupos de la SRHS (Vertimientos, aguas subterráneas, aceites usados,  respel, estaciones de servicio, licencias ambientales, minería y suelos y validación con el directivo),  SCAAV (fuentes fijas Ruido , -PEV, -Fuentes móviles y Validación Directivo área), SSFFS (Silvicultura  industrias de la madera, Fauna silvestre), SCASP (Sector público) y General (terceros ); con un avance en 2017 del  0.5%
3. Y por último la propuesta de estructura y alcances del plan estratégico ambiental Bogotá – 2040, para las revisiones que le sean pertinentes: Se estableció la metodología con la cual se encontraran las relaciones necesarias para estructurar el plan estratégico y se han elaborado series de tiempo y análisis estadísticos de tendencia central y de valores extremos de la base de datos con información del estado de los recursos con las que cuenta la DCA. con un avance en 2017 del  0.2%
Total avance Plan de desarrollo: 20%  y un 50% para la vigencia 2017.</t>
  </si>
  <si>
    <t xml:space="preserve">Para la orden numero 4,59 se informa la formulacion del documento metodologico en la mesa técnica interinstitucional (DANE, CAR, SDA), para el desarrollo del censo. - Asistencia a reuniones de mesa técnica con el DANE, CAR y Ministerio de Ambiente y Desarrollo Sostenible – MADS para dicutir lineamientos en el cumplimiento de la orden 4,59. Se solicito Ministerio de Ambiente y Desarrollo Sostenible  mediante oficio SDA No. 2016EE186230 del 24/10/2016, pronunciamiento técnico jurídico para definir el alcance que debe tener la Orden 4.59. y así articular el trabajo institucional.  
Para la orden 4,58 dando continuidad con las medidas administrativas y económicas relacionadas con el incremento de control de muestreo y contra-muestreo de la actividad industrial y agropecuaria de la cuenca hidrográfica del Río Bogotá, la SDA ha formulado el proyecto de inversión Centro de Información y Modelamiento Ambiental que tiene como objetivo Generar información y conocimiento sobre el estado de los recursos Hídrico, Aire, el cual incluye el componente de informes sobre los factores de presión sobre los recursos en el que se encuentra inmerso el muestreo y contra-muestreo de los vertimientos de los sectores productivos. Esto se realiza por medio del Convenio No. 1582 (20161251) del 28/12/2016 y el contrato N°  20161257 de 2016  celebrado entre  SDA y ANALQUIM  LTDA
</t>
  </si>
  <si>
    <t>Con el propósito de mantener el buen estado y funcionamiento de la RMCAB, durante el mes de  Junio se llevan a  cabo  los mantenimientos preventivos y correctivos rutinarios establecidos de acuerdo a las necesidades de cada elemento,  identificadas a través del  software gestor para los diferentes equipos, analizadores y sensores. 
De igual modo se elabora un documento en el cual se relaciona la información respecto con  los mantenimientos preventivos y correctivos realizados en las diferentes estaciones  expuesto en el  Anexo 1. Reporte Actividades de mantenimiento y Calibración   y Anexo 2. Reporte de actividades realizadas Subactividades.
En relación con el trabajo no conforme Anexo 3. Trabajo No Conforme, se determinan las causas y las acciones correctivas para cada uno de ellos, estas acciones están orientadas en su mayoría a cambio de piezas de algunos equipos, instalación de insumos y reparaciones, de este modo durante el mes de Mayo y Junio no se reporta interrupción completa de trabajo en ninguna de la estaciones de la  RMCAB. 
Por otra parte para llevar a cabo la Actualización y Modernización de la Red de Monitoreo de Calidad del Aire de Bogotá ,  se adelanta  la etapa precontractual para solicitar la actualización de los equipos de la RMCAB, en los cuales se requiere adquirir insumos y repuestos necesarios para la operación de la RMCAB , adquisición de  e instalación de Shelters, analizadores de gases, analizadores de material particulado, actualización del sistema operativo  Dataloger, y algunos equipos meteorológicos. En este sentido el avance de  la gestión realizada hasta el mes de Junio se relaciona en el   Anexo 4. Reporte de adquisición de bienes y servicios RMCAB.</t>
  </si>
  <si>
    <r>
      <t xml:space="preserve">7, OBSERVACIONES AVANCE TRIMESTRE </t>
    </r>
    <r>
      <rPr>
        <b/>
        <u/>
        <sz val="10"/>
        <rFont val="Arial"/>
        <family val="2"/>
      </rPr>
      <t xml:space="preserve">II </t>
    </r>
    <r>
      <rPr>
        <b/>
        <sz val="10"/>
        <rFont val="Arial"/>
        <family val="2"/>
      </rPr>
      <t xml:space="preserve"> DE </t>
    </r>
    <r>
      <rPr>
        <b/>
        <u/>
        <sz val="10"/>
        <rFont val="Arial"/>
        <family val="2"/>
      </rPr>
      <t>2017</t>
    </r>
  </si>
  <si>
    <t xml:space="preserve">Durante el mes de Junio se realizan los informes de calidad del Aire correspondientes al mes de  Marzo y Abril  Anexo  5. Informe mensual de calidad del Aire RMCAB Marzo y Anexo 6, Informe mensual de calidad del Aire RMCAB Abril. Por otra parte y como eje transversal del desarrollo de los informes continua  adelantándose  la gestión para integrar un capitulo correspondiente al desarrollo del Sistema Integrado de Modelación de Calidad del Aire de Bogotá. 
El equipo técnico se encuentra en el proceso de validación y estructuración de los  informes correspondientes al mes  mayo y junio,  la estructuración del  informe anual que contendrá la información y análisis de contaminantes y efectos a la salud para el año 2016 y el análisis y procesamiento de  la información de la estación Móvil  correspondiente a los años 2015 y 2016.  </t>
  </si>
  <si>
    <t>Durante el mes de junio el Sistema Integrado de Modelación de Calidad del Aire de Bogotá (SIMCAB) de la Secretaria  Distrital de Ambiente de Bogotá desarrolló varias actividades, entre ellas:
1. Generación diaria de boletines de pronóstico de IBOCA a 24 horas con base en la concentración de PM10, y tabla con valor de IBOCA predominante por localidad, los cuales se publican en la página del observatorio ambiental de salud:
http://biblioteca.saludcapital.gov.co/img_upload/8091b853a4dfbdf5c477a01ca21b2cd9/pronostico-iboca-bogota.html
2. Se instaló la herramienta CALWRF con el fin de acoplar los datos de salida del modelo WRF a un formato de salida entendible por CALMET para luego ser ingresados a CALPUFF. El archivo descargado se encuentra en el servidor de modelamiento en la ruta: /home/crarango2/TARS/CALWRF_v2.0.2_L131108
3. Se actualizaron las versiones del software R (versión 3.4.0 de abril de 2017) en las estaciones de trabajo del SIMCAB. Este software es de vital importancia para el post-procesamiento y validación de los archivos del modelo.
4. Se actualizaron los scripts en R para la extracción de los datos generados por la Red de medición de Calidad del Aire de Bogotá (RMCAB), la generación de mapas de PM10, PM2,5, y de IBOCA, así como la validación del PM10 y PM2,5 en términos de BIAS. (ver Anexo 7. Validación mensual modelos WFR Y CMAQ)
5. Se realizó la georreferenciación de las 377 Estaciones de Servicio con corte a noviembre de 2016, actividad necesaria para la posterior desagregación espacial de las emisiones de Compuesto Orgánicos Volátiles. (Ver Anexo 8. Desagregación EDS)
6. Se adelanta la gestión para la configuración de la máquina virtual del modelo de calidad del aire dentro del servidor del CIMA.</t>
  </si>
  <si>
    <t>1. La Red Urbana de Monitoreo de Ruido
Se revisó la conectividad entre las estaciones de medición de la red de ruido, donde se encontraron varios temas que se necesitan diagnosticar. Para esto se realizó el plan de trabajo mensual de actividades a realizar a cada una de las visitas para poder obtener la conectividad entre las estaciones. (Anexo No. 9 Plan De Trabajo Estaciones Aeropuerto 2017).
Se realizó presentación de La Red Urbana de Monitoreo de Ruido. (Anexo No. 10 Presentación Red de Ruido Urbana Bogotá). 
Remitimos información, que hace referencia a la adquisición de diferentes Software (Activos Intangibles) que se encuentran en el inventario de la SCAAV. (Anexo No. 11 Activos Intangibles).
2. Compra de bienes y servicios para La Red Urbana de Monitoreo de Ruido.
Se realizaron correcciones al modelo de invitación a cotizar y a las especificaciones técnicas de las mismas. (Anexo No. 12 Corrección especificaciones técnicas detalladas invitación a cotizar estaciones y antenas separada) (Anexo No. 13 Corrección especificaciones técnicas detalladas invitación a cotizar final).
Se elaboró análisis de las cotizaciones de receptores y estaciones para revisión del subdirector de SCAAV. 
(Anexo No. 14 Análisis Estudio de Mercado) 
Se realizo Estudió Previo para el Proceso de Estaciones y Receptores con los Anexos correspondientes, para su revisión, complemento y observaciones pertinentes. (Anexo No. 15 Estudios Previos Antenas Y Receptores) (Anexo No. 16 Matriz De Riesgos Estaciones Y Receptores).
3. Respuestas a entes de control o Enlace al Concejo
Se apoyó en la respuesta al Enlace al Concejo con radicado 2017ER99924 mediante el cual se exponen diferentes peticiones a establecer por la diversidad de problemáticas generadas en los barrios aledaños por la operación del Aeropuerto El Dorado. Con el radicado de salida 2017EE105710. Donde La Secretaría Distrital de Ambiente como autoridad ambiental en el Distrito Capital, ha estado comprometida con la medición de ruido producto de la operación de aeronaves que entran y salen del Aeropuerto Internacional Eldorado y que sobrevuelan el perímetro urbano de la ciudad. (Anexo No. 17 radicados  2017ER99924 ), (Anexo No. 18 radicado 2017EE105710).
Se envío proyección para respuesta al Concejo en cuanto al punto de la Implementación del 100% de la red de Ruido, para tu revisión, complemento y observaciones correspondientes. (Anexo No. 19 Respuesta Concejo Red Ruido), (Anexo No.20 Metas Y Ejecución De Presupuesto).</t>
  </si>
  <si>
    <t xml:space="preserve">Documento en el cual se relaciona el efecto de la calidad del aire y sus contaminantes sobre la salud en especial sobre morbi-mortalidad de ERA en la ciudad de Bogotá. Contiene información elaborada por parte de la secretaria de salud y de ambiente. Anexo 21
Documento resumen del plan territorial de salud para Bogotá 2016-2020, enfocado a la problemática de calidad de aire y salud. El cual contempla Programa de Gobierno, recomendaciones de la OMS, salud urbana, determinantes sociales de la salud y por ultimo salud y medio ambiente. Anexo 22   
Primera versión del documento que pretende investigar, evaluar y analizar los impactos que se han generado en Bogotá D.C durante los pasados eventos de contingencia dado por contaminación atmosférica. La evaluación de impactos tendrá en cuenta tres puntos de vista los cuales son salud, económico y social dentro del contexto de dos casos específicos sucedidos en la ciudad de Bogotá. Anexo 23 
Primera versión del Estrategia Pedagógica Distrital Para la Socialización y Divulgación del   Sistema de Alertas Tempranas Ambientales de Bogotá -SATAB- y el Índice Bogotano de Calidad de Aire -IBOCA-. Anexo 24
Lanzamiento el día 01 de junio del pronóstico del IBOCA en conjunto con la SDS herramienta que comunica la calidad del aire lo cual permite reducir la vulnerabilidad de la población por contaminación atmosférica. Este pronóstico puede ser consultado en la página web de la SDA o SDS a través del siguiente link. http://biblioteca.saludcapital.gov.co/img_upload/8091b853a4dfbdf5c477a01ca21b2cd9/pronostico-iboca-bogota.html
Avance del 80% de la ejecución del contrato SDA-20161263 para el diseño y desarrollo de una aplicación móvil de especialización, comunicación y uso del Índice Bogotano de Calidad del Aire, IBOCA, fase I.  Este avance se puede evidenciar en el portal de prueba en el siguiente link http://portalsda.nexura.com/
Lineamientos monitoreo de calidad del aire, orientados al sistema de alertas tempranas ambientales de Bogotá donde se establecen los puntos críticos que el grupo SATAB debe articular para realizar mediciones de calidad del aire orientadas a fortalecer el Sistema de Alertas Tempranas Ambientales de Bogotá en el componente aire. Anexo 25
</t>
  </si>
  <si>
    <t>Se finalizó el estudio de mercado para la compra de los equipos analizadores de black carbon. Anexo 26
Informe del estado del aethalometro AE42 - 7 del mes de junio donde se comenta las fechas de lo adelantado hasta el momento del proceso de mantenimiento del equipo. Anexo 27. Además se elaboraron las solicitudes de cotización para diagnóstico y verificación en fabrica del equipo AE42 -7 . Anexo 28</t>
  </si>
  <si>
    <t>*Para el segundo trimestre del año 2017 (abril - junio), no se tienen contempladas acciones para realizar para el cumplimiento global de esta actividad, ya que está previsto para el mes de octubre de 2017.</t>
  </si>
  <si>
    <t>* Para el mes de abril de 2017 se reportó un porcentaje de ejección en la actividad de operación del monitoreo de la Red de Calidad del Recurso Hídrico del 8,50 %, lo que equivale a 42 muestras monitoredas para el componente de la RCHB tanto tradicional  como su ampliación.
* Para el reporte del mes de mayo de 2017 se reportó un porcentaje de ejección en la actividad de operación del monitoreo de la Red de Calidad del Recurso Hídrico del 20,2 %, lo que equivale a 85 muestras monitoredas para el componente de la RCHB tanto tradicional  como su ampliación y la entrega de 35 muestras de la RCHB. Cumpliendo a cabalidad con lo programado en el mes de mayo de 2017.
*En el periodo de reporte del 1 al 29 de junio del presente año, se tiene un porcentaje de avance en la ejecución de esta actividad del 18% para el mes de referencia.  Este porcentaje está dado por un total de 68 muestras ejecutadas de la Red de Calidad Hídrica de Bogotá y por 59 muestras o resultados de laboratorio entregadas por el laboratorio Analquim en el mes de junio de 2017, cumpliendo de esta manera con el porcentaje programado para el mes de reporte.
En conclusión se tiene en para el segundo trimestre del año 2017 se tiene un total de muestras monitoreadas de 195 muestras pertenecientes a la RCHB y la entrega de laboratorio de 94 muestras, lo que equivale a un avance en las actividades de operaciòn del monitoreo de la Red de Calidad del Recurso Hìdrico de 47,6% desde el mes de abril a junio de 2017.</t>
  </si>
  <si>
    <t>* Para el periodo de reporte del mes de mayo de 2017 se tiene un avance del 10%, en donde se realizó el diseño para la formulación del plan de monitore de la Red de Calidad Hídrica de Bogotá. Para ello se identificaron los costos para esta implementación de esta campaña 2017-2018, cumpliendo de esta manera con lo programado para el mes de mayo.
* A corte del 29 de Junio de 2017 se reporta un porcentaje de avance en esta actividad del 40%, debido a que se está eleborando el Plan de Monitoreo para la Red de Calidad Hídrica de Bogotá para el 2017 - 2018, con el fin de que en el mes de Julio este Plan sea entregado al laboratorio o laboratorios que se encargarán de la ejecución en las etapas de tomas de muestras, análisis de laboratorio y generación de resultados de la RCHB.</t>
  </si>
  <si>
    <t xml:space="preserve">Se definió y diseño la red de monitoreo en la cual se identificaron los puntos que serán declarados dentro de la red de monitoreo, los cuales fueron acogidos mediante Resolución No 760 del 10 de abril de 2017 y concepto técnico No: 00852: Avance 50% 
</t>
  </si>
  <si>
    <t>* En el mes de abril de 2017 se reportó un porcentaje de ejección en la actividad de la ejecución de la Fase XIV del PMAE de 3,23%, lo que equivale a 38 muestras monitoredas, cumpliendo con el porcentaje programado de este indicador.
* En el mes de mayo de 2017 se reportó un porcentaje de ejección en la actividad de la ejecución de la Fase XIV del PMAE de 3,0%, lo que equivale a 29 muestras monitoredas, y 20 muestras entregadas pertenecientes al componente de la Fase XIV del Programa de Monitoreo de Afluentes y Efluentes del Distrito Capital.
*En el mes de junio del presente año, se reportó un porcentaje de 3% en esta actividad de ejecución del PMAE, el cual está conformado por 22 muestras ejecutadas y de 21 muestras entregadas dentro del 1 al 29 de junio de 2017.
Es preciso indicar que se realizó la reprogramación de los porcentajes mensuales programados, teniendo en cuenta que se priorizó el monitoreo sobre los puntos del componente de la RCHB, toda vez que se requiere obtener el mayor número de datos en cada una de las estaciones de monitoreo en el primer semestre 2017 con el fin de estimar el Índice de Calidad Hídrica de Bogotá - WQI, el cual es el insumo fundamental para el reporte y cumplimiento de la meta del Plan de Desarrollo Bogotá Mejor para Todos (AUMENTAR LA CALIDAD DE LOS 20,12 KM DE RÍO EN EL ÁREA URBANA QUE CUENTAN CON CALIDAD ACEPTABLE O SUPERIOR (WQI &gt;65) A BUENA O SUPERIOR (WQI &gt;80) Y ADICIONAR 10 KM DE RÍOS EN EL ÁREA URBANA DEL DISTRITO CON CALIDAD DE AGUA ACEPTABLE O SUPERIOR (WQI)).
Finalmente, es de acotar que para el segundo trimestre del año 2017 se tiene un total de muestras monitoreadas de 89 muestras pertenecientes a la fase XIV del PMAE y la entrega de laboratorio de 41 muestras, lo que equivale a un avance en las actividades de ejecución de la fase XIV del PMAE de 9,2% desde el mes de abril a junio de 2017.</t>
  </si>
  <si>
    <t xml:space="preserve">Esta actividad se encuentra programda para el mes de noviemnre del año en curso por lo cual no se presenta avance. </t>
  </si>
  <si>
    <t xml:space="preserve">Esta actividad se encuentra programada para los meses septiembre, octubre y noviembre por lo cual no se presenta avance de la actividad. </t>
  </si>
  <si>
    <t>Ese entrega avance del 70% de la obra civil de construccion del espacio fiisico para el proyecto implementando el diseño arquitectonico y la dotacion de mobiliario.
Se avanzo en el modelo conceptual y grafico de la valoracion econi¿omica del arbolado urbano asi como en la articulacion de la red hidrica los puntos de vertimientos del PSMV, caracterizacion de vertimientos del recurso hidrico para unificar condiciones del uso de la red hidrica del distrito 
Elaboración de series de tiempo y análisis estadísticos de tendencia central y de valores extremos de la base de datos con información del estado de los recursos con las que cuenta la DCA.
BIGDATA 
1)  Elaboracion modelo entidad relacion de los siguientes grupos de la SRHS : Vertimientos, aguas subterráneas , aceites usados,  respel, estaciones de servicio , licencias ambientales , minería y suelos y validacion con el directivo del area 3.5 % 
2)SCAAV :  fuentes fijas Ruido , -PEV, -Fuentes móvilesy Validacion Directivo area.4%
3) SSFFS : Silvicultura  industrias de la madera, Fauna silvestre 1 %
4) SCASP Sector público.1%
5) General (terceros ) 4</t>
  </si>
  <si>
    <t>Gestión para la compra de infraestructura tecnológica (computadores, mobiliario, servidores, software, etc) para las labores iniciales del Centro de Información y Modelamiento  Ambiental
1) Compra de Servidor 
2) compra de pantallas Videowall
3)Plataforma tecnologica (Hardware y Software ) para puesta en funcionamiento tecnologia Videowal</t>
  </si>
  <si>
    <t xml:space="preserve">Se avanzo en el modelo conceptual y grafico de la valoracion econi¿omica del arbolado urbano asi como en la articulacion de la red hidrica los puntos de vertimientos del PSMV, caracterizacion de vertimientos del recurso hidrico para unificar condiciones del uso de la red hidrica del distrito </t>
  </si>
  <si>
    <t xml:space="preserve">Revisión y ajuste de los documentos para la adopción de la estrategia de actualización del PDDAB: (1) Proyecto de Decreto y (2) Exposición de Motivos, para radicación y tramite respectivo en la Alcaldía Mayor de Bogotá, proceso que dio como resultado la emisión del Decreto 335 de 2017.
Anexo 29. Decreto 335 del 27 de junio de 2017 </t>
  </si>
  <si>
    <t>En el marco de las estrategias de Movilidad Sostenible y de Fortalecimiento del marco regulatorio, se desarrolló lo siguiente:
- Estructuración de la propuesta preliminar para modificar el Programa de Autorregulación Ambiental PAA y del Pico y Placa asociado a este programa, esta información se consolidó en una presentación que se socializó en Alcaldía Mayor con Concesionarios del SITP, los cuales retroalimentaron con propuestas para el tema. 
Anexo 30. Presentación propuesta nueva estructura PAA
Anexo 31. Propuestas de Concesionarios SITP para el PAA 
- Formulación técnica de la nueva estructura para migrar del actual Programa de Autorregulación PAA a un Plan Integral de Autorregulación Ambiental PIAA, a partir de comparación de estructura actual y propuesta y de proyección de emisiones atmosféricas para diferentes escenarios de implementación del programa. 
Anexo 32. Matriz de comparación PAA-PIAA
Anexo 33. Análisis “Box Plot” de estado de opacidad de emisiones flotas diésel
Anexo 34. Estimación Escenarios de emisiones Autorregulación Transporte Carga
Anexo 35. Matriz estructuración indicadores y articulado PIAA
- Recopilación de rendimientos de combustible por cada categoría vehicular del inventario de emisiones por transporte, para unificar la línea base de emisiones de CO2 con base en la metodología de estimación de Gases Efecto Invernadero del IPCC.
Anexo 36. Consolidado de rendimientos de combustible por categorías vehiculares
En el marco de la estrategia de Gestión Integral de la Energía GIE, se desarrolló lo siguiente:
- Formulación del Plan de Trabajo para implementar un proceso de gestión integral de la energía en el sector de las tintorerías.
Anexo 37. Plan de Trabajo proceso GIE sector tintorerías 
- Versión ajustada de Estudios Previos y Estudio de Mercado para el desarrollo del proyecto “inventario de fuentes fijas industriales”, incluyendo observaciones de la Subdirección Contractual. 
Anexo 38. Estudios Previos ajustados proyecto Inventario FFI
Anexo 39. Estudio de mercado ajustado proyecto Inventario FFI
En el marco de la estrategia Infraestructura Urbana, se desarrolló lo siguiente:
- Consolidación de Base de Datos con información de limpieza y barrido de malla vial, con las tecnologías empleadas y frecuencias contempladas, por cada concesionario de aseo y cada localidad de la ciudad; lo cual se logró mediante trabajo conjunto en la Mesa Técnica con la UAESP e IDU; lo anterior para identificar acciones de implementación viable y cuantificables en cuanto a reducción de resuspensión de material particulado.
Anexo 40. Base Información tecnología limpieza y barrido de malla vial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</si>
</sst>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_(* \(#,##0\);_(* &quot;-&quot;_);_(@_)"/>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9" formatCode="_([$$-240A]\ * #,##0_);_([$$-240A]\ * \(#,##0\);_([$$-240A]\ * &quot;-&quot;??_);_(@_)"/>
    <numFmt numFmtId="170" formatCode="0.0%"/>
    <numFmt numFmtId="171" formatCode="_ * #,##0_ ;_ * \-#,##0_ ;_ * &quot;-&quot;??_ ;_ @_ "/>
    <numFmt numFmtId="172" formatCode="_(&quot;$&quot;* #,##0.00_);_(&quot;$&quot;* \(#,##0.00\);_(&quot;$&quot;* &quot;-&quot;??_);_(@_)"/>
    <numFmt numFmtId="174" formatCode="_-* #,##0\ _€_-;\-* #,##0\ _€_-;_-* &quot;-&quot;??\ _€_-;_-@_-"/>
    <numFmt numFmtId="175" formatCode="0.0"/>
    <numFmt numFmtId="176" formatCode="#,##0.0"/>
    <numFmt numFmtId="177" formatCode="#,##0.0_);\(#,##0.0\)"/>
    <numFmt numFmtId="178" formatCode="_(* #,##0.0_);_(* \(#,##0.0\);_(* &quot;-&quot;_);_(@_)"/>
    <numFmt numFmtId="179" formatCode="#,##0.000;\-#,##0.000"/>
    <numFmt numFmtId="180" formatCode="#,##0.0000"/>
    <numFmt numFmtId="181" formatCode="_(* #,##0.000_);_(* \(#,##0.000\);_(* &quot;-&quot;_);_(@_)"/>
    <numFmt numFmtId="182" formatCode="_-* #,##0.0\ _€_-;\-* #,##0.0\ _€_-;_-* &quot;-&quot;??\ _€_-;_-@_-"/>
  </numFmts>
  <fonts count="56">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sz val="9"/>
      <color indexed="81"/>
      <name val="Tahoma"/>
      <family val="2"/>
    </font>
    <font>
      <b/>
      <sz val="8"/>
      <name val="Arial"/>
      <family val="2"/>
    </font>
    <font>
      <sz val="7"/>
      <name val="Arial"/>
      <family val="2"/>
    </font>
    <font>
      <sz val="9"/>
      <name val="Arial"/>
      <family val="2"/>
    </font>
    <font>
      <b/>
      <sz val="9"/>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9"/>
      <color theme="1"/>
      <name val="Calibri"/>
      <family val="2"/>
      <scheme val="minor"/>
    </font>
    <font>
      <sz val="8"/>
      <color theme="1"/>
      <name val="Arial"/>
      <family val="2"/>
    </font>
    <font>
      <b/>
      <sz val="10"/>
      <color indexed="8"/>
      <name val="Arial"/>
      <family val="2"/>
    </font>
    <font>
      <sz val="11"/>
      <color theme="1"/>
      <name val="Arial Narrow"/>
      <family val="2"/>
    </font>
    <font>
      <sz val="12"/>
      <color theme="1"/>
      <name val="Arial"/>
      <family val="2"/>
    </font>
    <font>
      <u/>
      <sz val="11"/>
      <color theme="10"/>
      <name val="Calibri"/>
      <family val="2"/>
      <scheme val="minor"/>
    </font>
    <font>
      <u/>
      <sz val="11"/>
      <color theme="11"/>
      <name val="Calibri"/>
      <family val="2"/>
      <scheme val="minor"/>
    </font>
    <font>
      <b/>
      <sz val="11"/>
      <color theme="1"/>
      <name val="Calibri"/>
      <family val="2"/>
      <scheme val="minor"/>
    </font>
    <font>
      <sz val="9"/>
      <color rgb="FF000000"/>
      <name val="Inherit"/>
    </font>
    <font>
      <b/>
      <sz val="9"/>
      <color rgb="FF000000"/>
      <name val="Trebuchet MS"/>
      <family val="2"/>
    </font>
    <font>
      <b/>
      <sz val="8"/>
      <color rgb="FF000000"/>
      <name val="Arial"/>
      <family val="2"/>
    </font>
    <font>
      <b/>
      <sz val="10"/>
      <color rgb="FF000000"/>
      <name val="Arial"/>
      <family val="2"/>
    </font>
    <font>
      <sz val="10"/>
      <color indexed="8"/>
      <name val="Arial"/>
      <family val="2"/>
    </font>
    <font>
      <sz val="9"/>
      <color theme="1"/>
      <name val="Arial"/>
      <family val="2"/>
    </font>
    <font>
      <sz val="10"/>
      <color theme="1"/>
      <name val="Arial"/>
      <family val="2"/>
    </font>
    <font>
      <b/>
      <sz val="10"/>
      <color theme="1"/>
      <name val="Arial"/>
      <family val="2"/>
    </font>
    <font>
      <b/>
      <sz val="11"/>
      <name val="Arial"/>
      <family val="2"/>
    </font>
    <font>
      <sz val="14"/>
      <name val="Arial"/>
      <family val="2"/>
    </font>
    <font>
      <b/>
      <sz val="9"/>
      <color theme="1"/>
      <name val="Arial"/>
      <family val="2"/>
    </font>
    <font>
      <sz val="10"/>
      <color theme="1"/>
      <name val="Arial Narrow"/>
      <family val="2"/>
    </font>
    <font>
      <i/>
      <sz val="9"/>
      <color theme="1"/>
      <name val="Arial"/>
      <family val="2"/>
    </font>
    <font>
      <sz val="10"/>
      <color rgb="FF000000"/>
      <name val="Arial"/>
      <family val="2"/>
    </font>
    <font>
      <b/>
      <u/>
      <sz val="10"/>
      <name val="Arial"/>
      <family val="2"/>
    </font>
    <font>
      <sz val="10"/>
      <color indexed="8"/>
      <name val="Tahoma"/>
      <family val="2"/>
    </font>
    <font>
      <sz val="10"/>
      <name val="Arial Narrow"/>
      <family val="2"/>
    </font>
    <font>
      <sz val="11"/>
      <color theme="1"/>
      <name val="Arial"/>
      <family val="2"/>
    </font>
    <font>
      <sz val="11"/>
      <color theme="1"/>
      <name val="Tahoma"/>
      <family val="2"/>
    </font>
    <font>
      <sz val="11"/>
      <name val="Tahoma"/>
      <family val="2"/>
    </font>
    <font>
      <sz val="9"/>
      <color theme="1"/>
      <name val="Tahoma"/>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rgb="FFFFFFFF"/>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FF"/>
        <bgColor rgb="FFFFFFFF"/>
      </patternFill>
    </fill>
    <fill>
      <patternFill patternType="solid">
        <fgColor rgb="FF00B050"/>
        <bgColor rgb="FF000000"/>
      </patternFill>
    </fill>
    <fill>
      <patternFill patternType="solid">
        <fgColor theme="6" tint="0.59999389629810485"/>
        <bgColor indexed="64"/>
      </patternFill>
    </fill>
    <fill>
      <patternFill patternType="solid">
        <fgColor theme="6" tint="0.59999389629810485"/>
        <bgColor rgb="FFFFFFFF"/>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right style="thin">
        <color auto="1"/>
      </right>
      <top style="medium">
        <color auto="1"/>
      </top>
      <bottom style="thin">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style="thin">
        <color auto="1"/>
      </bottom>
      <diagonal/>
    </border>
    <border>
      <left style="hair">
        <color theme="3" tint="0.59996337778862885"/>
      </left>
      <right style="hair">
        <color theme="3" tint="0.59996337778862885"/>
      </right>
      <top style="hair">
        <color theme="3" tint="0.59996337778862885"/>
      </top>
      <bottom style="hair">
        <color theme="3" tint="0.59996337778862885"/>
      </bottom>
      <diagonal/>
    </border>
    <border>
      <left style="medium">
        <color auto="1"/>
      </left>
      <right style="thin">
        <color auto="1"/>
      </right>
      <top style="medium">
        <color auto="1"/>
      </top>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medium">
        <color auto="1"/>
      </top>
      <bottom/>
      <diagonal/>
    </border>
    <border>
      <left style="medium">
        <color indexed="64"/>
      </left>
      <right style="medium">
        <color indexed="64"/>
      </right>
      <top/>
      <bottom style="thin">
        <color auto="1"/>
      </bottom>
      <diagonal/>
    </border>
    <border>
      <left style="medium">
        <color auto="1"/>
      </left>
      <right style="medium">
        <color auto="1"/>
      </right>
      <top/>
      <bottom style="medium">
        <color auto="1"/>
      </bottom>
      <diagonal/>
    </border>
  </borders>
  <cellStyleXfs count="31">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4" fontId="23" fillId="0" borderId="0" applyFont="0" applyFill="0" applyBorder="0" applyAlignment="0" applyProtection="0"/>
    <xf numFmtId="172"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9" fontId="1" fillId="0" borderId="0" applyFont="0" applyFill="0" applyBorder="0" applyAlignment="0" applyProtection="0"/>
    <xf numFmtId="44" fontId="23" fillId="0" borderId="0" applyFont="0" applyFill="0" applyBorder="0" applyAlignment="0" applyProtection="0"/>
    <xf numFmtId="44" fontId="4" fillId="0" borderId="0" applyFont="0" applyFill="0" applyBorder="0" applyAlignment="0" applyProtection="0"/>
  </cellStyleXfs>
  <cellXfs count="589">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24" fillId="0" borderId="0" xfId="0" applyFont="1" applyFill="1"/>
    <xf numFmtId="0" fontId="4" fillId="0" borderId="0" xfId="0" applyFont="1" applyFill="1"/>
    <xf numFmtId="0" fontId="5" fillId="0" borderId="0" xfId="0" applyFont="1" applyFill="1" applyAlignment="1">
      <alignment horizontal="center"/>
    </xf>
    <xf numFmtId="0" fontId="2" fillId="0" borderId="0" xfId="16" applyFont="1" applyAlignment="1">
      <alignment vertical="center"/>
    </xf>
    <xf numFmtId="0" fontId="13" fillId="2" borderId="0" xfId="16" applyFont="1" applyFill="1" applyAlignment="1">
      <alignment vertical="center"/>
    </xf>
    <xf numFmtId="0" fontId="25" fillId="3"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10" fontId="26" fillId="3" borderId="0" xfId="16" applyNumberFormat="1" applyFont="1" applyFill="1" applyBorder="1" applyAlignment="1">
      <alignment horizontal="center" vertical="center"/>
    </xf>
    <xf numFmtId="0" fontId="0" fillId="3" borderId="0" xfId="0" applyFill="1" applyAlignment="1">
      <alignment horizontal="center"/>
    </xf>
    <xf numFmtId="0" fontId="0" fillId="0" borderId="0" xfId="0" applyFill="1" applyAlignment="1">
      <alignment horizontal="center"/>
    </xf>
    <xf numFmtId="0" fontId="25" fillId="3" borderId="0" xfId="0" applyFont="1" applyFill="1" applyBorder="1" applyAlignment="1">
      <alignment horizontal="left" vertical="center" wrapText="1"/>
    </xf>
    <xf numFmtId="0" fontId="13" fillId="0" borderId="0" xfId="0" applyFont="1" applyFill="1"/>
    <xf numFmtId="174"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0" fontId="2" fillId="5" borderId="1" xfId="16" applyFont="1" applyFill="1" applyBorder="1" applyAlignment="1">
      <alignment horizontal="left" vertical="center" wrapText="1"/>
    </xf>
    <xf numFmtId="0" fontId="0" fillId="0" borderId="29" xfId="0" applyFill="1" applyBorder="1"/>
    <xf numFmtId="0" fontId="0" fillId="0" borderId="30" xfId="0" applyFill="1" applyBorder="1"/>
    <xf numFmtId="0" fontId="30" fillId="0" borderId="0" xfId="0" applyFont="1" applyFill="1" applyAlignment="1">
      <alignment horizontal="center" vertical="center"/>
    </xf>
    <xf numFmtId="0" fontId="5" fillId="3" borderId="27"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31" fillId="3" borderId="27" xfId="0" applyFont="1" applyFill="1" applyBorder="1"/>
    <xf numFmtId="0" fontId="31" fillId="3" borderId="0" xfId="0" applyFont="1" applyFill="1" applyBorder="1"/>
    <xf numFmtId="0" fontId="31" fillId="3" borderId="0" xfId="0" applyFont="1" applyFill="1" applyBorder="1" applyAlignment="1">
      <alignment horizontal="center"/>
    </xf>
    <xf numFmtId="0" fontId="31" fillId="3" borderId="28" xfId="0" applyFont="1" applyFill="1" applyBorder="1"/>
    <xf numFmtId="0" fontId="18" fillId="6" borderId="3" xfId="0" applyFont="1" applyFill="1" applyBorder="1" applyAlignment="1" applyProtection="1">
      <alignment horizontal="left" vertical="center" wrapText="1"/>
      <protection locked="0"/>
    </xf>
    <xf numFmtId="0" fontId="18" fillId="6" borderId="1" xfId="0" applyFont="1" applyFill="1" applyBorder="1" applyAlignment="1" applyProtection="1">
      <alignment horizontal="left" vertical="center" wrapText="1"/>
      <protection locked="0"/>
    </xf>
    <xf numFmtId="0" fontId="18" fillId="6" borderId="2" xfId="0" applyFont="1" applyFill="1" applyBorder="1" applyAlignment="1" applyProtection="1">
      <alignment horizontal="left" vertical="center" wrapText="1"/>
      <protection locked="0"/>
    </xf>
    <xf numFmtId="0" fontId="18" fillId="6" borderId="4" xfId="0" applyFont="1" applyFill="1" applyBorder="1" applyAlignment="1" applyProtection="1">
      <alignment horizontal="left" vertical="center" wrapText="1"/>
      <protection locked="0"/>
    </xf>
    <xf numFmtId="0" fontId="18" fillId="6" borderId="5" xfId="0" applyFont="1" applyFill="1" applyBorder="1" applyAlignment="1" applyProtection="1">
      <alignment horizontal="left" vertical="center" wrapText="1"/>
      <protection locked="0"/>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 fillId="5" borderId="4" xfId="16" applyFont="1" applyFill="1" applyBorder="1" applyAlignment="1">
      <alignment horizontal="left" vertical="center" wrapText="1"/>
    </xf>
    <xf numFmtId="10" fontId="12" fillId="3" borderId="0" xfId="16" applyNumberFormat="1" applyFont="1" applyFill="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wrapText="1"/>
    </xf>
    <xf numFmtId="0" fontId="8" fillId="0" borderId="45" xfId="0" applyFont="1" applyBorder="1" applyAlignment="1">
      <alignment horizontal="center" vertical="center"/>
    </xf>
    <xf numFmtId="174" fontId="8" fillId="0" borderId="45" xfId="3" applyNumberFormat="1" applyFont="1" applyBorder="1" applyAlignment="1">
      <alignment vertical="center"/>
    </xf>
    <xf numFmtId="174" fontId="8" fillId="0" borderId="45" xfId="3" applyNumberFormat="1" applyFont="1" applyBorder="1" applyAlignment="1">
      <alignment horizontal="left" vertical="center"/>
    </xf>
    <xf numFmtId="0" fontId="17" fillId="5" borderId="2" xfId="16" applyFont="1" applyFill="1" applyBorder="1" applyAlignment="1">
      <alignment horizontal="center" vertical="center" textRotation="180" wrapText="1"/>
    </xf>
    <xf numFmtId="0" fontId="2" fillId="5" borderId="39" xfId="16"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0" borderId="0" xfId="0" applyFont="1" applyFill="1" applyAlignment="1">
      <alignment horizontal="center" vertical="center"/>
    </xf>
    <xf numFmtId="9" fontId="2" fillId="5" borderId="38" xfId="16" applyNumberFormat="1" applyFont="1" applyFill="1" applyBorder="1" applyAlignment="1">
      <alignment horizontal="center" vertical="center" wrapText="1"/>
    </xf>
    <xf numFmtId="174" fontId="0" fillId="0" borderId="0" xfId="3" applyNumberFormat="1" applyFont="1"/>
    <xf numFmtId="175" fontId="0" fillId="0" borderId="0" xfId="0" applyNumberFormat="1"/>
    <xf numFmtId="174" fontId="0" fillId="0" borderId="0" xfId="0" applyNumberFormat="1"/>
    <xf numFmtId="0" fontId="0" fillId="8" borderId="0" xfId="0" applyFill="1"/>
    <xf numFmtId="174" fontId="0" fillId="8" borderId="0" xfId="3" applyNumberFormat="1" applyFont="1" applyFill="1"/>
    <xf numFmtId="0" fontId="0" fillId="8" borderId="0" xfId="0" applyFill="1" applyAlignment="1">
      <alignment horizontal="center"/>
    </xf>
    <xf numFmtId="174" fontId="0" fillId="8" borderId="0" xfId="3" applyNumberFormat="1" applyFont="1" applyFill="1" applyAlignment="1">
      <alignment horizontal="center"/>
    </xf>
    <xf numFmtId="0" fontId="18" fillId="6" borderId="3" xfId="0" applyFont="1" applyFill="1" applyBorder="1" applyAlignment="1" applyProtection="1">
      <alignment horizontal="center" vertical="center" wrapText="1"/>
      <protection locked="0"/>
    </xf>
    <xf numFmtId="0" fontId="0" fillId="3" borderId="0" xfId="0" applyFill="1" applyAlignment="1">
      <alignment wrapText="1"/>
    </xf>
    <xf numFmtId="0" fontId="27" fillId="3" borderId="1" xfId="0" applyFont="1" applyFill="1" applyBorder="1"/>
    <xf numFmtId="0" fontId="35" fillId="3" borderId="1" xfId="0" applyFont="1" applyFill="1" applyBorder="1" applyAlignment="1">
      <alignment horizontal="center" vertical="center" wrapText="1"/>
    </xf>
    <xf numFmtId="0" fontId="35" fillId="3" borderId="1" xfId="0" applyFont="1" applyFill="1" applyBorder="1" applyAlignment="1">
      <alignment horizontal="right" vertical="center" wrapText="1"/>
    </xf>
    <xf numFmtId="0" fontId="35" fillId="3" borderId="1" xfId="0" applyFont="1" applyFill="1" applyBorder="1" applyAlignment="1">
      <alignment horizontal="left" vertical="center" wrapText="1"/>
    </xf>
    <xf numFmtId="4" fontId="35" fillId="3" borderId="1" xfId="0" applyNumberFormat="1" applyFont="1" applyFill="1" applyBorder="1" applyAlignment="1">
      <alignment horizontal="right" vertical="center" wrapText="1"/>
    </xf>
    <xf numFmtId="0" fontId="35" fillId="8" borderId="1" xfId="0" applyFont="1" applyFill="1" applyBorder="1" applyAlignment="1">
      <alignment horizontal="left" vertical="center" wrapText="1"/>
    </xf>
    <xf numFmtId="4" fontId="35" fillId="8" borderId="1" xfId="0" applyNumberFormat="1" applyFont="1" applyFill="1" applyBorder="1" applyAlignment="1">
      <alignment horizontal="right" vertical="center" wrapText="1"/>
    </xf>
    <xf numFmtId="4" fontId="0" fillId="0" borderId="0" xfId="0" applyNumberFormat="1"/>
    <xf numFmtId="0" fontId="37" fillId="0" borderId="47" xfId="0" applyFont="1" applyFill="1" applyBorder="1" applyAlignment="1">
      <alignment horizontal="left" vertical="center"/>
    </xf>
    <xf numFmtId="3" fontId="34" fillId="0" borderId="47" xfId="0" applyNumberFormat="1" applyFont="1" applyBorder="1" applyAlignment="1">
      <alignment horizontal="center" vertical="center"/>
    </xf>
    <xf numFmtId="3" fontId="38" fillId="9" borderId="47" xfId="0" applyNumberFormat="1" applyFont="1" applyFill="1" applyBorder="1" applyAlignment="1">
      <alignment vertical="center"/>
    </xf>
    <xf numFmtId="3" fontId="38" fillId="9" borderId="47" xfId="0" applyNumberFormat="1" applyFont="1" applyFill="1" applyBorder="1" applyAlignment="1">
      <alignment horizontal="center" vertical="center"/>
    </xf>
    <xf numFmtId="3" fontId="38" fillId="8" borderId="47" xfId="0" applyNumberFormat="1" applyFont="1" applyFill="1" applyBorder="1" applyAlignment="1">
      <alignment horizontal="center" vertical="center"/>
    </xf>
    <xf numFmtId="3" fontId="34" fillId="0" borderId="0" xfId="0" applyNumberFormat="1" applyFont="1" applyFill="1" applyBorder="1" applyAlignment="1">
      <alignment horizontal="center" vertical="center"/>
    </xf>
    <xf numFmtId="3" fontId="0" fillId="0" borderId="0" xfId="0" applyNumberFormat="1"/>
    <xf numFmtId="0" fontId="37" fillId="8" borderId="47" xfId="0" applyFont="1" applyFill="1" applyBorder="1" applyAlignment="1">
      <alignment horizontal="left" vertical="center"/>
    </xf>
    <xf numFmtId="3" fontId="34" fillId="8" borderId="47" xfId="0" applyNumberFormat="1" applyFont="1" applyFill="1" applyBorder="1" applyAlignment="1">
      <alignment horizontal="center" vertical="center"/>
    </xf>
    <xf numFmtId="165" fontId="0" fillId="8" borderId="0" xfId="3" applyFont="1" applyFill="1"/>
    <xf numFmtId="3" fontId="4" fillId="3" borderId="3"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7" fontId="39" fillId="3" borderId="1" xfId="9" applyNumberFormat="1" applyFont="1" applyFill="1" applyBorder="1" applyAlignment="1">
      <alignment horizontal="center" vertical="center"/>
    </xf>
    <xf numFmtId="0" fontId="39" fillId="3" borderId="1" xfId="0" applyFont="1" applyFill="1" applyBorder="1" applyAlignment="1">
      <alignment horizontal="center" vertical="center"/>
    </xf>
    <xf numFmtId="0" fontId="39" fillId="3" borderId="1" xfId="0" applyFont="1" applyFill="1" applyBorder="1" applyAlignment="1">
      <alignment horizontal="right" vertical="center"/>
    </xf>
    <xf numFmtId="3" fontId="4" fillId="3" borderId="1" xfId="10" applyNumberFormat="1" applyFont="1" applyFill="1" applyBorder="1" applyAlignment="1">
      <alignment horizontal="center" vertical="center" wrapText="1"/>
    </xf>
    <xf numFmtId="37" fontId="39" fillId="3" borderId="2" xfId="9" applyNumberFormat="1" applyFont="1" applyFill="1" applyBorder="1" applyAlignment="1">
      <alignment horizontal="center" vertical="center"/>
    </xf>
    <xf numFmtId="37" fontId="29" fillId="3" borderId="2" xfId="9" applyNumberFormat="1" applyFont="1" applyFill="1" applyBorder="1" applyAlignment="1">
      <alignment horizontal="center" vertical="center"/>
    </xf>
    <xf numFmtId="37" fontId="39" fillId="3" borderId="3" xfId="9" applyNumberFormat="1" applyFont="1" applyFill="1" applyBorder="1" applyAlignment="1">
      <alignment horizontal="center" vertical="center"/>
    </xf>
    <xf numFmtId="9" fontId="39" fillId="3" borderId="3" xfId="21" applyFont="1" applyFill="1" applyBorder="1" applyAlignment="1">
      <alignment horizontal="center" vertical="center"/>
    </xf>
    <xf numFmtId="37" fontId="29" fillId="3" borderId="1" xfId="9" applyNumberFormat="1" applyFont="1" applyFill="1" applyBorder="1" applyAlignment="1">
      <alignment horizontal="center" vertical="center"/>
    </xf>
    <xf numFmtId="9" fontId="4" fillId="3" borderId="3" xfId="21" applyFont="1" applyFill="1" applyBorder="1" applyAlignment="1">
      <alignment horizontal="center" vertical="center" wrapText="1"/>
    </xf>
    <xf numFmtId="169" fontId="39" fillId="3" borderId="1" xfId="0" applyNumberFormat="1" applyFont="1" applyFill="1" applyBorder="1" applyAlignment="1">
      <alignment horizontal="center" vertical="center"/>
    </xf>
    <xf numFmtId="169" fontId="39" fillId="3" borderId="1" xfId="0" applyNumberFormat="1" applyFont="1" applyFill="1" applyBorder="1" applyAlignment="1">
      <alignment horizontal="right" vertical="center"/>
    </xf>
    <xf numFmtId="3" fontId="4" fillId="0" borderId="3" xfId="0" applyNumberFormat="1" applyFont="1" applyFill="1" applyBorder="1" applyAlignment="1">
      <alignment horizontal="center" vertical="center" wrapText="1"/>
    </xf>
    <xf numFmtId="37" fontId="29" fillId="3" borderId="4" xfId="9" applyNumberFormat="1" applyFont="1" applyFill="1" applyBorder="1" applyAlignment="1">
      <alignment horizontal="center" vertical="center"/>
    </xf>
    <xf numFmtId="10" fontId="39" fillId="3" borderId="3" xfId="21" applyNumberFormat="1" applyFont="1" applyFill="1" applyBorder="1" applyAlignment="1">
      <alignment horizontal="center" vertical="center"/>
    </xf>
    <xf numFmtId="37" fontId="39" fillId="3" borderId="4" xfId="9"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9" fontId="4" fillId="0" borderId="3" xfId="21" applyFont="1" applyFill="1" applyBorder="1" applyAlignment="1">
      <alignment horizontal="center" vertical="center" wrapText="1"/>
    </xf>
    <xf numFmtId="0" fontId="8" fillId="0" borderId="48" xfId="0" applyFont="1" applyBorder="1" applyAlignment="1">
      <alignment horizontal="center" vertical="center"/>
    </xf>
    <xf numFmtId="0" fontId="8" fillId="0" borderId="37" xfId="0" applyFont="1" applyBorder="1" applyAlignment="1">
      <alignment horizontal="center" vertical="center" wrapText="1"/>
    </xf>
    <xf numFmtId="0" fontId="8" fillId="0" borderId="37" xfId="0" applyFont="1" applyBorder="1" applyAlignment="1">
      <alignment horizontal="center" vertical="center"/>
    </xf>
    <xf numFmtId="0" fontId="8" fillId="0" borderId="37" xfId="0" applyFont="1" applyBorder="1" applyAlignment="1">
      <alignment horizontal="justify" vertical="center" wrapText="1"/>
    </xf>
    <xf numFmtId="174" fontId="8" fillId="0" borderId="37" xfId="3" applyNumberFormat="1" applyFont="1" applyBorder="1" applyAlignment="1">
      <alignment vertical="center"/>
    </xf>
    <xf numFmtId="0" fontId="8" fillId="0" borderId="25" xfId="0" applyFont="1" applyBorder="1"/>
    <xf numFmtId="174" fontId="8" fillId="0" borderId="37" xfId="3" applyNumberFormat="1" applyFont="1" applyBorder="1" applyAlignment="1">
      <alignment horizontal="left" vertical="center"/>
    </xf>
    <xf numFmtId="0" fontId="8" fillId="0" borderId="40" xfId="0" applyFont="1" applyBorder="1"/>
    <xf numFmtId="37" fontId="39" fillId="0" borderId="1" xfId="9" applyNumberFormat="1" applyFont="1" applyFill="1" applyBorder="1" applyAlignment="1">
      <alignment horizontal="center" vertical="center"/>
    </xf>
    <xf numFmtId="0" fontId="24" fillId="0" borderId="27" xfId="0" applyFont="1" applyBorder="1" applyAlignment="1">
      <alignment horizontal="center" vertical="center" wrapText="1"/>
    </xf>
    <xf numFmtId="37" fontId="39" fillId="3" borderId="5" xfId="9" applyNumberFormat="1" applyFont="1" applyFill="1" applyBorder="1" applyAlignment="1">
      <alignment horizontal="center" vertical="center"/>
    </xf>
    <xf numFmtId="9" fontId="4" fillId="0" borderId="1" xfId="21" applyFont="1" applyFill="1" applyBorder="1" applyAlignment="1">
      <alignment horizontal="center" vertical="center" wrapText="1"/>
    </xf>
    <xf numFmtId="2" fontId="4" fillId="0" borderId="1" xfId="21" applyNumberFormat="1" applyFont="1" applyFill="1" applyBorder="1" applyAlignment="1">
      <alignment horizontal="center" vertical="center" wrapText="1"/>
    </xf>
    <xf numFmtId="39" fontId="39" fillId="3" borderId="3" xfId="9" applyNumberFormat="1" applyFont="1" applyFill="1" applyBorder="1" applyAlignment="1">
      <alignment horizontal="center" vertical="center"/>
    </xf>
    <xf numFmtId="37" fontId="29" fillId="3" borderId="2" xfId="9" applyNumberFormat="1" applyFont="1" applyFill="1" applyBorder="1" applyAlignment="1">
      <alignment horizontal="center" vertical="center" wrapText="1"/>
    </xf>
    <xf numFmtId="10" fontId="13" fillId="0" borderId="1" xfId="0" applyNumberFormat="1" applyFont="1" applyFill="1" applyBorder="1" applyAlignment="1">
      <alignment horizontal="center" vertical="center"/>
    </xf>
    <xf numFmtId="10" fontId="13" fillId="0" borderId="4" xfId="0" applyNumberFormat="1" applyFont="1" applyFill="1" applyBorder="1" applyAlignment="1">
      <alignment horizontal="center" vertical="center"/>
    </xf>
    <xf numFmtId="10" fontId="19" fillId="0" borderId="4" xfId="0" applyNumberFormat="1" applyFont="1" applyFill="1" applyBorder="1" applyAlignment="1">
      <alignment horizontal="center" vertical="center"/>
    </xf>
    <xf numFmtId="10" fontId="19" fillId="0" borderId="1" xfId="0" applyNumberFormat="1" applyFont="1" applyFill="1" applyBorder="1" applyAlignment="1">
      <alignment horizontal="center" vertical="center"/>
    </xf>
    <xf numFmtId="177" fontId="39" fillId="3" borderId="3" xfId="9"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4" fontId="4" fillId="3" borderId="1" xfId="10" applyNumberFormat="1" applyFont="1" applyFill="1" applyBorder="1" applyAlignment="1">
      <alignment horizontal="center" vertical="center" wrapText="1"/>
    </xf>
    <xf numFmtId="0" fontId="41" fillId="3" borderId="1" xfId="0" applyFont="1" applyFill="1" applyBorder="1" applyAlignment="1">
      <alignment horizontal="center" vertical="center"/>
    </xf>
    <xf numFmtId="37" fontId="39" fillId="3" borderId="1" xfId="10" applyNumberFormat="1" applyFont="1" applyFill="1" applyBorder="1" applyAlignment="1">
      <alignment horizontal="center" vertical="center"/>
    </xf>
    <xf numFmtId="37" fontId="29" fillId="3" borderId="2" xfId="10" applyNumberFormat="1" applyFont="1" applyFill="1" applyBorder="1" applyAlignment="1">
      <alignment horizontal="center" vertical="center"/>
    </xf>
    <xf numFmtId="37" fontId="39" fillId="3" borderId="4" xfId="10" applyNumberFormat="1" applyFont="1" applyFill="1" applyBorder="1" applyAlignment="1">
      <alignment horizontal="center" vertical="center"/>
    </xf>
    <xf numFmtId="174" fontId="41" fillId="3" borderId="5" xfId="5" applyNumberFormat="1" applyFont="1" applyFill="1" applyBorder="1" applyAlignment="1">
      <alignment horizontal="center" vertical="center"/>
    </xf>
    <xf numFmtId="174" fontId="41" fillId="3" borderId="1" xfId="5" applyNumberFormat="1" applyFont="1" applyFill="1" applyBorder="1" applyAlignment="1">
      <alignment horizontal="center" vertical="center"/>
    </xf>
    <xf numFmtId="174" fontId="42" fillId="3" borderId="2" xfId="5" applyNumberFormat="1" applyFont="1" applyFill="1" applyBorder="1" applyAlignment="1">
      <alignment horizontal="center" vertical="center"/>
    </xf>
    <xf numFmtId="179" fontId="39" fillId="3" borderId="1" xfId="10" applyNumberFormat="1" applyFont="1" applyFill="1" applyBorder="1" applyAlignment="1">
      <alignment horizontal="center" vertical="center"/>
    </xf>
    <xf numFmtId="165" fontId="4" fillId="0" borderId="5" xfId="5" applyFont="1" applyFill="1" applyBorder="1" applyAlignment="1">
      <alignment horizontal="center" vertical="center"/>
    </xf>
    <xf numFmtId="4" fontId="4" fillId="0" borderId="3" xfId="0" applyNumberFormat="1" applyFont="1" applyFill="1" applyBorder="1" applyAlignment="1">
      <alignment horizontal="center" vertical="center" wrapText="1"/>
    </xf>
    <xf numFmtId="180" fontId="4" fillId="3" borderId="1" xfId="10" applyNumberFormat="1" applyFont="1" applyFill="1" applyBorder="1" applyAlignment="1">
      <alignment horizontal="center" vertical="center" wrapText="1"/>
    </xf>
    <xf numFmtId="37" fontId="29" fillId="3" borderId="2" xfId="10" applyNumberFormat="1" applyFont="1" applyFill="1" applyBorder="1" applyAlignment="1">
      <alignment horizontal="center" vertical="center" wrapText="1"/>
    </xf>
    <xf numFmtId="177" fontId="39" fillId="3" borderId="1" xfId="9" applyNumberFormat="1" applyFont="1" applyFill="1" applyBorder="1" applyAlignment="1">
      <alignment horizontal="center" vertical="center"/>
    </xf>
    <xf numFmtId="0" fontId="4" fillId="0" borderId="0" xfId="16" applyFont="1" applyAlignment="1">
      <alignment vertical="center"/>
    </xf>
    <xf numFmtId="0" fontId="4" fillId="2" borderId="0" xfId="16" applyFont="1" applyFill="1" applyAlignment="1">
      <alignment vertical="center"/>
    </xf>
    <xf numFmtId="10" fontId="4" fillId="0" borderId="0" xfId="16" applyNumberFormat="1" applyFont="1" applyAlignment="1">
      <alignment vertical="center"/>
    </xf>
    <xf numFmtId="10" fontId="4" fillId="2" borderId="0" xfId="16" applyNumberFormat="1" applyFont="1" applyFill="1" applyAlignment="1">
      <alignment vertical="center"/>
    </xf>
    <xf numFmtId="0" fontId="4" fillId="2" borderId="0" xfId="16" applyFont="1" applyFill="1" applyAlignment="1">
      <alignment horizontal="left" vertical="center"/>
    </xf>
    <xf numFmtId="9" fontId="2" fillId="5" borderId="38" xfId="28" applyFont="1" applyFill="1" applyBorder="1" applyAlignment="1">
      <alignment horizontal="center" vertical="center" wrapText="1"/>
    </xf>
    <xf numFmtId="0" fontId="4" fillId="0" borderId="0" xfId="16" applyFont="1" applyBorder="1" applyAlignment="1">
      <alignment vertical="center"/>
    </xf>
    <xf numFmtId="170" fontId="13" fillId="6" borderId="1" xfId="0" applyNumberFormat="1" applyFont="1" applyFill="1" applyBorder="1" applyAlignment="1">
      <alignment horizontal="center" vertical="center"/>
    </xf>
    <xf numFmtId="170" fontId="19" fillId="6" borderId="4" xfId="0" applyNumberFormat="1" applyFont="1" applyFill="1" applyBorder="1" applyAlignment="1">
      <alignment horizontal="center" vertical="center"/>
    </xf>
    <xf numFmtId="170" fontId="13" fillId="4" borderId="1" xfId="0" applyNumberFormat="1" applyFont="1" applyFill="1" applyBorder="1" applyAlignment="1">
      <alignment horizontal="center" vertical="center"/>
    </xf>
    <xf numFmtId="170" fontId="13" fillId="4" borderId="3" xfId="0" applyNumberFormat="1" applyFont="1" applyFill="1" applyBorder="1" applyAlignment="1">
      <alignment horizontal="center" vertical="center"/>
    </xf>
    <xf numFmtId="10" fontId="13" fillId="6" borderId="1" xfId="0" applyNumberFormat="1" applyFont="1" applyFill="1" applyBorder="1" applyAlignment="1">
      <alignment horizontal="center" vertical="center"/>
    </xf>
    <xf numFmtId="170" fontId="19" fillId="6" borderId="1" xfId="0" applyNumberFormat="1" applyFont="1" applyFill="1" applyBorder="1" applyAlignment="1">
      <alignment horizontal="center" vertical="center"/>
    </xf>
    <xf numFmtId="170" fontId="13" fillId="6" borderId="4" xfId="0" applyNumberFormat="1" applyFont="1" applyFill="1" applyBorder="1" applyAlignment="1">
      <alignment horizontal="center" vertical="center"/>
    </xf>
    <xf numFmtId="10" fontId="13" fillId="4" borderId="1" xfId="0" applyNumberFormat="1" applyFont="1" applyFill="1" applyBorder="1" applyAlignment="1">
      <alignment horizontal="center" vertical="center"/>
    </xf>
    <xf numFmtId="0" fontId="19" fillId="0" borderId="1" xfId="0" applyFont="1" applyFill="1" applyBorder="1"/>
    <xf numFmtId="10" fontId="19" fillId="0" borderId="2" xfId="0" applyNumberFormat="1" applyFont="1" applyFill="1" applyBorder="1" applyAlignment="1">
      <alignment horizontal="center" vertical="center"/>
    </xf>
    <xf numFmtId="10" fontId="13" fillId="4" borderId="3" xfId="0" applyNumberFormat="1" applyFont="1" applyFill="1" applyBorder="1" applyAlignment="1">
      <alignment horizontal="center" vertical="center"/>
    </xf>
    <xf numFmtId="10" fontId="2" fillId="5" borderId="2" xfId="16" applyNumberFormat="1" applyFont="1" applyFill="1" applyBorder="1" applyAlignment="1">
      <alignment horizontal="center" vertical="center" wrapText="1"/>
    </xf>
    <xf numFmtId="0" fontId="4" fillId="0" borderId="0" xfId="16" applyFont="1" applyFill="1" applyAlignment="1">
      <alignment horizontal="left" vertical="center"/>
    </xf>
    <xf numFmtId="0" fontId="2" fillId="5" borderId="2" xfId="16" applyFont="1" applyFill="1" applyBorder="1" applyAlignment="1">
      <alignment horizontal="center" vertical="center" wrapText="1"/>
    </xf>
    <xf numFmtId="9" fontId="8" fillId="0" borderId="37" xfId="21" applyFont="1" applyBorder="1" applyAlignment="1">
      <alignment horizontal="center" vertical="center"/>
    </xf>
    <xf numFmtId="182" fontId="8" fillId="0" borderId="37" xfId="3" applyNumberFormat="1" applyFont="1" applyBorder="1" applyAlignment="1">
      <alignment horizontal="center" vertical="center"/>
    </xf>
    <xf numFmtId="174" fontId="8" fillId="0" borderId="3" xfId="3" applyNumberFormat="1" applyFont="1" applyBorder="1" applyAlignment="1">
      <alignment vertical="center"/>
    </xf>
    <xf numFmtId="1" fontId="8" fillId="0" borderId="3" xfId="21" applyNumberFormat="1" applyFont="1" applyBorder="1" applyAlignment="1">
      <alignment horizontal="center" vertical="center"/>
    </xf>
    <xf numFmtId="10" fontId="19" fillId="0" borderId="4" xfId="0" applyNumberFormat="1" applyFont="1" applyBorder="1" applyAlignment="1">
      <alignment horizontal="center" vertical="center"/>
    </xf>
    <xf numFmtId="170" fontId="0" fillId="0" borderId="0" xfId="0" applyNumberFormat="1"/>
    <xf numFmtId="170" fontId="19" fillId="4" borderId="1" xfId="0" applyNumberFormat="1" applyFont="1" applyFill="1" applyBorder="1" applyAlignment="1">
      <alignment horizontal="center" vertical="center"/>
    </xf>
    <xf numFmtId="170" fontId="19" fillId="4" borderId="3" xfId="0" applyNumberFormat="1" applyFont="1" applyFill="1" applyBorder="1" applyAlignment="1">
      <alignment horizontal="center" vertical="center"/>
    </xf>
    <xf numFmtId="9" fontId="19" fillId="0" borderId="1" xfId="0" applyNumberFormat="1" applyFont="1" applyFill="1" applyBorder="1" applyAlignment="1">
      <alignment horizontal="center" vertical="center"/>
    </xf>
    <xf numFmtId="10" fontId="0" fillId="0" borderId="0" xfId="0" applyNumberFormat="1"/>
    <xf numFmtId="10" fontId="40" fillId="0" borderId="4" xfId="0" applyNumberFormat="1" applyFont="1" applyBorder="1" applyAlignment="1">
      <alignment horizontal="center" vertical="center"/>
    </xf>
    <xf numFmtId="10" fontId="40" fillId="7" borderId="4" xfId="0" applyNumberFormat="1" applyFont="1" applyFill="1" applyBorder="1" applyAlignment="1">
      <alignment horizontal="center" vertical="center"/>
    </xf>
    <xf numFmtId="10" fontId="40" fillId="0" borderId="4" xfId="16" applyNumberFormat="1" applyFont="1" applyFill="1" applyBorder="1" applyAlignment="1">
      <alignment horizontal="center" vertical="center" wrapText="1"/>
    </xf>
    <xf numFmtId="10" fontId="40" fillId="0" borderId="1" xfId="0" applyNumberFormat="1" applyFont="1" applyBorder="1" applyAlignment="1">
      <alignment horizontal="center" vertical="center"/>
    </xf>
    <xf numFmtId="10" fontId="40" fillId="7" borderId="1" xfId="0" applyNumberFormat="1" applyFont="1" applyFill="1" applyBorder="1" applyAlignment="1">
      <alignment horizontal="center" vertical="center"/>
    </xf>
    <xf numFmtId="10" fontId="40" fillId="0" borderId="1" xfId="16" applyNumberFormat="1" applyFont="1" applyFill="1" applyBorder="1" applyAlignment="1">
      <alignment horizontal="center" vertical="center" wrapText="1"/>
    </xf>
    <xf numFmtId="10" fontId="28" fillId="0" borderId="1" xfId="16" applyNumberFormat="1" applyFont="1" applyFill="1" applyBorder="1" applyAlignment="1">
      <alignment horizontal="center" vertical="center" wrapText="1"/>
    </xf>
    <xf numFmtId="10" fontId="19" fillId="6" borderId="4" xfId="0" applyNumberFormat="1" applyFont="1" applyFill="1" applyBorder="1" applyAlignment="1">
      <alignment horizontal="center" vertical="center"/>
    </xf>
    <xf numFmtId="170" fontId="19" fillId="12" borderId="3" xfId="0" applyNumberFormat="1" applyFont="1" applyFill="1" applyBorder="1" applyAlignment="1">
      <alignment horizontal="center" vertical="center"/>
    </xf>
    <xf numFmtId="10" fontId="19" fillId="6" borderId="1" xfId="0" applyNumberFormat="1" applyFont="1" applyFill="1" applyBorder="1" applyAlignment="1">
      <alignment horizontal="center" vertical="center"/>
    </xf>
    <xf numFmtId="170" fontId="19" fillId="6" borderId="4" xfId="28" applyNumberFormat="1" applyFont="1" applyFill="1" applyBorder="1" applyAlignment="1">
      <alignment horizontal="center" vertical="center"/>
    </xf>
    <xf numFmtId="170" fontId="19" fillId="6" borderId="1" xfId="28" applyNumberFormat="1" applyFont="1" applyFill="1" applyBorder="1" applyAlignment="1">
      <alignment horizontal="center" vertical="center"/>
    </xf>
    <xf numFmtId="170" fontId="40" fillId="4" borderId="3" xfId="0" applyNumberFormat="1" applyFont="1" applyFill="1" applyBorder="1" applyAlignment="1">
      <alignment vertical="center"/>
    </xf>
    <xf numFmtId="170" fontId="40" fillId="6" borderId="1" xfId="0" applyNumberFormat="1" applyFont="1" applyFill="1" applyBorder="1" applyAlignment="1">
      <alignment vertical="center"/>
    </xf>
    <xf numFmtId="170" fontId="40" fillId="4" borderId="1" xfId="0" applyNumberFormat="1" applyFont="1" applyFill="1" applyBorder="1" applyAlignment="1">
      <alignment vertical="center"/>
    </xf>
    <xf numFmtId="170" fontId="40" fillId="6" borderId="4" xfId="0" applyNumberFormat="1" applyFont="1" applyFill="1" applyBorder="1" applyAlignment="1">
      <alignment vertical="center"/>
    </xf>
    <xf numFmtId="170" fontId="40" fillId="0" borderId="4" xfId="28" applyNumberFormat="1" applyFont="1" applyFill="1" applyBorder="1" applyAlignment="1">
      <alignment horizontal="center" vertical="center"/>
    </xf>
    <xf numFmtId="0" fontId="45" fillId="0" borderId="3" xfId="0" applyFont="1" applyFill="1" applyBorder="1" applyAlignment="1" applyProtection="1">
      <alignment horizontal="center" vertical="center" wrapText="1"/>
      <protection locked="0"/>
    </xf>
    <xf numFmtId="0" fontId="45" fillId="0" borderId="1" xfId="0" applyFont="1" applyFill="1" applyBorder="1" applyAlignment="1" applyProtection="1">
      <alignment horizontal="center" vertical="center" wrapText="1"/>
      <protection locked="0"/>
    </xf>
    <xf numFmtId="0" fontId="45" fillId="0" borderId="4" xfId="0" applyFont="1" applyFill="1" applyBorder="1" applyAlignment="1" applyProtection="1">
      <alignment horizontal="center" vertical="center" wrapText="1"/>
      <protection locked="0"/>
    </xf>
    <xf numFmtId="0" fontId="40" fillId="0" borderId="1" xfId="0" applyFont="1" applyFill="1" applyBorder="1"/>
    <xf numFmtId="0" fontId="40" fillId="0" borderId="2" xfId="0" applyFont="1" applyFill="1" applyBorder="1"/>
    <xf numFmtId="170" fontId="45" fillId="0" borderId="1" xfId="0" applyNumberFormat="1" applyFont="1" applyFill="1" applyBorder="1"/>
    <xf numFmtId="0" fontId="40" fillId="0" borderId="4" xfId="0" applyFont="1" applyFill="1" applyBorder="1"/>
    <xf numFmtId="10" fontId="40" fillId="0" borderId="4" xfId="0" applyNumberFormat="1" applyFont="1" applyFill="1" applyBorder="1" applyAlignment="1">
      <alignment horizontal="center" vertical="center"/>
    </xf>
    <xf numFmtId="10" fontId="40" fillId="0" borderId="1" xfId="0" applyNumberFormat="1" applyFont="1" applyFill="1" applyBorder="1" applyAlignment="1">
      <alignment horizontal="center" vertical="center"/>
    </xf>
    <xf numFmtId="170" fontId="45" fillId="0" borderId="1" xfId="0" applyNumberFormat="1" applyFont="1" applyFill="1" applyBorder="1" applyAlignment="1">
      <alignment horizontal="center" vertical="center"/>
    </xf>
    <xf numFmtId="10" fontId="28" fillId="0" borderId="1" xfId="0" applyNumberFormat="1" applyFont="1" applyFill="1" applyBorder="1" applyAlignment="1">
      <alignment horizontal="center" vertical="center"/>
    </xf>
    <xf numFmtId="10" fontId="40" fillId="11" borderId="1" xfId="0" applyNumberFormat="1" applyFont="1" applyFill="1" applyBorder="1" applyAlignment="1">
      <alignment horizontal="center" vertical="center" wrapText="1"/>
    </xf>
    <xf numFmtId="170" fontId="40" fillId="11" borderId="4" xfId="0" applyNumberFormat="1" applyFont="1" applyFill="1" applyBorder="1" applyAlignment="1">
      <alignment horizontal="center" vertical="center"/>
    </xf>
    <xf numFmtId="10" fontId="40" fillId="11" borderId="4" xfId="0" applyNumberFormat="1" applyFont="1" applyFill="1" applyBorder="1" applyAlignment="1">
      <alignment horizontal="center" vertical="center" wrapText="1"/>
    </xf>
    <xf numFmtId="10" fontId="40" fillId="4" borderId="3" xfId="16" applyNumberFormat="1" applyFont="1" applyFill="1" applyBorder="1" applyAlignment="1">
      <alignment horizontal="center" vertical="center" wrapText="1"/>
    </xf>
    <xf numFmtId="10" fontId="19" fillId="4" borderId="3" xfId="0" applyNumberFormat="1" applyFont="1" applyFill="1" applyBorder="1" applyAlignment="1">
      <alignment horizontal="center" vertical="center"/>
    </xf>
    <xf numFmtId="0" fontId="41" fillId="3" borderId="3" xfId="0" applyFont="1" applyFill="1" applyBorder="1" applyAlignment="1">
      <alignment horizontal="center" vertical="center"/>
    </xf>
    <xf numFmtId="174" fontId="41" fillId="3" borderId="3" xfId="3" applyNumberFormat="1" applyFont="1" applyFill="1" applyBorder="1" applyAlignment="1">
      <alignment horizontal="center" vertical="center"/>
    </xf>
    <xf numFmtId="9" fontId="41" fillId="3" borderId="3" xfId="21" applyFont="1" applyFill="1" applyBorder="1" applyAlignment="1">
      <alignment horizontal="center" vertical="center"/>
    </xf>
    <xf numFmtId="0" fontId="41" fillId="0" borderId="0" xfId="0" applyFont="1" applyFill="1" applyBorder="1" applyAlignment="1">
      <alignment horizontal="center" vertical="center"/>
    </xf>
    <xf numFmtId="0" fontId="41" fillId="0" borderId="1" xfId="0" applyFont="1" applyFill="1" applyBorder="1" applyAlignment="1">
      <alignment horizontal="center" vertical="center"/>
    </xf>
    <xf numFmtId="174" fontId="41" fillId="3" borderId="1" xfId="3" applyNumberFormat="1" applyFont="1" applyFill="1" applyBorder="1" applyAlignment="1">
      <alignment horizontal="center" vertical="center"/>
    </xf>
    <xf numFmtId="9" fontId="41" fillId="3" borderId="1" xfId="21" applyFont="1" applyFill="1" applyBorder="1" applyAlignment="1">
      <alignment horizontal="center" vertical="center"/>
    </xf>
    <xf numFmtId="174" fontId="41" fillId="3" borderId="2" xfId="3" applyNumberFormat="1" applyFont="1" applyFill="1" applyBorder="1" applyAlignment="1">
      <alignment horizontal="center" vertical="center"/>
    </xf>
    <xf numFmtId="174" fontId="42" fillId="3" borderId="4" xfId="3" applyNumberFormat="1" applyFont="1" applyFill="1" applyBorder="1" applyAlignment="1">
      <alignment horizontal="center" vertical="center"/>
    </xf>
    <xf numFmtId="9" fontId="41" fillId="3" borderId="4" xfId="21" applyFont="1" applyFill="1" applyBorder="1" applyAlignment="1">
      <alignment horizontal="center" vertical="center"/>
    </xf>
    <xf numFmtId="174" fontId="42" fillId="3" borderId="3" xfId="3" applyNumberFormat="1" applyFont="1" applyFill="1" applyBorder="1" applyAlignment="1">
      <alignment horizontal="center" vertical="center"/>
    </xf>
    <xf numFmtId="174" fontId="42" fillId="3" borderId="1" xfId="3" applyNumberFormat="1" applyFont="1" applyFill="1" applyBorder="1" applyAlignment="1">
      <alignment horizontal="center" vertical="center"/>
    </xf>
    <xf numFmtId="170" fontId="41" fillId="3" borderId="1" xfId="21" applyNumberFormat="1" applyFont="1" applyFill="1" applyBorder="1" applyAlignment="1">
      <alignment horizontal="center" vertical="center"/>
    </xf>
    <xf numFmtId="174" fontId="42" fillId="3" borderId="2" xfId="3" applyNumberFormat="1" applyFont="1" applyFill="1" applyBorder="1" applyAlignment="1">
      <alignment horizontal="center" vertical="center"/>
    </xf>
    <xf numFmtId="9" fontId="41" fillId="3" borderId="2" xfId="21" applyFont="1" applyFill="1" applyBorder="1" applyAlignment="1">
      <alignment horizontal="center" vertical="center"/>
    </xf>
    <xf numFmtId="174" fontId="41" fillId="0" borderId="3" xfId="3" applyNumberFormat="1" applyFont="1" applyFill="1" applyBorder="1" applyAlignment="1">
      <alignment horizontal="center" vertical="center"/>
    </xf>
    <xf numFmtId="9" fontId="41" fillId="0" borderId="3" xfId="21" applyFont="1" applyFill="1" applyBorder="1" applyAlignment="1">
      <alignment horizontal="center" vertical="center"/>
    </xf>
    <xf numFmtId="174" fontId="41" fillId="0" borderId="1" xfId="3" applyNumberFormat="1" applyFont="1" applyFill="1" applyBorder="1" applyAlignment="1">
      <alignment horizontal="center" vertical="center"/>
    </xf>
    <xf numFmtId="9" fontId="41" fillId="0" borderId="1" xfId="21" applyFont="1" applyFill="1" applyBorder="1" applyAlignment="1">
      <alignment horizontal="center" vertical="center"/>
    </xf>
    <xf numFmtId="2" fontId="41" fillId="3" borderId="3" xfId="0" applyNumberFormat="1" applyFont="1" applyFill="1" applyBorder="1" applyAlignment="1">
      <alignment horizontal="center" vertical="center"/>
    </xf>
    <xf numFmtId="2" fontId="41" fillId="3" borderId="1" xfId="0" applyNumberFormat="1" applyFont="1" applyFill="1" applyBorder="1" applyAlignment="1">
      <alignment horizontal="center" vertical="center"/>
    </xf>
    <xf numFmtId="9" fontId="41" fillId="3" borderId="1" xfId="21" applyNumberFormat="1" applyFont="1" applyFill="1" applyBorder="1" applyAlignment="1">
      <alignment horizontal="center" vertical="center"/>
    </xf>
    <xf numFmtId="0" fontId="4" fillId="6" borderId="0" xfId="0" applyFont="1" applyFill="1" applyBorder="1" applyAlignment="1"/>
    <xf numFmtId="0" fontId="4" fillId="6" borderId="28" xfId="0" applyFont="1" applyFill="1" applyBorder="1" applyAlignment="1"/>
    <xf numFmtId="0" fontId="4" fillId="6" borderId="30" xfId="0" applyFont="1" applyFill="1" applyBorder="1" applyAlignment="1"/>
    <xf numFmtId="0" fontId="41" fillId="0" borderId="0" xfId="0" applyFont="1" applyFill="1" applyAlignment="1">
      <alignment horizontal="center" vertical="center"/>
    </xf>
    <xf numFmtId="10" fontId="41" fillId="0" borderId="3" xfId="21" applyNumberFormat="1" applyFont="1" applyBorder="1" applyAlignment="1">
      <alignment horizontal="center" vertical="center"/>
    </xf>
    <xf numFmtId="9" fontId="41" fillId="0" borderId="3" xfId="21" applyFont="1" applyBorder="1" applyAlignment="1">
      <alignment horizontal="center" vertical="center"/>
    </xf>
    <xf numFmtId="0" fontId="41" fillId="0" borderId="3" xfId="0" applyFont="1" applyBorder="1" applyAlignment="1">
      <alignment horizontal="center" vertical="center"/>
    </xf>
    <xf numFmtId="9" fontId="41" fillId="0" borderId="3" xfId="0" applyNumberFormat="1" applyFont="1" applyBorder="1" applyAlignment="1">
      <alignment horizontal="center" vertical="center"/>
    </xf>
    <xf numFmtId="170" fontId="41" fillId="0" borderId="3" xfId="0" applyNumberFormat="1" applyFont="1" applyBorder="1" applyAlignment="1">
      <alignment horizontal="center" vertical="center"/>
    </xf>
    <xf numFmtId="41" fontId="41" fillId="0" borderId="1" xfId="13" applyNumberFormat="1" applyFont="1" applyBorder="1" applyAlignment="1">
      <alignment horizontal="center" vertical="center"/>
    </xf>
    <xf numFmtId="0" fontId="41" fillId="0" borderId="1" xfId="0" applyFont="1" applyBorder="1" applyAlignment="1">
      <alignment horizontal="center" vertical="center"/>
    </xf>
    <xf numFmtId="0" fontId="48" fillId="0" borderId="1" xfId="0" applyFont="1" applyBorder="1" applyAlignment="1">
      <alignment horizontal="center" vertical="center" wrapText="1"/>
    </xf>
    <xf numFmtId="41" fontId="41" fillId="0" borderId="2" xfId="13" applyNumberFormat="1" applyFont="1" applyBorder="1" applyAlignment="1">
      <alignment horizontal="center" vertical="center"/>
    </xf>
    <xf numFmtId="165" fontId="41" fillId="0" borderId="3" xfId="5" applyNumberFormat="1" applyFont="1" applyBorder="1" applyAlignment="1">
      <alignment horizontal="center" vertical="center"/>
    </xf>
    <xf numFmtId="3" fontId="41" fillId="0" borderId="1" xfId="0" applyNumberFormat="1" applyFont="1" applyBorder="1" applyAlignment="1">
      <alignment horizontal="center" vertical="center"/>
    </xf>
    <xf numFmtId="0" fontId="41" fillId="0" borderId="1" xfId="13" applyNumberFormat="1" applyFont="1" applyBorder="1" applyAlignment="1">
      <alignment horizontal="center" vertical="center"/>
    </xf>
    <xf numFmtId="41" fontId="41" fillId="0" borderId="2" xfId="13" applyNumberFormat="1" applyFont="1" applyBorder="1" applyAlignment="1">
      <alignment horizontal="center" vertical="center" wrapText="1"/>
    </xf>
    <xf numFmtId="9" fontId="41" fillId="0" borderId="3" xfId="21" applyNumberFormat="1" applyFont="1" applyBorder="1" applyAlignment="1">
      <alignment horizontal="center" vertical="center"/>
    </xf>
    <xf numFmtId="10" fontId="41" fillId="3" borderId="3" xfId="0" applyNumberFormat="1" applyFont="1" applyFill="1" applyBorder="1" applyAlignment="1">
      <alignment horizontal="center" vertical="center"/>
    </xf>
    <xf numFmtId="9" fontId="41" fillId="0" borderId="1" xfId="21" applyFont="1" applyBorder="1" applyAlignment="1">
      <alignment horizontal="center" vertical="center"/>
    </xf>
    <xf numFmtId="10" fontId="41" fillId="0" borderId="1" xfId="21" applyNumberFormat="1" applyFont="1" applyBorder="1" applyAlignment="1">
      <alignment horizontal="center" vertical="center"/>
    </xf>
    <xf numFmtId="9" fontId="41" fillId="0" borderId="1" xfId="0" applyNumberFormat="1" applyFont="1" applyBorder="1" applyAlignment="1">
      <alignment horizontal="center" vertical="center"/>
    </xf>
    <xf numFmtId="9" fontId="41" fillId="0" borderId="1" xfId="21" applyNumberFormat="1" applyFont="1" applyBorder="1" applyAlignment="1">
      <alignment horizontal="center" vertical="center"/>
    </xf>
    <xf numFmtId="41" fontId="42" fillId="0" borderId="4" xfId="13" applyNumberFormat="1" applyFont="1" applyBorder="1" applyAlignment="1">
      <alignment vertical="center" wrapText="1"/>
    </xf>
    <xf numFmtId="9" fontId="41" fillId="0" borderId="1" xfId="0" applyNumberFormat="1" applyFont="1" applyBorder="1" applyAlignment="1">
      <alignment horizontal="center"/>
    </xf>
    <xf numFmtId="165" fontId="41" fillId="0" borderId="1" xfId="0" applyNumberFormat="1" applyFont="1" applyFill="1" applyBorder="1" applyAlignment="1">
      <alignment horizontal="center" vertical="center"/>
    </xf>
    <xf numFmtId="2" fontId="41" fillId="0" borderId="1" xfId="0" applyNumberFormat="1" applyFont="1" applyBorder="1" applyAlignment="1">
      <alignment horizontal="center" vertical="center"/>
    </xf>
    <xf numFmtId="178" fontId="41" fillId="0" borderId="1" xfId="13" applyNumberFormat="1" applyFont="1" applyBorder="1" applyAlignment="1">
      <alignment horizontal="center" vertical="center"/>
    </xf>
    <xf numFmtId="41" fontId="41" fillId="0" borderId="5" xfId="13" applyNumberFormat="1" applyFont="1" applyBorder="1" applyAlignment="1">
      <alignment horizontal="center" vertical="center"/>
    </xf>
    <xf numFmtId="3" fontId="41" fillId="0" borderId="5" xfId="0" applyNumberFormat="1" applyFont="1" applyBorder="1" applyAlignment="1">
      <alignment horizontal="center" vertical="center"/>
    </xf>
    <xf numFmtId="181" fontId="41" fillId="3" borderId="1" xfId="13" applyNumberFormat="1" applyFont="1" applyFill="1" applyBorder="1" applyAlignment="1">
      <alignment horizontal="center" vertical="center"/>
    </xf>
    <xf numFmtId="174" fontId="41" fillId="6" borderId="5" xfId="0" applyNumberFormat="1" applyFont="1" applyFill="1" applyBorder="1" applyAlignment="1">
      <alignment vertical="center"/>
    </xf>
    <xf numFmtId="174" fontId="41" fillId="6" borderId="5" xfId="0" applyNumberFormat="1" applyFont="1" applyFill="1" applyBorder="1" applyAlignment="1">
      <alignment horizontal="center"/>
    </xf>
    <xf numFmtId="10" fontId="4" fillId="6" borderId="0" xfId="21" applyNumberFormat="1" applyFont="1" applyFill="1" applyBorder="1" applyAlignment="1"/>
    <xf numFmtId="174" fontId="41" fillId="6" borderId="1" xfId="0" applyNumberFormat="1" applyFont="1" applyFill="1" applyBorder="1" applyAlignment="1">
      <alignment vertical="center"/>
    </xf>
    <xf numFmtId="0" fontId="41" fillId="6" borderId="0" xfId="0" applyFont="1" applyFill="1" applyBorder="1" applyAlignment="1">
      <alignment horizontal="center"/>
    </xf>
    <xf numFmtId="174" fontId="41" fillId="6" borderId="1" xfId="0" applyNumberFormat="1" applyFont="1" applyFill="1" applyBorder="1" applyAlignment="1">
      <alignment horizontal="center" vertical="center"/>
    </xf>
    <xf numFmtId="3" fontId="2" fillId="6" borderId="4" xfId="0" applyNumberFormat="1" applyFont="1" applyFill="1" applyBorder="1" applyAlignment="1">
      <alignment horizontal="center" vertical="center" wrapText="1"/>
    </xf>
    <xf numFmtId="174" fontId="42" fillId="6" borderId="4" xfId="0" applyNumberFormat="1" applyFont="1" applyFill="1" applyBorder="1" applyAlignment="1">
      <alignment vertical="center"/>
    </xf>
    <xf numFmtId="174" fontId="41" fillId="6" borderId="4" xfId="0" applyNumberFormat="1" applyFont="1" applyFill="1" applyBorder="1" applyAlignment="1">
      <alignment horizontal="center"/>
    </xf>
    <xf numFmtId="174" fontId="41" fillId="6" borderId="4" xfId="0" applyNumberFormat="1" applyFont="1" applyFill="1" applyBorder="1" applyAlignment="1">
      <alignment horizontal="center" vertical="center"/>
    </xf>
    <xf numFmtId="0" fontId="2" fillId="6" borderId="42" xfId="0" applyFont="1" applyFill="1" applyBorder="1" applyAlignment="1">
      <alignment horizontal="right"/>
    </xf>
    <xf numFmtId="0" fontId="18" fillId="6" borderId="15" xfId="0" applyFont="1" applyFill="1" applyBorder="1" applyAlignment="1" applyProtection="1">
      <alignment horizontal="left" vertical="center" wrapText="1"/>
      <protection locked="0"/>
    </xf>
    <xf numFmtId="0" fontId="18" fillId="6" borderId="8" xfId="0" applyFont="1" applyFill="1" applyBorder="1" applyAlignment="1" applyProtection="1">
      <alignment horizontal="left" vertical="center" wrapText="1"/>
      <protection locked="0"/>
    </xf>
    <xf numFmtId="0" fontId="18" fillId="6" borderId="43" xfId="0" applyFont="1" applyFill="1" applyBorder="1" applyAlignment="1" applyProtection="1">
      <alignment horizontal="left" vertical="center" wrapText="1"/>
      <protection locked="0"/>
    </xf>
    <xf numFmtId="9" fontId="39" fillId="3" borderId="5" xfId="21" applyFont="1" applyFill="1" applyBorder="1" applyAlignment="1">
      <alignment horizontal="center" vertical="center"/>
    </xf>
    <xf numFmtId="10" fontId="39" fillId="3" borderId="5" xfId="21" applyNumberFormat="1" applyFont="1" applyFill="1" applyBorder="1" applyAlignment="1">
      <alignment horizontal="center" vertical="center"/>
    </xf>
    <xf numFmtId="9" fontId="39" fillId="3" borderId="5" xfId="21" applyNumberFormat="1" applyFont="1" applyFill="1" applyBorder="1" applyAlignment="1">
      <alignment horizontal="center" vertical="center"/>
    </xf>
    <xf numFmtId="9" fontId="39" fillId="3" borderId="1" xfId="21" applyFont="1" applyFill="1" applyBorder="1" applyAlignment="1">
      <alignment horizontal="center" vertical="center"/>
    </xf>
    <xf numFmtId="10" fontId="39" fillId="3" borderId="1" xfId="21" applyNumberFormat="1" applyFont="1" applyFill="1" applyBorder="1" applyAlignment="1">
      <alignment horizontal="center" vertical="center"/>
    </xf>
    <xf numFmtId="9" fontId="39" fillId="3" borderId="1" xfId="21" applyNumberFormat="1" applyFont="1" applyFill="1" applyBorder="1" applyAlignment="1">
      <alignment horizontal="center" vertical="center"/>
    </xf>
    <xf numFmtId="0" fontId="41" fillId="0" borderId="5" xfId="0" applyFont="1" applyFill="1" applyBorder="1" applyAlignment="1">
      <alignment horizontal="center" vertical="center"/>
    </xf>
    <xf numFmtId="39" fontId="39" fillId="3" borderId="1" xfId="9" applyNumberFormat="1" applyFont="1" applyFill="1" applyBorder="1" applyAlignment="1">
      <alignment horizontal="center" vertical="center"/>
    </xf>
    <xf numFmtId="41" fontId="42" fillId="0" borderId="2" xfId="0" applyNumberFormat="1" applyFont="1" applyBorder="1" applyAlignment="1">
      <alignment horizontal="center" vertical="center" wrapText="1"/>
    </xf>
    <xf numFmtId="41" fontId="42" fillId="0" borderId="0" xfId="0" applyNumberFormat="1" applyFont="1" applyFill="1" applyAlignment="1">
      <alignment horizontal="center" vertical="center" wrapText="1"/>
    </xf>
    <xf numFmtId="41" fontId="42" fillId="0" borderId="2" xfId="13" applyNumberFormat="1" applyFont="1" applyBorder="1" applyAlignment="1">
      <alignment horizontal="center" vertical="center" wrapText="1"/>
    </xf>
    <xf numFmtId="41" fontId="42" fillId="0" borderId="1" xfId="0" applyNumberFormat="1" applyFont="1" applyBorder="1"/>
    <xf numFmtId="41" fontId="42" fillId="0" borderId="1" xfId="0" applyNumberFormat="1" applyFont="1" applyBorder="1" applyAlignment="1">
      <alignment horizontal="center" vertical="center" wrapText="1"/>
    </xf>
    <xf numFmtId="37" fontId="29" fillId="3" borderId="1" xfId="9" applyNumberFormat="1" applyFont="1" applyFill="1" applyBorder="1" applyAlignment="1">
      <alignment horizontal="center" vertical="center" wrapText="1"/>
    </xf>
    <xf numFmtId="3" fontId="2" fillId="6" borderId="5" xfId="10" applyNumberFormat="1" applyFont="1" applyFill="1" applyBorder="1" applyAlignment="1">
      <alignment horizontal="center" vertical="center" wrapText="1"/>
    </xf>
    <xf numFmtId="174" fontId="42" fillId="6" borderId="5" xfId="0" applyNumberFormat="1" applyFont="1" applyFill="1" applyBorder="1" applyAlignment="1">
      <alignment vertical="center"/>
    </xf>
    <xf numFmtId="0" fontId="29" fillId="6" borderId="1" xfId="0" applyFont="1" applyFill="1" applyBorder="1" applyAlignment="1">
      <alignment horizontal="center" vertical="center"/>
    </xf>
    <xf numFmtId="0" fontId="29" fillId="6" borderId="1" xfId="0" applyFont="1" applyFill="1" applyBorder="1" applyAlignment="1">
      <alignment horizontal="right" vertical="center"/>
    </xf>
    <xf numFmtId="174" fontId="42" fillId="6" borderId="1" xfId="0" applyNumberFormat="1" applyFont="1" applyFill="1" applyBorder="1" applyAlignment="1">
      <alignment vertical="center"/>
    </xf>
    <xf numFmtId="0" fontId="31" fillId="0" borderId="45" xfId="0" applyFont="1" applyBorder="1" applyAlignment="1">
      <alignment vertical="center" wrapText="1"/>
    </xf>
    <xf numFmtId="0" fontId="31" fillId="0" borderId="45" xfId="0" applyFont="1" applyBorder="1" applyAlignment="1">
      <alignment horizontal="center" vertical="center"/>
    </xf>
    <xf numFmtId="9" fontId="8" fillId="0" borderId="37" xfId="5" applyNumberFormat="1" applyFont="1" applyBorder="1" applyAlignment="1">
      <alignment horizontal="center" vertical="center"/>
    </xf>
    <xf numFmtId="10" fontId="8" fillId="0" borderId="37" xfId="21" applyNumberFormat="1" applyFont="1" applyBorder="1" applyAlignment="1">
      <alignment horizontal="center" vertical="center"/>
    </xf>
    <xf numFmtId="165" fontId="8" fillId="0" borderId="37" xfId="5" applyNumberFormat="1" applyFont="1" applyBorder="1" applyAlignment="1">
      <alignment horizontal="center" vertical="center"/>
    </xf>
    <xf numFmtId="9" fontId="8" fillId="0" borderId="3" xfId="21" applyNumberFormat="1" applyFont="1" applyBorder="1" applyAlignment="1">
      <alignment horizontal="center" vertical="center"/>
    </xf>
    <xf numFmtId="174" fontId="8" fillId="0" borderId="37" xfId="3" applyNumberFormat="1" applyFont="1" applyBorder="1" applyAlignment="1">
      <alignment horizontal="center" vertical="center"/>
    </xf>
    <xf numFmtId="0" fontId="8" fillId="0" borderId="25" xfId="0" applyFont="1" applyBorder="1" applyAlignment="1">
      <alignment horizontal="center"/>
    </xf>
    <xf numFmtId="2" fontId="8" fillId="0" borderId="37" xfId="21" applyNumberFormat="1" applyFont="1" applyBorder="1" applyAlignment="1">
      <alignment horizontal="center" vertical="center"/>
    </xf>
    <xf numFmtId="9" fontId="8" fillId="0" borderId="45" xfId="21" applyFont="1" applyBorder="1" applyAlignment="1">
      <alignment horizontal="center" vertical="center"/>
    </xf>
    <xf numFmtId="174" fontId="8" fillId="0" borderId="45" xfId="3" applyNumberFormat="1" applyFont="1" applyBorder="1" applyAlignment="1">
      <alignment horizontal="center" vertical="center"/>
    </xf>
    <xf numFmtId="0" fontId="8" fillId="0" borderId="40" xfId="0" applyFont="1" applyBorder="1" applyAlignment="1">
      <alignment horizontal="center"/>
    </xf>
    <xf numFmtId="9" fontId="8" fillId="0" borderId="37" xfId="21" applyFont="1" applyBorder="1" applyAlignment="1">
      <alignment vertical="center"/>
    </xf>
    <xf numFmtId="182" fontId="8" fillId="0" borderId="37" xfId="3" applyNumberFormat="1" applyFont="1" applyBorder="1" applyAlignment="1">
      <alignment vertical="center"/>
    </xf>
    <xf numFmtId="0" fontId="50" fillId="0" borderId="2" xfId="0" applyFont="1" applyFill="1" applyBorder="1" applyAlignment="1">
      <alignment horizontal="center" vertical="center" wrapText="1"/>
    </xf>
    <xf numFmtId="0" fontId="50" fillId="3" borderId="37"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174" fontId="29" fillId="6" borderId="1" xfId="3" applyNumberFormat="1" applyFont="1" applyFill="1" applyBorder="1" applyAlignment="1">
      <alignment horizontal="right" vertical="center"/>
    </xf>
    <xf numFmtId="174" fontId="39" fillId="3" borderId="1" xfId="3" applyNumberFormat="1" applyFont="1" applyFill="1" applyBorder="1" applyAlignment="1">
      <alignment horizontal="center" vertical="center"/>
    </xf>
    <xf numFmtId="174" fontId="39" fillId="3" borderId="1" xfId="3" applyNumberFormat="1" applyFont="1" applyFill="1" applyBorder="1" applyAlignment="1">
      <alignment horizontal="right" vertical="center"/>
    </xf>
    <xf numFmtId="174" fontId="41" fillId="0" borderId="1" xfId="3" applyNumberFormat="1" applyFont="1" applyBorder="1" applyAlignment="1">
      <alignment horizontal="center" vertical="center"/>
    </xf>
    <xf numFmtId="174" fontId="39" fillId="3" borderId="1" xfId="3" applyNumberFormat="1" applyFont="1" applyFill="1" applyBorder="1" applyAlignment="1">
      <alignment vertical="center"/>
    </xf>
    <xf numFmtId="174" fontId="48" fillId="0" borderId="1" xfId="3" applyNumberFormat="1" applyFont="1" applyBorder="1" applyAlignment="1">
      <alignment vertical="center" wrapText="1"/>
    </xf>
    <xf numFmtId="176" fontId="4" fillId="3" borderId="1" xfId="10" applyNumberFormat="1" applyFont="1" applyFill="1" applyBorder="1" applyAlignment="1">
      <alignment horizontal="center" vertical="center" wrapText="1"/>
    </xf>
    <xf numFmtId="10" fontId="52" fillId="3" borderId="4" xfId="16" applyNumberFormat="1" applyFont="1" applyFill="1" applyBorder="1" applyAlignment="1">
      <alignment horizontal="center" vertical="center" wrapText="1"/>
    </xf>
    <xf numFmtId="10" fontId="52" fillId="0" borderId="1" xfId="16" applyNumberFormat="1" applyFont="1" applyFill="1" applyBorder="1" applyAlignment="1">
      <alignment horizontal="center" vertical="center" wrapText="1"/>
    </xf>
    <xf numFmtId="10" fontId="52" fillId="3" borderId="1" xfId="16" applyNumberFormat="1" applyFont="1" applyFill="1" applyBorder="1" applyAlignment="1">
      <alignment horizontal="center" vertical="center" wrapText="1"/>
    </xf>
    <xf numFmtId="10" fontId="3" fillId="3" borderId="4" xfId="16" applyNumberFormat="1" applyFont="1" applyFill="1" applyBorder="1" applyAlignment="1">
      <alignment horizontal="center" vertical="center" wrapText="1"/>
    </xf>
    <xf numFmtId="170" fontId="3" fillId="0" borderId="1" xfId="0" applyNumberFormat="1" applyFont="1" applyFill="1" applyBorder="1" applyAlignment="1">
      <alignment horizontal="center" vertical="center"/>
    </xf>
    <xf numFmtId="0" fontId="3" fillId="0" borderId="1" xfId="0" applyFont="1" applyFill="1" applyBorder="1"/>
    <xf numFmtId="0" fontId="3" fillId="0" borderId="4" xfId="0" applyFont="1" applyFill="1" applyBorder="1"/>
    <xf numFmtId="10" fontId="54" fillId="0" borderId="1" xfId="0" applyNumberFormat="1" applyFont="1" applyFill="1" applyBorder="1" applyAlignment="1">
      <alignment horizontal="center" vertical="center"/>
    </xf>
    <xf numFmtId="10" fontId="54" fillId="13" borderId="1" xfId="0" applyNumberFormat="1" applyFont="1" applyFill="1" applyBorder="1" applyAlignment="1">
      <alignment horizontal="center" vertical="center"/>
    </xf>
    <xf numFmtId="10" fontId="3" fillId="3"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0" fontId="54" fillId="14" borderId="1" xfId="0" applyNumberFormat="1" applyFont="1" applyFill="1" applyBorder="1" applyAlignment="1">
      <alignment horizontal="center" vertical="center" wrapText="1"/>
    </xf>
    <xf numFmtId="10" fontId="3" fillId="3"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10" fontId="54" fillId="14" borderId="4" xfId="0" applyNumberFormat="1" applyFont="1" applyFill="1" applyBorder="1" applyAlignment="1">
      <alignment horizontal="center" vertical="center" wrapText="1"/>
    </xf>
    <xf numFmtId="10" fontId="19" fillId="4" borderId="3" xfId="16" applyNumberFormat="1" applyFont="1" applyFill="1" applyBorder="1" applyAlignment="1">
      <alignment horizontal="center" vertical="center" wrapText="1"/>
    </xf>
    <xf numFmtId="10" fontId="19" fillId="0" borderId="1" xfId="16" applyNumberFormat="1" applyFont="1" applyFill="1" applyBorder="1" applyAlignment="1">
      <alignment horizontal="center" vertical="center" wrapText="1"/>
    </xf>
    <xf numFmtId="9" fontId="19" fillId="0" borderId="1" xfId="16" applyNumberFormat="1" applyFont="1" applyFill="1" applyBorder="1" applyAlignment="1">
      <alignment horizontal="center" vertical="center" wrapText="1"/>
    </xf>
    <xf numFmtId="10" fontId="3" fillId="0" borderId="1" xfId="16"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10" fontId="53" fillId="0" borderId="4" xfId="16" applyNumberFormat="1" applyFont="1" applyFill="1" applyBorder="1" applyAlignment="1">
      <alignment horizontal="center" vertical="center" wrapText="1"/>
    </xf>
    <xf numFmtId="10" fontId="53" fillId="0" borderId="1" xfId="16" applyNumberFormat="1" applyFont="1" applyFill="1" applyBorder="1" applyAlignment="1">
      <alignment horizontal="center" vertical="center" wrapText="1"/>
    </xf>
    <xf numFmtId="10" fontId="54" fillId="0" borderId="4" xfId="16"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11" fillId="0" borderId="30"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42" xfId="0" applyFont="1" applyFill="1" applyBorder="1" applyAlignment="1">
      <alignment horizontal="right" vertical="center"/>
    </xf>
    <xf numFmtId="0" fontId="31" fillId="0" borderId="24" xfId="0" applyFont="1" applyFill="1" applyBorder="1" applyAlignment="1">
      <alignment horizontal="center"/>
    </xf>
    <xf numFmtId="0" fontId="31" fillId="0" borderId="25" xfId="0" applyFont="1" applyFill="1" applyBorder="1" applyAlignment="1">
      <alignment horizontal="center"/>
    </xf>
    <xf numFmtId="0" fontId="31" fillId="0" borderId="26" xfId="0" applyFont="1" applyFill="1" applyBorder="1" applyAlignment="1">
      <alignment horizontal="center"/>
    </xf>
    <xf numFmtId="0" fontId="31" fillId="0" borderId="27" xfId="0" applyFont="1" applyFill="1" applyBorder="1" applyAlignment="1">
      <alignment horizontal="center"/>
    </xf>
    <xf numFmtId="0" fontId="31" fillId="0" borderId="0" xfId="0" applyFont="1" applyFill="1" applyBorder="1" applyAlignment="1">
      <alignment horizontal="center"/>
    </xf>
    <xf numFmtId="0" fontId="31" fillId="0" borderId="9" xfId="0" applyFont="1" applyFill="1" applyBorder="1" applyAlignment="1">
      <alignment horizontal="center"/>
    </xf>
    <xf numFmtId="0" fontId="5" fillId="6" borderId="1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37" xfId="0" applyFill="1" applyBorder="1" applyAlignment="1">
      <alignment horizontal="center" vertical="center"/>
    </xf>
    <xf numFmtId="0" fontId="0" fillId="0" borderId="23" xfId="0" applyFill="1" applyBorder="1" applyAlignment="1">
      <alignment horizontal="center" vertical="center"/>
    </xf>
    <xf numFmtId="0" fontId="0" fillId="0" borderId="38" xfId="0" applyFill="1" applyBorder="1" applyAlignment="1">
      <alignment horizontal="center" vertical="center"/>
    </xf>
    <xf numFmtId="0" fontId="41" fillId="0" borderId="37" xfId="0" applyFont="1" applyFill="1" applyBorder="1" applyAlignment="1">
      <alignment horizontal="left" wrapText="1"/>
    </xf>
    <xf numFmtId="0" fontId="41" fillId="0" borderId="23" xfId="0" applyFont="1" applyFill="1" applyBorder="1" applyAlignment="1">
      <alignment horizontal="left" wrapText="1"/>
    </xf>
    <xf numFmtId="0" fontId="41" fillId="0" borderId="38" xfId="0" applyFont="1" applyFill="1" applyBorder="1" applyAlignment="1">
      <alignment horizontal="left"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4" fillId="0" borderId="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41" fillId="0" borderId="21" xfId="0" applyFont="1" applyFill="1" applyBorder="1" applyAlignment="1">
      <alignment horizontal="left" wrapText="1"/>
    </xf>
    <xf numFmtId="0" fontId="41" fillId="0" borderId="22" xfId="0" applyFont="1" applyFill="1" applyBorder="1" applyAlignment="1">
      <alignment horizontal="left" wrapText="1"/>
    </xf>
    <xf numFmtId="0" fontId="41" fillId="0" borderId="39" xfId="0" applyFont="1" applyFill="1" applyBorder="1" applyAlignment="1">
      <alignment horizontal="left" wrapText="1"/>
    </xf>
    <xf numFmtId="0" fontId="41" fillId="3" borderId="37" xfId="0" applyFont="1" applyFill="1" applyBorder="1" applyAlignment="1">
      <alignment horizontal="left" wrapText="1"/>
    </xf>
    <xf numFmtId="0" fontId="41" fillId="3" borderId="23" xfId="0" applyFont="1" applyFill="1" applyBorder="1" applyAlignment="1">
      <alignment horizontal="left" wrapText="1"/>
    </xf>
    <xf numFmtId="0" fontId="41" fillId="3" borderId="38" xfId="0" applyFont="1" applyFill="1" applyBorder="1" applyAlignment="1">
      <alignment horizontal="left" wrapText="1"/>
    </xf>
    <xf numFmtId="0" fontId="41" fillId="3" borderId="21" xfId="0" applyFont="1" applyFill="1" applyBorder="1" applyAlignment="1">
      <alignment horizontal="left" wrapText="1"/>
    </xf>
    <xf numFmtId="0" fontId="41" fillId="3" borderId="22" xfId="0" applyFont="1" applyFill="1" applyBorder="1" applyAlignment="1">
      <alignment horizontal="left" wrapText="1"/>
    </xf>
    <xf numFmtId="0" fontId="41" fillId="3" borderId="39" xfId="0" applyFont="1" applyFill="1" applyBorder="1" applyAlignment="1">
      <alignment horizontal="left" wrapText="1"/>
    </xf>
    <xf numFmtId="0" fontId="5" fillId="6" borderId="15"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41" xfId="0" applyFont="1" applyFill="1" applyBorder="1" applyAlignment="1">
      <alignment horizontal="center" vertical="center"/>
    </xf>
    <xf numFmtId="0" fontId="4" fillId="0" borderId="2" xfId="0" applyFont="1" applyFill="1" applyBorder="1" applyAlignment="1">
      <alignment horizontal="justify" vertical="center" wrapText="1"/>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 xfId="0" applyFont="1" applyFill="1" applyBorder="1" applyAlignment="1">
      <alignment horizontal="center" vertical="center"/>
    </xf>
    <xf numFmtId="0" fontId="21" fillId="0" borderId="0" xfId="0" applyFont="1" applyFill="1" applyAlignment="1">
      <alignment horizontal="right" vertical="center"/>
    </xf>
    <xf numFmtId="0" fontId="24" fillId="0" borderId="18" xfId="0" applyFont="1" applyBorder="1" applyAlignment="1">
      <alignment horizontal="center" vertical="center" wrapText="1"/>
    </xf>
    <xf numFmtId="0" fontId="24" fillId="0" borderId="4" xfId="0" applyFont="1" applyBorder="1" applyAlignment="1">
      <alignment horizontal="center" vertical="center" wrapText="1"/>
    </xf>
    <xf numFmtId="0" fontId="0" fillId="0" borderId="4" xfId="0" applyBorder="1" applyAlignment="1">
      <alignment horizontal="center" vertical="center"/>
    </xf>
    <xf numFmtId="0" fontId="3" fillId="6" borderId="27"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3" fillId="6" borderId="36" xfId="0" applyFont="1" applyFill="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wrapText="1"/>
      <protection locked="0"/>
    </xf>
    <xf numFmtId="170" fontId="20" fillId="0" borderId="3" xfId="0" applyNumberFormat="1" applyFont="1" applyFill="1" applyBorder="1" applyAlignment="1" applyProtection="1">
      <alignment horizontal="center" vertical="center" wrapText="1"/>
      <protection locked="0"/>
    </xf>
    <xf numFmtId="170" fontId="20" fillId="0" borderId="1" xfId="0" applyNumberFormat="1" applyFont="1" applyFill="1" applyBorder="1" applyAlignment="1" applyProtection="1">
      <alignment horizontal="center" vertical="center" wrapText="1"/>
      <protection locked="0"/>
    </xf>
    <xf numFmtId="170" fontId="20" fillId="0" borderId="4" xfId="0" applyNumberFormat="1" applyFont="1" applyFill="1" applyBorder="1" applyAlignment="1" applyProtection="1">
      <alignment horizontal="center" vertical="center" wrapText="1"/>
      <protection locked="0"/>
    </xf>
    <xf numFmtId="0" fontId="46" fillId="3" borderId="10" xfId="16" applyFont="1" applyFill="1" applyBorder="1" applyAlignment="1">
      <alignment horizontal="left" wrapText="1"/>
    </xf>
    <xf numFmtId="0" fontId="46" fillId="3" borderId="11" xfId="16" applyFont="1" applyFill="1" applyBorder="1" applyAlignment="1">
      <alignment horizontal="left" wrapText="1"/>
    </xf>
    <xf numFmtId="0" fontId="40" fillId="11" borderId="1" xfId="0" applyFont="1" applyFill="1" applyBorder="1" applyAlignment="1">
      <alignment horizontal="left" vertical="center" wrapText="1"/>
    </xf>
    <xf numFmtId="0" fontId="40" fillId="0" borderId="4" xfId="0" applyFont="1" applyBorder="1"/>
    <xf numFmtId="0" fontId="45" fillId="0" borderId="4" xfId="0" applyFont="1" applyBorder="1" applyAlignment="1" applyProtection="1">
      <alignment horizontal="center" vertical="center" wrapText="1"/>
      <protection locked="0"/>
    </xf>
    <xf numFmtId="0" fontId="46" fillId="3" borderId="12" xfId="16" applyFont="1" applyFill="1" applyBorder="1" applyAlignment="1">
      <alignment horizontal="left" wrapText="1"/>
    </xf>
    <xf numFmtId="0" fontId="19" fillId="0" borderId="3"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 fillId="5" borderId="14" xfId="16" applyFont="1" applyFill="1" applyBorder="1" applyAlignment="1">
      <alignment horizontal="center" vertical="center" wrapText="1"/>
    </xf>
    <xf numFmtId="0" fontId="2" fillId="5" borderId="38" xfId="16" applyFont="1" applyFill="1" applyBorder="1" applyAlignment="1">
      <alignment horizontal="center" vertical="center" wrapText="1"/>
    </xf>
    <xf numFmtId="0" fontId="40" fillId="0" borderId="2"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3" xfId="0" applyFont="1" applyBorder="1" applyAlignment="1">
      <alignment horizontal="center" vertical="center"/>
    </xf>
    <xf numFmtId="0" fontId="40" fillId="0" borderId="1" xfId="0" applyFont="1" applyBorder="1" applyAlignment="1">
      <alignment horizontal="center" vertical="center"/>
    </xf>
    <xf numFmtId="0" fontId="46" fillId="3" borderId="2" xfId="16" applyFont="1" applyFill="1" applyBorder="1" applyAlignment="1">
      <alignment horizontal="left" wrapText="1"/>
    </xf>
    <xf numFmtId="0" fontId="46" fillId="3" borderId="5" xfId="16" applyFont="1" applyFill="1" applyBorder="1" applyAlignment="1">
      <alignment horizontal="left" wrapText="1"/>
    </xf>
    <xf numFmtId="0" fontId="19" fillId="0" borderId="16" xfId="16" applyFont="1" applyFill="1" applyBorder="1" applyAlignment="1">
      <alignment horizontal="center" vertical="center" wrapText="1"/>
    </xf>
    <xf numFmtId="0" fontId="19" fillId="0" borderId="17" xfId="16" applyFont="1" applyFill="1" applyBorder="1" applyAlignment="1">
      <alignment horizontal="center" vertical="center" wrapText="1"/>
    </xf>
    <xf numFmtId="0" fontId="19" fillId="0" borderId="18" xfId="16" applyFont="1" applyFill="1" applyBorder="1" applyAlignment="1">
      <alignment horizontal="center" vertical="center" wrapText="1"/>
    </xf>
    <xf numFmtId="0" fontId="19" fillId="0" borderId="3" xfId="16" applyFont="1" applyFill="1" applyBorder="1" applyAlignment="1">
      <alignment horizontal="center" vertical="center" wrapText="1"/>
    </xf>
    <xf numFmtId="0" fontId="19" fillId="0" borderId="1" xfId="16" applyFont="1" applyFill="1" applyBorder="1" applyAlignment="1">
      <alignment horizontal="center" vertical="center" wrapText="1"/>
    </xf>
    <xf numFmtId="0" fontId="19" fillId="0" borderId="4" xfId="16" applyFont="1" applyFill="1" applyBorder="1" applyAlignment="1">
      <alignment horizontal="center" vertical="center" wrapText="1"/>
    </xf>
    <xf numFmtId="0" fontId="40" fillId="11" borderId="3"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46" fillId="3" borderId="51" xfId="16" applyFont="1" applyFill="1" applyBorder="1" applyAlignment="1">
      <alignment horizontal="left" wrapText="1"/>
    </xf>
    <xf numFmtId="0" fontId="46" fillId="3" borderId="50" xfId="16" applyFont="1" applyFill="1" applyBorder="1" applyAlignment="1">
      <alignment horizontal="left" wrapText="1"/>
    </xf>
    <xf numFmtId="0" fontId="40" fillId="0" borderId="1" xfId="0" applyFont="1" applyFill="1" applyBorder="1" applyAlignment="1">
      <alignment horizontal="left" vertical="center" wrapText="1"/>
    </xf>
    <xf numFmtId="0" fontId="19" fillId="0" borderId="16"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40" fillId="0" borderId="3" xfId="0" applyFont="1" applyFill="1" applyBorder="1" applyAlignment="1">
      <alignment vertical="center" wrapText="1"/>
    </xf>
    <xf numFmtId="0" fontId="40" fillId="0" borderId="4" xfId="0" applyFont="1" applyFill="1" applyBorder="1" applyAlignment="1">
      <alignment vertical="center" wrapText="1"/>
    </xf>
    <xf numFmtId="0" fontId="40" fillId="0" borderId="3" xfId="0" applyFont="1" applyFill="1" applyBorder="1" applyAlignment="1">
      <alignment horizontal="center" vertical="center"/>
    </xf>
    <xf numFmtId="0" fontId="40" fillId="0" borderId="4" xfId="0" applyFont="1" applyFill="1" applyBorder="1" applyAlignment="1">
      <alignment horizontal="center" vertical="center"/>
    </xf>
    <xf numFmtId="0" fontId="19" fillId="0" borderId="48"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40" fillId="0" borderId="3" xfId="0" applyFont="1" applyFill="1" applyBorder="1" applyAlignment="1">
      <alignment horizontal="left" vertical="center" wrapText="1"/>
    </xf>
    <xf numFmtId="0" fontId="40" fillId="0" borderId="1" xfId="0" applyFont="1" applyFill="1" applyBorder="1" applyAlignment="1">
      <alignment horizontal="center" vertical="center"/>
    </xf>
    <xf numFmtId="170" fontId="17" fillId="10" borderId="37" xfId="0" applyNumberFormat="1" applyFont="1" applyFill="1" applyBorder="1" applyAlignment="1">
      <alignment horizontal="center" vertical="center"/>
    </xf>
    <xf numFmtId="170" fontId="17" fillId="10" borderId="23" xfId="0" applyNumberFormat="1" applyFont="1" applyFill="1" applyBorder="1" applyAlignment="1">
      <alignment horizontal="center" vertical="center"/>
    </xf>
    <xf numFmtId="170" fontId="17" fillId="10" borderId="38" xfId="0" applyNumberFormat="1" applyFont="1" applyFill="1" applyBorder="1" applyAlignment="1">
      <alignment horizontal="center" vertical="center"/>
    </xf>
    <xf numFmtId="0" fontId="55" fillId="0" borderId="50" xfId="16" applyFont="1" applyFill="1" applyBorder="1" applyAlignment="1">
      <alignment horizontal="left" vertical="center" wrapText="1"/>
    </xf>
    <xf numFmtId="170" fontId="2" fillId="0" borderId="3" xfId="28" applyNumberFormat="1" applyFont="1" applyBorder="1" applyAlignment="1">
      <alignment horizontal="center" vertical="center"/>
    </xf>
    <xf numFmtId="170" fontId="2" fillId="0" borderId="4" xfId="28" applyNumberFormat="1" applyFont="1" applyBorder="1" applyAlignment="1">
      <alignment horizontal="center" vertical="center"/>
    </xf>
    <xf numFmtId="0" fontId="46" fillId="3" borderId="21" xfId="16" applyFont="1" applyFill="1" applyBorder="1" applyAlignment="1">
      <alignment horizontal="left" wrapText="1"/>
    </xf>
    <xf numFmtId="0" fontId="46" fillId="3" borderId="39" xfId="16" applyFont="1" applyFill="1" applyBorder="1" applyAlignment="1">
      <alignment horizontal="left" wrapText="1"/>
    </xf>
    <xf numFmtId="0" fontId="40" fillId="0" borderId="4" xfId="0" applyFont="1" applyFill="1" applyBorder="1" applyAlignment="1">
      <alignment horizontal="left" vertical="center" wrapText="1"/>
    </xf>
    <xf numFmtId="0" fontId="4" fillId="0" borderId="16" xfId="16" applyFont="1" applyBorder="1"/>
    <xf numFmtId="0" fontId="4" fillId="0" borderId="3" xfId="16" applyFont="1" applyBorder="1"/>
    <xf numFmtId="0" fontId="4" fillId="0" borderId="17" xfId="16" applyFont="1" applyBorder="1"/>
    <xf numFmtId="0" fontId="4" fillId="0" borderId="1" xfId="16" applyFont="1" applyBorder="1"/>
    <xf numFmtId="0" fontId="4" fillId="0" borderId="18" xfId="16" applyFont="1" applyBorder="1"/>
    <xf numFmtId="0" fontId="4" fillId="0" borderId="4" xfId="16" applyFont="1" applyBorder="1"/>
    <xf numFmtId="0" fontId="22" fillId="5" borderId="3"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44" fillId="5" borderId="11"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44" fillId="5" borderId="12" xfId="0" applyFont="1" applyFill="1" applyBorder="1" applyAlignment="1">
      <alignment horizontal="center" vertical="center" wrapText="1"/>
    </xf>
    <xf numFmtId="0" fontId="2" fillId="5" borderId="24"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17" fillId="5" borderId="15" xfId="16" applyFont="1" applyFill="1" applyBorder="1" applyAlignment="1">
      <alignment horizontal="center" vertical="center" wrapText="1"/>
    </xf>
    <xf numFmtId="0" fontId="17" fillId="5" borderId="41" xfId="16"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9"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2" fillId="5" borderId="23" xfId="16" applyFont="1" applyFill="1" applyBorder="1" applyAlignment="1">
      <alignment horizontal="center" vertical="center" wrapText="1"/>
    </xf>
    <xf numFmtId="0" fontId="46" fillId="3" borderId="1" xfId="16" applyFont="1" applyFill="1" applyBorder="1" applyAlignment="1">
      <alignment horizontal="left" wrapText="1"/>
    </xf>
    <xf numFmtId="0" fontId="46" fillId="3" borderId="2" xfId="16" applyFont="1" applyFill="1" applyBorder="1" applyAlignment="1">
      <alignment horizontal="left"/>
    </xf>
    <xf numFmtId="0" fontId="46" fillId="0" borderId="21" xfId="16" applyFont="1" applyFill="1" applyBorder="1" applyAlignment="1">
      <alignment horizontal="left" vertical="center" wrapText="1"/>
    </xf>
    <xf numFmtId="0" fontId="46" fillId="0" borderId="46" xfId="16" applyFont="1" applyFill="1" applyBorder="1" applyAlignment="1">
      <alignment horizontal="left" vertical="center" wrapText="1"/>
    </xf>
    <xf numFmtId="0" fontId="46" fillId="3" borderId="49" xfId="16" applyFont="1" applyFill="1" applyBorder="1" applyAlignment="1">
      <alignment horizontal="left" vertical="center" wrapText="1"/>
    </xf>
    <xf numFmtId="0" fontId="46" fillId="3" borderId="54" xfId="16" applyFont="1" applyFill="1" applyBorder="1" applyAlignment="1">
      <alignment horizontal="left" vertical="center" wrapText="1"/>
    </xf>
    <xf numFmtId="0" fontId="19" fillId="0" borderId="48" xfId="16" applyFont="1" applyFill="1" applyBorder="1" applyAlignment="1">
      <alignment horizontal="center" vertical="center" wrapText="1"/>
    </xf>
    <xf numFmtId="0" fontId="19" fillId="0" borderId="13" xfId="16" applyFont="1" applyFill="1" applyBorder="1" applyAlignment="1">
      <alignment horizontal="center" vertical="center" wrapText="1"/>
    </xf>
    <xf numFmtId="0" fontId="19" fillId="0" borderId="14" xfId="16" applyFont="1" applyFill="1" applyBorder="1" applyAlignment="1">
      <alignment horizontal="center" vertical="center" wrapText="1"/>
    </xf>
    <xf numFmtId="0" fontId="19" fillId="0" borderId="37" xfId="16" applyFont="1" applyFill="1" applyBorder="1" applyAlignment="1">
      <alignment horizontal="center" vertical="center" wrapText="1"/>
    </xf>
    <xf numFmtId="0" fontId="19" fillId="0" borderId="23" xfId="16" applyFont="1" applyFill="1" applyBorder="1" applyAlignment="1">
      <alignment horizontal="center" vertical="center" wrapText="1"/>
    </xf>
    <xf numFmtId="0" fontId="19" fillId="0" borderId="38" xfId="16" applyFont="1" applyFill="1" applyBorder="1" applyAlignment="1">
      <alignment horizontal="center" vertical="center" wrapText="1"/>
    </xf>
    <xf numFmtId="0" fontId="40" fillId="3" borderId="37" xfId="0" applyFont="1" applyFill="1" applyBorder="1" applyAlignment="1">
      <alignment horizontal="justify" vertical="center" wrapText="1"/>
    </xf>
    <xf numFmtId="0" fontId="40" fillId="3" borderId="5" xfId="0" applyFont="1" applyFill="1" applyBorder="1" applyAlignment="1">
      <alignment horizontal="justify" vertical="center" wrapText="1"/>
    </xf>
    <xf numFmtId="0" fontId="45" fillId="0" borderId="37" xfId="0" applyFont="1" applyFill="1" applyBorder="1" applyAlignment="1" applyProtection="1">
      <alignment horizontal="center" vertical="center" wrapText="1"/>
      <protection locked="0"/>
    </xf>
    <xf numFmtId="0" fontId="45" fillId="0" borderId="5" xfId="0" applyFont="1" applyFill="1" applyBorder="1" applyAlignment="1" applyProtection="1">
      <alignment horizontal="center" vertical="center" wrapText="1"/>
      <protection locked="0"/>
    </xf>
    <xf numFmtId="0" fontId="19" fillId="0" borderId="3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38" xfId="0" applyFont="1" applyFill="1" applyBorder="1" applyAlignment="1">
      <alignment horizontal="center" vertical="center" wrapText="1"/>
    </xf>
    <xf numFmtId="170" fontId="43" fillId="10" borderId="3" xfId="0" applyNumberFormat="1" applyFont="1" applyFill="1" applyBorder="1" applyAlignment="1">
      <alignment horizontal="center" vertical="center"/>
    </xf>
    <xf numFmtId="0" fontId="43" fillId="10" borderId="1" xfId="0" applyFont="1" applyFill="1" applyBorder="1" applyAlignment="1">
      <alignment horizontal="center" vertical="center"/>
    </xf>
    <xf numFmtId="0" fontId="43" fillId="10" borderId="4" xfId="0" applyFont="1" applyFill="1" applyBorder="1" applyAlignment="1">
      <alignment horizontal="center" vertical="center"/>
    </xf>
    <xf numFmtId="0" fontId="46" fillId="0" borderId="2" xfId="16" applyFont="1" applyFill="1" applyBorder="1" applyAlignment="1">
      <alignment horizontal="left" vertical="top" wrapText="1"/>
    </xf>
    <xf numFmtId="0" fontId="46" fillId="0" borderId="5" xfId="16" applyFont="1" applyFill="1" applyBorder="1" applyAlignment="1">
      <alignment horizontal="left" vertical="top" wrapText="1"/>
    </xf>
    <xf numFmtId="170" fontId="20" fillId="0" borderId="37" xfId="0" applyNumberFormat="1" applyFont="1" applyFill="1" applyBorder="1" applyAlignment="1" applyProtection="1">
      <alignment horizontal="center" vertical="center" wrapText="1"/>
      <protection locked="0"/>
    </xf>
    <xf numFmtId="170" fontId="20" fillId="0" borderId="23" xfId="0" applyNumberFormat="1" applyFont="1" applyFill="1" applyBorder="1" applyAlignment="1" applyProtection="1">
      <alignment horizontal="center" vertical="center" wrapText="1"/>
      <protection locked="0"/>
    </xf>
    <xf numFmtId="170" fontId="20" fillId="0" borderId="38" xfId="0" applyNumberFormat="1" applyFont="1" applyFill="1" applyBorder="1" applyAlignment="1" applyProtection="1">
      <alignment horizontal="center" vertical="center" wrapText="1"/>
      <protection locked="0"/>
    </xf>
    <xf numFmtId="0" fontId="45" fillId="0" borderId="1" xfId="0" applyFont="1" applyFill="1" applyBorder="1" applyAlignment="1" applyProtection="1">
      <alignment horizontal="center" vertical="center" wrapText="1"/>
      <protection locked="0"/>
    </xf>
    <xf numFmtId="0" fontId="45" fillId="0" borderId="4" xfId="0" applyFont="1" applyFill="1" applyBorder="1" applyAlignment="1" applyProtection="1">
      <alignment horizontal="center" vertical="center" wrapText="1"/>
      <protection locked="0"/>
    </xf>
    <xf numFmtId="0" fontId="51" fillId="3" borderId="50" xfId="16" applyFont="1" applyFill="1" applyBorder="1" applyAlignment="1">
      <alignment horizontal="left" vertical="center" wrapText="1"/>
    </xf>
    <xf numFmtId="0" fontId="51" fillId="3" borderId="10" xfId="16" applyFont="1" applyFill="1" applyBorder="1" applyAlignment="1">
      <alignment horizontal="left" wrapText="1"/>
    </xf>
    <xf numFmtId="0" fontId="51" fillId="3" borderId="11" xfId="16" applyFont="1" applyFill="1" applyBorder="1" applyAlignment="1">
      <alignment horizontal="left" wrapText="1"/>
    </xf>
    <xf numFmtId="0" fontId="40" fillId="3" borderId="2" xfId="0" applyFont="1" applyFill="1" applyBorder="1" applyAlignment="1">
      <alignment horizontal="justify" vertical="center" wrapText="1"/>
    </xf>
    <xf numFmtId="0" fontId="40" fillId="3" borderId="38" xfId="0" applyFont="1" applyFill="1" applyBorder="1" applyAlignment="1">
      <alignment horizontal="justify" vertical="center" wrapText="1"/>
    </xf>
    <xf numFmtId="0" fontId="45" fillId="0" borderId="2" xfId="0" applyFont="1" applyFill="1" applyBorder="1" applyAlignment="1" applyProtection="1">
      <alignment horizontal="center" vertical="center" wrapText="1"/>
      <protection locked="0"/>
    </xf>
    <xf numFmtId="0" fontId="45" fillId="0" borderId="38" xfId="0" applyFont="1" applyFill="1" applyBorder="1" applyAlignment="1" applyProtection="1">
      <alignment horizontal="center" vertical="center" wrapText="1"/>
      <protection locked="0"/>
    </xf>
    <xf numFmtId="0" fontId="40" fillId="3" borderId="2" xfId="16" applyFont="1" applyFill="1" applyBorder="1" applyAlignment="1">
      <alignment horizontal="left" vertical="center" wrapText="1"/>
    </xf>
    <xf numFmtId="0" fontId="40" fillId="3" borderId="38" xfId="16" applyFont="1" applyFill="1" applyBorder="1" applyAlignment="1">
      <alignment horizontal="left" vertical="center" wrapText="1"/>
    </xf>
    <xf numFmtId="0" fontId="19" fillId="0" borderId="3" xfId="16" applyFont="1" applyFill="1" applyBorder="1" applyAlignment="1">
      <alignment horizontal="justify" vertical="center" wrapText="1"/>
    </xf>
    <xf numFmtId="0" fontId="19" fillId="0" borderId="1" xfId="16" applyFont="1" applyFill="1" applyBorder="1" applyAlignment="1">
      <alignment horizontal="justify" vertical="center" wrapText="1"/>
    </xf>
    <xf numFmtId="0" fontId="19" fillId="0" borderId="4" xfId="16" applyFont="1" applyFill="1" applyBorder="1" applyAlignment="1">
      <alignment horizontal="justify" vertical="center" wrapText="1"/>
    </xf>
    <xf numFmtId="0" fontId="45" fillId="0" borderId="3" xfId="0" applyFont="1" applyFill="1" applyBorder="1" applyAlignment="1" applyProtection="1">
      <alignment horizontal="center" vertical="center" wrapText="1"/>
      <protection locked="0"/>
    </xf>
    <xf numFmtId="0" fontId="40" fillId="3" borderId="3" xfId="16" applyFont="1" applyFill="1" applyBorder="1" applyAlignment="1">
      <alignment horizontal="justify" vertical="center" wrapText="1"/>
    </xf>
    <xf numFmtId="0" fontId="40" fillId="3" borderId="1" xfId="16" applyFont="1" applyFill="1" applyBorder="1" applyAlignment="1">
      <alignment horizontal="justify" vertical="center" wrapText="1"/>
    </xf>
    <xf numFmtId="170" fontId="2" fillId="10" borderId="3" xfId="0" applyNumberFormat="1" applyFont="1" applyFill="1" applyBorder="1" applyAlignment="1">
      <alignment horizontal="center" vertical="center"/>
    </xf>
    <xf numFmtId="0" fontId="2" fillId="10" borderId="1" xfId="0" applyFont="1" applyFill="1" applyBorder="1" applyAlignment="1">
      <alignment horizontal="center" vertical="center"/>
    </xf>
    <xf numFmtId="0" fontId="2" fillId="10" borderId="4" xfId="0" applyFont="1" applyFill="1" applyBorder="1" applyAlignment="1">
      <alignment horizontal="center" vertical="center"/>
    </xf>
    <xf numFmtId="0" fontId="40" fillId="0" borderId="4" xfId="0" applyFont="1" applyBorder="1" applyAlignment="1">
      <alignment horizontal="center" vertical="center"/>
    </xf>
    <xf numFmtId="0" fontId="46" fillId="3" borderId="22" xfId="16" applyFont="1" applyFill="1" applyBorder="1" applyAlignment="1">
      <alignment horizontal="left" wrapText="1"/>
    </xf>
    <xf numFmtId="0" fontId="46" fillId="3" borderId="19" xfId="16" applyFont="1" applyFill="1" applyBorder="1" applyAlignment="1">
      <alignment horizontal="left" wrapText="1"/>
    </xf>
    <xf numFmtId="0" fontId="46" fillId="3" borderId="49" xfId="16" applyFont="1" applyFill="1" applyBorder="1" applyAlignment="1">
      <alignment horizontal="left" wrapText="1"/>
    </xf>
    <xf numFmtId="0" fontId="46" fillId="3" borderId="52" xfId="16" applyFont="1" applyFill="1" applyBorder="1" applyAlignment="1">
      <alignment horizontal="left" vertical="center" wrapText="1"/>
    </xf>
    <xf numFmtId="0" fontId="46" fillId="3" borderId="53" xfId="16" applyFont="1" applyFill="1" applyBorder="1" applyAlignment="1">
      <alignment horizontal="left" vertical="center" wrapText="1"/>
    </xf>
    <xf numFmtId="0" fontId="36" fillId="3" borderId="1" xfId="0" applyFont="1" applyFill="1" applyBorder="1" applyAlignment="1">
      <alignment horizontal="left" vertical="center" wrapText="1"/>
    </xf>
  </cellXfs>
  <cellStyles count="31">
    <cellStyle name="Coma 2" xfId="1"/>
    <cellStyle name="Coma 2 2" xfId="2"/>
    <cellStyle name="Hipervínculo" xfId="24" builtinId="8" hidden="1"/>
    <cellStyle name="Hipervínculo" xfId="26" builtinId="8" hidden="1"/>
    <cellStyle name="Hipervínculo visitado" xfId="25" builtinId="9" hidden="1"/>
    <cellStyle name="Hipervínculo visitado" xfId="27" builtinId="9" hidden="1"/>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2 3 2" xfId="29"/>
    <cellStyle name="Moneda 3" xfId="14"/>
    <cellStyle name="Moneda 3 2" xfId="30"/>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8"/>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225879</xdr:colOff>
      <xdr:row>1</xdr:row>
      <xdr:rowOff>272143</xdr:rowOff>
    </xdr:from>
    <xdr:to>
      <xdr:col>3</xdr:col>
      <xdr:colOff>1211036</xdr:colOff>
      <xdr:row>4</xdr:row>
      <xdr:rowOff>272142</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2198915" y="544286"/>
          <a:ext cx="1570264" cy="121103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1257299</xdr:colOff>
      <xdr:row>0</xdr:row>
      <xdr:rowOff>95250</xdr:rowOff>
    </xdr:from>
    <xdr:to>
      <xdr:col>1</xdr:col>
      <xdr:colOff>437514</xdr:colOff>
      <xdr:row>3</xdr:row>
      <xdr:rowOff>95250</xdr:rowOff>
    </xdr:to>
    <xdr:pic>
      <xdr:nvPicPr>
        <xdr:cNvPr id="2" name="Imagen 2">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1999" y="95250"/>
          <a:ext cx="437515" cy="571500"/>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Documents/SEGPLAN/2017/II%20TRIMESTRE/PLANES%20DE%20ACCI&#211;N/978-PROYECTO-MARZO-CORRECIONES%20180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2017"/>
      <sheetName val="TERRITORIALIZACIÓN 2017"/>
      <sheetName val="Hoja1"/>
      <sheetName val="Hoja2"/>
      <sheetName val="Hoja3"/>
    </sheetNames>
    <sheetDataSet>
      <sheetData sheetId="0"/>
      <sheetData sheetId="1">
        <row r="3">
          <cell r="O3" t="str">
            <v>DIRECCIÓN DE CONTROL AMBIENTAL</v>
          </cell>
        </row>
        <row r="4">
          <cell r="O4" t="str">
            <v xml:space="preserve"> 978 - Centro de Información y Modelamiento Ambiental</v>
          </cell>
        </row>
        <row r="33">
          <cell r="A33" t="str">
            <v>Línea de acción (1.4): Red de Calidad Hídrica de Bogotá RCHB, la Red de monitoreo aguas subterráneas y la captura de la información secundaria compilada mediante el reporte de terceros interesados o usuarios del recurso Hídrico.</v>
          </cell>
          <cell r="C33" t="str">
            <v>Generar 4 informes anualizados de la calidad hídrica superficial.</v>
          </cell>
        </row>
        <row r="45">
          <cell r="A45" t="str">
            <v>Línea de acción (2) Centro de Información y Modelamiento Ambiental.</v>
          </cell>
          <cell r="C45" t="str">
            <v>Establecer 1 centro de información y modelamiento.</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tabSelected="1" view="pageBreakPreview" zoomScale="70" zoomScaleNormal="60" zoomScaleSheetLayoutView="70" zoomScalePageLayoutView="60" workbookViewId="0">
      <selection activeCell="AH14" sqref="AH14"/>
    </sheetView>
  </sheetViews>
  <sheetFormatPr baseColWidth="10" defaultColWidth="10.85546875" defaultRowHeight="15"/>
  <cols>
    <col min="1" max="1" width="8.85546875" style="1" customWidth="1"/>
    <col min="2" max="2" width="20.85546875" style="1" customWidth="1"/>
    <col min="3" max="3" width="8.85546875" style="1" customWidth="1"/>
    <col min="4" max="4" width="27.140625" style="1" customWidth="1"/>
    <col min="5" max="5" width="7.42578125" style="1" customWidth="1"/>
    <col min="6" max="6" width="19.85546875" style="1" customWidth="1"/>
    <col min="7" max="7" width="12.85546875" style="1" customWidth="1"/>
    <col min="8" max="8" width="18.5703125" style="1" customWidth="1"/>
    <col min="9" max="9" width="13.42578125" style="15" bestFit="1" customWidth="1"/>
    <col min="10" max="10" width="12.7109375" style="19" customWidth="1"/>
    <col min="11" max="11" width="12.7109375" style="15" customWidth="1"/>
    <col min="12" max="12" width="19" style="20" bestFit="1" customWidth="1"/>
    <col min="13" max="13" width="12.7109375" style="19" customWidth="1"/>
    <col min="14" max="14" width="14.28515625" style="19" customWidth="1"/>
    <col min="15" max="16" width="12.7109375" style="19" customWidth="1"/>
    <col min="17" max="17" width="12.7109375" style="20" customWidth="1"/>
    <col min="18" max="18" width="9" style="19" bestFit="1" customWidth="1"/>
    <col min="19" max="21" width="12.7109375" style="19" customWidth="1"/>
    <col min="22" max="22" width="12.7109375" style="20" customWidth="1"/>
    <col min="23" max="26" width="12.7109375" style="19" customWidth="1"/>
    <col min="27" max="32" width="12.7109375" style="20" customWidth="1"/>
    <col min="33" max="33" width="12.85546875" style="1" customWidth="1"/>
    <col min="34" max="34" width="16.42578125" style="1" customWidth="1"/>
    <col min="35" max="35" width="12.85546875" style="1" customWidth="1"/>
    <col min="36" max="36" width="14.28515625" style="1" customWidth="1"/>
    <col min="37" max="37" width="13.140625" style="1" customWidth="1"/>
    <col min="38" max="38" width="12.28515625" style="1" customWidth="1"/>
    <col min="39" max="39" width="49.42578125" style="1" customWidth="1"/>
    <col min="40" max="40" width="18.42578125" style="1" customWidth="1"/>
    <col min="41" max="41" width="21.42578125" style="1" customWidth="1"/>
    <col min="42" max="42" width="19.140625" style="1" customWidth="1"/>
    <col min="43" max="43" width="16.7109375" style="1" customWidth="1"/>
    <col min="44" max="44" width="10.85546875" style="1"/>
    <col min="45" max="45" width="56.42578125" style="1" customWidth="1"/>
    <col min="46" max="16384" width="10.85546875" style="1"/>
  </cols>
  <sheetData>
    <row r="1" spans="1:43" ht="21" customHeight="1" thickBot="1">
      <c r="A1" s="4"/>
      <c r="B1" s="4"/>
      <c r="C1" s="4"/>
      <c r="D1" s="4"/>
      <c r="E1" s="4"/>
      <c r="F1" s="4"/>
      <c r="G1" s="4"/>
      <c r="H1" s="4"/>
      <c r="I1" s="14"/>
      <c r="J1" s="14"/>
      <c r="K1" s="14"/>
      <c r="L1" s="14"/>
      <c r="M1" s="14"/>
      <c r="N1" s="14"/>
      <c r="O1" s="14"/>
      <c r="P1" s="14"/>
      <c r="Q1" s="14"/>
      <c r="R1" s="14"/>
      <c r="S1" s="14"/>
      <c r="T1" s="14"/>
      <c r="U1" s="14"/>
      <c r="V1" s="14"/>
      <c r="W1" s="14"/>
      <c r="X1" s="14"/>
      <c r="Y1" s="14"/>
      <c r="Z1" s="14"/>
      <c r="AA1" s="14"/>
      <c r="AB1" s="14"/>
      <c r="AC1" s="14"/>
      <c r="AD1" s="14"/>
      <c r="AE1" s="14"/>
      <c r="AF1" s="14"/>
      <c r="AG1" s="4"/>
      <c r="AH1" s="4"/>
      <c r="AI1" s="4"/>
      <c r="AJ1" s="4"/>
      <c r="AK1" s="4"/>
      <c r="AL1" s="4"/>
      <c r="AM1" s="4"/>
      <c r="AN1" s="4"/>
      <c r="AO1" s="4"/>
      <c r="AP1" s="4"/>
      <c r="AQ1" s="4"/>
    </row>
    <row r="2" spans="1:43" ht="38.25" customHeight="1">
      <c r="A2" s="354"/>
      <c r="B2" s="355"/>
      <c r="C2" s="355"/>
      <c r="D2" s="355"/>
      <c r="E2" s="355"/>
      <c r="F2" s="356"/>
      <c r="G2" s="361" t="s">
        <v>0</v>
      </c>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2"/>
    </row>
    <row r="3" spans="1:43" ht="28.5" customHeight="1">
      <c r="A3" s="357"/>
      <c r="B3" s="358"/>
      <c r="C3" s="358"/>
      <c r="D3" s="358"/>
      <c r="E3" s="358"/>
      <c r="F3" s="359"/>
      <c r="G3" s="338" t="s">
        <v>88</v>
      </c>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9"/>
    </row>
    <row r="4" spans="1:43" ht="27.75" customHeight="1">
      <c r="A4" s="357"/>
      <c r="B4" s="358"/>
      <c r="C4" s="358"/>
      <c r="D4" s="358"/>
      <c r="E4" s="358"/>
      <c r="F4" s="359"/>
      <c r="G4" s="338" t="s">
        <v>1</v>
      </c>
      <c r="H4" s="338"/>
      <c r="I4" s="338"/>
      <c r="J4" s="338"/>
      <c r="K4" s="338"/>
      <c r="L4" s="338"/>
      <c r="M4" s="338"/>
      <c r="N4" s="338"/>
      <c r="O4" s="338"/>
      <c r="P4" s="338" t="s">
        <v>205</v>
      </c>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9"/>
    </row>
    <row r="5" spans="1:43" ht="26.25" customHeight="1">
      <c r="A5" s="357"/>
      <c r="B5" s="358"/>
      <c r="C5" s="358"/>
      <c r="D5" s="358"/>
      <c r="E5" s="358"/>
      <c r="F5" s="359"/>
      <c r="G5" s="338" t="s">
        <v>3</v>
      </c>
      <c r="H5" s="338"/>
      <c r="I5" s="338"/>
      <c r="J5" s="338"/>
      <c r="K5" s="338"/>
      <c r="L5" s="338"/>
      <c r="M5" s="338"/>
      <c r="N5" s="338"/>
      <c r="O5" s="338"/>
      <c r="P5" s="338" t="s">
        <v>204</v>
      </c>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9"/>
    </row>
    <row r="6" spans="1:43" ht="15.75">
      <c r="A6" s="28"/>
      <c r="B6" s="29"/>
      <c r="C6" s="29"/>
      <c r="D6" s="29"/>
      <c r="E6" s="29"/>
      <c r="F6" s="29"/>
      <c r="G6" s="29"/>
      <c r="H6" s="29"/>
      <c r="I6" s="30"/>
      <c r="J6" s="30"/>
      <c r="K6" s="30"/>
      <c r="L6" s="30"/>
      <c r="M6" s="30"/>
      <c r="N6" s="30"/>
      <c r="O6" s="30"/>
      <c r="P6" s="30"/>
      <c r="Q6" s="30"/>
      <c r="R6" s="30"/>
      <c r="S6" s="30"/>
      <c r="T6" s="30"/>
      <c r="U6" s="30"/>
      <c r="V6" s="30"/>
      <c r="W6" s="30"/>
      <c r="X6" s="30"/>
      <c r="Y6" s="30"/>
      <c r="Z6" s="30"/>
      <c r="AA6" s="30"/>
      <c r="AB6" s="30"/>
      <c r="AC6" s="30"/>
      <c r="AD6" s="30"/>
      <c r="AE6" s="30"/>
      <c r="AF6" s="30"/>
      <c r="AG6" s="29"/>
      <c r="AH6" s="29"/>
      <c r="AI6" s="29"/>
      <c r="AJ6" s="29"/>
      <c r="AK6" s="29"/>
      <c r="AL6" s="29"/>
      <c r="AM6" s="29"/>
      <c r="AN6" s="29"/>
      <c r="AO6" s="29"/>
      <c r="AP6" s="29"/>
      <c r="AQ6" s="31"/>
    </row>
    <row r="7" spans="1:43" ht="30" customHeight="1">
      <c r="A7" s="365" t="s">
        <v>4</v>
      </c>
      <c r="B7" s="338"/>
      <c r="C7" s="338"/>
      <c r="D7" s="338"/>
      <c r="E7" s="338"/>
      <c r="F7" s="338"/>
      <c r="G7" s="338"/>
      <c r="H7" s="338"/>
      <c r="I7" s="338"/>
      <c r="J7" s="338"/>
      <c r="K7" s="338"/>
      <c r="L7" s="338"/>
      <c r="M7" s="338"/>
      <c r="N7" s="338"/>
      <c r="O7" s="338"/>
      <c r="P7" s="368" t="s">
        <v>211</v>
      </c>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70"/>
    </row>
    <row r="8" spans="1:43" ht="30" customHeight="1" thickBot="1">
      <c r="A8" s="366" t="s">
        <v>2</v>
      </c>
      <c r="B8" s="367"/>
      <c r="C8" s="367" t="s">
        <v>2</v>
      </c>
      <c r="D8" s="367"/>
      <c r="E8" s="367"/>
      <c r="F8" s="367"/>
      <c r="G8" s="367"/>
      <c r="H8" s="367"/>
      <c r="I8" s="367"/>
      <c r="J8" s="367"/>
      <c r="K8" s="367"/>
      <c r="L8" s="367"/>
      <c r="M8" s="367"/>
      <c r="N8" s="367"/>
      <c r="O8" s="367"/>
      <c r="P8" s="363" t="s">
        <v>212</v>
      </c>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4"/>
    </row>
    <row r="9" spans="1:43" ht="36" customHeight="1" thickBot="1">
      <c r="A9" s="25"/>
      <c r="B9" s="26"/>
      <c r="C9" s="26"/>
      <c r="D9" s="26"/>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9"/>
      <c r="AH9" s="29"/>
      <c r="AI9" s="29"/>
      <c r="AJ9" s="29"/>
      <c r="AK9" s="29"/>
      <c r="AL9" s="29"/>
      <c r="AM9" s="29"/>
      <c r="AN9" s="29"/>
      <c r="AO9" s="29"/>
      <c r="AP9" s="29"/>
      <c r="AQ9" s="31"/>
    </row>
    <row r="10" spans="1:43" s="2" customFormat="1" ht="70.5" customHeight="1">
      <c r="A10" s="360" t="s">
        <v>66</v>
      </c>
      <c r="B10" s="346"/>
      <c r="C10" s="346" t="s">
        <v>69</v>
      </c>
      <c r="D10" s="346"/>
      <c r="E10" s="346" t="s">
        <v>71</v>
      </c>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t="s">
        <v>79</v>
      </c>
      <c r="AL10" s="346" t="s">
        <v>80</v>
      </c>
      <c r="AM10" s="340" t="s">
        <v>81</v>
      </c>
      <c r="AN10" s="340" t="s">
        <v>82</v>
      </c>
      <c r="AO10" s="340" t="s">
        <v>83</v>
      </c>
      <c r="AP10" s="340" t="s">
        <v>84</v>
      </c>
      <c r="AQ10" s="343" t="s">
        <v>85</v>
      </c>
    </row>
    <row r="11" spans="1:43" s="3" customFormat="1" ht="45.75" customHeight="1">
      <c r="A11" s="334" t="s">
        <v>67</v>
      </c>
      <c r="B11" s="336" t="s">
        <v>68</v>
      </c>
      <c r="C11" s="336" t="s">
        <v>49</v>
      </c>
      <c r="D11" s="336" t="s">
        <v>70</v>
      </c>
      <c r="E11" s="336" t="s">
        <v>72</v>
      </c>
      <c r="F11" s="336" t="s">
        <v>73</v>
      </c>
      <c r="G11" s="336" t="s">
        <v>74</v>
      </c>
      <c r="H11" s="336" t="s">
        <v>75</v>
      </c>
      <c r="I11" s="336" t="s">
        <v>76</v>
      </c>
      <c r="J11" s="348" t="s">
        <v>77</v>
      </c>
      <c r="K11" s="349"/>
      <c r="L11" s="349"/>
      <c r="M11" s="349"/>
      <c r="N11" s="349"/>
      <c r="O11" s="349"/>
      <c r="P11" s="349"/>
      <c r="Q11" s="349"/>
      <c r="R11" s="349"/>
      <c r="S11" s="349"/>
      <c r="T11" s="349"/>
      <c r="U11" s="349"/>
      <c r="V11" s="349"/>
      <c r="W11" s="349"/>
      <c r="X11" s="349"/>
      <c r="Y11" s="349"/>
      <c r="Z11" s="349"/>
      <c r="AA11" s="349"/>
      <c r="AB11" s="349"/>
      <c r="AC11" s="349"/>
      <c r="AD11" s="349"/>
      <c r="AE11" s="349"/>
      <c r="AF11" s="350"/>
      <c r="AG11" s="347" t="s">
        <v>78</v>
      </c>
      <c r="AH11" s="347"/>
      <c r="AI11" s="347"/>
      <c r="AJ11" s="347"/>
      <c r="AK11" s="336"/>
      <c r="AL11" s="336"/>
      <c r="AM11" s="341"/>
      <c r="AN11" s="341"/>
      <c r="AO11" s="341"/>
      <c r="AP11" s="341"/>
      <c r="AQ11" s="344"/>
    </row>
    <row r="12" spans="1:43" s="3" customFormat="1" ht="51" customHeight="1">
      <c r="A12" s="334"/>
      <c r="B12" s="336"/>
      <c r="C12" s="336"/>
      <c r="D12" s="336"/>
      <c r="E12" s="336"/>
      <c r="F12" s="336"/>
      <c r="G12" s="336"/>
      <c r="H12" s="336"/>
      <c r="I12" s="336"/>
      <c r="J12" s="347">
        <v>2016</v>
      </c>
      <c r="K12" s="347"/>
      <c r="L12" s="347"/>
      <c r="M12" s="347">
        <v>2017</v>
      </c>
      <c r="N12" s="347"/>
      <c r="O12" s="347"/>
      <c r="P12" s="347"/>
      <c r="Q12" s="347"/>
      <c r="R12" s="347">
        <v>2018</v>
      </c>
      <c r="S12" s="347"/>
      <c r="T12" s="347"/>
      <c r="U12" s="347"/>
      <c r="V12" s="347"/>
      <c r="W12" s="347">
        <v>2019</v>
      </c>
      <c r="X12" s="347"/>
      <c r="Y12" s="347"/>
      <c r="Z12" s="347"/>
      <c r="AA12" s="347"/>
      <c r="AB12" s="347">
        <v>2020</v>
      </c>
      <c r="AC12" s="347"/>
      <c r="AD12" s="347"/>
      <c r="AE12" s="347"/>
      <c r="AF12" s="347"/>
      <c r="AG12" s="336" t="s">
        <v>5</v>
      </c>
      <c r="AH12" s="336" t="s">
        <v>6</v>
      </c>
      <c r="AI12" s="336" t="s">
        <v>7</v>
      </c>
      <c r="AJ12" s="336" t="s">
        <v>8</v>
      </c>
      <c r="AK12" s="336"/>
      <c r="AL12" s="336"/>
      <c r="AM12" s="341"/>
      <c r="AN12" s="341"/>
      <c r="AO12" s="341"/>
      <c r="AP12" s="341"/>
      <c r="AQ12" s="344"/>
    </row>
    <row r="13" spans="1:43" s="3" customFormat="1" ht="54" customHeight="1" thickBot="1">
      <c r="A13" s="335"/>
      <c r="B13" s="337"/>
      <c r="C13" s="337"/>
      <c r="D13" s="337"/>
      <c r="E13" s="337"/>
      <c r="F13" s="337"/>
      <c r="G13" s="337"/>
      <c r="H13" s="337"/>
      <c r="I13" s="337"/>
      <c r="J13" s="37" t="s">
        <v>7</v>
      </c>
      <c r="K13" s="37" t="s">
        <v>8</v>
      </c>
      <c r="L13" s="37" t="s">
        <v>33</v>
      </c>
      <c r="M13" s="37" t="s">
        <v>5</v>
      </c>
      <c r="N13" s="37" t="s">
        <v>6</v>
      </c>
      <c r="O13" s="37" t="s">
        <v>7</v>
      </c>
      <c r="P13" s="37" t="s">
        <v>8</v>
      </c>
      <c r="Q13" s="37" t="s">
        <v>33</v>
      </c>
      <c r="R13" s="37" t="s">
        <v>5</v>
      </c>
      <c r="S13" s="37" t="s">
        <v>6</v>
      </c>
      <c r="T13" s="37" t="s">
        <v>7</v>
      </c>
      <c r="U13" s="37" t="s">
        <v>8</v>
      </c>
      <c r="V13" s="37" t="s">
        <v>33</v>
      </c>
      <c r="W13" s="37" t="s">
        <v>5</v>
      </c>
      <c r="X13" s="37" t="s">
        <v>6</v>
      </c>
      <c r="Y13" s="37" t="s">
        <v>7</v>
      </c>
      <c r="Z13" s="37" t="s">
        <v>8</v>
      </c>
      <c r="AA13" s="37" t="s">
        <v>33</v>
      </c>
      <c r="AB13" s="38" t="s">
        <v>5</v>
      </c>
      <c r="AC13" s="38" t="s">
        <v>6</v>
      </c>
      <c r="AD13" s="38" t="s">
        <v>7</v>
      </c>
      <c r="AE13" s="38" t="s">
        <v>8</v>
      </c>
      <c r="AF13" s="38" t="s">
        <v>33</v>
      </c>
      <c r="AG13" s="337"/>
      <c r="AH13" s="337"/>
      <c r="AI13" s="337"/>
      <c r="AJ13" s="337"/>
      <c r="AK13" s="337"/>
      <c r="AL13" s="337"/>
      <c r="AM13" s="342"/>
      <c r="AN13" s="342"/>
      <c r="AO13" s="342"/>
      <c r="AP13" s="342"/>
      <c r="AQ13" s="345"/>
    </row>
    <row r="14" spans="1:43" s="3" customFormat="1" ht="167.25" customHeight="1" thickBot="1">
      <c r="A14" s="99">
        <v>1</v>
      </c>
      <c r="B14" s="100" t="s">
        <v>90</v>
      </c>
      <c r="C14" s="101">
        <v>1</v>
      </c>
      <c r="D14" s="102" t="s">
        <v>93</v>
      </c>
      <c r="E14" s="101" t="s">
        <v>194</v>
      </c>
      <c r="F14" s="100" t="s">
        <v>91</v>
      </c>
      <c r="G14" s="101" t="s">
        <v>92</v>
      </c>
      <c r="H14" s="155" t="s">
        <v>210</v>
      </c>
      <c r="I14" s="155">
        <v>1</v>
      </c>
      <c r="J14" s="155">
        <v>0.1</v>
      </c>
      <c r="K14" s="155">
        <v>0.1</v>
      </c>
      <c r="L14" s="155"/>
      <c r="M14" s="155">
        <v>0.4</v>
      </c>
      <c r="N14" s="155">
        <v>0.4</v>
      </c>
      <c r="O14" s="290"/>
      <c r="P14" s="291"/>
      <c r="Q14" s="290"/>
      <c r="R14" s="155">
        <v>0.7</v>
      </c>
      <c r="S14" s="290"/>
      <c r="T14" s="290"/>
      <c r="U14" s="291"/>
      <c r="V14" s="290"/>
      <c r="W14" s="155">
        <v>1</v>
      </c>
      <c r="X14" s="290"/>
      <c r="Y14" s="105"/>
      <c r="Z14" s="104"/>
      <c r="AA14" s="103"/>
      <c r="AB14" s="155"/>
      <c r="AC14" s="105"/>
      <c r="AD14" s="105"/>
      <c r="AE14" s="103"/>
      <c r="AF14" s="103"/>
      <c r="AG14" s="296">
        <v>0.1</v>
      </c>
      <c r="AH14" s="296">
        <v>0.2</v>
      </c>
      <c r="AI14" s="103"/>
      <c r="AJ14" s="286"/>
      <c r="AK14" s="287">
        <f>AH14/N14</f>
        <v>0.5</v>
      </c>
      <c r="AL14" s="287">
        <f>AJ14/I14</f>
        <v>0</v>
      </c>
      <c r="AM14" s="298" t="s">
        <v>280</v>
      </c>
      <c r="AN14" s="300" t="s">
        <v>282</v>
      </c>
      <c r="AO14" s="300" t="s">
        <v>282</v>
      </c>
      <c r="AP14" s="299" t="s">
        <v>281</v>
      </c>
      <c r="AQ14" s="301" t="s">
        <v>283</v>
      </c>
    </row>
    <row r="15" spans="1:43" s="3" customFormat="1" ht="167.25" customHeight="1" thickBot="1">
      <c r="A15" s="99">
        <v>193</v>
      </c>
      <c r="B15" s="100" t="s">
        <v>206</v>
      </c>
      <c r="C15" s="101">
        <v>441</v>
      </c>
      <c r="D15" s="102" t="s">
        <v>209</v>
      </c>
      <c r="E15" s="101">
        <v>463</v>
      </c>
      <c r="F15" s="100" t="s">
        <v>207</v>
      </c>
      <c r="G15" s="100" t="s">
        <v>208</v>
      </c>
      <c r="H15" s="155" t="s">
        <v>210</v>
      </c>
      <c r="I15" s="290">
        <v>1</v>
      </c>
      <c r="J15" s="292">
        <v>0.1</v>
      </c>
      <c r="K15" s="292">
        <v>0.1</v>
      </c>
      <c r="L15" s="155"/>
      <c r="M15" s="292">
        <v>0.4</v>
      </c>
      <c r="N15" s="156">
        <v>0.4</v>
      </c>
      <c r="O15" s="290"/>
      <c r="P15" s="291"/>
      <c r="Q15" s="290"/>
      <c r="R15" s="292">
        <v>0.7</v>
      </c>
      <c r="S15" s="290"/>
      <c r="T15" s="290"/>
      <c r="U15" s="291"/>
      <c r="V15" s="290"/>
      <c r="W15" s="292">
        <v>0.98</v>
      </c>
      <c r="X15" s="290"/>
      <c r="Y15" s="105"/>
      <c r="Z15" s="104"/>
      <c r="AA15" s="103"/>
      <c r="AB15" s="156"/>
      <c r="AC15" s="105"/>
      <c r="AD15" s="105"/>
      <c r="AE15" s="103"/>
      <c r="AF15" s="103"/>
      <c r="AG15" s="297">
        <v>0.1</v>
      </c>
      <c r="AH15" s="297">
        <v>0.2</v>
      </c>
      <c r="AI15" s="103"/>
      <c r="AJ15" s="288"/>
      <c r="AK15" s="287">
        <f>AH15/N15</f>
        <v>0.5</v>
      </c>
      <c r="AL15" s="287">
        <f>AJ15/I15</f>
        <v>0</v>
      </c>
      <c r="AM15" s="302" t="s">
        <v>284</v>
      </c>
      <c r="AN15" s="300" t="s">
        <v>282</v>
      </c>
      <c r="AO15" s="300" t="s">
        <v>282</v>
      </c>
      <c r="AP15" s="299" t="s">
        <v>281</v>
      </c>
      <c r="AQ15" s="301" t="s">
        <v>283</v>
      </c>
    </row>
    <row r="16" spans="1:43" s="3" customFormat="1" ht="167.25" customHeight="1" thickBot="1">
      <c r="A16" s="41">
        <v>2</v>
      </c>
      <c r="B16" s="42" t="s">
        <v>90</v>
      </c>
      <c r="C16" s="43">
        <v>2</v>
      </c>
      <c r="D16" s="284" t="s">
        <v>200</v>
      </c>
      <c r="E16" s="284" t="s">
        <v>199</v>
      </c>
      <c r="F16" s="284" t="s">
        <v>201</v>
      </c>
      <c r="G16" s="285" t="s">
        <v>202</v>
      </c>
      <c r="H16" s="285" t="s">
        <v>236</v>
      </c>
      <c r="I16" s="285">
        <v>2</v>
      </c>
      <c r="J16" s="285">
        <v>2</v>
      </c>
      <c r="K16" s="285">
        <v>2</v>
      </c>
      <c r="L16" s="293"/>
      <c r="M16" s="285">
        <v>2</v>
      </c>
      <c r="N16" s="294">
        <v>2</v>
      </c>
      <c r="O16" s="294"/>
      <c r="P16" s="295"/>
      <c r="Q16" s="294"/>
      <c r="R16" s="285">
        <v>2</v>
      </c>
      <c r="S16" s="294"/>
      <c r="T16" s="294"/>
      <c r="U16" s="295"/>
      <c r="V16" s="294"/>
      <c r="W16" s="285">
        <v>2</v>
      </c>
      <c r="X16" s="294"/>
      <c r="Y16" s="45"/>
      <c r="Z16" s="106"/>
      <c r="AA16" s="44"/>
      <c r="AB16" s="45"/>
      <c r="AC16" s="45"/>
      <c r="AD16" s="45"/>
      <c r="AE16" s="44"/>
      <c r="AF16" s="44" t="s">
        <v>104</v>
      </c>
      <c r="AG16" s="44">
        <v>2</v>
      </c>
      <c r="AH16" s="157">
        <v>2</v>
      </c>
      <c r="AI16" s="157"/>
      <c r="AJ16" s="158"/>
      <c r="AK16" s="287">
        <f>AH16/N16</f>
        <v>1</v>
      </c>
      <c r="AL16" s="289">
        <f>(2+2)/(2+2+2+2+2)</f>
        <v>0.4</v>
      </c>
      <c r="AM16" s="303" t="s">
        <v>285</v>
      </c>
      <c r="AN16" s="300" t="s">
        <v>282</v>
      </c>
      <c r="AO16" s="300" t="s">
        <v>282</v>
      </c>
      <c r="AP16" s="299" t="s">
        <v>281</v>
      </c>
      <c r="AQ16" s="301" t="s">
        <v>283</v>
      </c>
    </row>
    <row r="17" spans="1:43" ht="90.75" customHeight="1" thickBot="1">
      <c r="A17" s="22"/>
      <c r="B17" s="23"/>
      <c r="C17" s="351" t="s">
        <v>89</v>
      </c>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3"/>
    </row>
  </sheetData>
  <mergeCells count="42">
    <mergeCell ref="C17:AQ17"/>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 ref="AM10:AM13"/>
    <mergeCell ref="AG12:AG13"/>
    <mergeCell ref="AH12:AH13"/>
    <mergeCell ref="E10:AJ10"/>
    <mergeCell ref="AG11:AJ11"/>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B12:AF12"/>
    <mergeCell ref="J11:AF11"/>
    <mergeCell ref="A11:A13"/>
    <mergeCell ref="B11:B13"/>
    <mergeCell ref="C11:C13"/>
    <mergeCell ref="D11:D13"/>
    <mergeCell ref="E11:E13"/>
  </mergeCells>
  <phoneticPr fontId="9" type="noConversion"/>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6"/>
  <sheetViews>
    <sheetView view="pageBreakPreview" zoomScale="80" zoomScaleNormal="50" zoomScaleSheetLayoutView="80" zoomScalePageLayoutView="50" workbookViewId="0">
      <selection activeCell="AJ57" sqref="AJ57"/>
    </sheetView>
  </sheetViews>
  <sheetFormatPr baseColWidth="10" defaultColWidth="10.85546875" defaultRowHeight="15.75"/>
  <cols>
    <col min="1" max="1" width="26.42578125" style="1" customWidth="1"/>
    <col min="2" max="2" width="12.42578125" style="1" customWidth="1"/>
    <col min="3" max="3" width="25.140625" style="1" customWidth="1"/>
    <col min="4" max="4" width="17.85546875" style="7" customWidth="1"/>
    <col min="5" max="5" width="16.140625" style="7" hidden="1" customWidth="1"/>
    <col min="6" max="6" width="14.140625" style="7" hidden="1" customWidth="1"/>
    <col min="7" max="7" width="13.85546875" style="17" customWidth="1"/>
    <col min="8" max="8" width="16.28515625" style="49" customWidth="1"/>
    <col min="9" max="9" width="16.85546875" style="8" hidden="1" customWidth="1"/>
    <col min="10" max="10" width="15.28515625" style="8" hidden="1" customWidth="1"/>
    <col min="11" max="11" width="18.28515625" style="8" hidden="1" customWidth="1"/>
    <col min="12" max="12" width="19.42578125" style="8" customWidth="1"/>
    <col min="13" max="13" width="19.5703125" style="8" customWidth="1"/>
    <col min="14" max="14" width="13.42578125" style="8" customWidth="1"/>
    <col min="15" max="15" width="13.7109375" style="8" customWidth="1"/>
    <col min="16" max="16" width="18.28515625" style="8" customWidth="1"/>
    <col min="17" max="17" width="16.5703125" style="8" customWidth="1"/>
    <col min="18" max="18" width="13.140625" style="8" customWidth="1"/>
    <col min="19" max="19" width="14" style="8" customWidth="1"/>
    <col min="20" max="20" width="13.42578125" style="8" customWidth="1"/>
    <col min="21" max="21" width="18.28515625" style="8" customWidth="1"/>
    <col min="22" max="22" width="15.85546875" style="8" customWidth="1"/>
    <col min="23" max="25" width="16.28515625" style="8" customWidth="1"/>
    <col min="26" max="26" width="18.28515625" style="8" customWidth="1"/>
    <col min="27" max="30" width="16.28515625" style="8" customWidth="1"/>
    <col min="31" max="31" width="18.28515625" style="8" customWidth="1"/>
    <col min="32" max="32" width="20.42578125" style="1" customWidth="1"/>
    <col min="33" max="33" width="16.7109375" style="1" customWidth="1"/>
    <col min="34" max="34" width="12.7109375" style="15" customWidth="1"/>
    <col min="35" max="35" width="15.5703125" style="15" customWidth="1"/>
    <col min="36" max="36" width="11.28515625" style="1" customWidth="1"/>
    <col min="37" max="37" width="9.7109375" style="1" customWidth="1"/>
    <col min="38" max="38" width="28.7109375" style="1" customWidth="1"/>
    <col min="39" max="39" width="13.7109375" style="1" customWidth="1"/>
    <col min="40" max="40" width="12.85546875" style="1" customWidth="1"/>
    <col min="41" max="41" width="11.28515625" style="1" customWidth="1"/>
    <col min="42" max="42" width="12.85546875" style="1" customWidth="1"/>
    <col min="43" max="16384" width="10.85546875" style="1"/>
  </cols>
  <sheetData>
    <row r="1" spans="1:42" ht="38.25" customHeight="1">
      <c r="A1" s="420"/>
      <c r="B1" s="421"/>
      <c r="C1" s="421"/>
      <c r="D1" s="421"/>
      <c r="E1" s="421"/>
      <c r="F1" s="432" t="s">
        <v>0</v>
      </c>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4"/>
    </row>
    <row r="2" spans="1:42" ht="30.75" customHeight="1">
      <c r="A2" s="422"/>
      <c r="B2" s="423"/>
      <c r="C2" s="423"/>
      <c r="D2" s="423"/>
      <c r="E2" s="423"/>
      <c r="F2" s="426" t="s">
        <v>87</v>
      </c>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8"/>
    </row>
    <row r="3" spans="1:42" ht="27.75" customHeight="1">
      <c r="A3" s="422"/>
      <c r="B3" s="423"/>
      <c r="C3" s="423"/>
      <c r="D3" s="423"/>
      <c r="E3" s="423"/>
      <c r="F3" s="338" t="s">
        <v>1</v>
      </c>
      <c r="G3" s="338"/>
      <c r="H3" s="338"/>
      <c r="I3" s="338"/>
      <c r="J3" s="338"/>
      <c r="K3" s="338"/>
      <c r="L3" s="338"/>
      <c r="M3" s="338"/>
      <c r="N3" s="338"/>
      <c r="O3" s="426" t="str">
        <f>GESTIÓN!P4</f>
        <v>DIRECCIÓN DE CONTROL AMBIENTAL</v>
      </c>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8"/>
    </row>
    <row r="4" spans="1:42" ht="26.25" customHeight="1" thickBot="1">
      <c r="A4" s="424"/>
      <c r="B4" s="425"/>
      <c r="C4" s="425"/>
      <c r="D4" s="425"/>
      <c r="E4" s="425"/>
      <c r="F4" s="367" t="s">
        <v>3</v>
      </c>
      <c r="G4" s="367"/>
      <c r="H4" s="367"/>
      <c r="I4" s="367"/>
      <c r="J4" s="367"/>
      <c r="K4" s="367"/>
      <c r="L4" s="367"/>
      <c r="M4" s="367"/>
      <c r="N4" s="367"/>
      <c r="O4" s="429" t="str">
        <f>GESTIÓN!P5</f>
        <v xml:space="preserve"> 978 - Centro de Información y Modelamiento Ambiental</v>
      </c>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1"/>
    </row>
    <row r="5" spans="1:42" ht="14.25" customHeight="1" thickBot="1">
      <c r="AI5" s="18"/>
    </row>
    <row r="6" spans="1:42" s="24" customFormat="1" ht="53.25" customHeight="1">
      <c r="A6" s="360" t="s">
        <v>38</v>
      </c>
      <c r="B6" s="346" t="s">
        <v>48</v>
      </c>
      <c r="C6" s="346"/>
      <c r="D6" s="346"/>
      <c r="E6" s="346" t="s">
        <v>52</v>
      </c>
      <c r="F6" s="346" t="s">
        <v>53</v>
      </c>
      <c r="G6" s="346" t="s">
        <v>54</v>
      </c>
      <c r="H6" s="346" t="s">
        <v>55</v>
      </c>
      <c r="I6" s="413" t="s">
        <v>56</v>
      </c>
      <c r="J6" s="414"/>
      <c r="K6" s="414"/>
      <c r="L6" s="414"/>
      <c r="M6" s="414"/>
      <c r="N6" s="414"/>
      <c r="O6" s="414"/>
      <c r="P6" s="414"/>
      <c r="Q6" s="414"/>
      <c r="R6" s="414"/>
      <c r="S6" s="414"/>
      <c r="T6" s="414"/>
      <c r="U6" s="414"/>
      <c r="V6" s="414"/>
      <c r="W6" s="414"/>
      <c r="X6" s="414"/>
      <c r="Y6" s="414"/>
      <c r="Z6" s="414"/>
      <c r="AA6" s="414"/>
      <c r="AB6" s="414"/>
      <c r="AC6" s="414"/>
      <c r="AD6" s="414"/>
      <c r="AE6" s="415"/>
      <c r="AF6" s="346" t="s">
        <v>57</v>
      </c>
      <c r="AG6" s="346"/>
      <c r="AH6" s="346"/>
      <c r="AI6" s="346"/>
      <c r="AJ6" s="346" t="s">
        <v>59</v>
      </c>
      <c r="AK6" s="346" t="s">
        <v>60</v>
      </c>
      <c r="AL6" s="346" t="s">
        <v>61</v>
      </c>
      <c r="AM6" s="346" t="s">
        <v>62</v>
      </c>
      <c r="AN6" s="346" t="s">
        <v>63</v>
      </c>
      <c r="AO6" s="346" t="s">
        <v>64</v>
      </c>
      <c r="AP6" s="437" t="s">
        <v>65</v>
      </c>
    </row>
    <row r="7" spans="1:42" s="24" customFormat="1" ht="53.25" customHeight="1">
      <c r="A7" s="334"/>
      <c r="B7" s="336"/>
      <c r="C7" s="336"/>
      <c r="D7" s="336"/>
      <c r="E7" s="336"/>
      <c r="F7" s="336"/>
      <c r="G7" s="336"/>
      <c r="H7" s="336"/>
      <c r="I7" s="347">
        <v>2016</v>
      </c>
      <c r="J7" s="347"/>
      <c r="K7" s="347"/>
      <c r="L7" s="347">
        <v>2017</v>
      </c>
      <c r="M7" s="347"/>
      <c r="N7" s="347"/>
      <c r="O7" s="347"/>
      <c r="P7" s="347"/>
      <c r="Q7" s="347">
        <v>2018</v>
      </c>
      <c r="R7" s="347"/>
      <c r="S7" s="347"/>
      <c r="T7" s="347"/>
      <c r="U7" s="347"/>
      <c r="V7" s="348">
        <v>2019</v>
      </c>
      <c r="W7" s="349"/>
      <c r="X7" s="349"/>
      <c r="Y7" s="349"/>
      <c r="Z7" s="350"/>
      <c r="AA7" s="348">
        <v>2020</v>
      </c>
      <c r="AB7" s="349"/>
      <c r="AC7" s="349"/>
      <c r="AD7" s="349"/>
      <c r="AE7" s="350"/>
      <c r="AF7" s="347" t="s">
        <v>58</v>
      </c>
      <c r="AG7" s="347"/>
      <c r="AH7" s="347"/>
      <c r="AI7" s="347"/>
      <c r="AJ7" s="336"/>
      <c r="AK7" s="336"/>
      <c r="AL7" s="336"/>
      <c r="AM7" s="336"/>
      <c r="AN7" s="336"/>
      <c r="AO7" s="336"/>
      <c r="AP7" s="438"/>
    </row>
    <row r="8" spans="1:42" s="24" customFormat="1" ht="55.5" customHeight="1" thickBot="1">
      <c r="A8" s="436"/>
      <c r="B8" s="48" t="s">
        <v>49</v>
      </c>
      <c r="C8" s="48" t="s">
        <v>50</v>
      </c>
      <c r="D8" s="48" t="s">
        <v>51</v>
      </c>
      <c r="E8" s="435"/>
      <c r="F8" s="435"/>
      <c r="G8" s="435"/>
      <c r="H8" s="440"/>
      <c r="I8" s="48" t="s">
        <v>7</v>
      </c>
      <c r="J8" s="48" t="s">
        <v>8</v>
      </c>
      <c r="K8" s="48" t="s">
        <v>33</v>
      </c>
      <c r="L8" s="48" t="s">
        <v>5</v>
      </c>
      <c r="M8" s="48" t="s">
        <v>6</v>
      </c>
      <c r="N8" s="48" t="s">
        <v>7</v>
      </c>
      <c r="O8" s="48" t="s">
        <v>8</v>
      </c>
      <c r="P8" s="48" t="s">
        <v>33</v>
      </c>
      <c r="Q8" s="48" t="s">
        <v>5</v>
      </c>
      <c r="R8" s="48" t="s">
        <v>6</v>
      </c>
      <c r="S8" s="48" t="s">
        <v>7</v>
      </c>
      <c r="T8" s="48" t="s">
        <v>8</v>
      </c>
      <c r="U8" s="48" t="s">
        <v>33</v>
      </c>
      <c r="V8" s="48" t="s">
        <v>5</v>
      </c>
      <c r="W8" s="48" t="s">
        <v>6</v>
      </c>
      <c r="X8" s="48" t="s">
        <v>7</v>
      </c>
      <c r="Y8" s="48" t="s">
        <v>8</v>
      </c>
      <c r="Z8" s="48" t="s">
        <v>33</v>
      </c>
      <c r="AA8" s="48" t="s">
        <v>5</v>
      </c>
      <c r="AB8" s="48" t="s">
        <v>6</v>
      </c>
      <c r="AC8" s="48" t="s">
        <v>7</v>
      </c>
      <c r="AD8" s="48" t="s">
        <v>8</v>
      </c>
      <c r="AE8" s="48" t="s">
        <v>33</v>
      </c>
      <c r="AF8" s="48" t="s">
        <v>5</v>
      </c>
      <c r="AG8" s="48" t="s">
        <v>6</v>
      </c>
      <c r="AH8" s="48" t="s">
        <v>7</v>
      </c>
      <c r="AI8" s="48" t="s">
        <v>8</v>
      </c>
      <c r="AJ8" s="435"/>
      <c r="AK8" s="435"/>
      <c r="AL8" s="435"/>
      <c r="AM8" s="435"/>
      <c r="AN8" s="435"/>
      <c r="AO8" s="435"/>
      <c r="AP8" s="439"/>
    </row>
    <row r="9" spans="1:42" s="5" customFormat="1" ht="24" customHeight="1" thickBot="1">
      <c r="A9" s="393" t="s">
        <v>105</v>
      </c>
      <c r="B9" s="397">
        <v>1</v>
      </c>
      <c r="C9" s="400" t="s">
        <v>98</v>
      </c>
      <c r="D9" s="380" t="s">
        <v>195</v>
      </c>
      <c r="E9" s="383">
        <f>+GESTIÓN!C15</f>
        <v>441</v>
      </c>
      <c r="F9" s="380">
        <v>193</v>
      </c>
      <c r="G9" s="262" t="s">
        <v>9</v>
      </c>
      <c r="H9" s="79">
        <f>K9+L9+Q9+V9+AA9</f>
        <v>51</v>
      </c>
      <c r="I9" s="79">
        <v>6</v>
      </c>
      <c r="J9" s="79">
        <v>6</v>
      </c>
      <c r="K9" s="79">
        <v>6</v>
      </c>
      <c r="L9" s="79">
        <v>13</v>
      </c>
      <c r="M9" s="79">
        <v>13</v>
      </c>
      <c r="N9" s="79"/>
      <c r="O9" s="79"/>
      <c r="P9" s="79"/>
      <c r="Q9" s="79">
        <v>13</v>
      </c>
      <c r="R9" s="79"/>
      <c r="S9" s="79"/>
      <c r="T9" s="79"/>
      <c r="U9" s="79"/>
      <c r="V9" s="79">
        <v>13</v>
      </c>
      <c r="W9" s="79"/>
      <c r="X9" s="79"/>
      <c r="Y9" s="79"/>
      <c r="Z9" s="79"/>
      <c r="AA9" s="79">
        <v>6</v>
      </c>
      <c r="AB9" s="79"/>
      <c r="AC9" s="79"/>
      <c r="AD9" s="79"/>
      <c r="AE9" s="79"/>
      <c r="AF9" s="121">
        <v>1</v>
      </c>
      <c r="AG9" s="198">
        <v>4</v>
      </c>
      <c r="AH9" s="199"/>
      <c r="AI9" s="78"/>
      <c r="AJ9" s="200">
        <f>AG9/M9</f>
        <v>0.30769230769230771</v>
      </c>
      <c r="AK9" s="200">
        <f>(K9+AG9)/(J9+M9+Q9+V9+AA9)</f>
        <v>0.19607843137254902</v>
      </c>
      <c r="AL9" s="407" t="s">
        <v>237</v>
      </c>
      <c r="AM9" s="407" t="s">
        <v>238</v>
      </c>
      <c r="AN9" s="407" t="s">
        <v>239</v>
      </c>
      <c r="AO9" s="386" t="s">
        <v>221</v>
      </c>
      <c r="AP9" s="404" t="s">
        <v>240</v>
      </c>
    </row>
    <row r="10" spans="1:42" s="5" customFormat="1" ht="24" customHeight="1">
      <c r="A10" s="394"/>
      <c r="B10" s="398"/>
      <c r="C10" s="401"/>
      <c r="D10" s="381"/>
      <c r="E10" s="384"/>
      <c r="F10" s="381"/>
      <c r="G10" s="263" t="s">
        <v>10</v>
      </c>
      <c r="H10" s="80">
        <f>K10+L10+Q10+V10+AA10</f>
        <v>8984484996</v>
      </c>
      <c r="I10" s="80">
        <v>677000000</v>
      </c>
      <c r="J10" s="202">
        <v>909789822</v>
      </c>
      <c r="K10" s="80">
        <v>692484996</v>
      </c>
      <c r="L10" s="80">
        <v>4000000000</v>
      </c>
      <c r="M10" s="80">
        <v>3123400000</v>
      </c>
      <c r="N10" s="80"/>
      <c r="O10" s="80"/>
      <c r="P10" s="80"/>
      <c r="Q10" s="80">
        <v>1583000000</v>
      </c>
      <c r="R10" s="202"/>
      <c r="S10" s="80"/>
      <c r="T10" s="80"/>
      <c r="U10" s="80"/>
      <c r="V10" s="80">
        <v>1663000000</v>
      </c>
      <c r="W10" s="202"/>
      <c r="X10" s="80"/>
      <c r="Y10" s="80"/>
      <c r="Z10" s="80"/>
      <c r="AA10" s="80">
        <v>1046000000</v>
      </c>
      <c r="AB10" s="202"/>
      <c r="AC10" s="202"/>
      <c r="AD10" s="202"/>
      <c r="AE10" s="202"/>
      <c r="AF10" s="80">
        <v>148482500</v>
      </c>
      <c r="AG10" s="80">
        <v>542789000</v>
      </c>
      <c r="AH10" s="203"/>
      <c r="AI10" s="122"/>
      <c r="AJ10" s="200">
        <f>AG10/M10</f>
        <v>0.17378145610552603</v>
      </c>
      <c r="AK10" s="200">
        <f>(K10+AG10)/(J10+M10+Q10+V10+AA10)</f>
        <v>0.14837787755129458</v>
      </c>
      <c r="AL10" s="408"/>
      <c r="AM10" s="408"/>
      <c r="AN10" s="408"/>
      <c r="AO10" s="387"/>
      <c r="AP10" s="405"/>
    </row>
    <row r="11" spans="1:42" s="5" customFormat="1" ht="24" customHeight="1">
      <c r="A11" s="394"/>
      <c r="B11" s="398"/>
      <c r="C11" s="401"/>
      <c r="D11" s="381"/>
      <c r="E11" s="384"/>
      <c r="F11" s="381"/>
      <c r="G11" s="263" t="s">
        <v>11</v>
      </c>
      <c r="H11" s="81"/>
      <c r="I11" s="81"/>
      <c r="J11" s="82"/>
      <c r="K11" s="82">
        <v>0</v>
      </c>
      <c r="L11" s="81"/>
      <c r="M11" s="82"/>
      <c r="N11" s="82"/>
      <c r="O11" s="82"/>
      <c r="P11" s="82"/>
      <c r="Q11" s="81"/>
      <c r="R11" s="82"/>
      <c r="S11" s="82"/>
      <c r="T11" s="82"/>
      <c r="U11" s="82"/>
      <c r="V11" s="81"/>
      <c r="W11" s="82"/>
      <c r="X11" s="82"/>
      <c r="Y11" s="82"/>
      <c r="Z11" s="82"/>
      <c r="AA11" s="81"/>
      <c r="AB11" s="82"/>
      <c r="AC11" s="82"/>
      <c r="AD11" s="82"/>
      <c r="AE11" s="82"/>
      <c r="AF11" s="121">
        <v>0</v>
      </c>
      <c r="AG11" s="121">
        <v>0</v>
      </c>
      <c r="AH11" s="203"/>
      <c r="AI11" s="81"/>
      <c r="AJ11" s="204"/>
      <c r="AK11" s="204"/>
      <c r="AL11" s="408"/>
      <c r="AM11" s="408"/>
      <c r="AN11" s="408"/>
      <c r="AO11" s="387"/>
      <c r="AP11" s="405"/>
    </row>
    <row r="12" spans="1:42" s="5" customFormat="1" ht="24" customHeight="1">
      <c r="A12" s="394"/>
      <c r="B12" s="398"/>
      <c r="C12" s="401"/>
      <c r="D12" s="381"/>
      <c r="E12" s="384"/>
      <c r="F12" s="381"/>
      <c r="G12" s="263" t="s">
        <v>12</v>
      </c>
      <c r="H12" s="81"/>
      <c r="I12" s="81"/>
      <c r="J12" s="82"/>
      <c r="K12" s="82">
        <v>0</v>
      </c>
      <c r="L12" s="305">
        <v>563456573</v>
      </c>
      <c r="M12" s="306">
        <v>563456573</v>
      </c>
      <c r="N12" s="82"/>
      <c r="O12" s="82"/>
      <c r="P12" s="82"/>
      <c r="Q12" s="81"/>
      <c r="R12" s="82"/>
      <c r="S12" s="82"/>
      <c r="T12" s="82"/>
      <c r="U12" s="82"/>
      <c r="V12" s="81"/>
      <c r="W12" s="82"/>
      <c r="X12" s="82"/>
      <c r="Y12" s="82"/>
      <c r="Z12" s="82"/>
      <c r="AA12" s="81"/>
      <c r="AB12" s="82"/>
      <c r="AC12" s="82"/>
      <c r="AD12" s="82"/>
      <c r="AE12" s="82"/>
      <c r="AF12" s="80">
        <v>46385730</v>
      </c>
      <c r="AG12" s="84">
        <v>239535764</v>
      </c>
      <c r="AH12" s="205"/>
      <c r="AI12" s="81"/>
      <c r="AJ12" s="204"/>
      <c r="AK12" s="204"/>
      <c r="AL12" s="408"/>
      <c r="AM12" s="408"/>
      <c r="AN12" s="408"/>
      <c r="AO12" s="387"/>
      <c r="AP12" s="405"/>
    </row>
    <row r="13" spans="1:42" s="5" customFormat="1" ht="24" customHeight="1">
      <c r="A13" s="394"/>
      <c r="B13" s="398"/>
      <c r="C13" s="401"/>
      <c r="D13" s="381"/>
      <c r="E13" s="384"/>
      <c r="F13" s="381"/>
      <c r="G13" s="263" t="s">
        <v>13</v>
      </c>
      <c r="H13" s="79">
        <v>51</v>
      </c>
      <c r="I13" s="79">
        <v>6</v>
      </c>
      <c r="J13" s="79">
        <v>6</v>
      </c>
      <c r="K13" s="79">
        <v>6</v>
      </c>
      <c r="L13" s="79">
        <v>13</v>
      </c>
      <c r="M13" s="79">
        <v>13</v>
      </c>
      <c r="N13" s="79"/>
      <c r="O13" s="79"/>
      <c r="P13" s="79"/>
      <c r="Q13" s="79">
        <v>13</v>
      </c>
      <c r="R13" s="79"/>
      <c r="S13" s="79"/>
      <c r="T13" s="79"/>
      <c r="U13" s="79"/>
      <c r="V13" s="79">
        <v>13</v>
      </c>
      <c r="W13" s="79"/>
      <c r="X13" s="79"/>
      <c r="Y13" s="79"/>
      <c r="Z13" s="79"/>
      <c r="AA13" s="79">
        <v>6</v>
      </c>
      <c r="AB13" s="79"/>
      <c r="AC13" s="79"/>
      <c r="AD13" s="79"/>
      <c r="AE13" s="79"/>
      <c r="AF13" s="121">
        <v>1</v>
      </c>
      <c r="AG13" s="121">
        <v>4</v>
      </c>
      <c r="AH13" s="203"/>
      <c r="AI13" s="79"/>
      <c r="AJ13" s="204"/>
      <c r="AK13" s="204"/>
      <c r="AL13" s="408"/>
      <c r="AM13" s="408"/>
      <c r="AN13" s="408"/>
      <c r="AO13" s="387"/>
      <c r="AP13" s="405"/>
    </row>
    <row r="14" spans="1:42" s="5" customFormat="1" ht="24" customHeight="1" thickBot="1">
      <c r="A14" s="395"/>
      <c r="B14" s="399"/>
      <c r="C14" s="402"/>
      <c r="D14" s="392"/>
      <c r="E14" s="385"/>
      <c r="F14" s="392"/>
      <c r="G14" s="264" t="s">
        <v>14</v>
      </c>
      <c r="H14" s="93">
        <f>H10</f>
        <v>8984484996</v>
      </c>
      <c r="I14" s="93">
        <f>+I10</f>
        <v>677000000</v>
      </c>
      <c r="J14" s="95">
        <v>909789822</v>
      </c>
      <c r="K14" s="95">
        <v>692484996</v>
      </c>
      <c r="L14" s="93">
        <v>4563456573</v>
      </c>
      <c r="M14" s="95">
        <v>3686856573</v>
      </c>
      <c r="N14" s="95"/>
      <c r="O14" s="95"/>
      <c r="P14" s="95"/>
      <c r="Q14" s="93">
        <f>Q10</f>
        <v>1583000000</v>
      </c>
      <c r="R14" s="95"/>
      <c r="S14" s="95"/>
      <c r="T14" s="95"/>
      <c r="U14" s="95"/>
      <c r="V14" s="93">
        <f>V10</f>
        <v>1663000000</v>
      </c>
      <c r="W14" s="95"/>
      <c r="X14" s="95"/>
      <c r="Y14" s="95"/>
      <c r="Z14" s="95"/>
      <c r="AA14" s="93">
        <f>AA10</f>
        <v>1046000000</v>
      </c>
      <c r="AB14" s="95"/>
      <c r="AC14" s="95"/>
      <c r="AD14" s="95"/>
      <c r="AE14" s="95"/>
      <c r="AF14" s="93">
        <v>194868230</v>
      </c>
      <c r="AG14" s="95">
        <v>782324764</v>
      </c>
      <c r="AH14" s="206"/>
      <c r="AI14" s="123"/>
      <c r="AJ14" s="207"/>
      <c r="AK14" s="207"/>
      <c r="AL14" s="409"/>
      <c r="AM14" s="409"/>
      <c r="AN14" s="409"/>
      <c r="AO14" s="388"/>
      <c r="AP14" s="406"/>
    </row>
    <row r="15" spans="1:42" s="5" customFormat="1" ht="19.5" customHeight="1">
      <c r="A15" s="393" t="s">
        <v>95</v>
      </c>
      <c r="B15" s="397">
        <v>2</v>
      </c>
      <c r="C15" s="397" t="s">
        <v>214</v>
      </c>
      <c r="D15" s="380" t="s">
        <v>213</v>
      </c>
      <c r="E15" s="383">
        <f>+GESTIÓN!C15</f>
        <v>441</v>
      </c>
      <c r="F15" s="380">
        <v>193</v>
      </c>
      <c r="G15" s="58" t="s">
        <v>9</v>
      </c>
      <c r="H15" s="265">
        <v>1</v>
      </c>
      <c r="I15" s="266">
        <v>0.1</v>
      </c>
      <c r="J15" s="267">
        <v>0.1</v>
      </c>
      <c r="K15" s="109">
        <v>0.02</v>
      </c>
      <c r="L15" s="265">
        <v>0.4</v>
      </c>
      <c r="M15" s="265">
        <v>0.4</v>
      </c>
      <c r="N15" s="109"/>
      <c r="O15" s="271"/>
      <c r="P15" s="109"/>
      <c r="Q15" s="265">
        <v>0.65</v>
      </c>
      <c r="R15" s="109"/>
      <c r="S15" s="109"/>
      <c r="T15" s="271"/>
      <c r="U15" s="109"/>
      <c r="V15" s="265">
        <v>0.9</v>
      </c>
      <c r="W15" s="109"/>
      <c r="X15" s="109"/>
      <c r="Y15" s="271"/>
      <c r="Z15" s="109"/>
      <c r="AA15" s="265">
        <v>1</v>
      </c>
      <c r="AB15" s="109"/>
      <c r="AC15" s="109"/>
      <c r="AD15" s="201"/>
      <c r="AE15" s="109"/>
      <c r="AF15" s="265">
        <v>0.05</v>
      </c>
      <c r="AG15" s="87">
        <v>7.0000000000000007E-2</v>
      </c>
      <c r="AH15" s="208"/>
      <c r="AI15" s="94"/>
      <c r="AJ15" s="200">
        <f>AG15/M15</f>
        <v>0.17500000000000002</v>
      </c>
      <c r="AK15" s="200">
        <f>AG15/H15</f>
        <v>7.0000000000000007E-2</v>
      </c>
      <c r="AL15" s="407" t="s">
        <v>241</v>
      </c>
      <c r="AM15" s="386" t="s">
        <v>242</v>
      </c>
      <c r="AN15" s="407" t="s">
        <v>179</v>
      </c>
      <c r="AO15" s="407" t="s">
        <v>222</v>
      </c>
      <c r="AP15" s="404" t="s">
        <v>243</v>
      </c>
    </row>
    <row r="16" spans="1:42" s="5" customFormat="1" ht="19.5" customHeight="1">
      <c r="A16" s="394"/>
      <c r="B16" s="398"/>
      <c r="C16" s="398"/>
      <c r="D16" s="381"/>
      <c r="E16" s="384"/>
      <c r="F16" s="381"/>
      <c r="G16" s="33" t="s">
        <v>10</v>
      </c>
      <c r="H16" s="80">
        <f>K16+L16+Q16+V16+AA16</f>
        <v>2312623000</v>
      </c>
      <c r="I16" s="80">
        <v>146000000</v>
      </c>
      <c r="J16" s="202">
        <v>146197700</v>
      </c>
      <c r="K16" s="80">
        <v>0</v>
      </c>
      <c r="L16" s="80">
        <v>1387623000</v>
      </c>
      <c r="M16" s="80">
        <v>1884222500</v>
      </c>
      <c r="N16" s="80"/>
      <c r="O16" s="80"/>
      <c r="P16" s="80"/>
      <c r="Q16" s="80">
        <v>405000000</v>
      </c>
      <c r="R16" s="80"/>
      <c r="S16" s="80"/>
      <c r="T16" s="80"/>
      <c r="U16" s="80"/>
      <c r="V16" s="80">
        <v>408000000</v>
      </c>
      <c r="W16" s="80"/>
      <c r="X16" s="80"/>
      <c r="Y16" s="80"/>
      <c r="Z16" s="80"/>
      <c r="AA16" s="80">
        <v>112000000</v>
      </c>
      <c r="AB16" s="202"/>
      <c r="AC16" s="202"/>
      <c r="AD16" s="202"/>
      <c r="AE16" s="202"/>
      <c r="AF16" s="80">
        <v>0</v>
      </c>
      <c r="AG16" s="80">
        <v>94624000</v>
      </c>
      <c r="AH16" s="209"/>
      <c r="AI16" s="122"/>
      <c r="AJ16" s="204">
        <f>AG16/M16</f>
        <v>5.021912221088539E-2</v>
      </c>
      <c r="AK16" s="210">
        <f>(K16+AG16)/(J16+M16+Q16+V16+AA16)</f>
        <v>3.2017105384878945E-2</v>
      </c>
      <c r="AL16" s="408"/>
      <c r="AM16" s="387"/>
      <c r="AN16" s="408"/>
      <c r="AO16" s="408"/>
      <c r="AP16" s="405"/>
    </row>
    <row r="17" spans="1:42" s="5" customFormat="1" ht="19.5" customHeight="1">
      <c r="A17" s="394"/>
      <c r="B17" s="398"/>
      <c r="C17" s="398"/>
      <c r="D17" s="381"/>
      <c r="E17" s="384"/>
      <c r="F17" s="381"/>
      <c r="G17" s="33" t="s">
        <v>11</v>
      </c>
      <c r="H17" s="80"/>
      <c r="I17" s="80"/>
      <c r="J17" s="80"/>
      <c r="K17" s="80">
        <v>0</v>
      </c>
      <c r="L17" s="80"/>
      <c r="M17" s="80"/>
      <c r="N17" s="80"/>
      <c r="O17" s="80"/>
      <c r="P17" s="80"/>
      <c r="Q17" s="80"/>
      <c r="R17" s="80"/>
      <c r="S17" s="80"/>
      <c r="T17" s="80"/>
      <c r="U17" s="80"/>
      <c r="V17" s="80"/>
      <c r="W17" s="80"/>
      <c r="X17" s="80"/>
      <c r="Y17" s="80"/>
      <c r="Z17" s="80"/>
      <c r="AA17" s="80"/>
      <c r="AB17" s="80"/>
      <c r="AC17" s="80"/>
      <c r="AD17" s="80"/>
      <c r="AE17" s="80"/>
      <c r="AF17" s="80">
        <v>0</v>
      </c>
      <c r="AG17" s="80">
        <v>0</v>
      </c>
      <c r="AH17" s="209"/>
      <c r="AI17" s="81"/>
      <c r="AJ17" s="204"/>
      <c r="AK17" s="204"/>
      <c r="AL17" s="408"/>
      <c r="AM17" s="387"/>
      <c r="AN17" s="408"/>
      <c r="AO17" s="408"/>
      <c r="AP17" s="405"/>
    </row>
    <row r="18" spans="1:42" s="5" customFormat="1" ht="19.5" customHeight="1">
      <c r="A18" s="394"/>
      <c r="B18" s="398"/>
      <c r="C18" s="398"/>
      <c r="D18" s="381"/>
      <c r="E18" s="384"/>
      <c r="F18" s="381"/>
      <c r="G18" s="33" t="s">
        <v>12</v>
      </c>
      <c r="H18" s="80"/>
      <c r="I18" s="80"/>
      <c r="J18" s="80"/>
      <c r="K18" s="80">
        <v>0</v>
      </c>
      <c r="L18" s="80"/>
      <c r="M18" s="80"/>
      <c r="N18" s="80"/>
      <c r="O18" s="80"/>
      <c r="P18" s="80"/>
      <c r="Q18" s="80"/>
      <c r="R18" s="80"/>
      <c r="S18" s="80"/>
      <c r="T18" s="80"/>
      <c r="U18" s="80"/>
      <c r="V18" s="80"/>
      <c r="W18" s="80"/>
      <c r="X18" s="80"/>
      <c r="Y18" s="80"/>
      <c r="Z18" s="80"/>
      <c r="AA18" s="80"/>
      <c r="AB18" s="84"/>
      <c r="AC18" s="84"/>
      <c r="AD18" s="84"/>
      <c r="AE18" s="84"/>
      <c r="AF18" s="84">
        <v>0</v>
      </c>
      <c r="AG18" s="80">
        <v>0</v>
      </c>
      <c r="AH18" s="209"/>
      <c r="AI18" s="81"/>
      <c r="AJ18" s="204"/>
      <c r="AK18" s="204"/>
      <c r="AL18" s="408"/>
      <c r="AM18" s="387"/>
      <c r="AN18" s="408"/>
      <c r="AO18" s="408"/>
      <c r="AP18" s="405"/>
    </row>
    <row r="19" spans="1:42" s="5" customFormat="1" ht="19.5" customHeight="1">
      <c r="A19" s="394"/>
      <c r="B19" s="398"/>
      <c r="C19" s="398"/>
      <c r="D19" s="381"/>
      <c r="E19" s="384"/>
      <c r="F19" s="381"/>
      <c r="G19" s="33" t="s">
        <v>13</v>
      </c>
      <c r="H19" s="268">
        <v>1</v>
      </c>
      <c r="I19" s="269">
        <v>0.1</v>
      </c>
      <c r="J19" s="270">
        <v>0.1</v>
      </c>
      <c r="K19" s="80">
        <v>0.02</v>
      </c>
      <c r="L19" s="268">
        <v>0.4</v>
      </c>
      <c r="M19" s="268">
        <v>0.4</v>
      </c>
      <c r="N19" s="80"/>
      <c r="O19" s="202"/>
      <c r="P19" s="80"/>
      <c r="Q19" s="268">
        <v>0.65</v>
      </c>
      <c r="R19" s="80"/>
      <c r="S19" s="80"/>
      <c r="T19" s="202"/>
      <c r="U19" s="80"/>
      <c r="V19" s="268">
        <v>0.9</v>
      </c>
      <c r="W19" s="80"/>
      <c r="X19" s="80"/>
      <c r="Y19" s="202"/>
      <c r="Z19" s="80"/>
      <c r="AA19" s="268">
        <v>1</v>
      </c>
      <c r="AB19" s="80"/>
      <c r="AC19" s="80"/>
      <c r="AD19" s="80"/>
      <c r="AE19" s="80"/>
      <c r="AF19" s="268">
        <v>0.05</v>
      </c>
      <c r="AG19" s="268">
        <f>+AG15</f>
        <v>7.0000000000000007E-2</v>
      </c>
      <c r="AH19" s="209"/>
      <c r="AI19" s="122"/>
      <c r="AJ19" s="204"/>
      <c r="AK19" s="204"/>
      <c r="AL19" s="408"/>
      <c r="AM19" s="387"/>
      <c r="AN19" s="408"/>
      <c r="AO19" s="408"/>
      <c r="AP19" s="405"/>
    </row>
    <row r="20" spans="1:42" s="5" customFormat="1" ht="19.5" customHeight="1" thickBot="1">
      <c r="A20" s="395"/>
      <c r="B20" s="399"/>
      <c r="C20" s="399"/>
      <c r="D20" s="392"/>
      <c r="E20" s="385"/>
      <c r="F20" s="392"/>
      <c r="G20" s="35" t="s">
        <v>14</v>
      </c>
      <c r="H20" s="93">
        <f>H16</f>
        <v>2312623000</v>
      </c>
      <c r="I20" s="93">
        <f>+I16</f>
        <v>146000000</v>
      </c>
      <c r="J20" s="95">
        <v>146197700</v>
      </c>
      <c r="K20" s="95">
        <v>0</v>
      </c>
      <c r="L20" s="93">
        <v>1387623000</v>
      </c>
      <c r="M20" s="95">
        <v>1884222500</v>
      </c>
      <c r="N20" s="95"/>
      <c r="O20" s="95"/>
      <c r="P20" s="95"/>
      <c r="Q20" s="93">
        <f>Q16</f>
        <v>405000000</v>
      </c>
      <c r="R20" s="95"/>
      <c r="S20" s="95"/>
      <c r="T20" s="95"/>
      <c r="U20" s="95"/>
      <c r="V20" s="93">
        <f>V16</f>
        <v>408000000</v>
      </c>
      <c r="W20" s="95"/>
      <c r="X20" s="95"/>
      <c r="Y20" s="95"/>
      <c r="Z20" s="95"/>
      <c r="AA20" s="93">
        <f>AA16</f>
        <v>112000000</v>
      </c>
      <c r="AB20" s="95"/>
      <c r="AC20" s="95"/>
      <c r="AD20" s="95"/>
      <c r="AE20" s="95"/>
      <c r="AF20" s="93">
        <v>0</v>
      </c>
      <c r="AG20" s="95">
        <v>94624000</v>
      </c>
      <c r="AH20" s="206"/>
      <c r="AI20" s="124"/>
      <c r="AJ20" s="207"/>
      <c r="AK20" s="207"/>
      <c r="AL20" s="409"/>
      <c r="AM20" s="387"/>
      <c r="AN20" s="409"/>
      <c r="AO20" s="409"/>
      <c r="AP20" s="405"/>
    </row>
    <row r="21" spans="1:42" s="5" customFormat="1" ht="47.25" hidden="1" customHeight="1">
      <c r="A21" s="393" t="s">
        <v>96</v>
      </c>
      <c r="B21" s="397"/>
      <c r="C21" s="400" t="s">
        <v>99</v>
      </c>
      <c r="D21" s="380"/>
      <c r="E21" s="383">
        <f>+GESTIÓN!C21</f>
        <v>0</v>
      </c>
      <c r="F21" s="380"/>
      <c r="G21" s="32" t="s">
        <v>9</v>
      </c>
      <c r="H21" s="78">
        <v>100</v>
      </c>
      <c r="I21" s="78">
        <v>0.1</v>
      </c>
      <c r="J21" s="89">
        <v>0.1</v>
      </c>
      <c r="K21" s="78"/>
      <c r="L21" s="78"/>
      <c r="M21" s="78"/>
      <c r="N21" s="78"/>
      <c r="O21" s="89">
        <v>0.4</v>
      </c>
      <c r="P21" s="78"/>
      <c r="Q21" s="78"/>
      <c r="R21" s="78"/>
      <c r="S21" s="78"/>
      <c r="T21" s="89">
        <v>0.65</v>
      </c>
      <c r="U21" s="78"/>
      <c r="V21" s="78"/>
      <c r="W21" s="78"/>
      <c r="X21" s="78"/>
      <c r="Y21" s="89">
        <v>0.9</v>
      </c>
      <c r="Z21" s="78"/>
      <c r="AA21" s="78"/>
      <c r="AB21" s="78"/>
      <c r="AC21" s="78"/>
      <c r="AD21" s="89">
        <v>1</v>
      </c>
      <c r="AE21" s="78"/>
      <c r="AF21" s="198"/>
      <c r="AG21" s="198"/>
      <c r="AH21" s="199"/>
      <c r="AI21" s="125"/>
      <c r="AJ21" s="200"/>
      <c r="AK21" s="200"/>
      <c r="AL21" s="407"/>
      <c r="AM21" s="408"/>
      <c r="AN21" s="407"/>
      <c r="AO21" s="386"/>
      <c r="AP21" s="405"/>
    </row>
    <row r="22" spans="1:42" s="5" customFormat="1" ht="47.25" hidden="1" customHeight="1">
      <c r="A22" s="394"/>
      <c r="B22" s="398"/>
      <c r="C22" s="401"/>
      <c r="D22" s="381"/>
      <c r="E22" s="384"/>
      <c r="F22" s="381"/>
      <c r="G22" s="33" t="s">
        <v>10</v>
      </c>
      <c r="H22" s="80">
        <f>I22</f>
        <v>320000000</v>
      </c>
      <c r="I22" s="80">
        <v>320000000</v>
      </c>
      <c r="J22" s="223"/>
      <c r="K22" s="80"/>
      <c r="L22" s="80">
        <v>999000000</v>
      </c>
      <c r="M22" s="80"/>
      <c r="N22" s="80" t="s">
        <v>104</v>
      </c>
      <c r="O22" s="80"/>
      <c r="P22" s="80"/>
      <c r="Q22" s="80">
        <v>321000000</v>
      </c>
      <c r="R22" s="80"/>
      <c r="S22" s="80"/>
      <c r="T22" s="80"/>
      <c r="U22" s="80"/>
      <c r="V22" s="80">
        <v>388000000</v>
      </c>
      <c r="W22" s="80"/>
      <c r="X22" s="80"/>
      <c r="Y22" s="80"/>
      <c r="Z22" s="80"/>
      <c r="AA22" s="80">
        <v>596000000</v>
      </c>
      <c r="AB22" s="202"/>
      <c r="AC22" s="202"/>
      <c r="AD22" s="202"/>
      <c r="AE22" s="202"/>
      <c r="AF22" s="80"/>
      <c r="AG22" s="80"/>
      <c r="AH22" s="203"/>
      <c r="AI22" s="126"/>
      <c r="AJ22" s="204"/>
      <c r="AK22" s="204"/>
      <c r="AL22" s="408"/>
      <c r="AM22" s="408"/>
      <c r="AN22" s="408"/>
      <c r="AO22" s="387"/>
      <c r="AP22" s="405"/>
    </row>
    <row r="23" spans="1:42" s="5" customFormat="1" ht="47.25" hidden="1" customHeight="1">
      <c r="A23" s="394"/>
      <c r="B23" s="398"/>
      <c r="C23" s="401"/>
      <c r="D23" s="381"/>
      <c r="E23" s="384"/>
      <c r="F23" s="381"/>
      <c r="G23" s="33" t="s">
        <v>11</v>
      </c>
      <c r="H23" s="81">
        <v>0</v>
      </c>
      <c r="I23" s="82">
        <v>0</v>
      </c>
      <c r="J23" s="82"/>
      <c r="K23" s="82"/>
      <c r="L23" s="82"/>
      <c r="M23" s="82"/>
      <c r="N23" s="82"/>
      <c r="O23" s="82"/>
      <c r="P23" s="82"/>
      <c r="Q23" s="82"/>
      <c r="R23" s="82"/>
      <c r="S23" s="82"/>
      <c r="T23" s="82"/>
      <c r="U23" s="82"/>
      <c r="V23" s="82"/>
      <c r="W23" s="82"/>
      <c r="X23" s="82"/>
      <c r="Y23" s="82"/>
      <c r="Z23" s="82"/>
      <c r="AA23" s="82"/>
      <c r="AB23" s="82"/>
      <c r="AC23" s="82"/>
      <c r="AD23" s="82"/>
      <c r="AE23" s="82"/>
      <c r="AF23" s="121"/>
      <c r="AG23" s="121"/>
      <c r="AH23" s="203"/>
      <c r="AI23" s="121"/>
      <c r="AJ23" s="204"/>
      <c r="AK23" s="204"/>
      <c r="AL23" s="408"/>
      <c r="AM23" s="408"/>
      <c r="AN23" s="408"/>
      <c r="AO23" s="387"/>
      <c r="AP23" s="405"/>
    </row>
    <row r="24" spans="1:42" s="5" customFormat="1" ht="47.25" hidden="1" customHeight="1">
      <c r="A24" s="394"/>
      <c r="B24" s="398"/>
      <c r="C24" s="401"/>
      <c r="D24" s="381"/>
      <c r="E24" s="384"/>
      <c r="F24" s="381"/>
      <c r="G24" s="33" t="s">
        <v>12</v>
      </c>
      <c r="H24" s="90">
        <v>0</v>
      </c>
      <c r="I24" s="91">
        <v>0</v>
      </c>
      <c r="J24" s="91"/>
      <c r="K24" s="91"/>
      <c r="L24" s="91"/>
      <c r="M24" s="91"/>
      <c r="N24" s="91"/>
      <c r="O24" s="91"/>
      <c r="P24" s="91"/>
      <c r="Q24" s="91"/>
      <c r="R24" s="91"/>
      <c r="S24" s="91"/>
      <c r="T24" s="91"/>
      <c r="U24" s="91"/>
      <c r="V24" s="91"/>
      <c r="W24" s="91"/>
      <c r="X24" s="91"/>
      <c r="Y24" s="91"/>
      <c r="Z24" s="91"/>
      <c r="AA24" s="91"/>
      <c r="AB24" s="91"/>
      <c r="AC24" s="91"/>
      <c r="AD24" s="91"/>
      <c r="AE24" s="91"/>
      <c r="AF24" s="80"/>
      <c r="AG24" s="80"/>
      <c r="AH24" s="80"/>
      <c r="AI24" s="122"/>
      <c r="AJ24" s="204"/>
      <c r="AK24" s="204"/>
      <c r="AL24" s="408"/>
      <c r="AM24" s="408"/>
      <c r="AN24" s="408"/>
      <c r="AO24" s="387"/>
      <c r="AP24" s="405"/>
    </row>
    <row r="25" spans="1:42" s="5" customFormat="1" ht="47.25" hidden="1" customHeight="1">
      <c r="A25" s="394"/>
      <c r="B25" s="398"/>
      <c r="C25" s="401"/>
      <c r="D25" s="381"/>
      <c r="E25" s="384"/>
      <c r="F25" s="381"/>
      <c r="G25" s="33" t="s">
        <v>13</v>
      </c>
      <c r="H25" s="83">
        <v>0</v>
      </c>
      <c r="I25" s="83">
        <v>0.1</v>
      </c>
      <c r="J25" s="83"/>
      <c r="K25" s="83"/>
      <c r="L25" s="83"/>
      <c r="M25" s="83"/>
      <c r="N25" s="83"/>
      <c r="O25" s="83"/>
      <c r="P25" s="83"/>
      <c r="Q25" s="83"/>
      <c r="R25" s="83"/>
      <c r="S25" s="83"/>
      <c r="T25" s="83"/>
      <c r="U25" s="83"/>
      <c r="V25" s="83"/>
      <c r="W25" s="83"/>
      <c r="X25" s="83"/>
      <c r="Y25" s="83"/>
      <c r="Z25" s="83"/>
      <c r="AA25" s="83"/>
      <c r="AB25" s="83"/>
      <c r="AC25" s="83"/>
      <c r="AD25" s="83"/>
      <c r="AE25" s="83"/>
      <c r="AF25" s="121"/>
      <c r="AG25" s="121"/>
      <c r="AH25" s="203"/>
      <c r="AI25" s="126"/>
      <c r="AJ25" s="204"/>
      <c r="AK25" s="204"/>
      <c r="AL25" s="408"/>
      <c r="AM25" s="408"/>
      <c r="AN25" s="408"/>
      <c r="AO25" s="387"/>
      <c r="AP25" s="405"/>
    </row>
    <row r="26" spans="1:42" s="5" customFormat="1" ht="47.25" hidden="1" customHeight="1" thickBot="1">
      <c r="A26" s="396"/>
      <c r="B26" s="403"/>
      <c r="C26" s="416"/>
      <c r="D26" s="382"/>
      <c r="E26" s="385"/>
      <c r="F26" s="382"/>
      <c r="G26" s="34" t="s">
        <v>14</v>
      </c>
      <c r="H26" s="85">
        <f>H22</f>
        <v>320000000</v>
      </c>
      <c r="I26" s="85">
        <v>320000000</v>
      </c>
      <c r="J26" s="85"/>
      <c r="K26" s="85"/>
      <c r="L26" s="85"/>
      <c r="M26" s="85"/>
      <c r="N26" s="85"/>
      <c r="O26" s="85"/>
      <c r="P26" s="85"/>
      <c r="Q26" s="85"/>
      <c r="R26" s="85"/>
      <c r="S26" s="85"/>
      <c r="T26" s="85"/>
      <c r="U26" s="85"/>
      <c r="V26" s="85"/>
      <c r="W26" s="85"/>
      <c r="X26" s="85"/>
      <c r="Y26" s="85"/>
      <c r="Z26" s="85"/>
      <c r="AA26" s="85"/>
      <c r="AB26" s="85"/>
      <c r="AC26" s="85"/>
      <c r="AD26" s="85"/>
      <c r="AE26" s="85"/>
      <c r="AF26" s="85"/>
      <c r="AG26" s="84"/>
      <c r="AH26" s="211"/>
      <c r="AI26" s="127"/>
      <c r="AJ26" s="212"/>
      <c r="AK26" s="212"/>
      <c r="AL26" s="409"/>
      <c r="AM26" s="409"/>
      <c r="AN26" s="409"/>
      <c r="AO26" s="388"/>
      <c r="AP26" s="406"/>
    </row>
    <row r="27" spans="1:42" s="5" customFormat="1" ht="29.25" customHeight="1">
      <c r="A27" s="371" t="s">
        <v>96</v>
      </c>
      <c r="B27" s="374">
        <v>3</v>
      </c>
      <c r="C27" s="377" t="s">
        <v>215</v>
      </c>
      <c r="D27" s="380" t="s">
        <v>213</v>
      </c>
      <c r="E27" s="383">
        <f>+GESTIÓN!C15</f>
        <v>441</v>
      </c>
      <c r="F27" s="380">
        <v>193</v>
      </c>
      <c r="G27" s="58" t="s">
        <v>9</v>
      </c>
      <c r="H27" s="268">
        <v>1</v>
      </c>
      <c r="I27" s="240">
        <v>0.1</v>
      </c>
      <c r="J27" s="239">
        <v>0.09</v>
      </c>
      <c r="K27" s="230">
        <v>8.5000000000000006E-2</v>
      </c>
      <c r="L27" s="240">
        <v>0.4</v>
      </c>
      <c r="M27" s="239">
        <v>0.36</v>
      </c>
      <c r="N27" s="230"/>
      <c r="O27" s="241"/>
      <c r="P27" s="80"/>
      <c r="Q27" s="240">
        <v>0.65</v>
      </c>
      <c r="R27" s="80"/>
      <c r="S27" s="80"/>
      <c r="T27" s="80"/>
      <c r="U27" s="80"/>
      <c r="V27" s="240">
        <v>0.9</v>
      </c>
      <c r="W27" s="80"/>
      <c r="X27" s="80"/>
      <c r="Y27" s="80"/>
      <c r="Z27" s="80"/>
      <c r="AA27" s="240">
        <v>1</v>
      </c>
      <c r="AB27" s="86"/>
      <c r="AC27" s="86"/>
      <c r="AD27" s="86"/>
      <c r="AE27" s="86"/>
      <c r="AF27" s="87">
        <v>0.05</v>
      </c>
      <c r="AG27" s="94">
        <v>0.14399999999999999</v>
      </c>
      <c r="AH27" s="208"/>
      <c r="AI27" s="228"/>
      <c r="AJ27" s="200">
        <f>AG27/M27</f>
        <v>0.39999999999999997</v>
      </c>
      <c r="AK27" s="200">
        <f>AG27/H27</f>
        <v>0.14399999999999999</v>
      </c>
      <c r="AL27" s="407" t="s">
        <v>244</v>
      </c>
      <c r="AM27" s="407" t="s">
        <v>242</v>
      </c>
      <c r="AN27" s="407" t="s">
        <v>179</v>
      </c>
      <c r="AO27" s="407" t="s">
        <v>223</v>
      </c>
      <c r="AP27" s="404" t="s">
        <v>224</v>
      </c>
    </row>
    <row r="28" spans="1:42" s="5" customFormat="1" ht="29.25" customHeight="1">
      <c r="A28" s="372"/>
      <c r="B28" s="375"/>
      <c r="C28" s="378"/>
      <c r="D28" s="381"/>
      <c r="E28" s="384"/>
      <c r="F28" s="381"/>
      <c r="G28" s="33" t="s">
        <v>10</v>
      </c>
      <c r="H28" s="80">
        <f>K28+L28+Q28+V28+AA28</f>
        <v>2846648991</v>
      </c>
      <c r="I28" s="229">
        <v>320000000</v>
      </c>
      <c r="J28" s="229">
        <v>274476263</v>
      </c>
      <c r="K28" s="229">
        <v>241648991</v>
      </c>
      <c r="L28" s="229">
        <v>1300000000</v>
      </c>
      <c r="M28" s="229">
        <v>1090091500</v>
      </c>
      <c r="N28" s="229"/>
      <c r="O28" s="229"/>
      <c r="P28" s="80"/>
      <c r="Q28" s="80">
        <v>321000000</v>
      </c>
      <c r="R28" s="80"/>
      <c r="S28" s="80"/>
      <c r="T28" s="80"/>
      <c r="U28" s="80"/>
      <c r="V28" s="80">
        <v>388000000</v>
      </c>
      <c r="W28" s="80"/>
      <c r="X28" s="80"/>
      <c r="Y28" s="80"/>
      <c r="Z28" s="80"/>
      <c r="AA28" s="80">
        <v>596000000</v>
      </c>
      <c r="AB28" s="80"/>
      <c r="AC28" s="80"/>
      <c r="AD28" s="80"/>
      <c r="AE28" s="80"/>
      <c r="AF28" s="80">
        <v>72703500</v>
      </c>
      <c r="AG28" s="80">
        <v>170091500</v>
      </c>
      <c r="AH28" s="209"/>
      <c r="AI28" s="122"/>
      <c r="AJ28" s="204">
        <f>AG28/M28</f>
        <v>0.15603414942690591</v>
      </c>
      <c r="AK28" s="204">
        <f>(K28+AG28)/(J28+M28+Q28+V28+AA28)</f>
        <v>0.15423489027200993</v>
      </c>
      <c r="AL28" s="408"/>
      <c r="AM28" s="408"/>
      <c r="AN28" s="408"/>
      <c r="AO28" s="408"/>
      <c r="AP28" s="405"/>
    </row>
    <row r="29" spans="1:42" s="5" customFormat="1" ht="29.25" customHeight="1">
      <c r="A29" s="372"/>
      <c r="B29" s="375"/>
      <c r="C29" s="378"/>
      <c r="D29" s="381"/>
      <c r="E29" s="384"/>
      <c r="F29" s="381"/>
      <c r="G29" s="33" t="s">
        <v>11</v>
      </c>
      <c r="H29" s="80"/>
      <c r="I29" s="230"/>
      <c r="J29" s="231"/>
      <c r="K29" s="231">
        <v>0</v>
      </c>
      <c r="L29" s="80"/>
      <c r="M29" s="231"/>
      <c r="N29" s="231"/>
      <c r="O29" s="231"/>
      <c r="P29" s="80"/>
      <c r="Q29" s="80"/>
      <c r="R29" s="80"/>
      <c r="S29" s="80"/>
      <c r="T29" s="80"/>
      <c r="U29" s="80"/>
      <c r="V29" s="80"/>
      <c r="W29" s="80"/>
      <c r="X29" s="80"/>
      <c r="Y29" s="80"/>
      <c r="Z29" s="80"/>
      <c r="AA29" s="80"/>
      <c r="AB29" s="80"/>
      <c r="AC29" s="80"/>
      <c r="AD29" s="80"/>
      <c r="AE29" s="80"/>
      <c r="AF29" s="80">
        <v>0</v>
      </c>
      <c r="AG29" s="268"/>
      <c r="AH29" s="209"/>
      <c r="AI29" s="231"/>
      <c r="AJ29" s="204"/>
      <c r="AK29" s="204"/>
      <c r="AL29" s="408"/>
      <c r="AM29" s="408"/>
      <c r="AN29" s="408"/>
      <c r="AO29" s="408"/>
      <c r="AP29" s="405"/>
    </row>
    <row r="30" spans="1:42" s="5" customFormat="1" ht="29.25" customHeight="1">
      <c r="A30" s="372"/>
      <c r="B30" s="375"/>
      <c r="C30" s="378"/>
      <c r="D30" s="381"/>
      <c r="E30" s="384"/>
      <c r="F30" s="381"/>
      <c r="G30" s="33" t="s">
        <v>12</v>
      </c>
      <c r="H30" s="80"/>
      <c r="I30" s="230"/>
      <c r="J30" s="230"/>
      <c r="K30" s="230">
        <v>0</v>
      </c>
      <c r="L30" s="80">
        <v>208026241</v>
      </c>
      <c r="M30" s="307">
        <v>208026241</v>
      </c>
      <c r="N30" s="230"/>
      <c r="O30" s="230"/>
      <c r="P30" s="80"/>
      <c r="Q30" s="80"/>
      <c r="R30" s="80"/>
      <c r="S30" s="80"/>
      <c r="T30" s="80"/>
      <c r="U30" s="80"/>
      <c r="V30" s="80"/>
      <c r="W30" s="80"/>
      <c r="X30" s="80"/>
      <c r="Y30" s="80"/>
      <c r="Z30" s="80"/>
      <c r="AA30" s="80"/>
      <c r="AB30" s="84"/>
      <c r="AC30" s="84"/>
      <c r="AD30" s="84"/>
      <c r="AE30" s="84"/>
      <c r="AF30" s="84">
        <v>15489140</v>
      </c>
      <c r="AG30" s="84">
        <v>97039681</v>
      </c>
      <c r="AH30" s="209"/>
      <c r="AI30" s="230"/>
      <c r="AJ30" s="204"/>
      <c r="AK30" s="204"/>
      <c r="AL30" s="408"/>
      <c r="AM30" s="408"/>
      <c r="AN30" s="408"/>
      <c r="AO30" s="408"/>
      <c r="AP30" s="405"/>
    </row>
    <row r="31" spans="1:42" s="5" customFormat="1" ht="29.25" customHeight="1">
      <c r="A31" s="372"/>
      <c r="B31" s="375"/>
      <c r="C31" s="378"/>
      <c r="D31" s="381"/>
      <c r="E31" s="384"/>
      <c r="F31" s="381"/>
      <c r="G31" s="33" t="s">
        <v>13</v>
      </c>
      <c r="H31" s="268">
        <v>1</v>
      </c>
      <c r="I31" s="240">
        <v>0.1</v>
      </c>
      <c r="J31" s="239">
        <v>0.09</v>
      </c>
      <c r="K31" s="230">
        <v>8.5000000000000006E-2</v>
      </c>
      <c r="L31" s="240">
        <v>0.4</v>
      </c>
      <c r="M31" s="239">
        <v>0.36</v>
      </c>
      <c r="N31" s="230"/>
      <c r="O31" s="241"/>
      <c r="P31" s="80"/>
      <c r="Q31" s="240">
        <v>0.65</v>
      </c>
      <c r="R31" s="80"/>
      <c r="S31" s="80"/>
      <c r="T31" s="80"/>
      <c r="U31" s="80"/>
      <c r="V31" s="240">
        <v>0.9</v>
      </c>
      <c r="W31" s="80"/>
      <c r="X31" s="80"/>
      <c r="Y31" s="80"/>
      <c r="Z31" s="80"/>
      <c r="AA31" s="240">
        <v>1</v>
      </c>
      <c r="AB31" s="80"/>
      <c r="AC31" s="80"/>
      <c r="AD31" s="80"/>
      <c r="AE31" s="80"/>
      <c r="AF31" s="268">
        <v>0.05</v>
      </c>
      <c r="AG31" s="269">
        <v>0.14399999999999999</v>
      </c>
      <c r="AH31" s="209"/>
      <c r="AI31" s="230"/>
      <c r="AJ31" s="204"/>
      <c r="AK31" s="204"/>
      <c r="AL31" s="408"/>
      <c r="AM31" s="408"/>
      <c r="AN31" s="408"/>
      <c r="AO31" s="408"/>
      <c r="AP31" s="405"/>
    </row>
    <row r="32" spans="1:42" s="5" customFormat="1" ht="29.25" customHeight="1" thickBot="1">
      <c r="A32" s="373"/>
      <c r="B32" s="376"/>
      <c r="C32" s="379"/>
      <c r="D32" s="382"/>
      <c r="E32" s="385"/>
      <c r="F32" s="392"/>
      <c r="G32" s="34" t="s">
        <v>14</v>
      </c>
      <c r="H32" s="85">
        <f>H28</f>
        <v>2846648991</v>
      </c>
      <c r="I32" s="85">
        <f>+I28</f>
        <v>320000000</v>
      </c>
      <c r="J32" s="232">
        <v>274476263</v>
      </c>
      <c r="K32" s="232">
        <v>241648991</v>
      </c>
      <c r="L32" s="85">
        <v>1508026241</v>
      </c>
      <c r="M32" s="232">
        <v>1298117741</v>
      </c>
      <c r="N32" s="232">
        <f t="shared" ref="N32" si="0">+N28+N30</f>
        <v>0</v>
      </c>
      <c r="O32" s="232"/>
      <c r="P32" s="85"/>
      <c r="Q32" s="85">
        <f>Q28</f>
        <v>321000000</v>
      </c>
      <c r="R32" s="85"/>
      <c r="S32" s="85"/>
      <c r="T32" s="85"/>
      <c r="U32" s="85"/>
      <c r="V32" s="85">
        <f>V28</f>
        <v>388000000</v>
      </c>
      <c r="W32" s="85"/>
      <c r="X32" s="85"/>
      <c r="Y32" s="85"/>
      <c r="Z32" s="85"/>
      <c r="AA32" s="85">
        <f>AA28</f>
        <v>596000000</v>
      </c>
      <c r="AB32" s="85"/>
      <c r="AC32" s="85"/>
      <c r="AD32" s="85"/>
      <c r="AE32" s="85"/>
      <c r="AF32" s="85">
        <v>88192640</v>
      </c>
      <c r="AG32" s="84">
        <v>267131181</v>
      </c>
      <c r="AH32" s="211"/>
      <c r="AI32" s="123"/>
      <c r="AJ32" s="212"/>
      <c r="AK32" s="212"/>
      <c r="AL32" s="409"/>
      <c r="AM32" s="409"/>
      <c r="AN32" s="409"/>
      <c r="AO32" s="409"/>
      <c r="AP32" s="406"/>
    </row>
    <row r="33" spans="1:42" s="5" customFormat="1" ht="29.25" customHeight="1">
      <c r="A33" s="371" t="s">
        <v>196</v>
      </c>
      <c r="B33" s="377">
        <v>4</v>
      </c>
      <c r="C33" s="377" t="s">
        <v>216</v>
      </c>
      <c r="D33" s="389" t="s">
        <v>213</v>
      </c>
      <c r="E33" s="383">
        <f>+GESTIÓN!C15</f>
        <v>441</v>
      </c>
      <c r="F33" s="380">
        <v>193</v>
      </c>
      <c r="G33" s="58" t="s">
        <v>9</v>
      </c>
      <c r="H33" s="78">
        <v>4</v>
      </c>
      <c r="I33" s="112">
        <v>0.1</v>
      </c>
      <c r="J33" s="118">
        <v>0.1</v>
      </c>
      <c r="K33" s="86">
        <v>0</v>
      </c>
      <c r="L33" s="86">
        <v>1</v>
      </c>
      <c r="M33" s="86">
        <v>1</v>
      </c>
      <c r="N33" s="86"/>
      <c r="O33" s="86"/>
      <c r="P33" s="86"/>
      <c r="Q33" s="86">
        <v>2</v>
      </c>
      <c r="R33" s="86"/>
      <c r="S33" s="86"/>
      <c r="T33" s="86"/>
      <c r="U33" s="86"/>
      <c r="V33" s="86">
        <v>3</v>
      </c>
      <c r="W33" s="86"/>
      <c r="X33" s="86"/>
      <c r="Y33" s="86"/>
      <c r="Z33" s="86"/>
      <c r="AA33" s="86">
        <v>4</v>
      </c>
      <c r="AB33" s="86"/>
      <c r="AC33" s="86"/>
      <c r="AD33" s="86"/>
      <c r="AE33" s="86"/>
      <c r="AF33" s="112">
        <v>3.3000000000000002E-2</v>
      </c>
      <c r="AG33" s="112">
        <v>0.44330000000000003</v>
      </c>
      <c r="AH33" s="208"/>
      <c r="AI33" s="233"/>
      <c r="AJ33" s="200">
        <f>AG33/M33</f>
        <v>0.44330000000000003</v>
      </c>
      <c r="AK33" s="200">
        <f>AG33/H33</f>
        <v>0.11082500000000001</v>
      </c>
      <c r="AL33" s="407" t="s">
        <v>245</v>
      </c>
      <c r="AM33" s="407" t="s">
        <v>246</v>
      </c>
      <c r="AN33" s="407" t="s">
        <v>225</v>
      </c>
      <c r="AO33" s="407" t="s">
        <v>226</v>
      </c>
      <c r="AP33" s="410" t="s">
        <v>227</v>
      </c>
    </row>
    <row r="34" spans="1:42" s="5" customFormat="1" ht="29.25" customHeight="1">
      <c r="A34" s="372"/>
      <c r="B34" s="378"/>
      <c r="C34" s="378"/>
      <c r="D34" s="390"/>
      <c r="E34" s="384"/>
      <c r="F34" s="381"/>
      <c r="G34" s="33" t="s">
        <v>10</v>
      </c>
      <c r="H34" s="80">
        <f>K34+L34+Q34+V34+AA34</f>
        <v>7557134803</v>
      </c>
      <c r="I34" s="232">
        <v>555000000</v>
      </c>
      <c r="J34" s="229">
        <v>555000000</v>
      </c>
      <c r="K34" s="229">
        <v>424134803</v>
      </c>
      <c r="L34" s="229">
        <v>950000000</v>
      </c>
      <c r="M34" s="229">
        <v>950000000</v>
      </c>
      <c r="N34" s="229"/>
      <c r="O34" s="229"/>
      <c r="P34" s="80"/>
      <c r="Q34" s="80">
        <v>2321000000</v>
      </c>
      <c r="R34" s="80"/>
      <c r="S34" s="80"/>
      <c r="T34" s="80"/>
      <c r="U34" s="80"/>
      <c r="V34" s="80">
        <v>2507000000</v>
      </c>
      <c r="W34" s="80"/>
      <c r="X34" s="80"/>
      <c r="Y34" s="80"/>
      <c r="Z34" s="80"/>
      <c r="AA34" s="80">
        <v>1355000000</v>
      </c>
      <c r="AB34" s="80"/>
      <c r="AC34" s="80"/>
      <c r="AD34" s="80"/>
      <c r="AE34" s="80"/>
      <c r="AF34" s="80">
        <v>239720000</v>
      </c>
      <c r="AG34" s="80">
        <v>395349000</v>
      </c>
      <c r="AH34" s="209"/>
      <c r="AI34" s="229"/>
      <c r="AJ34" s="204">
        <f>AG34/M34</f>
        <v>0.41615684210526316</v>
      </c>
      <c r="AK34" s="204">
        <f>(K34+AG34)/(J34+M34+Q34+V34+AA34)</f>
        <v>0.10659258623829344</v>
      </c>
      <c r="AL34" s="408"/>
      <c r="AM34" s="408"/>
      <c r="AN34" s="408"/>
      <c r="AO34" s="408"/>
      <c r="AP34" s="411"/>
    </row>
    <row r="35" spans="1:42" s="5" customFormat="1" ht="29.25" customHeight="1">
      <c r="A35" s="372"/>
      <c r="B35" s="378"/>
      <c r="C35" s="378"/>
      <c r="D35" s="390"/>
      <c r="E35" s="384"/>
      <c r="F35" s="381"/>
      <c r="G35" s="33" t="s">
        <v>11</v>
      </c>
      <c r="H35" s="230"/>
      <c r="I35" s="230"/>
      <c r="J35" s="229">
        <v>0</v>
      </c>
      <c r="K35" s="231">
        <v>0</v>
      </c>
      <c r="L35" s="230"/>
      <c r="M35" s="231"/>
      <c r="N35" s="231"/>
      <c r="O35" s="231"/>
      <c r="P35" s="231"/>
      <c r="Q35" s="230"/>
      <c r="R35" s="80"/>
      <c r="S35" s="80"/>
      <c r="T35" s="80"/>
      <c r="U35" s="80"/>
      <c r="V35" s="230"/>
      <c r="W35" s="80"/>
      <c r="X35" s="80"/>
      <c r="Y35" s="80"/>
      <c r="Z35" s="80"/>
      <c r="AA35" s="230"/>
      <c r="AB35" s="80"/>
      <c r="AC35" s="80"/>
      <c r="AD35" s="80"/>
      <c r="AE35" s="80"/>
      <c r="AF35" s="272">
        <v>0</v>
      </c>
      <c r="AG35" s="80">
        <v>0</v>
      </c>
      <c r="AH35" s="209"/>
      <c r="AI35" s="231"/>
      <c r="AJ35" s="204"/>
      <c r="AK35" s="204"/>
      <c r="AL35" s="408"/>
      <c r="AM35" s="408"/>
      <c r="AN35" s="408"/>
      <c r="AO35" s="408"/>
      <c r="AP35" s="411"/>
    </row>
    <row r="36" spans="1:42" s="5" customFormat="1" ht="29.25" customHeight="1" thickBot="1">
      <c r="A36" s="372"/>
      <c r="B36" s="378"/>
      <c r="C36" s="378"/>
      <c r="D36" s="390"/>
      <c r="E36" s="384"/>
      <c r="F36" s="381"/>
      <c r="G36" s="33" t="s">
        <v>12</v>
      </c>
      <c r="H36" s="230"/>
      <c r="I36" s="234"/>
      <c r="J36" s="229">
        <v>0</v>
      </c>
      <c r="K36" s="229">
        <v>0</v>
      </c>
      <c r="L36" s="230">
        <v>348668387</v>
      </c>
      <c r="M36" s="229">
        <v>348668387</v>
      </c>
      <c r="N36" s="229"/>
      <c r="O36" s="229"/>
      <c r="P36" s="80"/>
      <c r="Q36" s="230"/>
      <c r="R36" s="80"/>
      <c r="S36" s="80"/>
      <c r="T36" s="80"/>
      <c r="U36" s="80"/>
      <c r="V36" s="230"/>
      <c r="W36" s="80"/>
      <c r="X36" s="80"/>
      <c r="Y36" s="80"/>
      <c r="Z36" s="80"/>
      <c r="AA36" s="230"/>
      <c r="AB36" s="80"/>
      <c r="AC36" s="80"/>
      <c r="AD36" s="80"/>
      <c r="AE36" s="80"/>
      <c r="AF36" s="80">
        <v>44626758</v>
      </c>
      <c r="AG36" s="80">
        <v>245476350</v>
      </c>
      <c r="AH36" s="209"/>
      <c r="AI36" s="235"/>
      <c r="AJ36" s="204"/>
      <c r="AK36" s="204"/>
      <c r="AL36" s="408"/>
      <c r="AM36" s="408"/>
      <c r="AN36" s="408"/>
      <c r="AO36" s="408"/>
      <c r="AP36" s="411"/>
    </row>
    <row r="37" spans="1:42" s="5" customFormat="1" ht="29.25" customHeight="1">
      <c r="A37" s="372"/>
      <c r="B37" s="378"/>
      <c r="C37" s="378"/>
      <c r="D37" s="390"/>
      <c r="E37" s="384"/>
      <c r="F37" s="381"/>
      <c r="G37" s="33" t="s">
        <v>13</v>
      </c>
      <c r="H37" s="78">
        <f>H33+H35</f>
        <v>4</v>
      </c>
      <c r="I37" s="112">
        <f>+I33</f>
        <v>0.1</v>
      </c>
      <c r="J37" s="118">
        <v>0.1</v>
      </c>
      <c r="K37" s="86">
        <v>0</v>
      </c>
      <c r="L37" s="86">
        <v>1</v>
      </c>
      <c r="M37" s="86">
        <v>1</v>
      </c>
      <c r="N37" s="86"/>
      <c r="O37" s="86"/>
      <c r="P37" s="86"/>
      <c r="Q37" s="86">
        <f>Q33+Q35</f>
        <v>2</v>
      </c>
      <c r="R37" s="86"/>
      <c r="S37" s="86"/>
      <c r="T37" s="86"/>
      <c r="U37" s="86"/>
      <c r="V37" s="86">
        <f>V33+V35</f>
        <v>3</v>
      </c>
      <c r="W37" s="86"/>
      <c r="X37" s="86"/>
      <c r="Y37" s="86"/>
      <c r="Z37" s="86"/>
      <c r="AA37" s="86">
        <f>AA33+AA35</f>
        <v>4</v>
      </c>
      <c r="AB37" s="80"/>
      <c r="AC37" s="80"/>
      <c r="AD37" s="80"/>
      <c r="AE37" s="80"/>
      <c r="AF37" s="80">
        <v>3.3000000000000002E-2</v>
      </c>
      <c r="AG37" s="272">
        <v>0.44330000000000003</v>
      </c>
      <c r="AH37" s="209"/>
      <c r="AI37" s="128"/>
      <c r="AJ37" s="204"/>
      <c r="AK37" s="204"/>
      <c r="AL37" s="408"/>
      <c r="AM37" s="408"/>
      <c r="AN37" s="408"/>
      <c r="AO37" s="408"/>
      <c r="AP37" s="411"/>
    </row>
    <row r="38" spans="1:42" s="5" customFormat="1" ht="29.25" customHeight="1" thickBot="1">
      <c r="A38" s="373"/>
      <c r="B38" s="379"/>
      <c r="C38" s="379"/>
      <c r="D38" s="391"/>
      <c r="E38" s="385"/>
      <c r="F38" s="392"/>
      <c r="G38" s="34" t="s">
        <v>14</v>
      </c>
      <c r="H38" s="273">
        <f>H34+H36</f>
        <v>7557134803</v>
      </c>
      <c r="I38" s="274">
        <f>+I34</f>
        <v>555000000</v>
      </c>
      <c r="J38" s="275">
        <v>555000000</v>
      </c>
      <c r="K38" s="275">
        <v>424134803</v>
      </c>
      <c r="L38" s="273">
        <v>1359229803</v>
      </c>
      <c r="M38" s="275">
        <v>1298668387</v>
      </c>
      <c r="N38" s="275"/>
      <c r="O38" s="275"/>
      <c r="P38" s="113"/>
      <c r="Q38" s="273">
        <f>Q34+Q36</f>
        <v>2321000000</v>
      </c>
      <c r="R38" s="113"/>
      <c r="S38" s="113"/>
      <c r="T38" s="113"/>
      <c r="U38" s="113"/>
      <c r="V38" s="273">
        <f>V34+V36</f>
        <v>2507000000</v>
      </c>
      <c r="W38" s="113"/>
      <c r="X38" s="113"/>
      <c r="Y38" s="113"/>
      <c r="Z38" s="113"/>
      <c r="AA38" s="273">
        <f>AA34+AA36</f>
        <v>1355000000</v>
      </c>
      <c r="AB38" s="85"/>
      <c r="AC38" s="85"/>
      <c r="AD38" s="85"/>
      <c r="AE38" s="85"/>
      <c r="AF38" s="85">
        <v>284346758</v>
      </c>
      <c r="AG38" s="84">
        <v>640825350</v>
      </c>
      <c r="AH38" s="211"/>
      <c r="AI38" s="236"/>
      <c r="AJ38" s="212"/>
      <c r="AK38" s="212"/>
      <c r="AL38" s="409"/>
      <c r="AM38" s="409"/>
      <c r="AN38" s="409"/>
      <c r="AO38" s="409"/>
      <c r="AP38" s="412"/>
    </row>
    <row r="39" spans="1:42" s="5" customFormat="1" ht="31.5" customHeight="1">
      <c r="A39" s="371" t="s">
        <v>197</v>
      </c>
      <c r="B39" s="374">
        <v>6</v>
      </c>
      <c r="C39" s="377" t="s">
        <v>217</v>
      </c>
      <c r="D39" s="389" t="s">
        <v>213</v>
      </c>
      <c r="E39" s="383">
        <f>+GESTIÓN!C15</f>
        <v>441</v>
      </c>
      <c r="F39" s="380">
        <v>193</v>
      </c>
      <c r="G39" s="58" t="s">
        <v>9</v>
      </c>
      <c r="H39" s="87">
        <v>1</v>
      </c>
      <c r="I39" s="224">
        <v>0.1</v>
      </c>
      <c r="J39" s="225">
        <v>0.1</v>
      </c>
      <c r="K39" s="226">
        <v>0.1</v>
      </c>
      <c r="L39" s="224">
        <v>0.4</v>
      </c>
      <c r="M39" s="225">
        <v>0.4</v>
      </c>
      <c r="N39" s="226"/>
      <c r="O39" s="227"/>
      <c r="P39" s="86"/>
      <c r="Q39" s="224">
        <v>0.65</v>
      </c>
      <c r="R39" s="86"/>
      <c r="S39" s="86"/>
      <c r="T39" s="86"/>
      <c r="U39" s="86"/>
      <c r="V39" s="224">
        <v>0.9</v>
      </c>
      <c r="W39" s="86"/>
      <c r="X39" s="86"/>
      <c r="Y39" s="86"/>
      <c r="Z39" s="86"/>
      <c r="AA39" s="237">
        <v>1</v>
      </c>
      <c r="AB39" s="86"/>
      <c r="AC39" s="86"/>
      <c r="AD39" s="86"/>
      <c r="AE39" s="92"/>
      <c r="AF39" s="200">
        <v>0.14000000000000001</v>
      </c>
      <c r="AG39" s="200">
        <v>0.23599999999999999</v>
      </c>
      <c r="AH39" s="213"/>
      <c r="AI39" s="238"/>
      <c r="AJ39" s="214">
        <f>AG39/M39</f>
        <v>0.59</v>
      </c>
      <c r="AK39" s="214">
        <f>AG39/H39</f>
        <v>0.23599999999999999</v>
      </c>
      <c r="AL39" s="407" t="s">
        <v>247</v>
      </c>
      <c r="AM39" s="407" t="s">
        <v>228</v>
      </c>
      <c r="AN39" s="407" t="s">
        <v>228</v>
      </c>
      <c r="AO39" s="407" t="s">
        <v>248</v>
      </c>
      <c r="AP39" s="410" t="s">
        <v>229</v>
      </c>
    </row>
    <row r="40" spans="1:42" s="5" customFormat="1" ht="31.5" customHeight="1">
      <c r="A40" s="372"/>
      <c r="B40" s="375"/>
      <c r="C40" s="378"/>
      <c r="D40" s="390"/>
      <c r="E40" s="384"/>
      <c r="F40" s="381"/>
      <c r="G40" s="33" t="s">
        <v>10</v>
      </c>
      <c r="H40" s="80">
        <f>K40+L40+Q40+V40+AA40</f>
        <v>7206115999</v>
      </c>
      <c r="I40" s="80">
        <v>2030000000</v>
      </c>
      <c r="J40" s="80">
        <v>2030000000</v>
      </c>
      <c r="K40" s="80">
        <v>1977115999</v>
      </c>
      <c r="L40" s="80">
        <v>600000000</v>
      </c>
      <c r="M40" s="80">
        <v>600000000</v>
      </c>
      <c r="N40" s="80"/>
      <c r="O40" s="202"/>
      <c r="P40" s="80"/>
      <c r="Q40" s="80">
        <v>1738000000</v>
      </c>
      <c r="R40" s="80"/>
      <c r="S40" s="80"/>
      <c r="T40" s="202"/>
      <c r="U40" s="80"/>
      <c r="V40" s="80">
        <v>1876000000</v>
      </c>
      <c r="W40" s="80"/>
      <c r="X40" s="80"/>
      <c r="Y40" s="202"/>
      <c r="Z40" s="80"/>
      <c r="AA40" s="80">
        <v>1015000000</v>
      </c>
      <c r="AB40" s="80"/>
      <c r="AC40" s="80"/>
      <c r="AD40" s="80"/>
      <c r="AE40" s="80"/>
      <c r="AF40" s="80">
        <v>72520000</v>
      </c>
      <c r="AG40" s="80">
        <v>136436000</v>
      </c>
      <c r="AH40" s="215"/>
      <c r="AI40" s="122"/>
      <c r="AJ40" s="216">
        <f>AG40/M40</f>
        <v>0.22739333333333334</v>
      </c>
      <c r="AK40" s="216">
        <f>(K40+AG40)/(J40+M40+Q40+V40+AA40)</f>
        <v>0.2911629699683152</v>
      </c>
      <c r="AL40" s="408"/>
      <c r="AM40" s="408"/>
      <c r="AN40" s="408"/>
      <c r="AO40" s="408"/>
      <c r="AP40" s="411"/>
    </row>
    <row r="41" spans="1:42" s="5" customFormat="1" ht="31.5" customHeight="1">
      <c r="A41" s="372"/>
      <c r="B41" s="375"/>
      <c r="C41" s="378"/>
      <c r="D41" s="390"/>
      <c r="E41" s="384"/>
      <c r="F41" s="381"/>
      <c r="G41" s="33" t="s">
        <v>11</v>
      </c>
      <c r="H41" s="230"/>
      <c r="I41" s="230"/>
      <c r="J41" s="82"/>
      <c r="K41" s="231">
        <v>0</v>
      </c>
      <c r="L41" s="230"/>
      <c r="M41" s="231"/>
      <c r="N41" s="231"/>
      <c r="O41" s="231"/>
      <c r="P41" s="231"/>
      <c r="Q41" s="230"/>
      <c r="R41" s="81"/>
      <c r="S41" s="81"/>
      <c r="T41" s="81"/>
      <c r="U41" s="81"/>
      <c r="V41" s="230"/>
      <c r="W41" s="81"/>
      <c r="X41" s="81"/>
      <c r="Y41" s="81"/>
      <c r="Z41" s="81"/>
      <c r="AA41" s="230"/>
      <c r="AB41" s="81"/>
      <c r="AC41" s="81"/>
      <c r="AD41" s="81"/>
      <c r="AE41" s="81"/>
      <c r="AF41" s="121">
        <v>0</v>
      </c>
      <c r="AG41" s="121">
        <v>0</v>
      </c>
      <c r="AH41" s="203"/>
      <c r="AI41" s="231"/>
      <c r="AJ41" s="204"/>
      <c r="AK41" s="204"/>
      <c r="AL41" s="408"/>
      <c r="AM41" s="408"/>
      <c r="AN41" s="408"/>
      <c r="AO41" s="408"/>
      <c r="AP41" s="411"/>
    </row>
    <row r="42" spans="1:42" s="5" customFormat="1" ht="31.5" customHeight="1">
      <c r="A42" s="372"/>
      <c r="B42" s="375"/>
      <c r="C42" s="378"/>
      <c r="D42" s="390"/>
      <c r="E42" s="384"/>
      <c r="F42" s="381"/>
      <c r="G42" s="33" t="s">
        <v>12</v>
      </c>
      <c r="H42" s="230"/>
      <c r="I42" s="230"/>
      <c r="J42" s="82"/>
      <c r="K42" s="81">
        <v>0</v>
      </c>
      <c r="L42" s="307">
        <v>1929387523</v>
      </c>
      <c r="M42" s="305">
        <v>1929387523</v>
      </c>
      <c r="N42" s="81"/>
      <c r="O42" s="81"/>
      <c r="P42" s="81"/>
      <c r="Q42" s="230"/>
      <c r="R42" s="81"/>
      <c r="S42" s="81"/>
      <c r="T42" s="81"/>
      <c r="U42" s="81"/>
      <c r="V42" s="230"/>
      <c r="W42" s="81"/>
      <c r="X42" s="81"/>
      <c r="Y42" s="81"/>
      <c r="Z42" s="81"/>
      <c r="AA42" s="230"/>
      <c r="AB42" s="81"/>
      <c r="AC42" s="81"/>
      <c r="AD42" s="81"/>
      <c r="AE42" s="81"/>
      <c r="AF42" s="80">
        <v>87821796</v>
      </c>
      <c r="AG42" s="80">
        <v>752915592</v>
      </c>
      <c r="AH42" s="203"/>
      <c r="AI42" s="81"/>
      <c r="AJ42" s="204"/>
      <c r="AK42" s="204"/>
      <c r="AL42" s="408"/>
      <c r="AM42" s="408"/>
      <c r="AN42" s="408"/>
      <c r="AO42" s="408"/>
      <c r="AP42" s="411"/>
    </row>
    <row r="43" spans="1:42" s="5" customFormat="1" ht="31.5" customHeight="1">
      <c r="A43" s="372"/>
      <c r="B43" s="375"/>
      <c r="C43" s="378"/>
      <c r="D43" s="390"/>
      <c r="E43" s="384"/>
      <c r="F43" s="381"/>
      <c r="G43" s="33" t="s">
        <v>13</v>
      </c>
      <c r="H43" s="239">
        <f>H39+H41</f>
        <v>1</v>
      </c>
      <c r="I43" s="240">
        <v>0.1</v>
      </c>
      <c r="J43" s="239">
        <v>0.1</v>
      </c>
      <c r="K43" s="230">
        <v>0.1</v>
      </c>
      <c r="L43" s="240">
        <v>0.4</v>
      </c>
      <c r="M43" s="239">
        <v>0.4</v>
      </c>
      <c r="N43" s="230"/>
      <c r="O43" s="241"/>
      <c r="P43" s="80"/>
      <c r="Q43" s="240">
        <v>0.65</v>
      </c>
      <c r="R43" s="80"/>
      <c r="S43" s="80"/>
      <c r="T43" s="80"/>
      <c r="U43" s="80"/>
      <c r="V43" s="240">
        <v>0.9</v>
      </c>
      <c r="W43" s="80"/>
      <c r="X43" s="80"/>
      <c r="Y43" s="80"/>
      <c r="Z43" s="80"/>
      <c r="AA43" s="242">
        <v>1</v>
      </c>
      <c r="AB43" s="80"/>
      <c r="AC43" s="80"/>
      <c r="AD43" s="80"/>
      <c r="AE43" s="80"/>
      <c r="AF43" s="204">
        <v>0.14000000000000001</v>
      </c>
      <c r="AG43" s="204">
        <v>0.23599999999999999</v>
      </c>
      <c r="AH43" s="203"/>
      <c r="AI43" s="204"/>
      <c r="AJ43" s="204"/>
      <c r="AK43" s="204"/>
      <c r="AL43" s="408"/>
      <c r="AM43" s="408"/>
      <c r="AN43" s="408"/>
      <c r="AO43" s="408"/>
      <c r="AP43" s="411"/>
    </row>
    <row r="44" spans="1:42" s="5" customFormat="1" ht="31.5" customHeight="1" thickBot="1">
      <c r="A44" s="373"/>
      <c r="B44" s="376"/>
      <c r="C44" s="379"/>
      <c r="D44" s="391"/>
      <c r="E44" s="385"/>
      <c r="F44" s="392"/>
      <c r="G44" s="34" t="s">
        <v>14</v>
      </c>
      <c r="H44" s="273">
        <f>H40+H42</f>
        <v>7206115999</v>
      </c>
      <c r="I44" s="274">
        <f>+I40</f>
        <v>2030000000</v>
      </c>
      <c r="J44" s="275">
        <v>2030000000</v>
      </c>
      <c r="K44" s="275">
        <v>1977115999</v>
      </c>
      <c r="L44" s="273">
        <v>2529387523</v>
      </c>
      <c r="M44" s="275">
        <v>2529387523</v>
      </c>
      <c r="N44" s="275"/>
      <c r="O44" s="275"/>
      <c r="P44" s="113"/>
      <c r="Q44" s="273">
        <f>Q40+Q42</f>
        <v>1738000000</v>
      </c>
      <c r="R44" s="113"/>
      <c r="S44" s="113"/>
      <c r="T44" s="113"/>
      <c r="U44" s="113"/>
      <c r="V44" s="273">
        <f>V40+V42</f>
        <v>1876000000</v>
      </c>
      <c r="W44" s="113"/>
      <c r="X44" s="113"/>
      <c r="Y44" s="113"/>
      <c r="Z44" s="113"/>
      <c r="AA44" s="273">
        <f>AA40+AA42</f>
        <v>1015000000</v>
      </c>
      <c r="AB44" s="85"/>
      <c r="AC44" s="85"/>
      <c r="AD44" s="85"/>
      <c r="AE44" s="85"/>
      <c r="AF44" s="85">
        <v>160341796</v>
      </c>
      <c r="AG44" s="84">
        <v>889351592</v>
      </c>
      <c r="AH44" s="211"/>
      <c r="AI44" s="243"/>
      <c r="AJ44" s="212"/>
      <c r="AK44" s="212"/>
      <c r="AL44" s="409"/>
      <c r="AM44" s="409"/>
      <c r="AN44" s="409"/>
      <c r="AO44" s="409"/>
      <c r="AP44" s="412"/>
    </row>
    <row r="45" spans="1:42" s="5" customFormat="1" ht="31.5" customHeight="1">
      <c r="A45" s="371" t="s">
        <v>198</v>
      </c>
      <c r="B45" s="374">
        <v>8</v>
      </c>
      <c r="C45" s="377" t="s">
        <v>218</v>
      </c>
      <c r="D45" s="380" t="s">
        <v>213</v>
      </c>
      <c r="E45" s="383">
        <f>+GESTIÓN!C15</f>
        <v>441</v>
      </c>
      <c r="F45" s="380">
        <v>193</v>
      </c>
      <c r="G45" s="32" t="s">
        <v>9</v>
      </c>
      <c r="H45" s="97">
        <v>1</v>
      </c>
      <c r="I45" s="202">
        <v>0.1</v>
      </c>
      <c r="J45" s="202">
        <v>0.1</v>
      </c>
      <c r="K45" s="110">
        <v>0.1</v>
      </c>
      <c r="L45" s="111">
        <v>0.4</v>
      </c>
      <c r="M45" s="111">
        <v>0.4</v>
      </c>
      <c r="N45" s="111"/>
      <c r="O45" s="111"/>
      <c r="P45" s="111"/>
      <c r="Q45" s="111">
        <v>0.7</v>
      </c>
      <c r="R45" s="111"/>
      <c r="S45" s="111"/>
      <c r="T45" s="111"/>
      <c r="U45" s="111"/>
      <c r="V45" s="111">
        <v>0.98</v>
      </c>
      <c r="W45" s="111"/>
      <c r="X45" s="111"/>
      <c r="Y45" s="111"/>
      <c r="Z45" s="111"/>
      <c r="AA45" s="111">
        <v>1</v>
      </c>
      <c r="AB45" s="98"/>
      <c r="AC45" s="98"/>
      <c r="AD45" s="98"/>
      <c r="AE45" s="98"/>
      <c r="AF45" s="200">
        <v>0.1</v>
      </c>
      <c r="AG45" s="200">
        <v>0.2</v>
      </c>
      <c r="AH45" s="214"/>
      <c r="AI45" s="129"/>
      <c r="AJ45" s="214">
        <f>AG45/M45</f>
        <v>0.5</v>
      </c>
      <c r="AK45" s="214">
        <f>AG45/H45</f>
        <v>0.2</v>
      </c>
      <c r="AL45" s="407" t="s">
        <v>249</v>
      </c>
      <c r="AM45" s="386" t="s">
        <v>250</v>
      </c>
      <c r="AN45" s="386" t="s">
        <v>251</v>
      </c>
      <c r="AO45" s="386" t="s">
        <v>252</v>
      </c>
      <c r="AP45" s="404" t="s">
        <v>253</v>
      </c>
    </row>
    <row r="46" spans="1:42" s="5" customFormat="1" ht="31.5" customHeight="1">
      <c r="A46" s="372"/>
      <c r="B46" s="375"/>
      <c r="C46" s="378"/>
      <c r="D46" s="381"/>
      <c r="E46" s="384"/>
      <c r="F46" s="381"/>
      <c r="G46" s="33" t="s">
        <v>10</v>
      </c>
      <c r="H46" s="80">
        <f>K46+L46+Q46+V46+AA46</f>
        <v>6125975502</v>
      </c>
      <c r="I46" s="107">
        <v>674264538</v>
      </c>
      <c r="J46" s="80">
        <v>566605117</v>
      </c>
      <c r="K46" s="80">
        <v>412975502</v>
      </c>
      <c r="L46" s="80">
        <v>1250000000</v>
      </c>
      <c r="M46" s="80">
        <v>1080000000</v>
      </c>
      <c r="N46" s="80"/>
      <c r="O46" s="80"/>
      <c r="P46" s="80"/>
      <c r="Q46" s="80">
        <v>1676000000</v>
      </c>
      <c r="R46" s="80"/>
      <c r="S46" s="80"/>
      <c r="T46" s="80"/>
      <c r="U46" s="80"/>
      <c r="V46" s="80">
        <v>1810000000</v>
      </c>
      <c r="W46" s="80"/>
      <c r="X46" s="80"/>
      <c r="Y46" s="80"/>
      <c r="Z46" s="80"/>
      <c r="AA46" s="80">
        <v>977000000</v>
      </c>
      <c r="AB46" s="80"/>
      <c r="AC46" s="80"/>
      <c r="AD46" s="80"/>
      <c r="AE46" s="80"/>
      <c r="AF46" s="80">
        <v>148420000</v>
      </c>
      <c r="AG46" s="80">
        <v>380978000</v>
      </c>
      <c r="AH46" s="215"/>
      <c r="AI46" s="122"/>
      <c r="AJ46" s="216">
        <f>AG46/M46</f>
        <v>0.35275740740740741</v>
      </c>
      <c r="AK46" s="216">
        <f>(K46+AG46)/(J46+M46+Q46+V46+AA46)</f>
        <v>0.12995168866001197</v>
      </c>
      <c r="AL46" s="408"/>
      <c r="AM46" s="387"/>
      <c r="AN46" s="387"/>
      <c r="AO46" s="387"/>
      <c r="AP46" s="405"/>
    </row>
    <row r="47" spans="1:42" s="5" customFormat="1" ht="31.5" customHeight="1">
      <c r="A47" s="372"/>
      <c r="B47" s="375"/>
      <c r="C47" s="378"/>
      <c r="D47" s="381"/>
      <c r="E47" s="384"/>
      <c r="F47" s="381"/>
      <c r="G47" s="33" t="s">
        <v>11</v>
      </c>
      <c r="H47" s="230"/>
      <c r="I47" s="81"/>
      <c r="J47" s="82"/>
      <c r="K47" s="82">
        <v>0</v>
      </c>
      <c r="L47" s="81"/>
      <c r="M47" s="82"/>
      <c r="N47" s="82"/>
      <c r="O47" s="82"/>
      <c r="P47" s="82"/>
      <c r="Q47" s="81"/>
      <c r="R47" s="82"/>
      <c r="S47" s="82"/>
      <c r="T47" s="82"/>
      <c r="U47" s="82"/>
      <c r="V47" s="81"/>
      <c r="W47" s="82"/>
      <c r="X47" s="82"/>
      <c r="Y47" s="82"/>
      <c r="Z47" s="82"/>
      <c r="AA47" s="81"/>
      <c r="AB47" s="82"/>
      <c r="AC47" s="82"/>
      <c r="AD47" s="82"/>
      <c r="AE47" s="82"/>
      <c r="AF47" s="121">
        <v>0</v>
      </c>
      <c r="AG47" s="121">
        <v>0</v>
      </c>
      <c r="AH47" s="203"/>
      <c r="AI47" s="81"/>
      <c r="AJ47" s="204"/>
      <c r="AK47" s="204"/>
      <c r="AL47" s="408"/>
      <c r="AM47" s="387"/>
      <c r="AN47" s="387"/>
      <c r="AO47" s="387"/>
      <c r="AP47" s="405"/>
    </row>
    <row r="48" spans="1:42" s="5" customFormat="1" ht="31.5" customHeight="1">
      <c r="A48" s="372"/>
      <c r="B48" s="375"/>
      <c r="C48" s="378"/>
      <c r="D48" s="381"/>
      <c r="E48" s="384"/>
      <c r="F48" s="381"/>
      <c r="G48" s="33" t="s">
        <v>12</v>
      </c>
      <c r="H48" s="230"/>
      <c r="I48" s="244"/>
      <c r="J48" s="82"/>
      <c r="K48" s="231">
        <v>0</v>
      </c>
      <c r="L48" s="308">
        <v>325677578</v>
      </c>
      <c r="M48" s="309">
        <v>322781321</v>
      </c>
      <c r="N48" s="231"/>
      <c r="O48" s="231"/>
      <c r="P48" s="231"/>
      <c r="Q48" s="81"/>
      <c r="R48" s="82"/>
      <c r="S48" s="82"/>
      <c r="T48" s="82"/>
      <c r="U48" s="82"/>
      <c r="V48" s="81"/>
      <c r="W48" s="82"/>
      <c r="X48" s="82"/>
      <c r="Y48" s="82"/>
      <c r="Z48" s="82"/>
      <c r="AA48" s="81"/>
      <c r="AB48" s="82"/>
      <c r="AC48" s="82"/>
      <c r="AD48" s="82"/>
      <c r="AE48" s="82"/>
      <c r="AF48" s="80">
        <v>21643420</v>
      </c>
      <c r="AG48" s="80">
        <v>72346415</v>
      </c>
      <c r="AH48" s="203"/>
      <c r="AI48" s="231"/>
      <c r="AJ48" s="204"/>
      <c r="AK48" s="204"/>
      <c r="AL48" s="408"/>
      <c r="AM48" s="387"/>
      <c r="AN48" s="387"/>
      <c r="AO48" s="387"/>
      <c r="AP48" s="405"/>
    </row>
    <row r="49" spans="1:42" s="5" customFormat="1" ht="31.5" customHeight="1">
      <c r="A49" s="372"/>
      <c r="B49" s="375"/>
      <c r="C49" s="378"/>
      <c r="D49" s="381"/>
      <c r="E49" s="384"/>
      <c r="F49" s="381"/>
      <c r="G49" s="33" t="s">
        <v>13</v>
      </c>
      <c r="H49" s="97">
        <f>H45+H47</f>
        <v>1</v>
      </c>
      <c r="I49" s="202">
        <f>+I45</f>
        <v>0.1</v>
      </c>
      <c r="J49" s="202">
        <v>0.1</v>
      </c>
      <c r="K49" s="202">
        <v>0.1</v>
      </c>
      <c r="L49" s="202">
        <v>0.4</v>
      </c>
      <c r="M49" s="202">
        <v>0.4</v>
      </c>
      <c r="N49" s="202"/>
      <c r="O49" s="202"/>
      <c r="P49" s="202"/>
      <c r="Q49" s="202">
        <f t="shared" ref="Q49:AA49" si="1">+Q45</f>
        <v>0.7</v>
      </c>
      <c r="R49" s="202">
        <f t="shared" si="1"/>
        <v>0</v>
      </c>
      <c r="S49" s="202">
        <f t="shared" si="1"/>
        <v>0</v>
      </c>
      <c r="T49" s="202">
        <f t="shared" si="1"/>
        <v>0</v>
      </c>
      <c r="U49" s="202">
        <f t="shared" si="1"/>
        <v>0</v>
      </c>
      <c r="V49" s="202">
        <f t="shared" si="1"/>
        <v>0.98</v>
      </c>
      <c r="W49" s="202">
        <f t="shared" si="1"/>
        <v>0</v>
      </c>
      <c r="X49" s="202">
        <f t="shared" si="1"/>
        <v>0</v>
      </c>
      <c r="Y49" s="202">
        <f t="shared" si="1"/>
        <v>0</v>
      </c>
      <c r="Z49" s="202">
        <f t="shared" si="1"/>
        <v>0</v>
      </c>
      <c r="AA49" s="202">
        <f t="shared" si="1"/>
        <v>1</v>
      </c>
      <c r="AB49" s="83"/>
      <c r="AC49" s="83"/>
      <c r="AD49" s="83"/>
      <c r="AE49" s="83"/>
      <c r="AF49" s="219">
        <v>0.1</v>
      </c>
      <c r="AG49" s="204">
        <v>0.2</v>
      </c>
      <c r="AH49" s="203"/>
      <c r="AI49" s="245"/>
      <c r="AJ49" s="204"/>
      <c r="AK49" s="204"/>
      <c r="AL49" s="408"/>
      <c r="AM49" s="387"/>
      <c r="AN49" s="387"/>
      <c r="AO49" s="387"/>
      <c r="AP49" s="405"/>
    </row>
    <row r="50" spans="1:42" s="5" customFormat="1" ht="31.5" customHeight="1" thickBot="1">
      <c r="A50" s="373"/>
      <c r="B50" s="376"/>
      <c r="C50" s="379"/>
      <c r="D50" s="382"/>
      <c r="E50" s="385"/>
      <c r="F50" s="392"/>
      <c r="G50" s="34" t="s">
        <v>14</v>
      </c>
      <c r="H50" s="276">
        <f>H46+H48</f>
        <v>6125975502</v>
      </c>
      <c r="I50" s="88">
        <f>+I46</f>
        <v>674264538</v>
      </c>
      <c r="J50" s="88">
        <v>566605117</v>
      </c>
      <c r="K50" s="88">
        <v>412975502</v>
      </c>
      <c r="L50" s="88">
        <v>1575677578</v>
      </c>
      <c r="M50" s="88">
        <v>1402781321</v>
      </c>
      <c r="N50" s="88"/>
      <c r="O50" s="88"/>
      <c r="P50" s="88"/>
      <c r="Q50" s="88">
        <f>+Q46</f>
        <v>1676000000</v>
      </c>
      <c r="R50" s="88"/>
      <c r="S50" s="88"/>
      <c r="T50" s="88"/>
      <c r="U50" s="88"/>
      <c r="V50" s="88">
        <f>+V46</f>
        <v>1810000000</v>
      </c>
      <c r="W50" s="88"/>
      <c r="X50" s="88"/>
      <c r="Y50" s="88"/>
      <c r="Z50" s="88"/>
      <c r="AA50" s="88">
        <f>+AA46</f>
        <v>977000000</v>
      </c>
      <c r="AB50" s="85"/>
      <c r="AC50" s="85"/>
      <c r="AD50" s="85"/>
      <c r="AE50" s="85"/>
      <c r="AF50" s="85">
        <v>170063420</v>
      </c>
      <c r="AG50" s="84">
        <v>453324415</v>
      </c>
      <c r="AH50" s="211"/>
      <c r="AI50" s="123"/>
      <c r="AJ50" s="212"/>
      <c r="AK50" s="212"/>
      <c r="AL50" s="409"/>
      <c r="AM50" s="388"/>
      <c r="AN50" s="388"/>
      <c r="AO50" s="388"/>
      <c r="AP50" s="406"/>
    </row>
    <row r="51" spans="1:42" s="5" customFormat="1" ht="31.5" customHeight="1">
      <c r="A51" s="371" t="s">
        <v>97</v>
      </c>
      <c r="B51" s="377">
        <v>10</v>
      </c>
      <c r="C51" s="377" t="s">
        <v>219</v>
      </c>
      <c r="D51" s="389" t="s">
        <v>213</v>
      </c>
      <c r="E51" s="383">
        <f>+GESTIÓN!C15</f>
        <v>441</v>
      </c>
      <c r="F51" s="380">
        <v>193</v>
      </c>
      <c r="G51" s="32" t="s">
        <v>9</v>
      </c>
      <c r="H51" s="97">
        <v>1</v>
      </c>
      <c r="I51" s="202">
        <v>0.05</v>
      </c>
      <c r="J51" s="119">
        <v>0.03</v>
      </c>
      <c r="K51" s="96">
        <v>0</v>
      </c>
      <c r="L51" s="202">
        <v>0.2</v>
      </c>
      <c r="M51" s="97">
        <v>0.3</v>
      </c>
      <c r="N51" s="96"/>
      <c r="O51" s="97"/>
      <c r="P51" s="96"/>
      <c r="Q51" s="97">
        <v>0.4</v>
      </c>
      <c r="R51" s="97"/>
      <c r="S51" s="97"/>
      <c r="T51" s="97"/>
      <c r="U51" s="97"/>
      <c r="V51" s="97">
        <v>0.7</v>
      </c>
      <c r="W51" s="96"/>
      <c r="X51" s="96"/>
      <c r="Y51" s="96"/>
      <c r="Z51" s="96"/>
      <c r="AA51" s="96">
        <v>1</v>
      </c>
      <c r="AB51" s="92"/>
      <c r="AC51" s="92"/>
      <c r="AD51" s="92"/>
      <c r="AE51" s="92"/>
      <c r="AF51" s="217">
        <v>7.0400000000000004E-2</v>
      </c>
      <c r="AG51" s="198">
        <v>0.16</v>
      </c>
      <c r="AH51" s="213"/>
      <c r="AI51" s="130"/>
      <c r="AJ51" s="214">
        <f>AG51/M51</f>
        <v>0.53333333333333333</v>
      </c>
      <c r="AK51" s="214">
        <f>AG51/H51</f>
        <v>0.16</v>
      </c>
      <c r="AL51" s="407" t="s">
        <v>230</v>
      </c>
      <c r="AM51" s="386" t="s">
        <v>231</v>
      </c>
      <c r="AN51" s="386" t="s">
        <v>232</v>
      </c>
      <c r="AO51" s="386" t="s">
        <v>233</v>
      </c>
      <c r="AP51" s="404" t="s">
        <v>234</v>
      </c>
    </row>
    <row r="52" spans="1:42" s="5" customFormat="1" ht="31.5" customHeight="1">
      <c r="A52" s="372"/>
      <c r="B52" s="378"/>
      <c r="C52" s="378"/>
      <c r="D52" s="390"/>
      <c r="E52" s="384"/>
      <c r="F52" s="381"/>
      <c r="G52" s="33" t="s">
        <v>10</v>
      </c>
      <c r="H52" s="80">
        <f>K52+L52+Q52+V52+AA52</f>
        <v>4722155621</v>
      </c>
      <c r="I52" s="80">
        <v>253000000</v>
      </c>
      <c r="J52" s="80">
        <v>173195636</v>
      </c>
      <c r="K52" s="80">
        <v>144155621</v>
      </c>
      <c r="L52" s="96">
        <v>750000000</v>
      </c>
      <c r="M52" s="80">
        <v>1530000000</v>
      </c>
      <c r="N52" s="80"/>
      <c r="O52" s="80"/>
      <c r="P52" s="80"/>
      <c r="Q52" s="80">
        <v>2037000000</v>
      </c>
      <c r="R52" s="80"/>
      <c r="S52" s="80"/>
      <c r="T52" s="80"/>
      <c r="U52" s="80"/>
      <c r="V52" s="80">
        <v>975000000</v>
      </c>
      <c r="W52" s="80"/>
      <c r="X52" s="80"/>
      <c r="Y52" s="80"/>
      <c r="Z52" s="80"/>
      <c r="AA52" s="80">
        <v>816000000</v>
      </c>
      <c r="AB52" s="80"/>
      <c r="AC52" s="80"/>
      <c r="AD52" s="80"/>
      <c r="AE52" s="80"/>
      <c r="AF52" s="80">
        <v>279631000</v>
      </c>
      <c r="AG52" s="80">
        <v>419284000</v>
      </c>
      <c r="AH52" s="215"/>
      <c r="AI52" s="122"/>
      <c r="AJ52" s="216">
        <f>AG52/M52</f>
        <v>0.27404183006535948</v>
      </c>
      <c r="AK52" s="216">
        <f>(K52+AG52)/(J52+M52+Q52+V52+AA52)</f>
        <v>0.10186579142723347</v>
      </c>
      <c r="AL52" s="408"/>
      <c r="AM52" s="387"/>
      <c r="AN52" s="387"/>
      <c r="AO52" s="387"/>
      <c r="AP52" s="405"/>
    </row>
    <row r="53" spans="1:42" s="5" customFormat="1" ht="31.5" customHeight="1">
      <c r="A53" s="372"/>
      <c r="B53" s="378"/>
      <c r="C53" s="378"/>
      <c r="D53" s="390"/>
      <c r="E53" s="384"/>
      <c r="F53" s="381"/>
      <c r="G53" s="33" t="s">
        <v>11</v>
      </c>
      <c r="H53" s="230"/>
      <c r="I53" s="230"/>
      <c r="J53" s="82"/>
      <c r="K53" s="82">
        <v>0</v>
      </c>
      <c r="L53" s="230"/>
      <c r="M53" s="82"/>
      <c r="N53" s="82"/>
      <c r="O53" s="82"/>
      <c r="P53" s="82"/>
      <c r="Q53" s="230"/>
      <c r="R53" s="82"/>
      <c r="S53" s="82"/>
      <c r="T53" s="82"/>
      <c r="U53" s="82"/>
      <c r="V53" s="230"/>
      <c r="W53" s="82"/>
      <c r="X53" s="82"/>
      <c r="Y53" s="82"/>
      <c r="Z53" s="82"/>
      <c r="AA53" s="230"/>
      <c r="AB53" s="82"/>
      <c r="AC53" s="82"/>
      <c r="AD53" s="82"/>
      <c r="AE53" s="82"/>
      <c r="AF53" s="121">
        <v>0</v>
      </c>
      <c r="AG53" s="121">
        <v>0</v>
      </c>
      <c r="AH53" s="203"/>
      <c r="AI53" s="81"/>
      <c r="AJ53" s="204"/>
      <c r="AK53" s="204"/>
      <c r="AL53" s="408"/>
      <c r="AM53" s="387"/>
      <c r="AN53" s="387"/>
      <c r="AO53" s="387"/>
      <c r="AP53" s="405"/>
    </row>
    <row r="54" spans="1:42" s="5" customFormat="1" ht="31.5" customHeight="1">
      <c r="A54" s="372"/>
      <c r="B54" s="378"/>
      <c r="C54" s="378"/>
      <c r="D54" s="390"/>
      <c r="E54" s="384"/>
      <c r="F54" s="381"/>
      <c r="G54" s="33" t="s">
        <v>12</v>
      </c>
      <c r="H54" s="230"/>
      <c r="I54" s="246"/>
      <c r="J54" s="82"/>
      <c r="K54" s="231">
        <v>0</v>
      </c>
      <c r="L54" s="230">
        <v>49215150</v>
      </c>
      <c r="M54" s="231">
        <v>49215150</v>
      </c>
      <c r="N54" s="231"/>
      <c r="O54" s="231"/>
      <c r="P54" s="231"/>
      <c r="Q54" s="230"/>
      <c r="R54" s="82"/>
      <c r="S54" s="82"/>
      <c r="T54" s="82"/>
      <c r="U54" s="82"/>
      <c r="V54" s="230"/>
      <c r="W54" s="82"/>
      <c r="X54" s="82"/>
      <c r="Y54" s="82"/>
      <c r="Z54" s="82"/>
      <c r="AA54" s="230"/>
      <c r="AB54" s="82"/>
      <c r="AC54" s="82"/>
      <c r="AD54" s="82"/>
      <c r="AE54" s="82"/>
      <c r="AF54" s="80">
        <v>29198088</v>
      </c>
      <c r="AG54" s="80">
        <v>43040712</v>
      </c>
      <c r="AH54" s="203"/>
      <c r="AI54" s="231"/>
      <c r="AJ54" s="204"/>
      <c r="AK54" s="204"/>
      <c r="AL54" s="408"/>
      <c r="AM54" s="387"/>
      <c r="AN54" s="387"/>
      <c r="AO54" s="387"/>
      <c r="AP54" s="405"/>
    </row>
    <row r="55" spans="1:42" s="5" customFormat="1" ht="31.5" customHeight="1">
      <c r="A55" s="372"/>
      <c r="B55" s="378"/>
      <c r="C55" s="378"/>
      <c r="D55" s="390"/>
      <c r="E55" s="384"/>
      <c r="F55" s="381"/>
      <c r="G55" s="33" t="s">
        <v>13</v>
      </c>
      <c r="H55" s="246">
        <f>H51+H53</f>
        <v>1</v>
      </c>
      <c r="I55" s="202">
        <f>+I51</f>
        <v>0.05</v>
      </c>
      <c r="J55" s="120">
        <v>0.03</v>
      </c>
      <c r="K55" s="83">
        <v>0</v>
      </c>
      <c r="L55" s="246">
        <v>0.2</v>
      </c>
      <c r="M55" s="310">
        <v>0.3</v>
      </c>
      <c r="N55" s="83"/>
      <c r="O55" s="83"/>
      <c r="P55" s="83"/>
      <c r="Q55" s="246">
        <f>Q51+Q53</f>
        <v>0.4</v>
      </c>
      <c r="R55" s="83"/>
      <c r="S55" s="83"/>
      <c r="T55" s="83"/>
      <c r="U55" s="83"/>
      <c r="V55" s="246">
        <f>V51+V53</f>
        <v>0.7</v>
      </c>
      <c r="W55" s="83"/>
      <c r="X55" s="83"/>
      <c r="Y55" s="83"/>
      <c r="Z55" s="83"/>
      <c r="AA55" s="246">
        <f>AA51+AA53</f>
        <v>1</v>
      </c>
      <c r="AB55" s="83"/>
      <c r="AC55" s="83"/>
      <c r="AD55" s="83"/>
      <c r="AE55" s="83"/>
      <c r="AF55" s="218">
        <v>7.0400000000000004E-2</v>
      </c>
      <c r="AG55" s="121">
        <v>0.16</v>
      </c>
      <c r="AH55" s="203"/>
      <c r="AI55" s="131"/>
      <c r="AJ55" s="204"/>
      <c r="AK55" s="204"/>
      <c r="AL55" s="408"/>
      <c r="AM55" s="387"/>
      <c r="AN55" s="387"/>
      <c r="AO55" s="387"/>
      <c r="AP55" s="405"/>
    </row>
    <row r="56" spans="1:42" s="5" customFormat="1" ht="31.5" customHeight="1" thickBot="1">
      <c r="A56" s="442"/>
      <c r="B56" s="443"/>
      <c r="C56" s="443"/>
      <c r="D56" s="444"/>
      <c r="E56" s="385"/>
      <c r="F56" s="392"/>
      <c r="G56" s="35" t="s">
        <v>14</v>
      </c>
      <c r="H56" s="276">
        <f>H52+H54</f>
        <v>4722155621</v>
      </c>
      <c r="I56" s="276">
        <f>I52+I53</f>
        <v>253000000</v>
      </c>
      <c r="J56" s="88">
        <v>173195636</v>
      </c>
      <c r="K56" s="88">
        <v>144155621</v>
      </c>
      <c r="L56" s="276">
        <v>799215150</v>
      </c>
      <c r="M56" s="88">
        <v>1579215150</v>
      </c>
      <c r="N56" s="88"/>
      <c r="O56" s="88"/>
      <c r="P56" s="88"/>
      <c r="Q56" s="276">
        <f>Q52+Q54</f>
        <v>2037000000</v>
      </c>
      <c r="R56" s="88"/>
      <c r="S56" s="88"/>
      <c r="T56" s="88"/>
      <c r="U56" s="88"/>
      <c r="V56" s="276">
        <f>V52+V54</f>
        <v>975000000</v>
      </c>
      <c r="W56" s="88"/>
      <c r="X56" s="88"/>
      <c r="Y56" s="88"/>
      <c r="Z56" s="88"/>
      <c r="AA56" s="276">
        <f>AA52+AA54</f>
        <v>816000000</v>
      </c>
      <c r="AB56" s="85"/>
      <c r="AC56" s="85"/>
      <c r="AD56" s="85"/>
      <c r="AE56" s="85"/>
      <c r="AF56" s="85">
        <v>308829088</v>
      </c>
      <c r="AG56" s="84">
        <v>462324712</v>
      </c>
      <c r="AH56" s="211"/>
      <c r="AI56" s="123"/>
      <c r="AJ56" s="212"/>
      <c r="AK56" s="212"/>
      <c r="AL56" s="409"/>
      <c r="AM56" s="388"/>
      <c r="AN56" s="388"/>
      <c r="AO56" s="388"/>
      <c r="AP56" s="406"/>
    </row>
    <row r="57" spans="1:42" s="5" customFormat="1" ht="31.5" customHeight="1">
      <c r="A57" s="108"/>
      <c r="B57" s="377">
        <v>11</v>
      </c>
      <c r="C57" s="377" t="s">
        <v>220</v>
      </c>
      <c r="D57" s="417" t="s">
        <v>213</v>
      </c>
      <c r="E57" s="383">
        <v>441</v>
      </c>
      <c r="F57" s="380">
        <v>193</v>
      </c>
      <c r="G57" s="32" t="s">
        <v>9</v>
      </c>
      <c r="H57" s="234">
        <v>4</v>
      </c>
      <c r="I57" s="202">
        <v>0.1</v>
      </c>
      <c r="J57" s="247">
        <v>0.1</v>
      </c>
      <c r="K57" s="248">
        <v>0</v>
      </c>
      <c r="L57" s="249">
        <v>1</v>
      </c>
      <c r="M57" s="249">
        <v>1</v>
      </c>
      <c r="N57" s="248"/>
      <c r="O57" s="248"/>
      <c r="P57" s="109"/>
      <c r="Q57" s="249">
        <v>2</v>
      </c>
      <c r="R57" s="109"/>
      <c r="S57" s="109"/>
      <c r="T57" s="109"/>
      <c r="U57" s="109"/>
      <c r="V57" s="249">
        <v>3</v>
      </c>
      <c r="W57" s="109"/>
      <c r="X57" s="109"/>
      <c r="Y57" s="109"/>
      <c r="Z57" s="109"/>
      <c r="AA57" s="249">
        <v>4</v>
      </c>
      <c r="AB57" s="80"/>
      <c r="AC57" s="80"/>
      <c r="AD57" s="80"/>
      <c r="AE57" s="80"/>
      <c r="AF57" s="80">
        <v>2.5000000000000001E-2</v>
      </c>
      <c r="AG57" s="272">
        <v>0.12</v>
      </c>
      <c r="AH57" s="209"/>
      <c r="AI57" s="233"/>
      <c r="AJ57" s="204">
        <f>AG57/M57</f>
        <v>0.12</v>
      </c>
      <c r="AK57" s="204">
        <f>AG57/H57</f>
        <v>0.03</v>
      </c>
      <c r="AL57" s="407" t="s">
        <v>254</v>
      </c>
      <c r="AM57" s="386" t="s">
        <v>255</v>
      </c>
      <c r="AN57" s="386" t="s">
        <v>256</v>
      </c>
      <c r="AO57" s="386" t="s">
        <v>257</v>
      </c>
      <c r="AP57" s="404" t="s">
        <v>258</v>
      </c>
    </row>
    <row r="58" spans="1:42" s="5" customFormat="1" ht="31.5" customHeight="1">
      <c r="A58" s="108"/>
      <c r="B58" s="378"/>
      <c r="C58" s="378"/>
      <c r="D58" s="418"/>
      <c r="E58" s="384"/>
      <c r="F58" s="381"/>
      <c r="G58" s="33" t="s">
        <v>10</v>
      </c>
      <c r="H58" s="80">
        <f>K58+L58+Q58+V58+AA58</f>
        <v>6135287429</v>
      </c>
      <c r="I58" s="107">
        <v>390923675</v>
      </c>
      <c r="J58" s="80">
        <v>390923675</v>
      </c>
      <c r="K58" s="80">
        <v>317287429</v>
      </c>
      <c r="L58" s="80">
        <v>1700000000</v>
      </c>
      <c r="M58" s="80">
        <v>1679909000</v>
      </c>
      <c r="N58" s="80"/>
      <c r="O58" s="80"/>
      <c r="P58" s="80"/>
      <c r="Q58" s="80">
        <v>1546000000</v>
      </c>
      <c r="R58" s="80"/>
      <c r="S58" s="80"/>
      <c r="T58" s="80"/>
      <c r="U58" s="80"/>
      <c r="V58" s="80">
        <v>1669000000</v>
      </c>
      <c r="W58" s="80"/>
      <c r="X58" s="80"/>
      <c r="Y58" s="80"/>
      <c r="Z58" s="80"/>
      <c r="AA58" s="80">
        <v>903000000</v>
      </c>
      <c r="AB58" s="80"/>
      <c r="AC58" s="80"/>
      <c r="AD58" s="80"/>
      <c r="AE58" s="80"/>
      <c r="AF58" s="80">
        <v>0</v>
      </c>
      <c r="AG58" s="80">
        <v>87320000</v>
      </c>
      <c r="AH58" s="209"/>
      <c r="AI58" s="122"/>
      <c r="AJ58" s="219">
        <f>AG58/M58</f>
        <v>5.1979006005682449E-2</v>
      </c>
      <c r="AK58" s="204">
        <f>(K58+AG58)/(J58+M58+Q58+V58+AA58)</f>
        <v>6.5377018615226976E-2</v>
      </c>
      <c r="AL58" s="408"/>
      <c r="AM58" s="387"/>
      <c r="AN58" s="387"/>
      <c r="AO58" s="387"/>
      <c r="AP58" s="405"/>
    </row>
    <row r="59" spans="1:42" s="5" customFormat="1" ht="31.5" customHeight="1">
      <c r="A59" s="108"/>
      <c r="B59" s="378"/>
      <c r="C59" s="378"/>
      <c r="D59" s="418"/>
      <c r="E59" s="384"/>
      <c r="F59" s="381"/>
      <c r="G59" s="33" t="s">
        <v>11</v>
      </c>
      <c r="H59" s="230"/>
      <c r="I59" s="230"/>
      <c r="J59" s="81"/>
      <c r="K59" s="81">
        <v>0</v>
      </c>
      <c r="L59" s="230"/>
      <c r="M59" s="81"/>
      <c r="N59" s="81"/>
      <c r="O59" s="81"/>
      <c r="P59" s="81"/>
      <c r="Q59" s="230"/>
      <c r="R59" s="81"/>
      <c r="S59" s="81"/>
      <c r="T59" s="81"/>
      <c r="U59" s="81"/>
      <c r="V59" s="230"/>
      <c r="W59" s="81"/>
      <c r="X59" s="81"/>
      <c r="Y59" s="81"/>
      <c r="Z59" s="81"/>
      <c r="AA59" s="230"/>
      <c r="AB59" s="80"/>
      <c r="AC59" s="80"/>
      <c r="AD59" s="80"/>
      <c r="AE59" s="80"/>
      <c r="AF59" s="80"/>
      <c r="AG59" s="80">
        <v>0</v>
      </c>
      <c r="AH59" s="209"/>
      <c r="AI59" s="81"/>
      <c r="AJ59" s="204"/>
      <c r="AK59" s="204"/>
      <c r="AL59" s="408"/>
      <c r="AM59" s="387"/>
      <c r="AN59" s="387"/>
      <c r="AO59" s="387"/>
      <c r="AP59" s="405"/>
    </row>
    <row r="60" spans="1:42" s="5" customFormat="1" ht="31.5" customHeight="1">
      <c r="A60" s="108"/>
      <c r="B60" s="378"/>
      <c r="C60" s="378"/>
      <c r="D60" s="418"/>
      <c r="E60" s="384"/>
      <c r="F60" s="381"/>
      <c r="G60" s="33" t="s">
        <v>12</v>
      </c>
      <c r="H60" s="230"/>
      <c r="I60" s="234"/>
      <c r="J60" s="81"/>
      <c r="K60" s="231">
        <v>0</v>
      </c>
      <c r="L60" s="230">
        <v>317287429</v>
      </c>
      <c r="M60" s="231">
        <v>317287429</v>
      </c>
      <c r="N60" s="231"/>
      <c r="O60" s="231"/>
      <c r="P60" s="231"/>
      <c r="Q60" s="230"/>
      <c r="R60" s="81"/>
      <c r="S60" s="81"/>
      <c r="T60" s="81"/>
      <c r="U60" s="81"/>
      <c r="V60" s="230"/>
      <c r="W60" s="81"/>
      <c r="X60" s="81"/>
      <c r="Y60" s="81"/>
      <c r="Z60" s="81"/>
      <c r="AA60" s="230"/>
      <c r="AB60" s="80"/>
      <c r="AC60" s="80"/>
      <c r="AD60" s="80"/>
      <c r="AE60" s="80"/>
      <c r="AF60" s="80">
        <v>0</v>
      </c>
      <c r="AG60" s="80">
        <v>0</v>
      </c>
      <c r="AH60" s="209"/>
      <c r="AI60" s="231"/>
      <c r="AJ60" s="204"/>
      <c r="AK60" s="204"/>
      <c r="AL60" s="408"/>
      <c r="AM60" s="387"/>
      <c r="AN60" s="387"/>
      <c r="AO60" s="387"/>
      <c r="AP60" s="405"/>
    </row>
    <row r="61" spans="1:42" s="5" customFormat="1" ht="31.5" customHeight="1">
      <c r="A61" s="108"/>
      <c r="B61" s="378"/>
      <c r="C61" s="378"/>
      <c r="D61" s="418"/>
      <c r="E61" s="384"/>
      <c r="F61" s="381"/>
      <c r="G61" s="33" t="s">
        <v>13</v>
      </c>
      <c r="H61" s="234">
        <f>H57+H59</f>
        <v>4</v>
      </c>
      <c r="I61" s="133">
        <f>+I57</f>
        <v>0.1</v>
      </c>
      <c r="J61" s="247">
        <v>0.1</v>
      </c>
      <c r="K61" s="229">
        <v>0</v>
      </c>
      <c r="L61" s="234">
        <v>1</v>
      </c>
      <c r="M61" s="234">
        <v>1</v>
      </c>
      <c r="N61" s="229"/>
      <c r="O61" s="229"/>
      <c r="P61" s="80"/>
      <c r="Q61" s="234">
        <f>Q57+Q59</f>
        <v>2</v>
      </c>
      <c r="R61" s="80"/>
      <c r="S61" s="80"/>
      <c r="T61" s="80"/>
      <c r="U61" s="80"/>
      <c r="V61" s="234">
        <f>V57+V59</f>
        <v>3</v>
      </c>
      <c r="W61" s="80"/>
      <c r="X61" s="80"/>
      <c r="Y61" s="80"/>
      <c r="Z61" s="80"/>
      <c r="AA61" s="234">
        <f>AA57+AA59</f>
        <v>4</v>
      </c>
      <c r="AB61" s="80"/>
      <c r="AC61" s="80"/>
      <c r="AD61" s="80"/>
      <c r="AE61" s="80"/>
      <c r="AF61" s="80">
        <v>2.5000000000000001E-2</v>
      </c>
      <c r="AG61" s="272">
        <v>0.12</v>
      </c>
      <c r="AH61" s="209"/>
      <c r="AI61" s="250"/>
      <c r="AJ61" s="204"/>
      <c r="AK61" s="204"/>
      <c r="AL61" s="408"/>
      <c r="AM61" s="387"/>
      <c r="AN61" s="387"/>
      <c r="AO61" s="387"/>
      <c r="AP61" s="405"/>
    </row>
    <row r="62" spans="1:42" s="5" customFormat="1" ht="31.5" customHeight="1" thickBot="1">
      <c r="A62" s="108"/>
      <c r="B62" s="379"/>
      <c r="C62" s="379"/>
      <c r="D62" s="419"/>
      <c r="E62" s="385"/>
      <c r="F62" s="392"/>
      <c r="G62" s="34" t="s">
        <v>14</v>
      </c>
      <c r="H62" s="277">
        <f>H58+H60</f>
        <v>6135287429</v>
      </c>
      <c r="I62" s="278">
        <f>+I58</f>
        <v>390923675</v>
      </c>
      <c r="J62" s="278">
        <v>390923675</v>
      </c>
      <c r="K62" s="113">
        <v>317287429</v>
      </c>
      <c r="L62" s="113">
        <v>2110393243</v>
      </c>
      <c r="M62" s="113">
        <v>1997196429</v>
      </c>
      <c r="N62" s="113"/>
      <c r="O62" s="113"/>
      <c r="P62" s="113"/>
      <c r="Q62" s="113">
        <f>Q59+Q58</f>
        <v>1546000000</v>
      </c>
      <c r="R62" s="113"/>
      <c r="S62" s="113"/>
      <c r="T62" s="113"/>
      <c r="U62" s="113"/>
      <c r="V62" s="113">
        <f>V59+V58</f>
        <v>1669000000</v>
      </c>
      <c r="W62" s="113"/>
      <c r="X62" s="113"/>
      <c r="Y62" s="113"/>
      <c r="Z62" s="113"/>
      <c r="AA62" s="113">
        <f>AA59+AA58</f>
        <v>903000000</v>
      </c>
      <c r="AB62" s="88"/>
      <c r="AC62" s="88"/>
      <c r="AD62" s="88"/>
      <c r="AE62" s="88"/>
      <c r="AF62" s="88">
        <v>0</v>
      </c>
      <c r="AG62" s="80">
        <v>87320000</v>
      </c>
      <c r="AH62" s="209"/>
      <c r="AI62" s="132"/>
      <c r="AJ62" s="204"/>
      <c r="AK62" s="204"/>
      <c r="AL62" s="409"/>
      <c r="AM62" s="388"/>
      <c r="AN62" s="388"/>
      <c r="AO62" s="388"/>
      <c r="AP62" s="406"/>
    </row>
    <row r="63" spans="1:42" ht="31.5" customHeight="1">
      <c r="A63" s="445" t="s">
        <v>15</v>
      </c>
      <c r="B63" s="446"/>
      <c r="C63" s="446"/>
      <c r="D63" s="446"/>
      <c r="E63" s="446"/>
      <c r="F63" s="447"/>
      <c r="G63" s="36" t="s">
        <v>10</v>
      </c>
      <c r="H63" s="279">
        <f t="shared" ref="H63:J64" si="2">+H10+H16+H28+H34+H40+H46+H52+H58</f>
        <v>45890426341</v>
      </c>
      <c r="I63" s="279">
        <f t="shared" si="2"/>
        <v>5046188213</v>
      </c>
      <c r="J63" s="279">
        <f t="shared" si="2"/>
        <v>5046188213</v>
      </c>
      <c r="K63" s="279">
        <f t="shared" ref="K63:L63" si="3">+K10+K16+K28+K34+K40+K46+K52+K58</f>
        <v>4209803341</v>
      </c>
      <c r="L63" s="279">
        <f t="shared" si="3"/>
        <v>11937623000</v>
      </c>
      <c r="M63" s="279">
        <f t="shared" ref="M63" si="4">+M10+M16+M28+M34+M40+M46+M52+M58</f>
        <v>11937623000</v>
      </c>
      <c r="N63" s="279"/>
      <c r="O63" s="279"/>
      <c r="P63" s="279"/>
      <c r="Q63" s="279">
        <f>+Q10+Q16+Q28+Q34+Q40+Q46+Q52+Q58</f>
        <v>11627000000</v>
      </c>
      <c r="R63" s="279"/>
      <c r="S63" s="279"/>
      <c r="T63" s="279"/>
      <c r="U63" s="279"/>
      <c r="V63" s="279">
        <f>+V10+V16+V28+V34+V40+V46+V52+V58</f>
        <v>11296000000</v>
      </c>
      <c r="W63" s="279"/>
      <c r="X63" s="279"/>
      <c r="Y63" s="279"/>
      <c r="Z63" s="279"/>
      <c r="AA63" s="279">
        <f>+AA10+AA16+AA28+AA34+AA40+AA46+AA52+AA58</f>
        <v>6820000000</v>
      </c>
      <c r="AB63" s="279"/>
      <c r="AC63" s="279"/>
      <c r="AD63" s="279"/>
      <c r="AE63" s="279"/>
      <c r="AF63" s="280">
        <f t="shared" ref="AF63:AG63" si="5">+AF10+AF16+AF28+AF34+AF40+AF46+AF52+AF58</f>
        <v>961477000</v>
      </c>
      <c r="AG63" s="251">
        <f t="shared" si="5"/>
        <v>2226871500</v>
      </c>
      <c r="AH63" s="252"/>
      <c r="AI63" s="251">
        <f>+AI10+AI16+AI28+AI34+AI40+AI46+AI52+AI58</f>
        <v>0</v>
      </c>
      <c r="AJ63" s="253"/>
      <c r="AK63" s="220"/>
      <c r="AL63" s="220"/>
      <c r="AM63" s="220"/>
      <c r="AN63" s="220"/>
      <c r="AO63" s="220"/>
      <c r="AP63" s="221"/>
    </row>
    <row r="64" spans="1:42" ht="28.5" customHeight="1">
      <c r="A64" s="445"/>
      <c r="B64" s="446"/>
      <c r="C64" s="446"/>
      <c r="D64" s="446"/>
      <c r="E64" s="446"/>
      <c r="F64" s="447"/>
      <c r="G64" s="33" t="s">
        <v>12</v>
      </c>
      <c r="H64" s="279">
        <f t="shared" si="2"/>
        <v>0</v>
      </c>
      <c r="I64" s="279">
        <f t="shared" si="2"/>
        <v>0</v>
      </c>
      <c r="J64" s="281">
        <f t="shared" si="2"/>
        <v>0</v>
      </c>
      <c r="K64" s="281">
        <f t="shared" ref="K64" si="6">+K11+K17+K29+K35+K41+K47+K53+K59</f>
        <v>0</v>
      </c>
      <c r="L64" s="279">
        <f>+L12+L30+L36+L42+L48+L54+L60</f>
        <v>3741718881</v>
      </c>
      <c r="M64" s="304">
        <f>+M12+M30+M36+M42+M48+M54+M60</f>
        <v>3738822624</v>
      </c>
      <c r="N64" s="282"/>
      <c r="O64" s="282"/>
      <c r="P64" s="282"/>
      <c r="Q64" s="279">
        <f>+Q11+Q17+Q29+Q35+Q41+Q47+Q53+Q59</f>
        <v>0</v>
      </c>
      <c r="R64" s="282"/>
      <c r="S64" s="282"/>
      <c r="T64" s="282"/>
      <c r="U64" s="282"/>
      <c r="V64" s="279">
        <f>+V11+V17+V29+V35+V41+V47+V53+V59</f>
        <v>0</v>
      </c>
      <c r="W64" s="282"/>
      <c r="X64" s="282"/>
      <c r="Y64" s="282"/>
      <c r="Z64" s="282"/>
      <c r="AA64" s="279">
        <f>+AA11+AA17+AA29+AA35+AA41+AA47+AA53+AA59</f>
        <v>0</v>
      </c>
      <c r="AB64" s="282"/>
      <c r="AC64" s="282"/>
      <c r="AD64" s="282"/>
      <c r="AE64" s="282"/>
      <c r="AF64" s="283">
        <f>+AF12+AF30+AF36+AF42+AF48+AF54+AF60</f>
        <v>245164932</v>
      </c>
      <c r="AG64" s="254">
        <f>+AG12+AG30+AG36+AG42+AG48+AG54+AG60</f>
        <v>1450354514</v>
      </c>
      <c r="AH64" s="255"/>
      <c r="AI64" s="256">
        <f>+AI11+AI17+AI29+AI35+AI41+AI47+AI53+AI59</f>
        <v>0</v>
      </c>
      <c r="AJ64" s="220"/>
      <c r="AK64" s="220"/>
      <c r="AL64" s="220"/>
      <c r="AM64" s="220"/>
      <c r="AN64" s="220"/>
      <c r="AO64" s="220"/>
      <c r="AP64" s="221"/>
    </row>
    <row r="65" spans="1:46" ht="35.25" customHeight="1" thickBot="1">
      <c r="A65" s="448"/>
      <c r="B65" s="449"/>
      <c r="C65" s="449"/>
      <c r="D65" s="449"/>
      <c r="E65" s="449"/>
      <c r="F65" s="450"/>
      <c r="G65" s="35" t="s">
        <v>15</v>
      </c>
      <c r="H65" s="279">
        <f>+H14+H20+H32+H38+H44+H50+H56+H62</f>
        <v>45890426341</v>
      </c>
      <c r="I65" s="279">
        <f>+I14+I20+I32+I38+I44+I50+I56+I62</f>
        <v>5046188213</v>
      </c>
      <c r="J65" s="257">
        <f>+J14+J20+J32+J38+J44+J50+J56+J62</f>
        <v>5046188213</v>
      </c>
      <c r="K65" s="257">
        <f>+K14+K20+K32+K38+K44+K50+K56+K62</f>
        <v>4209803341</v>
      </c>
      <c r="L65" s="279">
        <f>+L63+L64</f>
        <v>15679341881</v>
      </c>
      <c r="M65" s="257">
        <f>+M63+M64</f>
        <v>15676445624</v>
      </c>
      <c r="N65" s="257"/>
      <c r="O65" s="257"/>
      <c r="P65" s="257"/>
      <c r="Q65" s="279">
        <f>+Q14+Q20+Q32+Q38+Q44+Q50+Q56+Q62</f>
        <v>11627000000</v>
      </c>
      <c r="R65" s="257"/>
      <c r="S65" s="257"/>
      <c r="T65" s="257"/>
      <c r="U65" s="257"/>
      <c r="V65" s="279">
        <f>+V14+V20+V32+V38+V44+V50+V56+V62</f>
        <v>11296000000</v>
      </c>
      <c r="W65" s="257"/>
      <c r="X65" s="257"/>
      <c r="Y65" s="257"/>
      <c r="Z65" s="257"/>
      <c r="AA65" s="279">
        <f>+AA14+AA20+AA32+AA38+AA44+AA50+AA56+AA62</f>
        <v>6820000000</v>
      </c>
      <c r="AB65" s="257"/>
      <c r="AC65" s="257"/>
      <c r="AD65" s="257"/>
      <c r="AE65" s="257"/>
      <c r="AF65" s="258">
        <f>+AF63+AF64</f>
        <v>1206641932</v>
      </c>
      <c r="AG65" s="258">
        <f>+AG63+AG64</f>
        <v>3677226014</v>
      </c>
      <c r="AH65" s="259"/>
      <c r="AI65" s="260">
        <f>+AI14+AI20+AI32+AI38+AI44+AI50+AI56+AI62</f>
        <v>0</v>
      </c>
      <c r="AJ65" s="222"/>
      <c r="AK65" s="222"/>
      <c r="AL65" s="222"/>
      <c r="AM65" s="222"/>
      <c r="AN65" s="222"/>
      <c r="AO65" s="222"/>
      <c r="AP65" s="261"/>
      <c r="AQ65" s="6"/>
      <c r="AR65" s="6"/>
      <c r="AS65" s="6"/>
      <c r="AT65" s="6"/>
    </row>
    <row r="66" spans="1:46" ht="71.25" customHeight="1">
      <c r="A66" s="441" t="s">
        <v>89</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row>
  </sheetData>
  <dataConsolidate/>
  <mergeCells count="128">
    <mergeCell ref="A66:AP66"/>
    <mergeCell ref="AM27:AM32"/>
    <mergeCell ref="AN27:AN32"/>
    <mergeCell ref="AO27:AO32"/>
    <mergeCell ref="AP27:AP32"/>
    <mergeCell ref="AL33:AL38"/>
    <mergeCell ref="AM33:AM38"/>
    <mergeCell ref="AN33:AN38"/>
    <mergeCell ref="AO33:AO38"/>
    <mergeCell ref="AP33:AP38"/>
    <mergeCell ref="AO51:AO56"/>
    <mergeCell ref="AP51:AP56"/>
    <mergeCell ref="A51:A56"/>
    <mergeCell ref="B51:B56"/>
    <mergeCell ref="C51:C56"/>
    <mergeCell ref="D51:D56"/>
    <mergeCell ref="E51:E56"/>
    <mergeCell ref="A63:F65"/>
    <mergeCell ref="F51:F56"/>
    <mergeCell ref="AM51:AM56"/>
    <mergeCell ref="AN51:AN56"/>
    <mergeCell ref="AL51:AL56"/>
    <mergeCell ref="B57:B62"/>
    <mergeCell ref="C57:C62"/>
    <mergeCell ref="A1:E4"/>
    <mergeCell ref="AF7:AI7"/>
    <mergeCell ref="I7:K7"/>
    <mergeCell ref="L7:P7"/>
    <mergeCell ref="Q7:U7"/>
    <mergeCell ref="F3:N3"/>
    <mergeCell ref="F4:N4"/>
    <mergeCell ref="O3:AP3"/>
    <mergeCell ref="O4:AP4"/>
    <mergeCell ref="F1:AP1"/>
    <mergeCell ref="F2:AP2"/>
    <mergeCell ref="F6:F8"/>
    <mergeCell ref="AF6:AI6"/>
    <mergeCell ref="AJ6:AJ8"/>
    <mergeCell ref="AM6:AM8"/>
    <mergeCell ref="E6:E8"/>
    <mergeCell ref="A6:A8"/>
    <mergeCell ref="AN6:AN8"/>
    <mergeCell ref="AO6:AO8"/>
    <mergeCell ref="AP6:AP8"/>
    <mergeCell ref="AL6:AL8"/>
    <mergeCell ref="G6:G8"/>
    <mergeCell ref="H6:H8"/>
    <mergeCell ref="AK6:AK8"/>
    <mergeCell ref="B6:D7"/>
    <mergeCell ref="I6:AE6"/>
    <mergeCell ref="V7:Z7"/>
    <mergeCell ref="AA7:AE7"/>
    <mergeCell ref="F21:F26"/>
    <mergeCell ref="D15:D20"/>
    <mergeCell ref="C21:C26"/>
    <mergeCell ref="D9:D14"/>
    <mergeCell ref="D57:D62"/>
    <mergeCell ref="E57:E62"/>
    <mergeCell ref="F57:F62"/>
    <mergeCell ref="F27:F32"/>
    <mergeCell ref="D21:D26"/>
    <mergeCell ref="F45:F50"/>
    <mergeCell ref="B33:B38"/>
    <mergeCell ref="C33:C38"/>
    <mergeCell ref="D33:D38"/>
    <mergeCell ref="E33:E38"/>
    <mergeCell ref="F33:F38"/>
    <mergeCell ref="AL57:AL62"/>
    <mergeCell ref="AM57:AM62"/>
    <mergeCell ref="AN57:AN62"/>
    <mergeCell ref="AO57:AO62"/>
    <mergeCell ref="AP57:AP62"/>
    <mergeCell ref="AP15:AP20"/>
    <mergeCell ref="AL39:AL44"/>
    <mergeCell ref="AM39:AM44"/>
    <mergeCell ref="AN39:AN44"/>
    <mergeCell ref="AO39:AO44"/>
    <mergeCell ref="AP39:AP44"/>
    <mergeCell ref="AM21:AM26"/>
    <mergeCell ref="AO15:AO20"/>
    <mergeCell ref="AN21:AN26"/>
    <mergeCell ref="AL27:AL32"/>
    <mergeCell ref="AP45:AP50"/>
    <mergeCell ref="AL45:AL50"/>
    <mergeCell ref="AM45:AM50"/>
    <mergeCell ref="AP9:AP14"/>
    <mergeCell ref="AM9:AM14"/>
    <mergeCell ref="AO21:AO26"/>
    <mergeCell ref="AP21:AP26"/>
    <mergeCell ref="AN9:AN14"/>
    <mergeCell ref="E15:E20"/>
    <mergeCell ref="F15:F20"/>
    <mergeCell ref="AM15:AM20"/>
    <mergeCell ref="AL15:AL20"/>
    <mergeCell ref="AN15:AN20"/>
    <mergeCell ref="AO9:AO14"/>
    <mergeCell ref="E9:E14"/>
    <mergeCell ref="AL9:AL14"/>
    <mergeCell ref="E21:E26"/>
    <mergeCell ref="AL21:AL26"/>
    <mergeCell ref="A9:A14"/>
    <mergeCell ref="A21:A26"/>
    <mergeCell ref="A15:A20"/>
    <mergeCell ref="B15:B20"/>
    <mergeCell ref="C15:C20"/>
    <mergeCell ref="F9:F14"/>
    <mergeCell ref="B9:B14"/>
    <mergeCell ref="C9:C14"/>
    <mergeCell ref="B21:B26"/>
    <mergeCell ref="A27:A32"/>
    <mergeCell ref="B27:B32"/>
    <mergeCell ref="C27:C32"/>
    <mergeCell ref="D27:D32"/>
    <mergeCell ref="E27:E32"/>
    <mergeCell ref="A33:A38"/>
    <mergeCell ref="AN45:AN50"/>
    <mergeCell ref="AO45:AO50"/>
    <mergeCell ref="A45:A50"/>
    <mergeCell ref="B45:B50"/>
    <mergeCell ref="C45:C50"/>
    <mergeCell ref="D45:D50"/>
    <mergeCell ref="E45:E50"/>
    <mergeCell ref="A39:A44"/>
    <mergeCell ref="B39:B44"/>
    <mergeCell ref="C39:C44"/>
    <mergeCell ref="D39:D44"/>
    <mergeCell ref="E39:E44"/>
    <mergeCell ref="F39:F44"/>
  </mergeCells>
  <dataValidations disablePrompts="1" count="2">
    <dataValidation type="list" allowBlank="1" showInputMessage="1" showErrorMessage="1" sqref="D21:D26">
      <formula1>#REF!</formula1>
    </dataValidation>
    <dataValidation showDropDown="1" showInputMessage="1" showErrorMessage="1" sqref="D33:D44"/>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2"/>
  <sheetViews>
    <sheetView topLeftCell="C7" workbookViewId="0">
      <selection activeCell="F15" sqref="F15"/>
    </sheetView>
  </sheetViews>
  <sheetFormatPr baseColWidth="10" defaultRowHeight="15"/>
  <cols>
    <col min="1" max="1" width="29.140625" hidden="1" customWidth="1"/>
    <col min="2" max="2" width="21.85546875" hidden="1" customWidth="1"/>
    <col min="3" max="3" width="44.140625" customWidth="1"/>
    <col min="4" max="21" width="11.42578125" customWidth="1"/>
    <col min="22" max="22" width="64.7109375" customWidth="1"/>
  </cols>
  <sheetData>
    <row r="1" spans="1:24" ht="23.25">
      <c r="A1" s="511"/>
      <c r="B1" s="512"/>
      <c r="C1" s="517" t="s">
        <v>0</v>
      </c>
      <c r="D1" s="517"/>
      <c r="E1" s="517"/>
      <c r="F1" s="517"/>
      <c r="G1" s="517"/>
      <c r="H1" s="517"/>
      <c r="I1" s="517"/>
      <c r="J1" s="517"/>
      <c r="K1" s="517"/>
      <c r="L1" s="517"/>
      <c r="M1" s="517"/>
      <c r="N1" s="517"/>
      <c r="O1" s="517"/>
      <c r="P1" s="517"/>
      <c r="Q1" s="517"/>
      <c r="R1" s="517"/>
      <c r="S1" s="517"/>
      <c r="T1" s="517"/>
      <c r="U1" s="517"/>
      <c r="V1" s="518"/>
    </row>
    <row r="2" spans="1:24" ht="23.25">
      <c r="A2" s="513"/>
      <c r="B2" s="514"/>
      <c r="C2" s="519" t="s">
        <v>86</v>
      </c>
      <c r="D2" s="519"/>
      <c r="E2" s="519"/>
      <c r="F2" s="519"/>
      <c r="G2" s="519"/>
      <c r="H2" s="519"/>
      <c r="I2" s="519"/>
      <c r="J2" s="519"/>
      <c r="K2" s="519"/>
      <c r="L2" s="519"/>
      <c r="M2" s="519"/>
      <c r="N2" s="519"/>
      <c r="O2" s="519"/>
      <c r="P2" s="519"/>
      <c r="Q2" s="519"/>
      <c r="R2" s="519"/>
      <c r="S2" s="519"/>
      <c r="T2" s="519"/>
      <c r="U2" s="519"/>
      <c r="V2" s="520"/>
    </row>
    <row r="3" spans="1:24" ht="18">
      <c r="A3" s="513"/>
      <c r="B3" s="514"/>
      <c r="C3" s="21" t="s">
        <v>1</v>
      </c>
      <c r="D3" s="521" t="str">
        <f>[2]INVERSIÓN!O3</f>
        <v>DIRECCIÓN DE CONTROL AMBIENTAL</v>
      </c>
      <c r="E3" s="521"/>
      <c r="F3" s="521"/>
      <c r="G3" s="521"/>
      <c r="H3" s="521"/>
      <c r="I3" s="521"/>
      <c r="J3" s="521"/>
      <c r="K3" s="521"/>
      <c r="L3" s="521"/>
      <c r="M3" s="521"/>
      <c r="N3" s="521"/>
      <c r="O3" s="521"/>
      <c r="P3" s="521"/>
      <c r="Q3" s="521"/>
      <c r="R3" s="521"/>
      <c r="S3" s="521"/>
      <c r="T3" s="521"/>
      <c r="U3" s="521"/>
      <c r="V3" s="522"/>
    </row>
    <row r="4" spans="1:24" ht="18.75" thickBot="1">
      <c r="A4" s="515"/>
      <c r="B4" s="516"/>
      <c r="C4" s="39" t="s">
        <v>16</v>
      </c>
      <c r="D4" s="523" t="str">
        <f>+[2]INVERSIÓN!O4</f>
        <v xml:space="preserve"> 978 - Centro de Información y Modelamiento Ambiental</v>
      </c>
      <c r="E4" s="523"/>
      <c r="F4" s="523"/>
      <c r="G4" s="523"/>
      <c r="H4" s="523"/>
      <c r="I4" s="523"/>
      <c r="J4" s="523"/>
      <c r="K4" s="523"/>
      <c r="L4" s="523"/>
      <c r="M4" s="523"/>
      <c r="N4" s="523"/>
      <c r="O4" s="523"/>
      <c r="P4" s="523"/>
      <c r="Q4" s="523"/>
      <c r="R4" s="523"/>
      <c r="S4" s="523"/>
      <c r="T4" s="523"/>
      <c r="U4" s="523"/>
      <c r="V4" s="524"/>
    </row>
    <row r="5" spans="1:24" ht="15.75" thickBot="1">
      <c r="A5" s="9"/>
      <c r="B5" s="134"/>
      <c r="C5" s="153"/>
      <c r="D5" s="134"/>
      <c r="E5" s="134"/>
      <c r="F5" s="134"/>
      <c r="G5" s="134"/>
      <c r="H5" s="134"/>
      <c r="I5" s="134"/>
      <c r="J5" s="134"/>
      <c r="K5" s="134"/>
      <c r="L5" s="134"/>
      <c r="M5" s="134"/>
      <c r="N5" s="136"/>
      <c r="O5" s="136"/>
      <c r="P5" s="136"/>
      <c r="Q5" s="136"/>
      <c r="R5" s="136"/>
      <c r="S5" s="136"/>
      <c r="T5" s="136"/>
      <c r="U5" s="136"/>
      <c r="V5" s="140"/>
    </row>
    <row r="6" spans="1:24" ht="33" customHeight="1">
      <c r="A6" s="525" t="s">
        <v>38</v>
      </c>
      <c r="B6" s="527" t="s">
        <v>39</v>
      </c>
      <c r="C6" s="533" t="s">
        <v>40</v>
      </c>
      <c r="D6" s="529" t="s">
        <v>41</v>
      </c>
      <c r="E6" s="530"/>
      <c r="F6" s="527" t="s">
        <v>277</v>
      </c>
      <c r="G6" s="527"/>
      <c r="H6" s="527"/>
      <c r="I6" s="527"/>
      <c r="J6" s="527"/>
      <c r="K6" s="527"/>
      <c r="L6" s="527"/>
      <c r="M6" s="527"/>
      <c r="N6" s="527"/>
      <c r="O6" s="527"/>
      <c r="P6" s="527"/>
      <c r="Q6" s="527"/>
      <c r="R6" s="527"/>
      <c r="S6" s="527"/>
      <c r="T6" s="527" t="s">
        <v>45</v>
      </c>
      <c r="U6" s="527"/>
      <c r="V6" s="531" t="s">
        <v>287</v>
      </c>
    </row>
    <row r="7" spans="1:24" ht="61.5" customHeight="1" thickBot="1">
      <c r="A7" s="526"/>
      <c r="B7" s="528"/>
      <c r="C7" s="534"/>
      <c r="D7" s="46" t="s">
        <v>42</v>
      </c>
      <c r="E7" s="46" t="s">
        <v>43</v>
      </c>
      <c r="F7" s="46" t="s">
        <v>44</v>
      </c>
      <c r="G7" s="152" t="s">
        <v>17</v>
      </c>
      <c r="H7" s="152" t="s">
        <v>18</v>
      </c>
      <c r="I7" s="152" t="s">
        <v>19</v>
      </c>
      <c r="J7" s="152" t="s">
        <v>20</v>
      </c>
      <c r="K7" s="152" t="s">
        <v>21</v>
      </c>
      <c r="L7" s="152" t="s">
        <v>22</v>
      </c>
      <c r="M7" s="152" t="s">
        <v>23</v>
      </c>
      <c r="N7" s="152" t="s">
        <v>24</v>
      </c>
      <c r="O7" s="152" t="s">
        <v>25</v>
      </c>
      <c r="P7" s="152" t="s">
        <v>26</v>
      </c>
      <c r="Q7" s="152" t="s">
        <v>27</v>
      </c>
      <c r="R7" s="152" t="s">
        <v>28</v>
      </c>
      <c r="S7" s="154" t="s">
        <v>29</v>
      </c>
      <c r="T7" s="154" t="s">
        <v>46</v>
      </c>
      <c r="U7" s="154" t="s">
        <v>47</v>
      </c>
      <c r="V7" s="532"/>
    </row>
    <row r="8" spans="1:24" ht="24" customHeight="1">
      <c r="A8" s="473" t="s">
        <v>94</v>
      </c>
      <c r="B8" s="573" t="s">
        <v>98</v>
      </c>
      <c r="C8" s="500" t="s">
        <v>106</v>
      </c>
      <c r="D8" s="576" t="s">
        <v>235</v>
      </c>
      <c r="E8" s="576"/>
      <c r="F8" s="177" t="s">
        <v>30</v>
      </c>
      <c r="G8" s="196">
        <v>8.3299999999999999E-2</v>
      </c>
      <c r="H8" s="196">
        <v>8.3299999999999999E-2</v>
      </c>
      <c r="I8" s="196">
        <v>8.3299999999999999E-2</v>
      </c>
      <c r="J8" s="326">
        <v>8.3299999999999999E-2</v>
      </c>
      <c r="K8" s="326">
        <v>8.3299999999999999E-2</v>
      </c>
      <c r="L8" s="326">
        <v>8.3299999999999999E-2</v>
      </c>
      <c r="M8" s="326">
        <v>8.3299999999999999E-2</v>
      </c>
      <c r="N8" s="326">
        <v>8.3299999999999999E-2</v>
      </c>
      <c r="O8" s="326">
        <v>8.3299999999999999E-2</v>
      </c>
      <c r="P8" s="326">
        <v>8.3299999999999999E-2</v>
      </c>
      <c r="Q8" s="197">
        <v>8.3299999999999999E-2</v>
      </c>
      <c r="R8" s="197">
        <v>8.3299999999999999E-2</v>
      </c>
      <c r="S8" s="162">
        <f t="shared" ref="S8:S49" si="0">SUM(G8:R8)</f>
        <v>0.99960000000000016</v>
      </c>
      <c r="T8" s="453">
        <v>0.125</v>
      </c>
      <c r="U8" s="162">
        <f>T8*30%</f>
        <v>3.7499999999999999E-2</v>
      </c>
      <c r="V8" s="565" t="s">
        <v>286</v>
      </c>
    </row>
    <row r="9" spans="1:24" ht="24" customHeight="1" thickBot="1">
      <c r="A9" s="474"/>
      <c r="B9" s="574"/>
      <c r="C9" s="485"/>
      <c r="D9" s="562"/>
      <c r="E9" s="562"/>
      <c r="F9" s="178" t="s">
        <v>31</v>
      </c>
      <c r="G9" s="170">
        <v>0</v>
      </c>
      <c r="H9" s="170">
        <v>0</v>
      </c>
      <c r="I9" s="170">
        <v>0</v>
      </c>
      <c r="J9" s="327">
        <v>8.3299999999999999E-2</v>
      </c>
      <c r="K9" s="327">
        <v>8.3299999999999999E-2</v>
      </c>
      <c r="L9" s="327">
        <v>8.3299999999999999E-2</v>
      </c>
      <c r="M9" s="117"/>
      <c r="N9" s="117"/>
      <c r="O9" s="117"/>
      <c r="P9" s="117"/>
      <c r="Q9" s="117"/>
      <c r="R9" s="117"/>
      <c r="S9" s="146">
        <f t="shared" si="0"/>
        <v>0.24990000000000001</v>
      </c>
      <c r="T9" s="454"/>
      <c r="U9" s="176">
        <f>U8*S9</f>
        <v>9.3712499999999994E-3</v>
      </c>
      <c r="V9" s="566"/>
    </row>
    <row r="10" spans="1:24" ht="24" customHeight="1">
      <c r="A10" s="474"/>
      <c r="B10" s="574"/>
      <c r="C10" s="485" t="s">
        <v>101</v>
      </c>
      <c r="D10" s="562" t="s">
        <v>235</v>
      </c>
      <c r="E10" s="562"/>
      <c r="F10" s="179" t="s">
        <v>30</v>
      </c>
      <c r="G10" s="196">
        <v>8.3299999999999999E-2</v>
      </c>
      <c r="H10" s="196">
        <v>8.3299999999999999E-2</v>
      </c>
      <c r="I10" s="196">
        <v>8.3299999999999999E-2</v>
      </c>
      <c r="J10" s="326">
        <v>8.3299999999999999E-2</v>
      </c>
      <c r="K10" s="326">
        <v>8.3299999999999999E-2</v>
      </c>
      <c r="L10" s="326">
        <v>8.3299999999999999E-2</v>
      </c>
      <c r="M10" s="326">
        <v>8.3299999999999999E-2</v>
      </c>
      <c r="N10" s="326">
        <v>8.3299999999999999E-2</v>
      </c>
      <c r="O10" s="326">
        <v>8.3299999999999999E-2</v>
      </c>
      <c r="P10" s="326">
        <v>8.3299999999999999E-2</v>
      </c>
      <c r="Q10" s="197">
        <v>8.3299999999999999E-2</v>
      </c>
      <c r="R10" s="197">
        <v>8.3299999999999999E-2</v>
      </c>
      <c r="S10" s="161">
        <f t="shared" si="0"/>
        <v>0.99960000000000016</v>
      </c>
      <c r="T10" s="454"/>
      <c r="U10" s="161">
        <f>T8*40%</f>
        <v>0.05</v>
      </c>
      <c r="V10" s="564" t="s">
        <v>288</v>
      </c>
      <c r="W10" s="160"/>
    </row>
    <row r="11" spans="1:24" ht="24" customHeight="1" thickBot="1">
      <c r="A11" s="474"/>
      <c r="B11" s="574"/>
      <c r="C11" s="485"/>
      <c r="D11" s="562"/>
      <c r="E11" s="562"/>
      <c r="F11" s="178" t="s">
        <v>31</v>
      </c>
      <c r="G11" s="170">
        <v>8.3299999999999999E-2</v>
      </c>
      <c r="H11" s="170">
        <v>8.3299999999999999E-2</v>
      </c>
      <c r="I11" s="170">
        <v>0</v>
      </c>
      <c r="J11" s="327">
        <v>8.3299999999999999E-2</v>
      </c>
      <c r="K11" s="328">
        <v>0</v>
      </c>
      <c r="L11" s="327">
        <v>8.3299999999999999E-2</v>
      </c>
      <c r="M11" s="117"/>
      <c r="N11" s="117"/>
      <c r="O11" s="117"/>
      <c r="P11" s="117"/>
      <c r="Q11" s="117"/>
      <c r="R11" s="117"/>
      <c r="S11" s="146">
        <f t="shared" si="0"/>
        <v>0.3332</v>
      </c>
      <c r="T11" s="454"/>
      <c r="U11" s="176">
        <f>U10*S11</f>
        <v>1.6660000000000001E-2</v>
      </c>
      <c r="V11" s="564"/>
    </row>
    <row r="12" spans="1:24" ht="24" customHeight="1">
      <c r="A12" s="474"/>
      <c r="B12" s="574"/>
      <c r="C12" s="485" t="s">
        <v>276</v>
      </c>
      <c r="D12" s="562" t="s">
        <v>235</v>
      </c>
      <c r="E12" s="562"/>
      <c r="F12" s="179" t="s">
        <v>30</v>
      </c>
      <c r="G12" s="196">
        <v>8.3299999999999999E-2</v>
      </c>
      <c r="H12" s="196">
        <v>8.3299999999999999E-2</v>
      </c>
      <c r="I12" s="196">
        <v>8.3299999999999999E-2</v>
      </c>
      <c r="J12" s="326">
        <v>8.3299999999999999E-2</v>
      </c>
      <c r="K12" s="326">
        <v>8.3299999999999999E-2</v>
      </c>
      <c r="L12" s="326">
        <v>8.3299999999999999E-2</v>
      </c>
      <c r="M12" s="326">
        <v>8.3299999999999999E-2</v>
      </c>
      <c r="N12" s="326">
        <v>8.3299999999999999E-2</v>
      </c>
      <c r="O12" s="326">
        <v>8.3299999999999999E-2</v>
      </c>
      <c r="P12" s="326">
        <v>8.3299999999999999E-2</v>
      </c>
      <c r="Q12" s="197">
        <v>8.3299999999999999E-2</v>
      </c>
      <c r="R12" s="197">
        <v>8.3299999999999999E-2</v>
      </c>
      <c r="S12" s="161">
        <f t="shared" si="0"/>
        <v>0.99960000000000016</v>
      </c>
      <c r="T12" s="454"/>
      <c r="U12" s="161">
        <f>T8*30%</f>
        <v>3.7499999999999999E-2</v>
      </c>
      <c r="V12" s="564" t="s">
        <v>289</v>
      </c>
    </row>
    <row r="13" spans="1:24" ht="24" customHeight="1" thickBot="1">
      <c r="A13" s="475"/>
      <c r="B13" s="575"/>
      <c r="C13" s="510"/>
      <c r="D13" s="563"/>
      <c r="E13" s="563"/>
      <c r="F13" s="180" t="s">
        <v>31</v>
      </c>
      <c r="G13" s="181">
        <v>8.3000000000000004E-2</v>
      </c>
      <c r="H13" s="167">
        <v>0</v>
      </c>
      <c r="I13" s="167">
        <v>0</v>
      </c>
      <c r="J13" s="314">
        <v>8.3299999999999999E-2</v>
      </c>
      <c r="K13" s="329">
        <v>0</v>
      </c>
      <c r="L13" s="333">
        <v>8.3299999999999999E-2</v>
      </c>
      <c r="M13" s="116"/>
      <c r="N13" s="116"/>
      <c r="O13" s="116"/>
      <c r="P13" s="116"/>
      <c r="Q13" s="116"/>
      <c r="R13" s="116"/>
      <c r="S13" s="146">
        <f t="shared" si="0"/>
        <v>0.24959999999999999</v>
      </c>
      <c r="T13" s="455"/>
      <c r="U13" s="175">
        <f>U12*S13</f>
        <v>9.3599999999999985E-3</v>
      </c>
      <c r="V13" s="564"/>
    </row>
    <row r="14" spans="1:24" ht="24" customHeight="1">
      <c r="A14" s="473" t="s">
        <v>95</v>
      </c>
      <c r="B14" s="476" t="s">
        <v>103</v>
      </c>
      <c r="C14" s="577" t="s">
        <v>275</v>
      </c>
      <c r="D14" s="576" t="s">
        <v>235</v>
      </c>
      <c r="E14" s="576"/>
      <c r="F14" s="177" t="s">
        <v>30</v>
      </c>
      <c r="G14" s="196">
        <v>0.04</v>
      </c>
      <c r="H14" s="196">
        <v>0.05</v>
      </c>
      <c r="I14" s="196">
        <v>0.05</v>
      </c>
      <c r="J14" s="196">
        <v>0.1</v>
      </c>
      <c r="K14" s="196">
        <v>0.1</v>
      </c>
      <c r="L14" s="196">
        <v>0.1</v>
      </c>
      <c r="M14" s="196">
        <v>0.1</v>
      </c>
      <c r="N14" s="196">
        <v>0.1</v>
      </c>
      <c r="O14" s="196">
        <v>0.1</v>
      </c>
      <c r="P14" s="196">
        <v>0.1</v>
      </c>
      <c r="Q14" s="197">
        <v>0.1</v>
      </c>
      <c r="R14" s="197">
        <v>0.06</v>
      </c>
      <c r="S14" s="173">
        <f t="shared" si="0"/>
        <v>1</v>
      </c>
      <c r="T14" s="453">
        <v>0.125</v>
      </c>
      <c r="U14" s="162">
        <f>T14/2</f>
        <v>6.25E-2</v>
      </c>
      <c r="V14" s="535" t="s">
        <v>290</v>
      </c>
    </row>
    <row r="15" spans="1:24" ht="24" customHeight="1" thickBot="1">
      <c r="A15" s="474"/>
      <c r="B15" s="477"/>
      <c r="C15" s="578"/>
      <c r="D15" s="562"/>
      <c r="E15" s="562"/>
      <c r="F15" s="178" t="s">
        <v>31</v>
      </c>
      <c r="G15" s="170">
        <v>0.04</v>
      </c>
      <c r="H15" s="170">
        <v>0.05</v>
      </c>
      <c r="I15" s="170">
        <v>0.05</v>
      </c>
      <c r="J15" s="313">
        <v>0.1</v>
      </c>
      <c r="K15" s="312">
        <v>0</v>
      </c>
      <c r="L15" s="332">
        <v>0.1</v>
      </c>
      <c r="M15" s="117"/>
      <c r="N15" s="117"/>
      <c r="O15" s="117"/>
      <c r="P15" s="117"/>
      <c r="Q15" s="117"/>
      <c r="R15" s="117"/>
      <c r="S15" s="146">
        <f t="shared" si="0"/>
        <v>0.34</v>
      </c>
      <c r="T15" s="454"/>
      <c r="U15" s="174">
        <f>S15*U14</f>
        <v>2.1250000000000002E-2</v>
      </c>
      <c r="V15" s="535"/>
    </row>
    <row r="16" spans="1:24" ht="24" customHeight="1">
      <c r="A16" s="474"/>
      <c r="B16" s="477"/>
      <c r="C16" s="571" t="s">
        <v>274</v>
      </c>
      <c r="D16" s="562" t="s">
        <v>235</v>
      </c>
      <c r="E16" s="562"/>
      <c r="F16" s="179" t="s">
        <v>30</v>
      </c>
      <c r="G16" s="196">
        <v>0</v>
      </c>
      <c r="H16" s="196">
        <v>0</v>
      </c>
      <c r="I16" s="196">
        <v>0.25</v>
      </c>
      <c r="J16" s="196">
        <v>0</v>
      </c>
      <c r="K16" s="196">
        <v>0</v>
      </c>
      <c r="L16" s="196">
        <v>0.25</v>
      </c>
      <c r="M16" s="196">
        <v>0</v>
      </c>
      <c r="N16" s="196">
        <v>0</v>
      </c>
      <c r="O16" s="196">
        <v>0.25</v>
      </c>
      <c r="P16" s="196">
        <v>0</v>
      </c>
      <c r="Q16" s="197">
        <v>0</v>
      </c>
      <c r="R16" s="197">
        <v>0.25</v>
      </c>
      <c r="S16" s="173">
        <f t="shared" si="0"/>
        <v>1</v>
      </c>
      <c r="T16" s="454"/>
      <c r="U16" s="161">
        <v>6.3E-2</v>
      </c>
      <c r="V16" s="535" t="s">
        <v>290</v>
      </c>
      <c r="X16" s="160"/>
    </row>
    <row r="17" spans="1:24" ht="24" customHeight="1" thickBot="1">
      <c r="A17" s="475"/>
      <c r="B17" s="478"/>
      <c r="C17" s="572"/>
      <c r="D17" s="563"/>
      <c r="E17" s="563"/>
      <c r="F17" s="180" t="s">
        <v>31</v>
      </c>
      <c r="G17" s="167">
        <v>0</v>
      </c>
      <c r="H17" s="167">
        <v>0</v>
      </c>
      <c r="I17" s="167">
        <v>0.25</v>
      </c>
      <c r="J17" s="167">
        <v>0</v>
      </c>
      <c r="K17" s="167">
        <v>0</v>
      </c>
      <c r="L17" s="167">
        <v>0.05</v>
      </c>
      <c r="M17" s="116"/>
      <c r="N17" s="116"/>
      <c r="O17" s="116"/>
      <c r="P17" s="116"/>
      <c r="Q17" s="116"/>
      <c r="R17" s="116"/>
      <c r="S17" s="146">
        <f t="shared" si="0"/>
        <v>0.3</v>
      </c>
      <c r="T17" s="455"/>
      <c r="U17" s="172">
        <f>S17*U16</f>
        <v>1.89E-2</v>
      </c>
      <c r="V17" s="536"/>
    </row>
    <row r="18" spans="1:24" ht="24" customHeight="1">
      <c r="A18" s="541" t="s">
        <v>96</v>
      </c>
      <c r="B18" s="544" t="s">
        <v>107</v>
      </c>
      <c r="C18" s="547" t="s">
        <v>273</v>
      </c>
      <c r="D18" s="549" t="s">
        <v>235</v>
      </c>
      <c r="E18" s="182"/>
      <c r="F18" s="177" t="s">
        <v>30</v>
      </c>
      <c r="G18" s="196">
        <v>7.0000000000000007E-2</v>
      </c>
      <c r="H18" s="196">
        <v>0.05</v>
      </c>
      <c r="I18" s="196">
        <v>0.02</v>
      </c>
      <c r="J18" s="196">
        <v>0.08</v>
      </c>
      <c r="K18" s="196">
        <v>0.1</v>
      </c>
      <c r="L18" s="196">
        <v>0.15</v>
      </c>
      <c r="M18" s="196">
        <v>0.15</v>
      </c>
      <c r="N18" s="196">
        <v>0.15</v>
      </c>
      <c r="O18" s="196">
        <v>0.1</v>
      </c>
      <c r="P18" s="196">
        <v>0.1</v>
      </c>
      <c r="Q18" s="197">
        <v>0.1</v>
      </c>
      <c r="R18" s="197">
        <v>0.08</v>
      </c>
      <c r="S18" s="162">
        <f t="shared" si="0"/>
        <v>1.1500000000000001</v>
      </c>
      <c r="T18" s="559">
        <v>0.125</v>
      </c>
      <c r="U18" s="162">
        <v>6.3E-2</v>
      </c>
      <c r="V18" s="586" t="s">
        <v>291</v>
      </c>
    </row>
    <row r="19" spans="1:24" ht="24" customHeight="1" thickBot="1">
      <c r="A19" s="542"/>
      <c r="B19" s="545"/>
      <c r="C19" s="548"/>
      <c r="D19" s="550"/>
      <c r="E19" s="183"/>
      <c r="F19" s="178" t="s">
        <v>31</v>
      </c>
      <c r="G19" s="171">
        <v>7.0000000000000007E-2</v>
      </c>
      <c r="H19" s="171">
        <v>0.05</v>
      </c>
      <c r="I19" s="171">
        <v>0.02</v>
      </c>
      <c r="J19" s="170">
        <v>0.08</v>
      </c>
      <c r="K19" s="170">
        <v>0.1</v>
      </c>
      <c r="L19" s="170">
        <v>0.15</v>
      </c>
      <c r="M19" s="168"/>
      <c r="N19" s="168"/>
      <c r="O19" s="168"/>
      <c r="P19" s="168"/>
      <c r="Q19" s="169"/>
      <c r="R19" s="168"/>
      <c r="S19" s="146">
        <f t="shared" si="0"/>
        <v>0.47000000000000008</v>
      </c>
      <c r="T19" s="560"/>
      <c r="U19" s="146">
        <f>U18*S19</f>
        <v>2.9610000000000004E-2</v>
      </c>
      <c r="V19" s="587"/>
    </row>
    <row r="20" spans="1:24" ht="24" customHeight="1">
      <c r="A20" s="542"/>
      <c r="B20" s="545"/>
      <c r="C20" s="567" t="s">
        <v>102</v>
      </c>
      <c r="D20" s="569" t="s">
        <v>235</v>
      </c>
      <c r="E20" s="183"/>
      <c r="F20" s="179" t="s">
        <v>30</v>
      </c>
      <c r="G20" s="196">
        <v>7.0000000000000007E-2</v>
      </c>
      <c r="H20" s="196">
        <v>0.05</v>
      </c>
      <c r="I20" s="196">
        <v>0.02</v>
      </c>
      <c r="J20" s="196">
        <v>0.08</v>
      </c>
      <c r="K20" s="196">
        <v>0.1</v>
      </c>
      <c r="L20" s="196">
        <v>0.1</v>
      </c>
      <c r="M20" s="196">
        <v>0.1</v>
      </c>
      <c r="N20" s="196">
        <v>0.1</v>
      </c>
      <c r="O20" s="196">
        <v>0.1</v>
      </c>
      <c r="P20" s="196">
        <v>0.1</v>
      </c>
      <c r="Q20" s="197">
        <v>0.1</v>
      </c>
      <c r="R20" s="197">
        <v>0.08</v>
      </c>
      <c r="S20" s="161">
        <f t="shared" si="0"/>
        <v>0.99999999999999989</v>
      </c>
      <c r="T20" s="560"/>
      <c r="U20" s="161">
        <v>6.3E-2</v>
      </c>
      <c r="V20" s="539" t="s">
        <v>292</v>
      </c>
    </row>
    <row r="21" spans="1:24" ht="24" customHeight="1" thickBot="1">
      <c r="A21" s="543"/>
      <c r="B21" s="546"/>
      <c r="C21" s="568"/>
      <c r="D21" s="570"/>
      <c r="E21" s="184"/>
      <c r="F21" s="180" t="s">
        <v>31</v>
      </c>
      <c r="G21" s="167">
        <v>7.0000000000000007E-2</v>
      </c>
      <c r="H21" s="167">
        <v>0.05</v>
      </c>
      <c r="I21" s="167">
        <v>0.02</v>
      </c>
      <c r="J21" s="311">
        <v>0.08</v>
      </c>
      <c r="K21" s="314">
        <v>0</v>
      </c>
      <c r="L21" s="331">
        <v>0.05</v>
      </c>
      <c r="M21" s="165"/>
      <c r="N21" s="165"/>
      <c r="O21" s="165"/>
      <c r="P21" s="165"/>
      <c r="Q21" s="166"/>
      <c r="R21" s="165"/>
      <c r="S21" s="146">
        <f t="shared" si="0"/>
        <v>0.27</v>
      </c>
      <c r="T21" s="561"/>
      <c r="U21" s="142">
        <f>U20*S21</f>
        <v>1.7010000000000001E-2</v>
      </c>
      <c r="V21" s="540"/>
    </row>
    <row r="22" spans="1:24" ht="24" customHeight="1">
      <c r="A22" s="541" t="str">
        <f>[2]INVERSIÓN!A33</f>
        <v>Línea de acción (1.4): Red de Calidad Hídrica de Bogotá RCHB, la Red de monitoreo aguas subterráneas y la captura de la información secundaria compilada mediante el reporte de terceros interesados o usuarios del recurso Hídrico.</v>
      </c>
      <c r="B22" s="551" t="str">
        <f>[2]INVERSIÓN!C33</f>
        <v>Generar 4 informes anualizados de la calidad hídrica superficial.</v>
      </c>
      <c r="C22" s="500" t="s">
        <v>272</v>
      </c>
      <c r="D22" s="492" t="s">
        <v>235</v>
      </c>
      <c r="E22" s="492"/>
      <c r="F22" s="177" t="s">
        <v>30</v>
      </c>
      <c r="G22" s="196"/>
      <c r="H22" s="196"/>
      <c r="I22" s="196"/>
      <c r="J22" s="196"/>
      <c r="K22" s="196"/>
      <c r="L22" s="196"/>
      <c r="M22" s="196"/>
      <c r="N22" s="196"/>
      <c r="O22" s="196">
        <v>1</v>
      </c>
      <c r="P22" s="196"/>
      <c r="Q22" s="197"/>
      <c r="R22" s="197"/>
      <c r="S22" s="143">
        <f t="shared" si="0"/>
        <v>1</v>
      </c>
      <c r="T22" s="554">
        <v>0.125</v>
      </c>
      <c r="U22" s="151">
        <v>0.02</v>
      </c>
      <c r="V22" s="537" t="s">
        <v>293</v>
      </c>
    </row>
    <row r="23" spans="1:24" ht="24" customHeight="1" thickBot="1">
      <c r="A23" s="542"/>
      <c r="B23" s="552"/>
      <c r="C23" s="485"/>
      <c r="D23" s="501"/>
      <c r="E23" s="501"/>
      <c r="F23" s="178" t="s">
        <v>31</v>
      </c>
      <c r="G23" s="185"/>
      <c r="H23" s="186"/>
      <c r="I23" s="186"/>
      <c r="J23" s="315"/>
      <c r="K23" s="315"/>
      <c r="L23" s="315"/>
      <c r="M23" s="150"/>
      <c r="N23" s="117"/>
      <c r="O23" s="117"/>
      <c r="P23" s="117"/>
      <c r="Q23" s="117"/>
      <c r="R23" s="117"/>
      <c r="S23" s="146">
        <f t="shared" si="0"/>
        <v>0</v>
      </c>
      <c r="T23" s="555"/>
      <c r="U23" s="145">
        <f>U22*S23</f>
        <v>0</v>
      </c>
      <c r="V23" s="538"/>
      <c r="X23" s="164"/>
    </row>
    <row r="24" spans="1:24" ht="24" customHeight="1">
      <c r="A24" s="542"/>
      <c r="B24" s="552"/>
      <c r="C24" s="485" t="s">
        <v>271</v>
      </c>
      <c r="D24" s="501" t="s">
        <v>235</v>
      </c>
      <c r="E24" s="501"/>
      <c r="F24" s="179" t="s">
        <v>30</v>
      </c>
      <c r="G24" s="196"/>
      <c r="H24" s="196">
        <v>0.1</v>
      </c>
      <c r="I24" s="196">
        <v>0.2</v>
      </c>
      <c r="J24" s="196">
        <v>0.2</v>
      </c>
      <c r="K24" s="196">
        <v>0.2</v>
      </c>
      <c r="L24" s="196">
        <v>0.2</v>
      </c>
      <c r="M24" s="196">
        <v>0.1</v>
      </c>
      <c r="N24" s="196"/>
      <c r="O24" s="196"/>
      <c r="P24" s="196"/>
      <c r="Q24" s="197"/>
      <c r="R24" s="197"/>
      <c r="S24" s="143">
        <f t="shared" si="0"/>
        <v>0.99999999999999989</v>
      </c>
      <c r="T24" s="555"/>
      <c r="U24" s="148">
        <f>T22*10%</f>
        <v>1.2500000000000001E-2</v>
      </c>
      <c r="V24" s="557" t="s">
        <v>294</v>
      </c>
    </row>
    <row r="25" spans="1:24" ht="24" customHeight="1" thickBot="1">
      <c r="A25" s="542"/>
      <c r="B25" s="552"/>
      <c r="C25" s="485"/>
      <c r="D25" s="501"/>
      <c r="E25" s="501"/>
      <c r="F25" s="178" t="s">
        <v>31</v>
      </c>
      <c r="G25" s="185"/>
      <c r="H25" s="187">
        <v>0.1</v>
      </c>
      <c r="I25" s="187">
        <v>0.2</v>
      </c>
      <c r="J25" s="315">
        <v>8.5041322314049581E-2</v>
      </c>
      <c r="K25" s="315">
        <v>0.202479338842975</v>
      </c>
      <c r="L25" s="315">
        <v>0.18888429752066099</v>
      </c>
      <c r="M25" s="163"/>
      <c r="N25" s="117"/>
      <c r="O25" s="117"/>
      <c r="P25" s="117"/>
      <c r="Q25" s="117"/>
      <c r="R25" s="117"/>
      <c r="S25" s="146">
        <f t="shared" si="0"/>
        <v>0.77640495867768555</v>
      </c>
      <c r="T25" s="555"/>
      <c r="U25" s="145">
        <f>U24*S25</f>
        <v>9.7050619834710694E-3</v>
      </c>
      <c r="V25" s="558"/>
    </row>
    <row r="26" spans="1:24" ht="21.75" customHeight="1">
      <c r="A26" s="542"/>
      <c r="B26" s="552"/>
      <c r="C26" s="485" t="s">
        <v>270</v>
      </c>
      <c r="D26" s="501" t="s">
        <v>235</v>
      </c>
      <c r="E26" s="501"/>
      <c r="F26" s="179" t="s">
        <v>30</v>
      </c>
      <c r="G26" s="196"/>
      <c r="H26" s="196"/>
      <c r="I26" s="196"/>
      <c r="J26" s="196"/>
      <c r="K26" s="196">
        <v>0.3</v>
      </c>
      <c r="L26" s="196">
        <v>0.7</v>
      </c>
      <c r="M26" s="196"/>
      <c r="N26" s="196"/>
      <c r="O26" s="196"/>
      <c r="P26" s="196"/>
      <c r="Q26" s="197"/>
      <c r="R26" s="197"/>
      <c r="S26" s="143">
        <f t="shared" si="0"/>
        <v>1</v>
      </c>
      <c r="T26" s="555"/>
      <c r="U26" s="148">
        <v>0.02</v>
      </c>
      <c r="V26" s="471" t="s">
        <v>295</v>
      </c>
    </row>
    <row r="27" spans="1:24" ht="24" customHeight="1" thickBot="1">
      <c r="A27" s="542"/>
      <c r="B27" s="552"/>
      <c r="C27" s="485"/>
      <c r="D27" s="501"/>
      <c r="E27" s="501"/>
      <c r="F27" s="178" t="s">
        <v>31</v>
      </c>
      <c r="G27" s="185"/>
      <c r="H27" s="185"/>
      <c r="I27" s="185"/>
      <c r="J27" s="316"/>
      <c r="K27" s="315">
        <v>0.1</v>
      </c>
      <c r="L27" s="330">
        <v>0.4</v>
      </c>
      <c r="M27" s="117"/>
      <c r="N27" s="117"/>
      <c r="O27" s="117"/>
      <c r="P27" s="117"/>
      <c r="Q27" s="117"/>
      <c r="R27" s="117"/>
      <c r="S27" s="146">
        <f t="shared" si="0"/>
        <v>0.5</v>
      </c>
      <c r="T27" s="555"/>
      <c r="U27" s="145">
        <f>U26*S27</f>
        <v>0.01</v>
      </c>
      <c r="V27" s="472"/>
    </row>
    <row r="28" spans="1:24" ht="22.5" customHeight="1">
      <c r="A28" s="542"/>
      <c r="B28" s="552"/>
      <c r="C28" s="485" t="s">
        <v>269</v>
      </c>
      <c r="D28" s="501" t="s">
        <v>235</v>
      </c>
      <c r="E28" s="501"/>
      <c r="F28" s="179" t="s">
        <v>30</v>
      </c>
      <c r="G28" s="196"/>
      <c r="H28" s="196"/>
      <c r="I28" s="196"/>
      <c r="J28" s="196"/>
      <c r="K28" s="196"/>
      <c r="L28" s="196">
        <v>0.1</v>
      </c>
      <c r="M28" s="196">
        <v>0.25</v>
      </c>
      <c r="N28" s="196">
        <v>0.55000000000000004</v>
      </c>
      <c r="O28" s="196">
        <v>0.1</v>
      </c>
      <c r="P28" s="196"/>
      <c r="Q28" s="197"/>
      <c r="R28" s="197"/>
      <c r="S28" s="143">
        <f t="shared" si="0"/>
        <v>1</v>
      </c>
      <c r="T28" s="555"/>
      <c r="U28" s="148">
        <f>T22*50%</f>
        <v>6.25E-2</v>
      </c>
      <c r="V28" s="584" t="s">
        <v>296</v>
      </c>
    </row>
    <row r="29" spans="1:24" ht="15.75" thickBot="1">
      <c r="A29" s="543"/>
      <c r="B29" s="553"/>
      <c r="C29" s="510"/>
      <c r="D29" s="493"/>
      <c r="E29" s="493"/>
      <c r="F29" s="180" t="s">
        <v>31</v>
      </c>
      <c r="G29" s="188"/>
      <c r="H29" s="188"/>
      <c r="I29" s="188"/>
      <c r="J29" s="317"/>
      <c r="K29" s="317"/>
      <c r="L29" s="330">
        <v>0.1</v>
      </c>
      <c r="M29" s="116"/>
      <c r="N29" s="116"/>
      <c r="O29" s="116"/>
      <c r="P29" s="116"/>
      <c r="Q29" s="116"/>
      <c r="R29" s="116"/>
      <c r="S29" s="142">
        <f t="shared" si="0"/>
        <v>0.1</v>
      </c>
      <c r="T29" s="556"/>
      <c r="U29" s="145">
        <f>U28*S29</f>
        <v>6.2500000000000003E-3</v>
      </c>
      <c r="V29" s="509"/>
    </row>
    <row r="30" spans="1:24" ht="15" customHeight="1">
      <c r="A30" s="486" t="s">
        <v>197</v>
      </c>
      <c r="B30" s="488" t="s">
        <v>217</v>
      </c>
      <c r="C30" s="490" t="s">
        <v>203</v>
      </c>
      <c r="D30" s="492" t="s">
        <v>235</v>
      </c>
      <c r="E30" s="492"/>
      <c r="F30" s="177" t="s">
        <v>30</v>
      </c>
      <c r="G30" s="196">
        <v>8.3299999999999999E-2</v>
      </c>
      <c r="H30" s="196">
        <v>0.05</v>
      </c>
      <c r="I30" s="196" t="s">
        <v>268</v>
      </c>
      <c r="J30" s="196">
        <v>0.1</v>
      </c>
      <c r="K30" s="196">
        <v>0.1</v>
      </c>
      <c r="L30" s="196">
        <v>0.1</v>
      </c>
      <c r="M30" s="196">
        <v>0.1</v>
      </c>
      <c r="N30" s="196">
        <v>0.1</v>
      </c>
      <c r="O30" s="196">
        <v>0.2</v>
      </c>
      <c r="P30" s="196">
        <v>0.1</v>
      </c>
      <c r="Q30" s="197">
        <v>0.05</v>
      </c>
      <c r="R30" s="197"/>
      <c r="S30" s="144">
        <f t="shared" si="0"/>
        <v>0.98329999999999995</v>
      </c>
      <c r="T30" s="506">
        <v>0.125</v>
      </c>
      <c r="U30" s="144">
        <f>T30</f>
        <v>0.125</v>
      </c>
      <c r="V30" s="508" t="s">
        <v>267</v>
      </c>
    </row>
    <row r="31" spans="1:24" ht="27.75" customHeight="1" thickBot="1">
      <c r="A31" s="487"/>
      <c r="B31" s="489"/>
      <c r="C31" s="491"/>
      <c r="D31" s="493"/>
      <c r="E31" s="493"/>
      <c r="F31" s="180" t="s">
        <v>31</v>
      </c>
      <c r="G31" s="189">
        <v>2.9100000000000001E-2</v>
      </c>
      <c r="H31" s="189">
        <v>0.03</v>
      </c>
      <c r="I31" s="189">
        <v>0.02</v>
      </c>
      <c r="J31" s="189">
        <v>0.05</v>
      </c>
      <c r="K31" s="116">
        <v>0</v>
      </c>
      <c r="L31" s="116">
        <v>0.1</v>
      </c>
      <c r="M31" s="116"/>
      <c r="N31" s="116"/>
      <c r="O31" s="116"/>
      <c r="P31" s="116"/>
      <c r="Q31" s="116"/>
      <c r="R31" s="116"/>
      <c r="S31" s="142">
        <f t="shared" si="0"/>
        <v>0.2291</v>
      </c>
      <c r="T31" s="507"/>
      <c r="U31" s="145">
        <f>U30*S31</f>
        <v>2.86375E-2</v>
      </c>
      <c r="V31" s="509"/>
    </row>
    <row r="32" spans="1:24" ht="15" customHeight="1">
      <c r="A32" s="494" t="s">
        <v>196</v>
      </c>
      <c r="B32" s="497" t="s">
        <v>220</v>
      </c>
      <c r="C32" s="500" t="s">
        <v>266</v>
      </c>
      <c r="D32" s="492" t="s">
        <v>235</v>
      </c>
      <c r="E32" s="492"/>
      <c r="F32" s="177" t="s">
        <v>30</v>
      </c>
      <c r="G32" s="196"/>
      <c r="H32" s="196">
        <v>0.05</v>
      </c>
      <c r="I32" s="196">
        <v>0.1</v>
      </c>
      <c r="J32" s="196">
        <v>0.1</v>
      </c>
      <c r="K32" s="196" t="s">
        <v>279</v>
      </c>
      <c r="L32" s="196">
        <v>0.1</v>
      </c>
      <c r="M32" s="196">
        <v>0.1</v>
      </c>
      <c r="N32" s="196">
        <v>0.1</v>
      </c>
      <c r="O32" s="196">
        <v>0.2</v>
      </c>
      <c r="P32" s="196">
        <v>0.1</v>
      </c>
      <c r="Q32" s="197">
        <v>0.05</v>
      </c>
      <c r="R32" s="197"/>
      <c r="S32" s="144">
        <f t="shared" si="0"/>
        <v>0.9</v>
      </c>
      <c r="T32" s="502">
        <v>0.125</v>
      </c>
      <c r="U32" s="144">
        <v>2.5000000000000001E-2</v>
      </c>
      <c r="V32" s="483" t="s">
        <v>297</v>
      </c>
    </row>
    <row r="33" spans="1:24" ht="36.75" customHeight="1" thickBot="1">
      <c r="A33" s="495"/>
      <c r="B33" s="498"/>
      <c r="C33" s="485"/>
      <c r="D33" s="501"/>
      <c r="E33" s="501"/>
      <c r="F33" s="178" t="s">
        <v>31</v>
      </c>
      <c r="G33" s="190"/>
      <c r="H33" s="191">
        <v>0.05</v>
      </c>
      <c r="I33" s="191">
        <v>0.1</v>
      </c>
      <c r="J33" s="318">
        <v>0.03</v>
      </c>
      <c r="K33" s="318">
        <v>0.08</v>
      </c>
      <c r="L33" s="318">
        <v>0.05</v>
      </c>
      <c r="M33" s="117"/>
      <c r="N33" s="117"/>
      <c r="O33" s="114"/>
      <c r="P33" s="114"/>
      <c r="Q33" s="117"/>
      <c r="R33" s="114"/>
      <c r="S33" s="141">
        <f t="shared" si="0"/>
        <v>0.31</v>
      </c>
      <c r="T33" s="503"/>
      <c r="U33" s="145">
        <f>U32*S33</f>
        <v>7.7499999999999999E-3</v>
      </c>
      <c r="V33" s="484"/>
    </row>
    <row r="34" spans="1:24" ht="15" customHeight="1">
      <c r="A34" s="495"/>
      <c r="B34" s="498"/>
      <c r="C34" s="485" t="s">
        <v>265</v>
      </c>
      <c r="D34" s="501" t="s">
        <v>235</v>
      </c>
      <c r="E34" s="501"/>
      <c r="F34" s="179" t="s">
        <v>30</v>
      </c>
      <c r="G34" s="196"/>
      <c r="H34" s="196"/>
      <c r="I34" s="196"/>
      <c r="J34" s="196"/>
      <c r="K34" s="196"/>
      <c r="L34" s="196"/>
      <c r="M34" s="196"/>
      <c r="N34" s="196"/>
      <c r="O34" s="196"/>
      <c r="P34" s="196"/>
      <c r="Q34" s="197">
        <v>0.1</v>
      </c>
      <c r="R34" s="197">
        <v>0.9</v>
      </c>
      <c r="S34" s="143">
        <f t="shared" si="0"/>
        <v>1</v>
      </c>
      <c r="T34" s="503"/>
      <c r="U34" s="143">
        <v>2.5000000000000001E-2</v>
      </c>
      <c r="V34" s="505" t="s">
        <v>298</v>
      </c>
      <c r="W34" s="160"/>
    </row>
    <row r="35" spans="1:24" ht="35.25" customHeight="1" thickBot="1">
      <c r="A35" s="495"/>
      <c r="B35" s="498"/>
      <c r="C35" s="485"/>
      <c r="D35" s="501"/>
      <c r="E35" s="501"/>
      <c r="F35" s="178" t="s">
        <v>31</v>
      </c>
      <c r="G35" s="185"/>
      <c r="H35" s="185"/>
      <c r="I35" s="185"/>
      <c r="J35" s="185"/>
      <c r="K35" s="149"/>
      <c r="L35" s="149"/>
      <c r="M35" s="117"/>
      <c r="N35" s="117"/>
      <c r="O35" s="117"/>
      <c r="P35" s="117"/>
      <c r="Q35" s="117"/>
      <c r="R35" s="114"/>
      <c r="S35" s="141">
        <f t="shared" si="0"/>
        <v>0</v>
      </c>
      <c r="T35" s="503"/>
      <c r="U35" s="145">
        <f>U34*S35</f>
        <v>0</v>
      </c>
      <c r="V35" s="505"/>
    </row>
    <row r="36" spans="1:24" ht="15" customHeight="1">
      <c r="A36" s="495"/>
      <c r="B36" s="498"/>
      <c r="C36" s="485" t="s">
        <v>264</v>
      </c>
      <c r="D36" s="501" t="s">
        <v>235</v>
      </c>
      <c r="E36" s="501"/>
      <c r="F36" s="179" t="s">
        <v>30</v>
      </c>
      <c r="G36" s="196"/>
      <c r="H36" s="196"/>
      <c r="I36" s="196"/>
      <c r="J36" s="196"/>
      <c r="K36" s="196"/>
      <c r="L36" s="196"/>
      <c r="M36" s="196"/>
      <c r="N36" s="196"/>
      <c r="O36" s="196">
        <v>0.1</v>
      </c>
      <c r="P36" s="196">
        <v>0.4</v>
      </c>
      <c r="Q36" s="197">
        <v>0.5</v>
      </c>
      <c r="R36" s="197"/>
      <c r="S36" s="143">
        <f t="shared" si="0"/>
        <v>1</v>
      </c>
      <c r="T36" s="503"/>
      <c r="U36" s="143">
        <v>2.5000000000000001E-2</v>
      </c>
      <c r="V36" s="505" t="s">
        <v>299</v>
      </c>
    </row>
    <row r="37" spans="1:24" ht="47.25" customHeight="1" thickBot="1">
      <c r="A37" s="495"/>
      <c r="B37" s="498"/>
      <c r="C37" s="485"/>
      <c r="D37" s="501"/>
      <c r="E37" s="501"/>
      <c r="F37" s="178" t="s">
        <v>31</v>
      </c>
      <c r="G37" s="185"/>
      <c r="H37" s="192"/>
      <c r="I37" s="192"/>
      <c r="J37" s="192"/>
      <c r="K37" s="114"/>
      <c r="L37" s="114"/>
      <c r="M37" s="114"/>
      <c r="N37" s="114"/>
      <c r="O37" s="117"/>
      <c r="P37" s="117"/>
      <c r="Q37" s="117"/>
      <c r="R37" s="114"/>
      <c r="S37" s="141">
        <f t="shared" si="0"/>
        <v>0</v>
      </c>
      <c r="T37" s="503"/>
      <c r="U37" s="145">
        <f>U36*S37</f>
        <v>0</v>
      </c>
      <c r="V37" s="505"/>
    </row>
    <row r="38" spans="1:24" ht="20.25" customHeight="1">
      <c r="A38" s="495"/>
      <c r="B38" s="498"/>
      <c r="C38" s="485" t="s">
        <v>263</v>
      </c>
      <c r="D38" s="501" t="s">
        <v>235</v>
      </c>
      <c r="E38" s="501"/>
      <c r="F38" s="179" t="s">
        <v>30</v>
      </c>
      <c r="G38" s="196"/>
      <c r="H38" s="196"/>
      <c r="I38" s="196"/>
      <c r="J38" s="196"/>
      <c r="K38" s="196"/>
      <c r="L38" s="196"/>
      <c r="M38" s="196"/>
      <c r="N38" s="196"/>
      <c r="O38" s="196"/>
      <c r="P38" s="196"/>
      <c r="Q38" s="197">
        <v>0.1</v>
      </c>
      <c r="R38" s="197">
        <v>0.9</v>
      </c>
      <c r="S38" s="143">
        <f t="shared" si="0"/>
        <v>1</v>
      </c>
      <c r="T38" s="503"/>
      <c r="U38" s="143">
        <v>7.4999999999999997E-2</v>
      </c>
      <c r="V38" s="484" t="s">
        <v>299</v>
      </c>
    </row>
    <row r="39" spans="1:24" ht="28.5" customHeight="1" thickBot="1">
      <c r="A39" s="496"/>
      <c r="B39" s="499"/>
      <c r="C39" s="510"/>
      <c r="D39" s="493"/>
      <c r="E39" s="493"/>
      <c r="F39" s="180" t="s">
        <v>31</v>
      </c>
      <c r="G39" s="189"/>
      <c r="H39" s="189"/>
      <c r="I39" s="189"/>
      <c r="J39" s="189"/>
      <c r="K39" s="116"/>
      <c r="L39" s="116"/>
      <c r="M39" s="116"/>
      <c r="N39" s="116"/>
      <c r="O39" s="116"/>
      <c r="P39" s="116"/>
      <c r="Q39" s="116"/>
      <c r="R39" s="115"/>
      <c r="S39" s="147">
        <f t="shared" si="0"/>
        <v>0</v>
      </c>
      <c r="T39" s="504"/>
      <c r="U39" s="145">
        <f>U38*S39</f>
        <v>0</v>
      </c>
      <c r="V39" s="585"/>
    </row>
    <row r="40" spans="1:24">
      <c r="A40" s="480" t="str">
        <f>[2]INVERSIÓN!A45</f>
        <v>Línea de acción (2) Centro de Información y Modelamiento Ambiental.</v>
      </c>
      <c r="B40" s="462" t="str">
        <f>[2]INVERSIÓN!C45</f>
        <v>Establecer 1 centro de información y modelamiento.</v>
      </c>
      <c r="C40" s="500" t="s">
        <v>262</v>
      </c>
      <c r="D40" s="469" t="s">
        <v>235</v>
      </c>
      <c r="E40" s="469"/>
      <c r="F40" s="177" t="s">
        <v>30</v>
      </c>
      <c r="G40" s="196">
        <v>8.3299999999999999E-2</v>
      </c>
      <c r="H40" s="196">
        <v>8.3299999999999999E-2</v>
      </c>
      <c r="I40" s="196">
        <v>8.3299999999999999E-2</v>
      </c>
      <c r="J40" s="196">
        <v>8.3299999999999999E-2</v>
      </c>
      <c r="K40" s="196">
        <v>8.3299999999999999E-2</v>
      </c>
      <c r="L40" s="196">
        <v>8.3299999999999999E-2</v>
      </c>
      <c r="M40" s="196">
        <v>8.3299999999999999E-2</v>
      </c>
      <c r="N40" s="196">
        <v>8.3299999999999999E-2</v>
      </c>
      <c r="O40" s="196">
        <v>8.3299999999999999E-2</v>
      </c>
      <c r="P40" s="196">
        <v>8.3299999999999999E-2</v>
      </c>
      <c r="Q40" s="197">
        <v>8.3299999999999999E-2</v>
      </c>
      <c r="R40" s="197">
        <v>8.3299999999999999E-2</v>
      </c>
      <c r="S40" s="144">
        <f t="shared" si="0"/>
        <v>0.99960000000000016</v>
      </c>
      <c r="T40" s="579">
        <v>0.125</v>
      </c>
      <c r="U40" s="144">
        <v>4.2000000000000003E-2</v>
      </c>
      <c r="V40" s="471" t="s">
        <v>300</v>
      </c>
      <c r="W40" s="135"/>
    </row>
    <row r="41" spans="1:24" ht="15.75" thickBot="1">
      <c r="A41" s="481"/>
      <c r="B41" s="463"/>
      <c r="C41" s="485"/>
      <c r="D41" s="470"/>
      <c r="E41" s="470"/>
      <c r="F41" s="178" t="s">
        <v>31</v>
      </c>
      <c r="G41" s="190">
        <v>8.3299999999999999E-2</v>
      </c>
      <c r="H41" s="190">
        <v>7.0000000000000007E-2</v>
      </c>
      <c r="I41" s="190"/>
      <c r="J41" s="190">
        <v>8.3299999999999999E-2</v>
      </c>
      <c r="K41" s="117">
        <v>8.3299999999999999E-2</v>
      </c>
      <c r="L41" s="117"/>
      <c r="M41" s="117"/>
      <c r="N41" s="117"/>
      <c r="O41" s="117"/>
      <c r="P41" s="117"/>
      <c r="Q41" s="117"/>
      <c r="R41" s="117"/>
      <c r="S41" s="146">
        <f t="shared" si="0"/>
        <v>0.31989999999999996</v>
      </c>
      <c r="T41" s="580"/>
      <c r="U41" s="145">
        <f>U40*S41</f>
        <v>1.3435799999999999E-2</v>
      </c>
      <c r="V41" s="472"/>
      <c r="W41" s="135"/>
    </row>
    <row r="42" spans="1:24">
      <c r="A42" s="481"/>
      <c r="B42" s="463"/>
      <c r="C42" s="467" t="s">
        <v>278</v>
      </c>
      <c r="D42" s="469" t="s">
        <v>235</v>
      </c>
      <c r="E42" s="469"/>
      <c r="F42" s="177" t="s">
        <v>30</v>
      </c>
      <c r="G42" s="196"/>
      <c r="H42" s="196"/>
      <c r="I42" s="196">
        <v>0.25</v>
      </c>
      <c r="J42" s="196"/>
      <c r="K42" s="196"/>
      <c r="L42" s="196">
        <v>0.25</v>
      </c>
      <c r="M42" s="196"/>
      <c r="N42" s="196"/>
      <c r="O42" s="196">
        <v>0.25</v>
      </c>
      <c r="P42" s="196"/>
      <c r="Q42" s="197"/>
      <c r="R42" s="197">
        <v>0.25</v>
      </c>
      <c r="S42" s="144">
        <f t="shared" si="0"/>
        <v>1</v>
      </c>
      <c r="T42" s="580"/>
      <c r="U42" s="144">
        <v>4.2000000000000003E-2</v>
      </c>
      <c r="V42" s="471" t="s">
        <v>301</v>
      </c>
      <c r="W42" s="135"/>
      <c r="X42" s="160"/>
    </row>
    <row r="43" spans="1:24" ht="15.75" thickBot="1">
      <c r="A43" s="481"/>
      <c r="B43" s="463"/>
      <c r="C43" s="468"/>
      <c r="D43" s="470"/>
      <c r="E43" s="470"/>
      <c r="F43" s="178" t="s">
        <v>31</v>
      </c>
      <c r="G43" s="190"/>
      <c r="H43" s="190"/>
      <c r="I43" s="190">
        <v>0.2</v>
      </c>
      <c r="J43" s="318"/>
      <c r="K43" s="318"/>
      <c r="L43" s="319">
        <v>0.15</v>
      </c>
      <c r="M43" s="117"/>
      <c r="N43" s="117"/>
      <c r="O43" s="117"/>
      <c r="P43" s="117"/>
      <c r="Q43" s="117"/>
      <c r="R43" s="117"/>
      <c r="S43" s="146">
        <f t="shared" si="0"/>
        <v>0.35</v>
      </c>
      <c r="T43" s="580"/>
      <c r="U43" s="145">
        <f>U42*S43</f>
        <v>1.47E-2</v>
      </c>
      <c r="V43" s="472"/>
      <c r="W43" s="135"/>
    </row>
    <row r="44" spans="1:24">
      <c r="A44" s="481"/>
      <c r="B44" s="463"/>
      <c r="C44" s="485" t="s">
        <v>261</v>
      </c>
      <c r="D44" s="470" t="s">
        <v>235</v>
      </c>
      <c r="E44" s="470"/>
      <c r="F44" s="179" t="s">
        <v>30</v>
      </c>
      <c r="G44" s="196">
        <v>8.3299999999999999E-2</v>
      </c>
      <c r="H44" s="196">
        <v>8.3299999999999999E-2</v>
      </c>
      <c r="I44" s="196">
        <v>8.3299999999999999E-2</v>
      </c>
      <c r="J44" s="196">
        <v>8.3299999999999999E-2</v>
      </c>
      <c r="K44" s="196">
        <v>8.3299999999999999E-2</v>
      </c>
      <c r="L44" s="196">
        <v>8.3299999999999999E-2</v>
      </c>
      <c r="M44" s="196">
        <v>8.3299999999999999E-2</v>
      </c>
      <c r="N44" s="196">
        <v>8.3299999999999999E-2</v>
      </c>
      <c r="O44" s="196">
        <v>8.3299999999999999E-2</v>
      </c>
      <c r="P44" s="196">
        <v>8.3299999999999999E-2</v>
      </c>
      <c r="Q44" s="197">
        <v>8.3299999999999999E-2</v>
      </c>
      <c r="R44" s="197">
        <v>8.3299999999999999E-2</v>
      </c>
      <c r="S44" s="144">
        <f t="shared" si="0"/>
        <v>0.99960000000000016</v>
      </c>
      <c r="T44" s="580"/>
      <c r="U44" s="143">
        <v>4.1000000000000002E-2</v>
      </c>
      <c r="V44" s="583" t="s">
        <v>302</v>
      </c>
      <c r="W44" s="135"/>
    </row>
    <row r="45" spans="1:24" ht="15.75" thickBot="1">
      <c r="A45" s="482"/>
      <c r="B45" s="464"/>
      <c r="C45" s="510"/>
      <c r="D45" s="582"/>
      <c r="E45" s="582"/>
      <c r="F45" s="180" t="s">
        <v>31</v>
      </c>
      <c r="G45" s="189">
        <v>8.3299999999999999E-2</v>
      </c>
      <c r="H45" s="189">
        <v>8.3299999999999999E-2</v>
      </c>
      <c r="I45" s="189"/>
      <c r="J45" s="189"/>
      <c r="K45" s="116"/>
      <c r="L45" s="116"/>
      <c r="M45" s="116"/>
      <c r="N45" s="116"/>
      <c r="O45" s="116"/>
      <c r="P45" s="116"/>
      <c r="Q45" s="116"/>
      <c r="R45" s="116"/>
      <c r="S45" s="142">
        <f t="shared" si="0"/>
        <v>0.1666</v>
      </c>
      <c r="T45" s="581"/>
      <c r="U45" s="145">
        <f>U44*S45</f>
        <v>6.8306E-3</v>
      </c>
      <c r="V45" s="509"/>
      <c r="W45" s="135"/>
    </row>
    <row r="46" spans="1:24" ht="15" customHeight="1">
      <c r="A46" s="473" t="s">
        <v>97</v>
      </c>
      <c r="B46" s="476" t="s">
        <v>100</v>
      </c>
      <c r="C46" s="479" t="s">
        <v>260</v>
      </c>
      <c r="D46" s="451" t="s">
        <v>235</v>
      </c>
      <c r="E46" s="451"/>
      <c r="F46" s="177" t="s">
        <v>30</v>
      </c>
      <c r="G46" s="196">
        <v>2.8000000000000001E-2</v>
      </c>
      <c r="H46" s="196">
        <v>0.16200000000000001</v>
      </c>
      <c r="I46" s="196">
        <v>0.16200000000000001</v>
      </c>
      <c r="J46" s="196">
        <v>0.16200000000000001</v>
      </c>
      <c r="K46" s="196">
        <v>0.16200000000000001</v>
      </c>
      <c r="L46" s="196">
        <v>0.16200000000000001</v>
      </c>
      <c r="M46" s="196">
        <v>0.16200000000000001</v>
      </c>
      <c r="N46" s="196"/>
      <c r="O46" s="196"/>
      <c r="P46" s="196"/>
      <c r="Q46" s="197"/>
      <c r="R46" s="197"/>
      <c r="S46" s="162">
        <f t="shared" si="0"/>
        <v>1</v>
      </c>
      <c r="T46" s="453">
        <v>0.125</v>
      </c>
      <c r="U46" s="162">
        <f>T46*0.7</f>
        <v>8.7499999999999994E-2</v>
      </c>
      <c r="V46" s="456" t="s">
        <v>303</v>
      </c>
    </row>
    <row r="47" spans="1:24" ht="20.25" customHeight="1" thickBot="1">
      <c r="A47" s="474"/>
      <c r="B47" s="477"/>
      <c r="C47" s="458"/>
      <c r="D47" s="452"/>
      <c r="E47" s="452"/>
      <c r="F47" s="178" t="s">
        <v>31</v>
      </c>
      <c r="G47" s="168">
        <v>2.8000000000000001E-2</v>
      </c>
      <c r="H47" s="193">
        <v>0.16200000000000001</v>
      </c>
      <c r="I47" s="193">
        <v>0.16200000000000001</v>
      </c>
      <c r="J47" s="320">
        <v>0.16200000000000001</v>
      </c>
      <c r="K47" s="321">
        <v>0.16200000000000001</v>
      </c>
      <c r="L47" s="322">
        <v>0.16200000000000001</v>
      </c>
      <c r="M47" s="117"/>
      <c r="N47" s="117"/>
      <c r="O47" s="117"/>
      <c r="P47" s="117"/>
      <c r="Q47" s="117"/>
      <c r="R47" s="117"/>
      <c r="S47" s="146">
        <f t="shared" si="0"/>
        <v>0.83800000000000008</v>
      </c>
      <c r="T47" s="454"/>
      <c r="U47" s="146">
        <f>U46*S47</f>
        <v>7.3325000000000001E-2</v>
      </c>
      <c r="V47" s="457"/>
    </row>
    <row r="48" spans="1:24" ht="15" customHeight="1">
      <c r="A48" s="474"/>
      <c r="B48" s="477"/>
      <c r="C48" s="458" t="s">
        <v>259</v>
      </c>
      <c r="D48" s="452" t="s">
        <v>235</v>
      </c>
      <c r="E48" s="452"/>
      <c r="F48" s="179" t="s">
        <v>30</v>
      </c>
      <c r="G48" s="196">
        <v>0</v>
      </c>
      <c r="H48" s="196">
        <v>0</v>
      </c>
      <c r="I48" s="196">
        <v>0.1</v>
      </c>
      <c r="J48" s="196">
        <v>0.1</v>
      </c>
      <c r="K48" s="196">
        <v>0.1</v>
      </c>
      <c r="L48" s="196">
        <v>0.1</v>
      </c>
      <c r="M48" s="196">
        <v>0.1</v>
      </c>
      <c r="N48" s="196">
        <v>0.1</v>
      </c>
      <c r="O48" s="196">
        <v>0.1</v>
      </c>
      <c r="P48" s="196">
        <v>0.1</v>
      </c>
      <c r="Q48" s="197">
        <v>0.1</v>
      </c>
      <c r="R48" s="197">
        <v>0.1</v>
      </c>
      <c r="S48" s="161">
        <f t="shared" si="0"/>
        <v>0.99999999999999989</v>
      </c>
      <c r="T48" s="454"/>
      <c r="U48" s="161">
        <f>T46*0.3</f>
        <v>3.7499999999999999E-2</v>
      </c>
      <c r="V48" s="457" t="s">
        <v>304</v>
      </c>
      <c r="W48" s="160"/>
    </row>
    <row r="49" spans="1:23" ht="15.75" thickBot="1">
      <c r="A49" s="475"/>
      <c r="B49" s="478"/>
      <c r="C49" s="459"/>
      <c r="D49" s="460"/>
      <c r="E49" s="460"/>
      <c r="F49" s="180" t="s">
        <v>31</v>
      </c>
      <c r="G49" s="194">
        <v>0</v>
      </c>
      <c r="H49" s="195">
        <v>0</v>
      </c>
      <c r="I49" s="195">
        <v>0</v>
      </c>
      <c r="J49" s="323">
        <v>7.0000000000000007E-2</v>
      </c>
      <c r="K49" s="324">
        <v>0.1</v>
      </c>
      <c r="L49" s="325">
        <v>0.1</v>
      </c>
      <c r="M49" s="159"/>
      <c r="N49" s="159"/>
      <c r="O49" s="159"/>
      <c r="P49" s="159"/>
      <c r="Q49" s="159"/>
      <c r="R49" s="159"/>
      <c r="S49" s="146">
        <f t="shared" si="0"/>
        <v>0.27</v>
      </c>
      <c r="T49" s="455"/>
      <c r="U49" s="142">
        <f>U48*S49</f>
        <v>1.0125E-2</v>
      </c>
      <c r="V49" s="461"/>
    </row>
    <row r="50" spans="1:23" ht="15.75" thickBot="1">
      <c r="A50" s="465" t="s">
        <v>32</v>
      </c>
      <c r="B50" s="466"/>
      <c r="C50" s="466"/>
      <c r="D50" s="466"/>
      <c r="E50" s="466"/>
      <c r="F50" s="466"/>
      <c r="G50" s="466"/>
      <c r="H50" s="466"/>
      <c r="I50" s="466"/>
      <c r="J50" s="466"/>
      <c r="K50" s="466"/>
      <c r="L50" s="466"/>
      <c r="M50" s="466"/>
      <c r="N50" s="466"/>
      <c r="O50" s="466"/>
      <c r="P50" s="466"/>
      <c r="Q50" s="466"/>
      <c r="R50" s="466"/>
      <c r="S50" s="466"/>
      <c r="T50" s="50">
        <f>SUM(T8:T49)</f>
        <v>1</v>
      </c>
      <c r="U50" s="139"/>
      <c r="V50" s="47"/>
      <c r="W50" s="10"/>
    </row>
    <row r="51" spans="1:23" ht="15.75">
      <c r="A51" s="11"/>
      <c r="B51" s="11"/>
      <c r="C51" s="16"/>
      <c r="D51" s="11"/>
      <c r="E51" s="11"/>
      <c r="F51" s="11"/>
      <c r="G51" s="12"/>
      <c r="H51" s="12"/>
      <c r="I51" s="12"/>
      <c r="J51" s="12"/>
      <c r="K51" s="12"/>
      <c r="L51" s="12"/>
      <c r="M51" s="12"/>
      <c r="N51" s="12"/>
      <c r="O51" s="12"/>
      <c r="P51" s="12"/>
      <c r="Q51" s="12"/>
      <c r="R51" s="12"/>
      <c r="S51" s="12"/>
      <c r="T51" s="13"/>
      <c r="U51" s="13"/>
      <c r="V51" s="40" t="s">
        <v>89</v>
      </c>
      <c r="W51" s="10"/>
    </row>
    <row r="52" spans="1:23">
      <c r="A52" s="135"/>
      <c r="B52" s="135"/>
      <c r="C52" s="138"/>
      <c r="D52" s="135"/>
      <c r="E52" s="135"/>
      <c r="F52" s="135"/>
      <c r="G52" s="135"/>
      <c r="H52" s="135"/>
      <c r="I52" s="135"/>
      <c r="J52" s="135"/>
      <c r="K52" s="135"/>
      <c r="L52" s="135"/>
      <c r="M52" s="135"/>
      <c r="N52" s="137"/>
      <c r="O52" s="137"/>
      <c r="P52" s="137"/>
      <c r="Q52" s="137"/>
      <c r="R52" s="137"/>
      <c r="S52" s="137"/>
      <c r="T52" s="137"/>
      <c r="U52" s="137"/>
      <c r="V52" s="135"/>
      <c r="W52" s="135"/>
    </row>
  </sheetData>
  <mergeCells count="119">
    <mergeCell ref="T14:T17"/>
    <mergeCell ref="V14:V15"/>
    <mergeCell ref="D38:D39"/>
    <mergeCell ref="E40:E41"/>
    <mergeCell ref="T40:T45"/>
    <mergeCell ref="V40:V41"/>
    <mergeCell ref="C44:C45"/>
    <mergeCell ref="D44:D45"/>
    <mergeCell ref="E44:E45"/>
    <mergeCell ref="V44:V45"/>
    <mergeCell ref="V26:V27"/>
    <mergeCell ref="E28:E29"/>
    <mergeCell ref="V28:V29"/>
    <mergeCell ref="C40:C41"/>
    <mergeCell ref="D40:D41"/>
    <mergeCell ref="E38:E39"/>
    <mergeCell ref="V38:V39"/>
    <mergeCell ref="E36:E37"/>
    <mergeCell ref="V36:V37"/>
    <mergeCell ref="V18:V19"/>
    <mergeCell ref="C20:C21"/>
    <mergeCell ref="D20:D21"/>
    <mergeCell ref="C16:C17"/>
    <mergeCell ref="D16:D17"/>
    <mergeCell ref="E16:E17"/>
    <mergeCell ref="A8:A13"/>
    <mergeCell ref="B8:B13"/>
    <mergeCell ref="C8:C9"/>
    <mergeCell ref="D8:D9"/>
    <mergeCell ref="E8:E9"/>
    <mergeCell ref="B14:B17"/>
    <mergeCell ref="C14:C15"/>
    <mergeCell ref="D14:D15"/>
    <mergeCell ref="E14:E15"/>
    <mergeCell ref="T8:T13"/>
    <mergeCell ref="D12:D13"/>
    <mergeCell ref="E12:E13"/>
    <mergeCell ref="V12:V13"/>
    <mergeCell ref="V8:V9"/>
    <mergeCell ref="C10:C11"/>
    <mergeCell ref="D10:D11"/>
    <mergeCell ref="E10:E11"/>
    <mergeCell ref="V10:V11"/>
    <mergeCell ref="C12:C13"/>
    <mergeCell ref="V16:V17"/>
    <mergeCell ref="V22:V23"/>
    <mergeCell ref="V20:V21"/>
    <mergeCell ref="A18:A21"/>
    <mergeCell ref="B18:B21"/>
    <mergeCell ref="C18:C19"/>
    <mergeCell ref="D18:D19"/>
    <mergeCell ref="A22:A29"/>
    <mergeCell ref="B22:B29"/>
    <mergeCell ref="C22:C23"/>
    <mergeCell ref="C24:C25"/>
    <mergeCell ref="C26:C27"/>
    <mergeCell ref="D22:D23"/>
    <mergeCell ref="D24:D25"/>
    <mergeCell ref="D26:D27"/>
    <mergeCell ref="T22:T29"/>
    <mergeCell ref="C28:C29"/>
    <mergeCell ref="D28:D29"/>
    <mergeCell ref="E24:E25"/>
    <mergeCell ref="E22:E23"/>
    <mergeCell ref="V24:V25"/>
    <mergeCell ref="E26:E27"/>
    <mergeCell ref="T18:T21"/>
    <mergeCell ref="A14:A17"/>
    <mergeCell ref="A1:B4"/>
    <mergeCell ref="C1:V1"/>
    <mergeCell ref="C2:V2"/>
    <mergeCell ref="D3:V3"/>
    <mergeCell ref="D4:V4"/>
    <mergeCell ref="A6:A7"/>
    <mergeCell ref="B6:B7"/>
    <mergeCell ref="D6:E6"/>
    <mergeCell ref="F6:S6"/>
    <mergeCell ref="T6:U6"/>
    <mergeCell ref="V6:V7"/>
    <mergeCell ref="C6:C7"/>
    <mergeCell ref="V32:V33"/>
    <mergeCell ref="C34:C35"/>
    <mergeCell ref="A30:A31"/>
    <mergeCell ref="B30:B31"/>
    <mergeCell ref="C30:C31"/>
    <mergeCell ref="D30:D31"/>
    <mergeCell ref="E30:E31"/>
    <mergeCell ref="A32:A39"/>
    <mergeCell ref="B32:B39"/>
    <mergeCell ref="C32:C33"/>
    <mergeCell ref="D32:D33"/>
    <mergeCell ref="E32:E33"/>
    <mergeCell ref="T32:T39"/>
    <mergeCell ref="D34:D35"/>
    <mergeCell ref="E34:E35"/>
    <mergeCell ref="V34:V35"/>
    <mergeCell ref="T30:T31"/>
    <mergeCell ref="V30:V31"/>
    <mergeCell ref="C38:C39"/>
    <mergeCell ref="C36:C37"/>
    <mergeCell ref="D36:D37"/>
    <mergeCell ref="E46:E47"/>
    <mergeCell ref="T46:T49"/>
    <mergeCell ref="V46:V47"/>
    <mergeCell ref="C48:C49"/>
    <mergeCell ref="D48:D49"/>
    <mergeCell ref="E48:E49"/>
    <mergeCell ref="V48:V49"/>
    <mergeCell ref="B40:B45"/>
    <mergeCell ref="A50:S50"/>
    <mergeCell ref="C42:C43"/>
    <mergeCell ref="D42:D43"/>
    <mergeCell ref="E42:E43"/>
    <mergeCell ref="V42:V43"/>
    <mergeCell ref="A46:A49"/>
    <mergeCell ref="B46:B49"/>
    <mergeCell ref="C46:C47"/>
    <mergeCell ref="A40:A45"/>
    <mergeCell ref="D46:D4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D20" sqref="D20"/>
    </sheetView>
  </sheetViews>
  <sheetFormatPr baseColWidth="10" defaultRowHeight="15"/>
  <cols>
    <col min="1" max="1" width="17.140625" customWidth="1"/>
    <col min="2" max="2" width="17.7109375" bestFit="1" customWidth="1"/>
    <col min="3" max="3" width="17.85546875" customWidth="1"/>
    <col min="4" max="4" width="26" customWidth="1"/>
    <col min="5" max="5" width="16.7109375" style="51" bestFit="1" customWidth="1"/>
  </cols>
  <sheetData>
    <row r="1" spans="1:5">
      <c r="A1" s="56" t="s">
        <v>108</v>
      </c>
      <c r="B1" s="56" t="s">
        <v>109</v>
      </c>
      <c r="C1" s="56" t="s">
        <v>110</v>
      </c>
      <c r="D1" s="56" t="s">
        <v>111</v>
      </c>
      <c r="E1" s="57"/>
    </row>
    <row r="2" spans="1:5">
      <c r="A2" t="s">
        <v>112</v>
      </c>
      <c r="B2" s="4" t="s">
        <v>113</v>
      </c>
      <c r="C2" t="s">
        <v>114</v>
      </c>
      <c r="D2" t="s">
        <v>115</v>
      </c>
    </row>
    <row r="3" spans="1:5">
      <c r="A3" t="s">
        <v>116</v>
      </c>
      <c r="B3" s="4" t="s">
        <v>117</v>
      </c>
      <c r="C3" t="s">
        <v>118</v>
      </c>
      <c r="D3" t="s">
        <v>119</v>
      </c>
    </row>
    <row r="4" spans="1:5">
      <c r="A4" t="s">
        <v>113</v>
      </c>
      <c r="B4" s="4" t="s">
        <v>113</v>
      </c>
      <c r="C4" t="s">
        <v>120</v>
      </c>
      <c r="D4" t="s">
        <v>121</v>
      </c>
    </row>
    <row r="5" spans="1:5" ht="30">
      <c r="A5" t="s">
        <v>122</v>
      </c>
      <c r="B5" s="59" t="s">
        <v>123</v>
      </c>
      <c r="C5" t="s">
        <v>124</v>
      </c>
      <c r="D5" t="s">
        <v>125</v>
      </c>
    </row>
    <row r="6" spans="1:5" ht="30">
      <c r="A6" t="s">
        <v>37</v>
      </c>
      <c r="B6" s="59" t="s">
        <v>126</v>
      </c>
      <c r="C6" t="s">
        <v>127</v>
      </c>
      <c r="D6" t="s">
        <v>128</v>
      </c>
    </row>
    <row r="7" spans="1:5">
      <c r="A7" t="s">
        <v>129</v>
      </c>
      <c r="B7" s="4" t="s">
        <v>130</v>
      </c>
      <c r="C7" t="s">
        <v>131</v>
      </c>
      <c r="D7" t="s">
        <v>132</v>
      </c>
      <c r="E7" s="51">
        <v>140000000</v>
      </c>
    </row>
    <row r="8" spans="1:5">
      <c r="A8" s="54" t="s">
        <v>133</v>
      </c>
      <c r="B8" s="4" t="s">
        <v>133</v>
      </c>
      <c r="C8" t="s">
        <v>134</v>
      </c>
      <c r="D8" t="s">
        <v>135</v>
      </c>
      <c r="E8" s="51">
        <v>140000000</v>
      </c>
    </row>
    <row r="9" spans="1:5" ht="30">
      <c r="A9" s="54" t="s">
        <v>136</v>
      </c>
      <c r="B9" s="59" t="s">
        <v>137</v>
      </c>
      <c r="C9" t="s">
        <v>138</v>
      </c>
      <c r="D9" t="s">
        <v>139</v>
      </c>
    </row>
    <row r="10" spans="1:5">
      <c r="A10" t="s">
        <v>140</v>
      </c>
      <c r="B10" s="4" t="s">
        <v>141</v>
      </c>
      <c r="C10" t="s">
        <v>142</v>
      </c>
      <c r="D10" t="s">
        <v>143</v>
      </c>
    </row>
    <row r="11" spans="1:5">
      <c r="A11" t="s">
        <v>144</v>
      </c>
      <c r="B11" s="4" t="s">
        <v>144</v>
      </c>
      <c r="C11" t="s">
        <v>145</v>
      </c>
      <c r="D11" t="s">
        <v>146</v>
      </c>
    </row>
    <row r="12" spans="1:5">
      <c r="A12" s="54" t="s">
        <v>147</v>
      </c>
      <c r="B12" s="4" t="s">
        <v>148</v>
      </c>
      <c r="C12" t="s">
        <v>149</v>
      </c>
      <c r="D12" t="s">
        <v>150</v>
      </c>
      <c r="E12" s="55">
        <v>100000000</v>
      </c>
    </row>
    <row r="13" spans="1:5">
      <c r="A13" t="s">
        <v>151</v>
      </c>
      <c r="B13" t="s">
        <v>130</v>
      </c>
      <c r="C13" t="s">
        <v>152</v>
      </c>
      <c r="D13" t="s">
        <v>153</v>
      </c>
    </row>
    <row r="14" spans="1:5">
      <c r="A14" s="54" t="s">
        <v>154</v>
      </c>
      <c r="B14" t="s">
        <v>155</v>
      </c>
      <c r="C14" t="s">
        <v>156</v>
      </c>
      <c r="D14" t="s">
        <v>157</v>
      </c>
      <c r="E14" s="51">
        <v>140000000</v>
      </c>
    </row>
    <row r="15" spans="1:5">
      <c r="E15" s="51">
        <f>E7+E8+E12+E14</f>
        <v>520000000</v>
      </c>
    </row>
    <row r="16" spans="1:5">
      <c r="A16" t="s">
        <v>163</v>
      </c>
      <c r="B16" s="77">
        <v>677000000</v>
      </c>
      <c r="C16" s="54">
        <v>2016</v>
      </c>
      <c r="E16" s="51">
        <f>B16-E15</f>
        <v>157000000</v>
      </c>
    </row>
    <row r="18" spans="2:4">
      <c r="B18" s="51">
        <f>B16/13</f>
        <v>52076923.07692308</v>
      </c>
    </row>
    <row r="20" spans="2:4">
      <c r="B20" s="52">
        <f>13/6</f>
        <v>2.1666666666666665</v>
      </c>
      <c r="D20">
        <f>4/13</f>
        <v>0.30769230769230771</v>
      </c>
    </row>
    <row r="21" spans="2:4">
      <c r="B21" s="53">
        <f>B16-E12</f>
        <v>577000000</v>
      </c>
      <c r="D21">
        <f t="shared" ref="D21:D23" si="0">4/13</f>
        <v>0.30769230769230771</v>
      </c>
    </row>
    <row r="22" spans="2:4">
      <c r="B22" s="53">
        <f>B21/4</f>
        <v>144250000</v>
      </c>
      <c r="D22">
        <f t="shared" si="0"/>
        <v>0.30769230769230771</v>
      </c>
    </row>
    <row r="23" spans="2:4">
      <c r="D23">
        <f t="shared" si="0"/>
        <v>0.30769230769230771</v>
      </c>
    </row>
    <row r="24" spans="2:4">
      <c r="D24">
        <f>SUM(D20:D23)</f>
        <v>1.2307692307692308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topLeftCell="A9" workbookViewId="0">
      <selection activeCell="C24" sqref="C24"/>
    </sheetView>
  </sheetViews>
  <sheetFormatPr baseColWidth="10" defaultRowHeight="15"/>
  <sheetData>
    <row r="2" spans="1:3">
      <c r="A2" s="60"/>
      <c r="B2" s="60"/>
      <c r="C2" s="60"/>
    </row>
    <row r="3" spans="1:3">
      <c r="A3" s="61" t="s">
        <v>165</v>
      </c>
      <c r="B3" s="61" t="s">
        <v>166</v>
      </c>
      <c r="C3" s="61" t="s">
        <v>167</v>
      </c>
    </row>
    <row r="4" spans="1:3">
      <c r="A4" s="62">
        <v>1</v>
      </c>
      <c r="B4" s="63" t="s">
        <v>168</v>
      </c>
      <c r="C4" s="64">
        <v>6531.6</v>
      </c>
    </row>
    <row r="5" spans="1:3">
      <c r="A5" s="62">
        <v>2</v>
      </c>
      <c r="B5" s="63" t="s">
        <v>169</v>
      </c>
      <c r="C5" s="64">
        <v>3815.6</v>
      </c>
    </row>
    <row r="6" spans="1:3">
      <c r="A6" s="62">
        <v>3</v>
      </c>
      <c r="B6" s="65" t="s">
        <v>155</v>
      </c>
      <c r="C6" s="66">
        <v>4517.1000000000004</v>
      </c>
    </row>
    <row r="7" spans="1:3" ht="24">
      <c r="A7" s="62">
        <v>4</v>
      </c>
      <c r="B7" s="65" t="s">
        <v>136</v>
      </c>
      <c r="C7" s="66">
        <v>4909.8999999999996</v>
      </c>
    </row>
    <row r="8" spans="1:3">
      <c r="A8" s="62">
        <v>5</v>
      </c>
      <c r="B8" s="63" t="s">
        <v>170</v>
      </c>
      <c r="C8" s="64">
        <v>21506.7</v>
      </c>
    </row>
    <row r="9" spans="1:3">
      <c r="A9" s="62">
        <v>6</v>
      </c>
      <c r="B9" s="63" t="s">
        <v>141</v>
      </c>
      <c r="C9" s="62">
        <v>991.1</v>
      </c>
    </row>
    <row r="10" spans="1:3">
      <c r="A10" s="62">
        <v>7</v>
      </c>
      <c r="B10" s="63" t="s">
        <v>171</v>
      </c>
      <c r="C10" s="64">
        <v>2393.3000000000002</v>
      </c>
    </row>
    <row r="11" spans="1:3">
      <c r="A11" s="62">
        <v>8</v>
      </c>
      <c r="B11" s="63" t="s">
        <v>113</v>
      </c>
      <c r="C11" s="64">
        <v>3859</v>
      </c>
    </row>
    <row r="12" spans="1:3">
      <c r="A12" s="62">
        <v>9</v>
      </c>
      <c r="B12" s="65" t="s">
        <v>148</v>
      </c>
      <c r="C12" s="66">
        <v>3328.1</v>
      </c>
    </row>
    <row r="13" spans="1:3">
      <c r="A13" s="62">
        <v>10</v>
      </c>
      <c r="B13" s="63" t="s">
        <v>172</v>
      </c>
      <c r="C13" s="64">
        <v>3588.1</v>
      </c>
    </row>
    <row r="14" spans="1:3">
      <c r="A14" s="62">
        <v>11</v>
      </c>
      <c r="B14" s="65" t="s">
        <v>117</v>
      </c>
      <c r="C14" s="66">
        <v>10056</v>
      </c>
    </row>
    <row r="15" spans="1:3" ht="24">
      <c r="A15" s="62">
        <v>12</v>
      </c>
      <c r="B15" s="63" t="s">
        <v>34</v>
      </c>
      <c r="C15" s="64">
        <v>1190.3</v>
      </c>
    </row>
    <row r="16" spans="1:3">
      <c r="A16" s="62">
        <v>13</v>
      </c>
      <c r="B16" s="63" t="s">
        <v>35</v>
      </c>
      <c r="C16" s="64">
        <v>1419.3</v>
      </c>
    </row>
    <row r="17" spans="1:3">
      <c r="A17" s="62">
        <v>14</v>
      </c>
      <c r="B17" s="63" t="s">
        <v>173</v>
      </c>
      <c r="C17" s="62">
        <v>651.4</v>
      </c>
    </row>
    <row r="18" spans="1:3" ht="24">
      <c r="A18" s="62">
        <v>15</v>
      </c>
      <c r="B18" s="63" t="s">
        <v>36</v>
      </c>
      <c r="C18" s="62">
        <v>488</v>
      </c>
    </row>
    <row r="19" spans="1:3" ht="24">
      <c r="A19" s="62">
        <v>16</v>
      </c>
      <c r="B19" s="63" t="s">
        <v>37</v>
      </c>
      <c r="C19" s="64">
        <v>1731.1</v>
      </c>
    </row>
    <row r="20" spans="1:3" ht="24">
      <c r="A20" s="62">
        <v>17</v>
      </c>
      <c r="B20" s="63" t="s">
        <v>174</v>
      </c>
      <c r="C20" s="62">
        <v>206</v>
      </c>
    </row>
    <row r="21" spans="1:3" ht="24">
      <c r="A21" s="62">
        <v>18</v>
      </c>
      <c r="B21" s="63" t="s">
        <v>175</v>
      </c>
      <c r="C21" s="64">
        <v>1383.4</v>
      </c>
    </row>
    <row r="22" spans="1:3" ht="24">
      <c r="A22" s="62">
        <v>19</v>
      </c>
      <c r="B22" s="63" t="s">
        <v>176</v>
      </c>
      <c r="C22" s="64">
        <v>13000.2</v>
      </c>
    </row>
    <row r="23" spans="1:3">
      <c r="A23" s="62">
        <v>20</v>
      </c>
      <c r="B23" s="63" t="s">
        <v>177</v>
      </c>
      <c r="C23" s="64">
        <v>78096.899999999994</v>
      </c>
    </row>
    <row r="24" spans="1:3" ht="18" customHeight="1">
      <c r="A24" s="588" t="s">
        <v>178</v>
      </c>
      <c r="B24" s="588"/>
      <c r="C24" s="64">
        <v>163663</v>
      </c>
    </row>
    <row r="25" spans="1:3">
      <c r="C25" s="67">
        <f>+C4+C5+C8+C9+C10+C11+C13+C15+C16+C17+C18+C19+C20+C21+C22+C23</f>
        <v>140852</v>
      </c>
    </row>
  </sheetData>
  <mergeCells count="1">
    <mergeCell ref="A24:B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21" sqref="B21"/>
    </sheetView>
  </sheetViews>
  <sheetFormatPr baseColWidth="10" defaultRowHeight="15"/>
  <sheetData>
    <row r="1" spans="1:7">
      <c r="A1" s="68" t="s">
        <v>161</v>
      </c>
      <c r="B1" s="69">
        <v>219459</v>
      </c>
      <c r="C1" s="69">
        <v>253449</v>
      </c>
      <c r="D1" s="69">
        <v>472908</v>
      </c>
      <c r="E1" s="69">
        <v>220260</v>
      </c>
      <c r="F1" s="69">
        <v>253926</v>
      </c>
      <c r="G1" s="69">
        <v>474186</v>
      </c>
    </row>
    <row r="2" spans="1:7">
      <c r="A2" s="68" t="s">
        <v>180</v>
      </c>
      <c r="B2" s="69">
        <v>60502</v>
      </c>
      <c r="C2" s="69">
        <v>66449</v>
      </c>
      <c r="D2" s="69">
        <v>126951</v>
      </c>
      <c r="E2" s="69">
        <v>60558</v>
      </c>
      <c r="F2" s="69">
        <v>66033</v>
      </c>
      <c r="G2" s="69">
        <v>126591</v>
      </c>
    </row>
    <row r="3" spans="1:7">
      <c r="A3" s="75" t="s">
        <v>164</v>
      </c>
      <c r="B3" s="76">
        <v>48702</v>
      </c>
      <c r="C3" s="76">
        <v>47832</v>
      </c>
      <c r="D3" s="76">
        <v>96534</v>
      </c>
      <c r="E3" s="69">
        <v>48066</v>
      </c>
      <c r="F3" s="69">
        <v>47135</v>
      </c>
      <c r="G3" s="69">
        <v>95201</v>
      </c>
    </row>
    <row r="4" spans="1:7">
      <c r="A4" s="75" t="s">
        <v>181</v>
      </c>
      <c r="B4" s="76">
        <v>192514</v>
      </c>
      <c r="C4" s="76">
        <v>203869</v>
      </c>
      <c r="D4" s="76">
        <v>396383</v>
      </c>
      <c r="E4" s="69">
        <v>191535</v>
      </c>
      <c r="F4" s="69">
        <v>202823</v>
      </c>
      <c r="G4" s="69">
        <v>394358</v>
      </c>
    </row>
    <row r="5" spans="1:7">
      <c r="A5" s="68" t="s">
        <v>182</v>
      </c>
      <c r="B5" s="69">
        <v>164937</v>
      </c>
      <c r="C5" s="69">
        <v>172215</v>
      </c>
      <c r="D5" s="69">
        <v>337152</v>
      </c>
      <c r="E5" s="69">
        <v>166347</v>
      </c>
      <c r="F5" s="69">
        <v>173754</v>
      </c>
      <c r="G5" s="69">
        <v>340101</v>
      </c>
    </row>
    <row r="6" spans="1:7">
      <c r="A6" s="68" t="s">
        <v>183</v>
      </c>
      <c r="B6" s="69">
        <v>93839</v>
      </c>
      <c r="C6" s="69">
        <v>95683</v>
      </c>
      <c r="D6" s="69">
        <v>189522</v>
      </c>
      <c r="E6" s="69">
        <v>93152</v>
      </c>
      <c r="F6" s="69">
        <v>94819</v>
      </c>
      <c r="G6" s="69">
        <v>187971</v>
      </c>
    </row>
    <row r="7" spans="1:7">
      <c r="A7" s="68" t="s">
        <v>184</v>
      </c>
      <c r="B7" s="69">
        <v>345676</v>
      </c>
      <c r="C7" s="69">
        <v>363363</v>
      </c>
      <c r="D7" s="69">
        <v>709039</v>
      </c>
      <c r="E7" s="69">
        <v>356324</v>
      </c>
      <c r="F7" s="69">
        <v>374723</v>
      </c>
      <c r="G7" s="69">
        <v>731047</v>
      </c>
    </row>
    <row r="8" spans="1:7">
      <c r="A8" s="68" t="s">
        <v>158</v>
      </c>
      <c r="B8" s="69">
        <v>578977</v>
      </c>
      <c r="C8" s="69">
        <v>608338</v>
      </c>
      <c r="D8" s="69">
        <v>1187315</v>
      </c>
      <c r="E8" s="69">
        <v>589932</v>
      </c>
      <c r="F8" s="69">
        <v>619048</v>
      </c>
      <c r="G8" s="69">
        <v>1208980</v>
      </c>
    </row>
    <row r="9" spans="1:7">
      <c r="A9" s="75" t="s">
        <v>162</v>
      </c>
      <c r="B9" s="76">
        <v>190484</v>
      </c>
      <c r="C9" s="76">
        <v>213035</v>
      </c>
      <c r="D9" s="76">
        <v>403519</v>
      </c>
      <c r="E9" s="69">
        <v>195255</v>
      </c>
      <c r="F9" s="69">
        <v>218479</v>
      </c>
      <c r="G9" s="69">
        <v>413734</v>
      </c>
    </row>
    <row r="10" spans="1:7">
      <c r="A10" s="68" t="s">
        <v>185</v>
      </c>
      <c r="B10" s="69">
        <v>419262</v>
      </c>
      <c r="C10" s="69">
        <v>453981</v>
      </c>
      <c r="D10" s="69">
        <v>873243</v>
      </c>
      <c r="E10" s="69">
        <v>422164</v>
      </c>
      <c r="F10" s="69">
        <v>456270</v>
      </c>
      <c r="G10" s="69">
        <v>878434</v>
      </c>
    </row>
    <row r="11" spans="1:7">
      <c r="A11" s="75" t="s">
        <v>160</v>
      </c>
      <c r="B11" s="76">
        <v>595155</v>
      </c>
      <c r="C11" s="76">
        <v>655579</v>
      </c>
      <c r="D11" s="76">
        <v>1250734</v>
      </c>
      <c r="E11" s="69">
        <v>610980</v>
      </c>
      <c r="F11" s="69">
        <v>671998</v>
      </c>
      <c r="G11" s="69">
        <v>1282978</v>
      </c>
    </row>
    <row r="12" spans="1:7">
      <c r="A12" s="68" t="s">
        <v>186</v>
      </c>
      <c r="B12" s="69">
        <v>132267</v>
      </c>
      <c r="C12" s="69">
        <v>131616</v>
      </c>
      <c r="D12" s="69">
        <v>263883</v>
      </c>
      <c r="E12" s="69">
        <v>134370</v>
      </c>
      <c r="F12" s="69">
        <v>132736</v>
      </c>
      <c r="G12" s="69">
        <v>267106</v>
      </c>
    </row>
    <row r="13" spans="1:7">
      <c r="A13" s="68" t="s">
        <v>187</v>
      </c>
      <c r="B13" s="69">
        <v>66622</v>
      </c>
      <c r="C13" s="69">
        <v>74145</v>
      </c>
      <c r="D13" s="69">
        <v>140767</v>
      </c>
      <c r="E13" s="69">
        <v>66663</v>
      </c>
      <c r="F13" s="69">
        <v>73810</v>
      </c>
      <c r="G13" s="69">
        <v>140473</v>
      </c>
    </row>
    <row r="14" spans="1:7">
      <c r="A14" s="68" t="s">
        <v>188</v>
      </c>
      <c r="B14" s="69">
        <v>47587</v>
      </c>
      <c r="C14" s="69">
        <v>46543</v>
      </c>
      <c r="D14" s="69">
        <v>94130</v>
      </c>
      <c r="E14" s="69">
        <v>47476</v>
      </c>
      <c r="F14" s="69">
        <v>46240</v>
      </c>
      <c r="G14" s="69">
        <v>93716</v>
      </c>
    </row>
    <row r="15" spans="1:7">
      <c r="A15" s="68" t="s">
        <v>189</v>
      </c>
      <c r="B15" s="69">
        <v>53613</v>
      </c>
      <c r="C15" s="69">
        <v>55664</v>
      </c>
      <c r="D15" s="69">
        <v>109277</v>
      </c>
      <c r="E15" s="69">
        <v>53702</v>
      </c>
      <c r="F15" s="69">
        <v>55552</v>
      </c>
      <c r="G15" s="69">
        <v>109254</v>
      </c>
    </row>
    <row r="16" spans="1:7">
      <c r="A16" s="68" t="s">
        <v>159</v>
      </c>
      <c r="B16" s="69">
        <v>111898</v>
      </c>
      <c r="C16" s="69">
        <v>113322</v>
      </c>
      <c r="D16" s="69">
        <v>225220</v>
      </c>
      <c r="E16" s="69">
        <v>110484</v>
      </c>
      <c r="F16" s="69">
        <v>111422</v>
      </c>
      <c r="G16" s="69">
        <v>221906</v>
      </c>
    </row>
    <row r="17" spans="1:7">
      <c r="A17" s="68" t="s">
        <v>190</v>
      </c>
      <c r="B17" s="69">
        <v>12117</v>
      </c>
      <c r="C17" s="69">
        <v>10516</v>
      </c>
      <c r="D17" s="69">
        <v>22633</v>
      </c>
      <c r="E17" s="69">
        <v>12045</v>
      </c>
      <c r="F17" s="69">
        <v>10393</v>
      </c>
      <c r="G17" s="69">
        <v>22438</v>
      </c>
    </row>
    <row r="18" spans="1:7">
      <c r="A18" s="68" t="s">
        <v>191</v>
      </c>
      <c r="B18" s="69">
        <v>172915</v>
      </c>
      <c r="C18" s="69">
        <v>180846</v>
      </c>
      <c r="D18" s="69">
        <v>353761</v>
      </c>
      <c r="E18" s="69">
        <v>171622</v>
      </c>
      <c r="F18" s="69">
        <v>179322</v>
      </c>
      <c r="G18" s="69">
        <v>350944</v>
      </c>
    </row>
    <row r="19" spans="1:7">
      <c r="A19" s="68" t="s">
        <v>192</v>
      </c>
      <c r="B19" s="69">
        <v>351333</v>
      </c>
      <c r="C19" s="69">
        <v>368367</v>
      </c>
      <c r="D19" s="69">
        <v>719700</v>
      </c>
      <c r="E19" s="69">
        <v>358148</v>
      </c>
      <c r="F19" s="69">
        <v>375711</v>
      </c>
      <c r="G19" s="69">
        <v>733859</v>
      </c>
    </row>
    <row r="20" spans="1:7">
      <c r="A20" s="68" t="s">
        <v>193</v>
      </c>
      <c r="B20" s="69">
        <v>3765</v>
      </c>
      <c r="C20" s="69">
        <v>3565</v>
      </c>
      <c r="D20" s="69">
        <v>7330</v>
      </c>
      <c r="E20" s="69">
        <v>3827</v>
      </c>
      <c r="F20" s="69">
        <v>3630</v>
      </c>
      <c r="G20" s="69">
        <v>7457</v>
      </c>
    </row>
    <row r="21" spans="1:7">
      <c r="A21" s="70" t="s">
        <v>178</v>
      </c>
      <c r="B21" s="71">
        <v>3861624</v>
      </c>
      <c r="C21" s="71">
        <v>4118377</v>
      </c>
      <c r="D21" s="72">
        <v>7980001</v>
      </c>
      <c r="E21" s="71">
        <v>3912910</v>
      </c>
      <c r="F21" s="71">
        <v>4167824</v>
      </c>
      <c r="G21" s="72">
        <v>8080734</v>
      </c>
    </row>
    <row r="22" spans="1:7">
      <c r="B22" s="74">
        <f>B3+B4+B9+B11</f>
        <v>1026855</v>
      </c>
      <c r="C22" s="74">
        <f>C3+C4+C9+C11</f>
        <v>1120315</v>
      </c>
    </row>
    <row r="23" spans="1:7">
      <c r="B23" s="73">
        <f>B21-B22</f>
        <v>2834769</v>
      </c>
      <c r="C23" s="73">
        <f>C21-C22</f>
        <v>2998062</v>
      </c>
    </row>
    <row r="24" spans="1:7">
      <c r="B24" s="74"/>
      <c r="C24" s="7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GESTIÓN</vt:lpstr>
      <vt:lpstr>INVERSIÓN</vt:lpstr>
      <vt:lpstr>ACTIVIDADES </vt:lpstr>
      <vt:lpstr>Hoja1</vt:lpstr>
      <vt:lpstr>Hoja2</vt:lpstr>
      <vt:lpstr>Hoja3</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2014-02-14T15:16:27Z</cp:lastPrinted>
  <dcterms:created xsi:type="dcterms:W3CDTF">2010-03-25T16:40:43Z</dcterms:created>
  <dcterms:modified xsi:type="dcterms:W3CDTF">2017-08-14T16:11:53Z</dcterms:modified>
</cp:coreProperties>
</file>