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defaultThemeVersion="166925"/>
  <mc:AlternateContent xmlns:mc="http://schemas.openxmlformats.org/markup-compatibility/2006">
    <mc:Choice Requires="x15">
      <x15ac:absPath xmlns:x15ac="http://schemas.microsoft.com/office/spreadsheetml/2010/11/ac" url="C:\Users\yulied.penaranda\Desktop\2018\Noviembre\Documentos para públicar\Plan de acción a sept. 2018\"/>
    </mc:Choice>
  </mc:AlternateContent>
  <xr:revisionPtr revIDLastSave="0" documentId="10_ncr:100000_{664F3724-206F-4C59-BA01-51643A03E99B}" xr6:coauthVersionLast="31" xr6:coauthVersionMax="31" xr10:uidLastSave="{00000000-0000-0000-0000-000000000000}"/>
  <bookViews>
    <workbookView xWindow="0" yWindow="0" windowWidth="19170" windowHeight="5445" activeTab="3" xr2:uid="{00000000-000D-0000-FFFF-FFFF00000000}"/>
  </bookViews>
  <sheets>
    <sheet name="GESTIÓN" sheetId="1" r:id="rId1"/>
    <sheet name="INVERSIÓN" sheetId="2" r:id="rId2"/>
    <sheet name="ACTIVIDADES" sheetId="3" r:id="rId3"/>
    <sheet name="TERRITORIALIZACIÓN" sheetId="6" r:id="rId4"/>
  </sheets>
  <externalReferences>
    <externalReference r:id="rId5"/>
  </externalReferences>
  <definedNames>
    <definedName name="_xlnm.Print_Area" localSheetId="0">GESTIÓN!$D$10:$AU$31</definedName>
    <definedName name="_xlnm.Print_Area" localSheetId="1">INVERSIÓN!$A$6:$AQ$131</definedName>
  </definedNames>
  <calcPr calcId="179017"/>
</workbook>
</file>

<file path=xl/calcChain.xml><?xml version="1.0" encoding="utf-8"?>
<calcChain xmlns="http://schemas.openxmlformats.org/spreadsheetml/2006/main">
  <c r="M591" i="6" l="1"/>
  <c r="M593" i="6" s="1"/>
  <c r="K590" i="6"/>
  <c r="J590" i="6"/>
  <c r="H590" i="6"/>
  <c r="G590" i="6"/>
  <c r="F590" i="6"/>
  <c r="K589" i="6"/>
  <c r="J589" i="6"/>
  <c r="G589" i="6"/>
  <c r="F589" i="6"/>
  <c r="K588" i="6"/>
  <c r="J588" i="6"/>
  <c r="G588" i="6"/>
  <c r="F588" i="6"/>
  <c r="K587" i="6"/>
  <c r="J587" i="6"/>
  <c r="H587" i="6"/>
  <c r="G587" i="6"/>
  <c r="F587" i="6"/>
  <c r="L586" i="6"/>
  <c r="L590" i="6" s="1"/>
  <c r="H586" i="6"/>
  <c r="L585" i="6"/>
  <c r="L589" i="6" s="1"/>
  <c r="H585" i="6"/>
  <c r="H589" i="6" s="1"/>
  <c r="L584" i="6"/>
  <c r="L588" i="6" s="1"/>
  <c r="H584" i="6"/>
  <c r="H588" i="6" s="1"/>
  <c r="L583" i="6"/>
  <c r="L587" i="6" s="1"/>
  <c r="H583" i="6"/>
  <c r="K582" i="6"/>
  <c r="J582" i="6"/>
  <c r="H582" i="6"/>
  <c r="G582" i="6"/>
  <c r="F582" i="6"/>
  <c r="K581" i="6"/>
  <c r="J581" i="6"/>
  <c r="G581" i="6"/>
  <c r="F581" i="6"/>
  <c r="K580" i="6"/>
  <c r="J580" i="6"/>
  <c r="G580" i="6"/>
  <c r="F580" i="6"/>
  <c r="K579" i="6"/>
  <c r="J579" i="6"/>
  <c r="H579" i="6"/>
  <c r="G579" i="6"/>
  <c r="F579" i="6"/>
  <c r="L578" i="6"/>
  <c r="L582" i="6" s="1"/>
  <c r="H578" i="6"/>
  <c r="L577" i="6"/>
  <c r="L581" i="6" s="1"/>
  <c r="H577" i="6"/>
  <c r="H581" i="6" s="1"/>
  <c r="L576" i="6"/>
  <c r="L580" i="6" s="1"/>
  <c r="H576" i="6"/>
  <c r="H580" i="6" s="1"/>
  <c r="L575" i="6"/>
  <c r="L579" i="6" s="1"/>
  <c r="H575" i="6"/>
  <c r="K574" i="6"/>
  <c r="J574" i="6"/>
  <c r="H574" i="6"/>
  <c r="L573" i="6"/>
  <c r="K573" i="6"/>
  <c r="J573" i="6"/>
  <c r="K572" i="6"/>
  <c r="J572" i="6"/>
  <c r="L571" i="6"/>
  <c r="K571" i="6"/>
  <c r="J571" i="6"/>
  <c r="L570" i="6"/>
  <c r="L574" i="6" s="1"/>
  <c r="H570" i="6"/>
  <c r="L569" i="6"/>
  <c r="H569" i="6"/>
  <c r="H573" i="6" s="1"/>
  <c r="L568" i="6"/>
  <c r="L572" i="6" s="1"/>
  <c r="H568" i="6"/>
  <c r="H572" i="6" s="1"/>
  <c r="L567" i="6"/>
  <c r="H567" i="6"/>
  <c r="H571" i="6" s="1"/>
  <c r="K566" i="6"/>
  <c r="G566" i="6"/>
  <c r="F566" i="6"/>
  <c r="L565" i="6"/>
  <c r="G565" i="6"/>
  <c r="F565" i="6"/>
  <c r="G564" i="6"/>
  <c r="F564" i="6"/>
  <c r="L563" i="6"/>
  <c r="G563" i="6"/>
  <c r="F563" i="6"/>
  <c r="L562" i="6"/>
  <c r="L566" i="6" s="1"/>
  <c r="H562" i="6"/>
  <c r="H566" i="6" s="1"/>
  <c r="L561" i="6"/>
  <c r="H561" i="6"/>
  <c r="H565" i="6" s="1"/>
  <c r="L560" i="6"/>
  <c r="L564" i="6" s="1"/>
  <c r="H560" i="6"/>
  <c r="H564" i="6" s="1"/>
  <c r="L559" i="6"/>
  <c r="H559" i="6"/>
  <c r="H563" i="6" s="1"/>
  <c r="I558" i="6"/>
  <c r="L557" i="6"/>
  <c r="K557" i="6"/>
  <c r="J557" i="6"/>
  <c r="I557" i="6"/>
  <c r="F557" i="6"/>
  <c r="E557" i="6"/>
  <c r="J556" i="6"/>
  <c r="I556" i="6"/>
  <c r="F556" i="6"/>
  <c r="E556" i="6"/>
  <c r="K555" i="6"/>
  <c r="J555" i="6"/>
  <c r="I555" i="6"/>
  <c r="F555" i="6"/>
  <c r="E555" i="6"/>
  <c r="K554" i="6"/>
  <c r="K558" i="6" s="1"/>
  <c r="J554" i="6"/>
  <c r="J558" i="6" s="1"/>
  <c r="G554" i="6"/>
  <c r="G558" i="6" s="1"/>
  <c r="F554" i="6"/>
  <c r="F558" i="6" s="1"/>
  <c r="E554" i="6"/>
  <c r="E558" i="6" s="1"/>
  <c r="H551" i="6"/>
  <c r="H555" i="6" s="1"/>
  <c r="G551" i="6"/>
  <c r="G552" i="6" s="1"/>
  <c r="K548" i="6"/>
  <c r="G548" i="6"/>
  <c r="K544" i="6"/>
  <c r="G544" i="6"/>
  <c r="L543" i="6"/>
  <c r="L555" i="6" s="1"/>
  <c r="K540" i="6"/>
  <c r="G540" i="6"/>
  <c r="K536" i="6"/>
  <c r="G536" i="6"/>
  <c r="K532" i="6"/>
  <c r="G532" i="6"/>
  <c r="K528" i="6"/>
  <c r="H528" i="6"/>
  <c r="G528" i="6"/>
  <c r="K524" i="6"/>
  <c r="G524" i="6"/>
  <c r="K520" i="6"/>
  <c r="G520" i="6"/>
  <c r="L516" i="6"/>
  <c r="K516" i="6"/>
  <c r="G516" i="6"/>
  <c r="K512" i="6"/>
  <c r="G512" i="6"/>
  <c r="L508" i="6"/>
  <c r="K508" i="6"/>
  <c r="G508" i="6"/>
  <c r="L504" i="6"/>
  <c r="K504" i="6"/>
  <c r="G504" i="6"/>
  <c r="L500" i="6"/>
  <c r="K500" i="6"/>
  <c r="G500" i="6"/>
  <c r="K496" i="6"/>
  <c r="G496" i="6"/>
  <c r="K492" i="6"/>
  <c r="H492" i="6"/>
  <c r="G492" i="6"/>
  <c r="K488" i="6"/>
  <c r="G488" i="6"/>
  <c r="K484" i="6"/>
  <c r="G484" i="6"/>
  <c r="K480" i="6"/>
  <c r="G480" i="6"/>
  <c r="K476" i="6"/>
  <c r="K556" i="6" s="1"/>
  <c r="G476" i="6"/>
  <c r="G556" i="6" s="1"/>
  <c r="L474" i="6"/>
  <c r="L554" i="6" s="1"/>
  <c r="L558" i="6" s="1"/>
  <c r="H474" i="6"/>
  <c r="H554" i="6" s="1"/>
  <c r="H558" i="6" s="1"/>
  <c r="L473" i="6"/>
  <c r="H473" i="6"/>
  <c r="L472" i="6"/>
  <c r="L548" i="6" s="1"/>
  <c r="H472" i="6"/>
  <c r="H552" i="6" s="1"/>
  <c r="L471" i="6"/>
  <c r="H471" i="6"/>
  <c r="H480" i="6" s="1"/>
  <c r="K470" i="6"/>
  <c r="J470" i="6"/>
  <c r="G470" i="6"/>
  <c r="F470" i="6"/>
  <c r="K469" i="6"/>
  <c r="J469" i="6"/>
  <c r="G469" i="6"/>
  <c r="F469" i="6"/>
  <c r="K468" i="6"/>
  <c r="J468" i="6"/>
  <c r="G468" i="6"/>
  <c r="F468" i="6"/>
  <c r="L467" i="6"/>
  <c r="K467" i="6"/>
  <c r="J467" i="6"/>
  <c r="G467" i="6"/>
  <c r="F467" i="6"/>
  <c r="L466" i="6"/>
  <c r="L470" i="6" s="1"/>
  <c r="H466" i="6"/>
  <c r="H470" i="6" s="1"/>
  <c r="L465" i="6"/>
  <c r="L469" i="6" s="1"/>
  <c r="H465" i="6"/>
  <c r="H469" i="6" s="1"/>
  <c r="L464" i="6"/>
  <c r="L468" i="6" s="1"/>
  <c r="H464" i="6"/>
  <c r="H468" i="6" s="1"/>
  <c r="L463" i="6"/>
  <c r="H463" i="6"/>
  <c r="H467" i="6" s="1"/>
  <c r="J462" i="6"/>
  <c r="G462" i="6"/>
  <c r="F462" i="6"/>
  <c r="K461" i="6"/>
  <c r="J461" i="6"/>
  <c r="G461" i="6"/>
  <c r="F461" i="6"/>
  <c r="K460" i="6"/>
  <c r="J460" i="6"/>
  <c r="G460" i="6"/>
  <c r="F460" i="6"/>
  <c r="L459" i="6"/>
  <c r="K459" i="6"/>
  <c r="J459" i="6"/>
  <c r="G459" i="6"/>
  <c r="F459" i="6"/>
  <c r="L458" i="6"/>
  <c r="L462" i="6" s="1"/>
  <c r="K458" i="6"/>
  <c r="K462" i="6" s="1"/>
  <c r="H458" i="6"/>
  <c r="H462" i="6" s="1"/>
  <c r="L457" i="6"/>
  <c r="L461" i="6" s="1"/>
  <c r="H457" i="6"/>
  <c r="H461" i="6" s="1"/>
  <c r="L456" i="6"/>
  <c r="L460" i="6" s="1"/>
  <c r="H456" i="6"/>
  <c r="H460" i="6" s="1"/>
  <c r="L455" i="6"/>
  <c r="H455" i="6"/>
  <c r="H459" i="6" s="1"/>
  <c r="K454" i="6"/>
  <c r="G454" i="6"/>
  <c r="F454" i="6"/>
  <c r="H453" i="6"/>
  <c r="G453" i="6"/>
  <c r="F453" i="6"/>
  <c r="L452" i="6"/>
  <c r="G452" i="6"/>
  <c r="F452" i="6"/>
  <c r="L451" i="6"/>
  <c r="G451" i="6"/>
  <c r="F451" i="6"/>
  <c r="L450" i="6"/>
  <c r="L454" i="6" s="1"/>
  <c r="K450" i="6"/>
  <c r="H450" i="6"/>
  <c r="H454" i="6" s="1"/>
  <c r="L449" i="6"/>
  <c r="L453" i="6" s="1"/>
  <c r="H449" i="6"/>
  <c r="L448" i="6"/>
  <c r="H448" i="6"/>
  <c r="H452" i="6" s="1"/>
  <c r="L447" i="6"/>
  <c r="H447" i="6"/>
  <c r="H451" i="6" s="1"/>
  <c r="J446" i="6"/>
  <c r="G446" i="6"/>
  <c r="F446" i="6"/>
  <c r="K445" i="6"/>
  <c r="J445" i="6"/>
  <c r="G445" i="6"/>
  <c r="F445" i="6"/>
  <c r="L444" i="6"/>
  <c r="K444" i="6"/>
  <c r="J444" i="6"/>
  <c r="H444" i="6"/>
  <c r="G444" i="6"/>
  <c r="F444" i="6"/>
  <c r="K443" i="6"/>
  <c r="J443" i="6"/>
  <c r="G443" i="6"/>
  <c r="F443" i="6"/>
  <c r="L442" i="6"/>
  <c r="L446" i="6" s="1"/>
  <c r="K442" i="6"/>
  <c r="K446" i="6" s="1"/>
  <c r="H442" i="6"/>
  <c r="H446" i="6" s="1"/>
  <c r="L441" i="6"/>
  <c r="L445" i="6" s="1"/>
  <c r="H441" i="6"/>
  <c r="H445" i="6" s="1"/>
  <c r="L440" i="6"/>
  <c r="H440" i="6"/>
  <c r="L439" i="6"/>
  <c r="L443" i="6" s="1"/>
  <c r="H439" i="6"/>
  <c r="H443" i="6" s="1"/>
  <c r="J438" i="6"/>
  <c r="H438" i="6"/>
  <c r="G438" i="6"/>
  <c r="F438" i="6"/>
  <c r="E438" i="6"/>
  <c r="K437" i="6"/>
  <c r="J437" i="6"/>
  <c r="G437" i="6"/>
  <c r="F437" i="6"/>
  <c r="E437" i="6"/>
  <c r="L436" i="6"/>
  <c r="F436" i="6"/>
  <c r="E436" i="6"/>
  <c r="L435" i="6"/>
  <c r="F435" i="6"/>
  <c r="E435" i="6"/>
  <c r="K432" i="6"/>
  <c r="L431" i="6"/>
  <c r="K431" i="6"/>
  <c r="J431" i="6"/>
  <c r="J435" i="6" s="1"/>
  <c r="I431" i="6"/>
  <c r="H431" i="6"/>
  <c r="G431" i="6"/>
  <c r="G432" i="6" s="1"/>
  <c r="K428" i="6"/>
  <c r="J428" i="6"/>
  <c r="K427" i="6"/>
  <c r="H427" i="6"/>
  <c r="H428" i="6" s="1"/>
  <c r="G427" i="6"/>
  <c r="G428" i="6" s="1"/>
  <c r="K424" i="6"/>
  <c r="J424" i="6"/>
  <c r="G423" i="6"/>
  <c r="G424" i="6" s="1"/>
  <c r="K420" i="6"/>
  <c r="J420" i="6"/>
  <c r="G420" i="6"/>
  <c r="H419" i="6"/>
  <c r="G419" i="6"/>
  <c r="K416" i="6"/>
  <c r="J416" i="6"/>
  <c r="G415" i="6"/>
  <c r="G416" i="6" s="1"/>
  <c r="K412" i="6"/>
  <c r="J412" i="6"/>
  <c r="H411" i="6"/>
  <c r="H412" i="6" s="1"/>
  <c r="G411" i="6"/>
  <c r="G412" i="6" s="1"/>
  <c r="K408" i="6"/>
  <c r="J408" i="6"/>
  <c r="G407" i="6"/>
  <c r="G408" i="6" s="1"/>
  <c r="K404" i="6"/>
  <c r="J404" i="6"/>
  <c r="G404" i="6"/>
  <c r="G403" i="6"/>
  <c r="H403" i="6" s="1"/>
  <c r="H404" i="6" s="1"/>
  <c r="J400" i="6"/>
  <c r="K399" i="6"/>
  <c r="G399" i="6" s="1"/>
  <c r="J396" i="6"/>
  <c r="K395" i="6"/>
  <c r="K396" i="6" s="1"/>
  <c r="G395" i="6"/>
  <c r="G396" i="6" s="1"/>
  <c r="J392" i="6"/>
  <c r="K391" i="6"/>
  <c r="K392" i="6" s="1"/>
  <c r="K388" i="6"/>
  <c r="J388" i="6"/>
  <c r="G387" i="6"/>
  <c r="G388" i="6" s="1"/>
  <c r="K384" i="6"/>
  <c r="J384" i="6"/>
  <c r="H383" i="6"/>
  <c r="G383" i="6"/>
  <c r="G384" i="6" s="1"/>
  <c r="J380" i="6"/>
  <c r="K379" i="6"/>
  <c r="G379" i="6" s="1"/>
  <c r="K376" i="6"/>
  <c r="J376" i="6"/>
  <c r="G375" i="6"/>
  <c r="G376" i="6" s="1"/>
  <c r="K372" i="6"/>
  <c r="J372" i="6"/>
  <c r="H371" i="6"/>
  <c r="H372" i="6" s="1"/>
  <c r="G371" i="6"/>
  <c r="G372" i="6" s="1"/>
  <c r="K368" i="6"/>
  <c r="J368" i="6"/>
  <c r="G368" i="6"/>
  <c r="G367" i="6"/>
  <c r="H367" i="6" s="1"/>
  <c r="H368" i="6" s="1"/>
  <c r="K364" i="6"/>
  <c r="J364" i="6"/>
  <c r="G364" i="6"/>
  <c r="G363" i="6"/>
  <c r="H363" i="6" s="1"/>
  <c r="H364" i="6" s="1"/>
  <c r="J360" i="6"/>
  <c r="K359" i="6"/>
  <c r="G359" i="6" s="1"/>
  <c r="J356" i="6"/>
  <c r="K355" i="6"/>
  <c r="K356" i="6" s="1"/>
  <c r="L354" i="6"/>
  <c r="L438" i="6" s="1"/>
  <c r="K354" i="6"/>
  <c r="K438" i="6" s="1"/>
  <c r="H354" i="6"/>
  <c r="L353" i="6"/>
  <c r="L437" i="6" s="1"/>
  <c r="H353" i="6"/>
  <c r="H437" i="6" s="1"/>
  <c r="L352" i="6"/>
  <c r="H352" i="6"/>
  <c r="H420" i="6" s="1"/>
  <c r="L351" i="6"/>
  <c r="H351" i="6"/>
  <c r="H384" i="6" s="1"/>
  <c r="K350" i="6"/>
  <c r="J350" i="6"/>
  <c r="G350" i="6"/>
  <c r="F350" i="6"/>
  <c r="K349" i="6"/>
  <c r="J349" i="6"/>
  <c r="H349" i="6"/>
  <c r="G349" i="6"/>
  <c r="F349" i="6"/>
  <c r="K348" i="6"/>
  <c r="J348" i="6"/>
  <c r="H348" i="6"/>
  <c r="G348" i="6"/>
  <c r="F348" i="6"/>
  <c r="K347" i="6"/>
  <c r="J347" i="6"/>
  <c r="G347" i="6"/>
  <c r="F347" i="6"/>
  <c r="L346" i="6"/>
  <c r="L350" i="6" s="1"/>
  <c r="H346" i="6"/>
  <c r="H350" i="6" s="1"/>
  <c r="L345" i="6"/>
  <c r="L349" i="6" s="1"/>
  <c r="H345" i="6"/>
  <c r="L344" i="6"/>
  <c r="L348" i="6" s="1"/>
  <c r="H344" i="6"/>
  <c r="L343" i="6"/>
  <c r="L347" i="6" s="1"/>
  <c r="H343" i="6"/>
  <c r="H347" i="6" s="1"/>
  <c r="J342" i="6"/>
  <c r="G342" i="6"/>
  <c r="F342" i="6"/>
  <c r="K341" i="6"/>
  <c r="J341" i="6"/>
  <c r="G341" i="6"/>
  <c r="F341" i="6"/>
  <c r="L340" i="6"/>
  <c r="K340" i="6"/>
  <c r="J340" i="6"/>
  <c r="H340" i="6"/>
  <c r="G340" i="6"/>
  <c r="F340" i="6"/>
  <c r="K339" i="6"/>
  <c r="J339" i="6"/>
  <c r="G339" i="6"/>
  <c r="F339" i="6"/>
  <c r="L338" i="6"/>
  <c r="L342" i="6" s="1"/>
  <c r="K338" i="6"/>
  <c r="K342" i="6" s="1"/>
  <c r="H338" i="6"/>
  <c r="H342" i="6" s="1"/>
  <c r="L337" i="6"/>
  <c r="L341" i="6" s="1"/>
  <c r="H337" i="6"/>
  <c r="H341" i="6" s="1"/>
  <c r="L336" i="6"/>
  <c r="H336" i="6"/>
  <c r="L335" i="6"/>
  <c r="L339" i="6" s="1"/>
  <c r="H335" i="6"/>
  <c r="H339" i="6" s="1"/>
  <c r="I334" i="6"/>
  <c r="F334" i="6"/>
  <c r="L333" i="6"/>
  <c r="K333" i="6"/>
  <c r="J333" i="6"/>
  <c r="I333" i="6"/>
  <c r="H333" i="6"/>
  <c r="G333" i="6"/>
  <c r="F333" i="6"/>
  <c r="E333" i="6"/>
  <c r="I332" i="6"/>
  <c r="J331" i="6"/>
  <c r="I331" i="6"/>
  <c r="F331" i="6"/>
  <c r="H330" i="6"/>
  <c r="H334" i="6" s="1"/>
  <c r="G330" i="6"/>
  <c r="G334" i="6" s="1"/>
  <c r="F330" i="6"/>
  <c r="E330" i="6"/>
  <c r="E334" i="6" s="1"/>
  <c r="G328" i="6"/>
  <c r="F328" i="6"/>
  <c r="F327" i="6"/>
  <c r="E327" i="6"/>
  <c r="E331" i="6" s="1"/>
  <c r="K323" i="6"/>
  <c r="K324" i="6" s="1"/>
  <c r="L320" i="6"/>
  <c r="K319" i="6"/>
  <c r="K320" i="6" s="1"/>
  <c r="K316" i="6"/>
  <c r="J316" i="6"/>
  <c r="F316" i="6"/>
  <c r="E316" i="6"/>
  <c r="K315" i="6"/>
  <c r="L315" i="6" s="1"/>
  <c r="L316" i="6" s="1"/>
  <c r="H315" i="6"/>
  <c r="H316" i="6" s="1"/>
  <c r="G315" i="6"/>
  <c r="G316" i="6" s="1"/>
  <c r="J312" i="6"/>
  <c r="F312" i="6"/>
  <c r="E312" i="6"/>
  <c r="K311" i="6"/>
  <c r="L311" i="6" s="1"/>
  <c r="L312" i="6" s="1"/>
  <c r="J308" i="6"/>
  <c r="F308" i="6"/>
  <c r="E308" i="6"/>
  <c r="K307" i="6"/>
  <c r="L307" i="6" s="1"/>
  <c r="L308" i="6" s="1"/>
  <c r="J304" i="6"/>
  <c r="F304" i="6"/>
  <c r="E304" i="6"/>
  <c r="K303" i="6"/>
  <c r="K304" i="6" s="1"/>
  <c r="K300" i="6"/>
  <c r="J300" i="6"/>
  <c r="F300" i="6"/>
  <c r="E300" i="6"/>
  <c r="L299" i="6"/>
  <c r="L300" i="6" s="1"/>
  <c r="K299" i="6"/>
  <c r="G299" i="6"/>
  <c r="H299" i="6" s="1"/>
  <c r="H300" i="6" s="1"/>
  <c r="J296" i="6"/>
  <c r="F296" i="6"/>
  <c r="E296" i="6"/>
  <c r="K295" i="6"/>
  <c r="L295" i="6" s="1"/>
  <c r="K292" i="6"/>
  <c r="J292" i="6"/>
  <c r="F292" i="6"/>
  <c r="E292" i="6"/>
  <c r="K291" i="6"/>
  <c r="L291" i="6" s="1"/>
  <c r="H291" i="6"/>
  <c r="H292" i="6" s="1"/>
  <c r="G291" i="6"/>
  <c r="G292" i="6" s="1"/>
  <c r="K288" i="6"/>
  <c r="J288" i="6"/>
  <c r="F288" i="6"/>
  <c r="E288" i="6"/>
  <c r="L287" i="6"/>
  <c r="K287" i="6"/>
  <c r="G287" i="6" s="1"/>
  <c r="K284" i="6"/>
  <c r="J284" i="6"/>
  <c r="J332" i="6" s="1"/>
  <c r="F284" i="6"/>
  <c r="F332" i="6" s="1"/>
  <c r="E284" i="6"/>
  <c r="L283" i="6"/>
  <c r="K283" i="6"/>
  <c r="K331" i="6" s="1"/>
  <c r="G283" i="6"/>
  <c r="H283" i="6" s="1"/>
  <c r="J280" i="6"/>
  <c r="F280" i="6"/>
  <c r="E280" i="6"/>
  <c r="K279" i="6"/>
  <c r="L279" i="6" s="1"/>
  <c r="L278" i="6"/>
  <c r="L330" i="6" s="1"/>
  <c r="L334" i="6" s="1"/>
  <c r="K278" i="6"/>
  <c r="K330" i="6" s="1"/>
  <c r="K334" i="6" s="1"/>
  <c r="J278" i="6"/>
  <c r="J330" i="6" s="1"/>
  <c r="J334" i="6" s="1"/>
  <c r="H278" i="6"/>
  <c r="L277" i="6"/>
  <c r="H277" i="6"/>
  <c r="L276" i="6"/>
  <c r="L328" i="6" s="1"/>
  <c r="H276" i="6"/>
  <c r="L275" i="6"/>
  <c r="H275" i="6"/>
  <c r="I274" i="6"/>
  <c r="E274" i="6"/>
  <c r="K273" i="6"/>
  <c r="J273" i="6"/>
  <c r="J271" i="6"/>
  <c r="E271" i="6"/>
  <c r="F268" i="6"/>
  <c r="E268" i="6"/>
  <c r="F267" i="6"/>
  <c r="F271" i="6" s="1"/>
  <c r="E267" i="6"/>
  <c r="G266" i="6"/>
  <c r="G274" i="6" s="1"/>
  <c r="F266" i="6"/>
  <c r="F274" i="6" s="1"/>
  <c r="E266" i="6"/>
  <c r="G265" i="6"/>
  <c r="G273" i="6" s="1"/>
  <c r="F265" i="6"/>
  <c r="F273" i="6" s="1"/>
  <c r="E265" i="6"/>
  <c r="E273" i="6" s="1"/>
  <c r="J260" i="6"/>
  <c r="F260" i="6"/>
  <c r="E260" i="6"/>
  <c r="K259" i="6"/>
  <c r="L259" i="6" s="1"/>
  <c r="G259" i="6"/>
  <c r="H259" i="6" s="1"/>
  <c r="H260" i="6" s="1"/>
  <c r="J256" i="6"/>
  <c r="G256" i="6"/>
  <c r="F256" i="6"/>
  <c r="E256" i="6"/>
  <c r="K255" i="6"/>
  <c r="K256" i="6" s="1"/>
  <c r="H255" i="6"/>
  <c r="G255" i="6"/>
  <c r="K252" i="6"/>
  <c r="J252" i="6"/>
  <c r="F252" i="6"/>
  <c r="E252" i="6"/>
  <c r="K251" i="6"/>
  <c r="G251" i="6"/>
  <c r="G252" i="6" s="1"/>
  <c r="J248" i="6"/>
  <c r="G248" i="6"/>
  <c r="F248" i="6"/>
  <c r="E248" i="6"/>
  <c r="K247" i="6"/>
  <c r="K248" i="6" s="1"/>
  <c r="G247" i="6"/>
  <c r="H247" i="6" s="1"/>
  <c r="H248" i="6" s="1"/>
  <c r="J244" i="6"/>
  <c r="F244" i="6"/>
  <c r="E244" i="6"/>
  <c r="K243" i="6"/>
  <c r="K244" i="6" s="1"/>
  <c r="G243" i="6"/>
  <c r="H243" i="6" s="1"/>
  <c r="H244" i="6" s="1"/>
  <c r="J240" i="6"/>
  <c r="G240" i="6"/>
  <c r="F240" i="6"/>
  <c r="E240" i="6"/>
  <c r="K239" i="6"/>
  <c r="K240" i="6" s="1"/>
  <c r="H239" i="6"/>
  <c r="G239" i="6"/>
  <c r="K236" i="6"/>
  <c r="J236" i="6"/>
  <c r="F236" i="6"/>
  <c r="E236" i="6"/>
  <c r="K235" i="6"/>
  <c r="G235" i="6"/>
  <c r="G236" i="6" s="1"/>
  <c r="J232" i="6"/>
  <c r="F232" i="6"/>
  <c r="E232" i="6"/>
  <c r="K231" i="6"/>
  <c r="K232" i="6" s="1"/>
  <c r="G231" i="6"/>
  <c r="H231" i="6" s="1"/>
  <c r="H232" i="6" s="1"/>
  <c r="J228" i="6"/>
  <c r="F228" i="6"/>
  <c r="E228" i="6"/>
  <c r="K227" i="6"/>
  <c r="K228" i="6" s="1"/>
  <c r="G227" i="6"/>
  <c r="H227" i="6" s="1"/>
  <c r="H228" i="6" s="1"/>
  <c r="J224" i="6"/>
  <c r="G224" i="6"/>
  <c r="F224" i="6"/>
  <c r="E224" i="6"/>
  <c r="K223" i="6"/>
  <c r="K224" i="6" s="1"/>
  <c r="H223" i="6"/>
  <c r="G223" i="6"/>
  <c r="K220" i="6"/>
  <c r="J220" i="6"/>
  <c r="F220" i="6"/>
  <c r="E220" i="6"/>
  <c r="K219" i="6"/>
  <c r="G219" i="6"/>
  <c r="G220" i="6" s="1"/>
  <c r="J216" i="6"/>
  <c r="G216" i="6"/>
  <c r="F216" i="6"/>
  <c r="E216" i="6"/>
  <c r="K215" i="6"/>
  <c r="K216" i="6" s="1"/>
  <c r="G215" i="6"/>
  <c r="H215" i="6" s="1"/>
  <c r="H216" i="6" s="1"/>
  <c r="J212" i="6"/>
  <c r="F212" i="6"/>
  <c r="E212" i="6"/>
  <c r="K211" i="6"/>
  <c r="K212" i="6" s="1"/>
  <c r="H211" i="6"/>
  <c r="G211" i="6"/>
  <c r="G212" i="6" s="1"/>
  <c r="J208" i="6"/>
  <c r="F208" i="6"/>
  <c r="E208" i="6"/>
  <c r="K207" i="6"/>
  <c r="K208" i="6" s="1"/>
  <c r="G207" i="6"/>
  <c r="H207" i="6" s="1"/>
  <c r="H208" i="6" s="1"/>
  <c r="J204" i="6"/>
  <c r="G204" i="6"/>
  <c r="F204" i="6"/>
  <c r="E204" i="6"/>
  <c r="K203" i="6"/>
  <c r="K204" i="6" s="1"/>
  <c r="H203" i="6"/>
  <c r="G203" i="6"/>
  <c r="K200" i="6"/>
  <c r="J200" i="6"/>
  <c r="F200" i="6"/>
  <c r="E200" i="6"/>
  <c r="K199" i="6"/>
  <c r="G199" i="6"/>
  <c r="G200" i="6" s="1"/>
  <c r="J196" i="6"/>
  <c r="G196" i="6"/>
  <c r="F196" i="6"/>
  <c r="E196" i="6"/>
  <c r="K195" i="6"/>
  <c r="K196" i="6" s="1"/>
  <c r="G195" i="6"/>
  <c r="H195" i="6" s="1"/>
  <c r="H196" i="6" s="1"/>
  <c r="J192" i="6"/>
  <c r="F192" i="6"/>
  <c r="E192" i="6"/>
  <c r="K191" i="6"/>
  <c r="K192" i="6" s="1"/>
  <c r="H191" i="6"/>
  <c r="G191" i="6"/>
  <c r="G192" i="6" s="1"/>
  <c r="J188" i="6"/>
  <c r="F188" i="6"/>
  <c r="F272" i="6" s="1"/>
  <c r="E188" i="6"/>
  <c r="K187" i="6"/>
  <c r="K188" i="6" s="1"/>
  <c r="G187" i="6"/>
  <c r="H187" i="6" s="1"/>
  <c r="H188" i="6" s="1"/>
  <c r="J184" i="6"/>
  <c r="J272" i="6" s="1"/>
  <c r="H184" i="6"/>
  <c r="G184" i="6"/>
  <c r="F184" i="6"/>
  <c r="E184" i="6"/>
  <c r="E272" i="6" s="1"/>
  <c r="K183" i="6"/>
  <c r="K184" i="6" s="1"/>
  <c r="H183" i="6"/>
  <c r="G183" i="6"/>
  <c r="L182" i="6"/>
  <c r="L266" i="6" s="1"/>
  <c r="L274" i="6" s="1"/>
  <c r="K182" i="6"/>
  <c r="K266" i="6" s="1"/>
  <c r="K274" i="6" s="1"/>
  <c r="J182" i="6"/>
  <c r="J266" i="6" s="1"/>
  <c r="J274" i="6" s="1"/>
  <c r="H182" i="6"/>
  <c r="H266" i="6" s="1"/>
  <c r="H274" i="6" s="1"/>
  <c r="L181" i="6"/>
  <c r="L265" i="6" s="1"/>
  <c r="L273" i="6" s="1"/>
  <c r="H181" i="6"/>
  <c r="H265" i="6" s="1"/>
  <c r="H273" i="6" s="1"/>
  <c r="L180" i="6"/>
  <c r="L248" i="6" s="1"/>
  <c r="H180" i="6"/>
  <c r="L179" i="6"/>
  <c r="H179" i="6"/>
  <c r="K178" i="6"/>
  <c r="J178" i="6"/>
  <c r="G178" i="6"/>
  <c r="F178" i="6"/>
  <c r="K177" i="6"/>
  <c r="J177" i="6"/>
  <c r="H177" i="6"/>
  <c r="G177" i="6"/>
  <c r="F177" i="6"/>
  <c r="K176" i="6"/>
  <c r="J176" i="6"/>
  <c r="H176" i="6"/>
  <c r="G176" i="6"/>
  <c r="F176" i="6"/>
  <c r="K175" i="6"/>
  <c r="J175" i="6"/>
  <c r="G175" i="6"/>
  <c r="F175" i="6"/>
  <c r="L174" i="6"/>
  <c r="L178" i="6" s="1"/>
  <c r="H174" i="6"/>
  <c r="H178" i="6" s="1"/>
  <c r="L173" i="6"/>
  <c r="L177" i="6" s="1"/>
  <c r="H173" i="6"/>
  <c r="L172" i="6"/>
  <c r="L176" i="6" s="1"/>
  <c r="H172" i="6"/>
  <c r="L171" i="6"/>
  <c r="L175" i="6" s="1"/>
  <c r="H171" i="6"/>
  <c r="H175" i="6" s="1"/>
  <c r="G170" i="6"/>
  <c r="F170" i="6"/>
  <c r="K169" i="6"/>
  <c r="J169" i="6"/>
  <c r="G169" i="6"/>
  <c r="F169" i="6"/>
  <c r="L168" i="6"/>
  <c r="K168" i="6"/>
  <c r="J168" i="6"/>
  <c r="G168" i="6"/>
  <c r="F168" i="6"/>
  <c r="K167" i="6"/>
  <c r="J167" i="6"/>
  <c r="G167" i="6"/>
  <c r="F167" i="6"/>
  <c r="L166" i="6"/>
  <c r="L170" i="6" s="1"/>
  <c r="K166" i="6"/>
  <c r="K170" i="6" s="1"/>
  <c r="J166" i="6"/>
  <c r="J170" i="6" s="1"/>
  <c r="H166" i="6"/>
  <c r="H170" i="6" s="1"/>
  <c r="L165" i="6"/>
  <c r="L169" i="6" s="1"/>
  <c r="H165" i="6"/>
  <c r="H169" i="6" s="1"/>
  <c r="L164" i="6"/>
  <c r="H164" i="6"/>
  <c r="H168" i="6" s="1"/>
  <c r="L163" i="6"/>
  <c r="L167" i="6" s="1"/>
  <c r="H163" i="6"/>
  <c r="H167" i="6" s="1"/>
  <c r="J162" i="6"/>
  <c r="G162" i="6"/>
  <c r="F162" i="6"/>
  <c r="E162" i="6"/>
  <c r="K161" i="6"/>
  <c r="J161" i="6"/>
  <c r="H161" i="6"/>
  <c r="G161" i="6"/>
  <c r="F161" i="6"/>
  <c r="E161" i="6"/>
  <c r="K160" i="6"/>
  <c r="J160" i="6"/>
  <c r="G160" i="6"/>
  <c r="F160" i="6"/>
  <c r="E160" i="6"/>
  <c r="L159" i="6"/>
  <c r="K159" i="6"/>
  <c r="J159" i="6"/>
  <c r="G159" i="6"/>
  <c r="F159" i="6"/>
  <c r="E159" i="6"/>
  <c r="L158" i="6"/>
  <c r="L162" i="6" s="1"/>
  <c r="K158" i="6"/>
  <c r="K162" i="6" s="1"/>
  <c r="J158" i="6"/>
  <c r="H158" i="6"/>
  <c r="H162" i="6" s="1"/>
  <c r="L157" i="6"/>
  <c r="L161" i="6" s="1"/>
  <c r="H157" i="6"/>
  <c r="L156" i="6"/>
  <c r="L160" i="6" s="1"/>
  <c r="H156" i="6"/>
  <c r="H160" i="6" s="1"/>
  <c r="L155" i="6"/>
  <c r="H155" i="6"/>
  <c r="H159" i="6" s="1"/>
  <c r="L153" i="6"/>
  <c r="K153" i="6"/>
  <c r="J153" i="6"/>
  <c r="I153" i="6"/>
  <c r="H153" i="6"/>
  <c r="G153" i="6"/>
  <c r="F153" i="6"/>
  <c r="E153" i="6"/>
  <c r="I152" i="6"/>
  <c r="I591" i="6" s="1"/>
  <c r="I593" i="6" s="1"/>
  <c r="J151" i="6"/>
  <c r="I151" i="6"/>
  <c r="E151" i="6"/>
  <c r="I150" i="6"/>
  <c r="I154" i="6" s="1"/>
  <c r="I592" i="6" s="1"/>
  <c r="F150" i="6"/>
  <c r="F154" i="6" s="1"/>
  <c r="AK149" i="6"/>
  <c r="AK150" i="6" s="1"/>
  <c r="AJ149" i="6"/>
  <c r="G148" i="6"/>
  <c r="F148" i="6"/>
  <c r="G147" i="6"/>
  <c r="G151" i="6" s="1"/>
  <c r="F147" i="6"/>
  <c r="F151" i="6" s="1"/>
  <c r="E147" i="6"/>
  <c r="E148" i="6" s="1"/>
  <c r="E152" i="6" s="1"/>
  <c r="K144" i="6"/>
  <c r="J144" i="6"/>
  <c r="G144" i="6"/>
  <c r="F144" i="6"/>
  <c r="E144" i="6"/>
  <c r="L143" i="6"/>
  <c r="H143" i="6"/>
  <c r="H144" i="6" s="1"/>
  <c r="H140" i="6"/>
  <c r="H128" i="6"/>
  <c r="J124" i="6"/>
  <c r="G124" i="6"/>
  <c r="F124" i="6"/>
  <c r="E124" i="6"/>
  <c r="L123" i="6"/>
  <c r="L124" i="6" s="1"/>
  <c r="K123" i="6"/>
  <c r="K124" i="6" s="1"/>
  <c r="K120" i="6"/>
  <c r="J120" i="6"/>
  <c r="G120" i="6"/>
  <c r="F120" i="6"/>
  <c r="E120" i="6"/>
  <c r="L119" i="6"/>
  <c r="L120" i="6" s="1"/>
  <c r="H119" i="6"/>
  <c r="K116" i="6"/>
  <c r="J116" i="6"/>
  <c r="G116" i="6"/>
  <c r="F116" i="6"/>
  <c r="E116" i="6"/>
  <c r="L115" i="6"/>
  <c r="H115" i="6"/>
  <c r="H116" i="6" s="1"/>
  <c r="J112" i="6"/>
  <c r="G112" i="6"/>
  <c r="F112" i="6"/>
  <c r="E112" i="6"/>
  <c r="K111" i="6"/>
  <c r="L111" i="6" s="1"/>
  <c r="K108" i="6"/>
  <c r="G108" i="6"/>
  <c r="L107" i="6"/>
  <c r="L108" i="6" s="1"/>
  <c r="H107" i="6"/>
  <c r="H108" i="6" s="1"/>
  <c r="J104" i="6"/>
  <c r="J152" i="6" s="1"/>
  <c r="G104" i="6"/>
  <c r="G152" i="6" s="1"/>
  <c r="F104" i="6"/>
  <c r="F152" i="6" s="1"/>
  <c r="E104" i="6"/>
  <c r="K103" i="6"/>
  <c r="K151" i="6" s="1"/>
  <c r="L102" i="6"/>
  <c r="L150" i="6" s="1"/>
  <c r="L154" i="6" s="1"/>
  <c r="K102" i="6"/>
  <c r="K150" i="6" s="1"/>
  <c r="K154" i="6" s="1"/>
  <c r="J102" i="6"/>
  <c r="J150" i="6" s="1"/>
  <c r="J154" i="6" s="1"/>
  <c r="H102" i="6"/>
  <c r="H150" i="6" s="1"/>
  <c r="H154" i="6" s="1"/>
  <c r="G102" i="6"/>
  <c r="G150" i="6" s="1"/>
  <c r="G154" i="6" s="1"/>
  <c r="F102" i="6"/>
  <c r="E102" i="6"/>
  <c r="E150" i="6" s="1"/>
  <c r="E154" i="6" s="1"/>
  <c r="L101" i="6"/>
  <c r="H101" i="6"/>
  <c r="L100" i="6"/>
  <c r="L144" i="6" s="1"/>
  <c r="H100" i="6"/>
  <c r="H136" i="6" s="1"/>
  <c r="L99" i="6"/>
  <c r="H99" i="6"/>
  <c r="G98" i="6"/>
  <c r="K97" i="6"/>
  <c r="G97" i="6"/>
  <c r="K96" i="6"/>
  <c r="G96" i="6"/>
  <c r="L95" i="6"/>
  <c r="K95" i="6"/>
  <c r="G95" i="6"/>
  <c r="L94" i="6"/>
  <c r="L98" i="6" s="1"/>
  <c r="K94" i="6"/>
  <c r="K98" i="6" s="1"/>
  <c r="J94" i="6"/>
  <c r="H94" i="6"/>
  <c r="H98" i="6" s="1"/>
  <c r="L93" i="6"/>
  <c r="L97" i="6" s="1"/>
  <c r="H93" i="6"/>
  <c r="H97" i="6" s="1"/>
  <c r="L92" i="6"/>
  <c r="L96" i="6" s="1"/>
  <c r="H92" i="6"/>
  <c r="H96" i="6" s="1"/>
  <c r="Y91" i="6"/>
  <c r="L91" i="6"/>
  <c r="H91" i="6"/>
  <c r="H95" i="6" s="1"/>
  <c r="L89" i="6"/>
  <c r="K89" i="6"/>
  <c r="J89" i="6"/>
  <c r="H89" i="6"/>
  <c r="G89" i="6"/>
  <c r="F89" i="6"/>
  <c r="E89" i="6"/>
  <c r="L87" i="6"/>
  <c r="K87" i="6"/>
  <c r="J87" i="6"/>
  <c r="H87" i="6"/>
  <c r="G87" i="6"/>
  <c r="K84" i="6"/>
  <c r="E84" i="6"/>
  <c r="K83" i="6"/>
  <c r="G83" i="6"/>
  <c r="G84" i="6" s="1"/>
  <c r="F83" i="6"/>
  <c r="E83" i="6"/>
  <c r="E87" i="6" s="1"/>
  <c r="K80" i="6"/>
  <c r="J80" i="6"/>
  <c r="G80" i="6"/>
  <c r="F80" i="6"/>
  <c r="K76" i="6"/>
  <c r="J76" i="6"/>
  <c r="G76" i="6"/>
  <c r="F76" i="6"/>
  <c r="E76" i="6"/>
  <c r="K72" i="6"/>
  <c r="J72" i="6"/>
  <c r="H72" i="6"/>
  <c r="G72" i="6"/>
  <c r="F72" i="6"/>
  <c r="K68" i="6"/>
  <c r="J68" i="6"/>
  <c r="G68" i="6"/>
  <c r="F68" i="6"/>
  <c r="K64" i="6"/>
  <c r="J64" i="6"/>
  <c r="G64" i="6"/>
  <c r="F64" i="6"/>
  <c r="K60" i="6"/>
  <c r="J60" i="6"/>
  <c r="H60" i="6"/>
  <c r="G60" i="6"/>
  <c r="F60" i="6"/>
  <c r="E60" i="6"/>
  <c r="K56" i="6"/>
  <c r="J56" i="6"/>
  <c r="G56" i="6"/>
  <c r="F56" i="6"/>
  <c r="K52" i="6"/>
  <c r="J52" i="6"/>
  <c r="G52" i="6"/>
  <c r="F52" i="6"/>
  <c r="E52" i="6"/>
  <c r="K48" i="6"/>
  <c r="J48" i="6"/>
  <c r="H48" i="6"/>
  <c r="G48" i="6"/>
  <c r="F48" i="6"/>
  <c r="K44" i="6"/>
  <c r="J44" i="6"/>
  <c r="G44" i="6"/>
  <c r="F44" i="6"/>
  <c r="K40" i="6"/>
  <c r="J40" i="6"/>
  <c r="G40" i="6"/>
  <c r="F40" i="6"/>
  <c r="K36" i="6"/>
  <c r="G36" i="6"/>
  <c r="K32" i="6"/>
  <c r="G32" i="6"/>
  <c r="K28" i="6"/>
  <c r="G28" i="6"/>
  <c r="K24" i="6"/>
  <c r="G24" i="6"/>
  <c r="K20" i="6"/>
  <c r="J20" i="6"/>
  <c r="G20" i="6"/>
  <c r="F20" i="6"/>
  <c r="E20" i="6"/>
  <c r="K16" i="6"/>
  <c r="J16" i="6"/>
  <c r="G16" i="6"/>
  <c r="F16" i="6"/>
  <c r="K12" i="6"/>
  <c r="K88" i="6" s="1"/>
  <c r="J12" i="6"/>
  <c r="J88" i="6" s="1"/>
  <c r="G12" i="6"/>
  <c r="G88" i="6" s="1"/>
  <c r="F12" i="6"/>
  <c r="L10" i="6"/>
  <c r="L86" i="6" s="1"/>
  <c r="L90" i="6" s="1"/>
  <c r="K10" i="6"/>
  <c r="K86" i="6" s="1"/>
  <c r="K90" i="6" s="1"/>
  <c r="J10" i="6"/>
  <c r="J86" i="6" s="1"/>
  <c r="J90" i="6" s="1"/>
  <c r="H10" i="6"/>
  <c r="H86" i="6" s="1"/>
  <c r="H90" i="6" s="1"/>
  <c r="G10" i="6"/>
  <c r="G86" i="6" s="1"/>
  <c r="G90" i="6" s="1"/>
  <c r="F10" i="6"/>
  <c r="F86" i="6" s="1"/>
  <c r="F90" i="6" s="1"/>
  <c r="F592" i="6" s="1"/>
  <c r="E10" i="6"/>
  <c r="E86" i="6" s="1"/>
  <c r="E90" i="6" s="1"/>
  <c r="E592" i="6" s="1"/>
  <c r="L9" i="6"/>
  <c r="H9" i="6"/>
  <c r="E9" i="6"/>
  <c r="L8" i="6"/>
  <c r="H8" i="6"/>
  <c r="H16" i="6" s="1"/>
  <c r="E8" i="6"/>
  <c r="E64" i="6" s="1"/>
  <c r="L7" i="6"/>
  <c r="L28" i="6" s="1"/>
  <c r="H7" i="6"/>
  <c r="H592" i="6" l="1"/>
  <c r="L112" i="6"/>
  <c r="H111" i="6"/>
  <c r="H112" i="6" s="1"/>
  <c r="H287" i="6"/>
  <c r="H288" i="6" s="1"/>
  <c r="G288" i="6"/>
  <c r="F87" i="6"/>
  <c r="F84" i="6"/>
  <c r="G592" i="6"/>
  <c r="L56" i="6"/>
  <c r="J592" i="6"/>
  <c r="H284" i="6"/>
  <c r="K592" i="6"/>
  <c r="L36" i="6"/>
  <c r="H399" i="6"/>
  <c r="H400" i="6" s="1"/>
  <c r="G400" i="6"/>
  <c r="L592" i="6"/>
  <c r="L332" i="6"/>
  <c r="H359" i="6"/>
  <c r="H360" i="6" s="1"/>
  <c r="G360" i="6"/>
  <c r="F88" i="6"/>
  <c r="F591" i="6" s="1"/>
  <c r="F593" i="6" s="1"/>
  <c r="L323" i="6"/>
  <c r="H379" i="6"/>
  <c r="H380" i="6" s="1"/>
  <c r="G380" i="6"/>
  <c r="L331" i="6"/>
  <c r="H432" i="6"/>
  <c r="H12" i="6"/>
  <c r="L20" i="6"/>
  <c r="E40" i="6"/>
  <c r="H44" i="6"/>
  <c r="E56" i="6"/>
  <c r="H68" i="6"/>
  <c r="E80" i="6"/>
  <c r="H132" i="6"/>
  <c r="G188" i="6"/>
  <c r="H199" i="6"/>
  <c r="H200" i="6" s="1"/>
  <c r="L200" i="6"/>
  <c r="G208" i="6"/>
  <c r="G272" i="6" s="1"/>
  <c r="H219" i="6"/>
  <c r="H220" i="6" s="1"/>
  <c r="L220" i="6"/>
  <c r="G228" i="6"/>
  <c r="L231" i="6"/>
  <c r="L267" i="6" s="1"/>
  <c r="H235" i="6"/>
  <c r="H236" i="6" s="1"/>
  <c r="L236" i="6"/>
  <c r="G244" i="6"/>
  <c r="H251" i="6"/>
  <c r="H252" i="6" s="1"/>
  <c r="L252" i="6"/>
  <c r="G284" i="6"/>
  <c r="G295" i="6"/>
  <c r="G300" i="6"/>
  <c r="L303" i="6"/>
  <c r="L304" i="6" s="1"/>
  <c r="G307" i="6"/>
  <c r="G323" i="6"/>
  <c r="G355" i="6"/>
  <c r="H375" i="6"/>
  <c r="H376" i="6" s="1"/>
  <c r="G391" i="6"/>
  <c r="H395" i="6"/>
  <c r="H396" i="6" s="1"/>
  <c r="H415" i="6"/>
  <c r="H416" i="6" s="1"/>
  <c r="J432" i="6"/>
  <c r="J436" i="6" s="1"/>
  <c r="J591" i="6" s="1"/>
  <c r="J593" i="6" s="1"/>
  <c r="H540" i="6"/>
  <c r="H548" i="6"/>
  <c r="G555" i="6"/>
  <c r="H256" i="6"/>
  <c r="H280" i="6"/>
  <c r="L16" i="6"/>
  <c r="H32" i="6"/>
  <c r="H64" i="6"/>
  <c r="K104" i="6"/>
  <c r="K152" i="6" s="1"/>
  <c r="K112" i="6"/>
  <c r="H120" i="6"/>
  <c r="G260" i="6"/>
  <c r="G279" i="6"/>
  <c r="G280" i="6" s="1"/>
  <c r="K280" i="6"/>
  <c r="K296" i="6"/>
  <c r="K332" i="6" s="1"/>
  <c r="K308" i="6"/>
  <c r="G319" i="6"/>
  <c r="H484" i="6"/>
  <c r="L492" i="6"/>
  <c r="H520" i="6"/>
  <c r="H204" i="6"/>
  <c r="H224" i="6"/>
  <c r="K271" i="6"/>
  <c r="K435" i="6"/>
  <c r="H24" i="6"/>
  <c r="L184" i="6"/>
  <c r="H192" i="6"/>
  <c r="L204" i="6"/>
  <c r="H212" i="6"/>
  <c r="L224" i="6"/>
  <c r="L240" i="6"/>
  <c r="L256" i="6"/>
  <c r="E328" i="6"/>
  <c r="E332" i="6" s="1"/>
  <c r="H504" i="6"/>
  <c r="H512" i="6"/>
  <c r="H532" i="6"/>
  <c r="L540" i="6"/>
  <c r="E16" i="6"/>
  <c r="L32" i="6"/>
  <c r="L44" i="6"/>
  <c r="H56" i="6"/>
  <c r="L68" i="6"/>
  <c r="H80" i="6"/>
  <c r="L103" i="6"/>
  <c r="L116" i="6"/>
  <c r="G232" i="6"/>
  <c r="G267" i="6"/>
  <c r="G268" i="6" s="1"/>
  <c r="G311" i="6"/>
  <c r="K380" i="6"/>
  <c r="H387" i="6"/>
  <c r="H388" i="6" s="1"/>
  <c r="H476" i="6"/>
  <c r="H496" i="6"/>
  <c r="H240" i="6"/>
  <c r="E48" i="6"/>
  <c r="L64" i="6"/>
  <c r="E72" i="6"/>
  <c r="L228" i="6"/>
  <c r="L244" i="6"/>
  <c r="K260" i="6"/>
  <c r="K272" i="6" s="1"/>
  <c r="K312" i="6"/>
  <c r="K360" i="6"/>
  <c r="K436" i="6" s="1"/>
  <c r="K400" i="6"/>
  <c r="H407" i="6"/>
  <c r="H408" i="6" s="1"/>
  <c r="H423" i="6"/>
  <c r="H424" i="6" s="1"/>
  <c r="H488" i="6"/>
  <c r="H524" i="6"/>
  <c r="E12" i="6"/>
  <c r="H20" i="6"/>
  <c r="H28" i="6"/>
  <c r="H36" i="6"/>
  <c r="E44" i="6"/>
  <c r="H52" i="6"/>
  <c r="L60" i="6"/>
  <c r="E68" i="6"/>
  <c r="H76" i="6"/>
  <c r="H123" i="6"/>
  <c r="H124" i="6" s="1"/>
  <c r="G303" i="6"/>
  <c r="H516" i="6"/>
  <c r="H536" i="6"/>
  <c r="H544" i="6"/>
  <c r="L196" i="6"/>
  <c r="L216" i="6"/>
  <c r="H500" i="6"/>
  <c r="H508" i="6"/>
  <c r="K591" i="6" l="1"/>
  <c r="K593" i="6" s="1"/>
  <c r="G296" i="6"/>
  <c r="G332" i="6" s="1"/>
  <c r="G591" i="6" s="1"/>
  <c r="G593" i="6" s="1"/>
  <c r="H295" i="6"/>
  <c r="L151" i="6"/>
  <c r="L104" i="6"/>
  <c r="L152" i="6" s="1"/>
  <c r="H103" i="6"/>
  <c r="G392" i="6"/>
  <c r="H391" i="6"/>
  <c r="H392" i="6" s="1"/>
  <c r="L556" i="6"/>
  <c r="G435" i="6"/>
  <c r="G356" i="6"/>
  <c r="G436" i="6" s="1"/>
  <c r="H355" i="6"/>
  <c r="H435" i="6" s="1"/>
  <c r="H267" i="6"/>
  <c r="E88" i="6"/>
  <c r="E591" i="6" s="1"/>
  <c r="E593" i="6" s="1"/>
  <c r="H556" i="6"/>
  <c r="L272" i="6"/>
  <c r="G331" i="6"/>
  <c r="G320" i="6"/>
  <c r="H319" i="6"/>
  <c r="H320" i="6" s="1"/>
  <c r="G324" i="6"/>
  <c r="H323" i="6"/>
  <c r="H324" i="6" s="1"/>
  <c r="H436" i="6"/>
  <c r="H303" i="6"/>
  <c r="H304" i="6" s="1"/>
  <c r="G304" i="6"/>
  <c r="G308" i="6"/>
  <c r="H307" i="6"/>
  <c r="H308" i="6" s="1"/>
  <c r="H311" i="6"/>
  <c r="H312" i="6" s="1"/>
  <c r="G312" i="6"/>
  <c r="H88" i="6"/>
  <c r="L88" i="6"/>
  <c r="L271" i="6"/>
  <c r="G271" i="6"/>
  <c r="H268" i="6" l="1"/>
  <c r="H272" i="6" s="1"/>
  <c r="H271" i="6"/>
  <c r="H296" i="6"/>
  <c r="H331" i="6"/>
  <c r="L591" i="6"/>
  <c r="L593" i="6" s="1"/>
  <c r="H104" i="6"/>
  <c r="H147" i="6"/>
  <c r="H148" i="6" s="1"/>
  <c r="H151" i="6"/>
  <c r="H327" i="6"/>
  <c r="H328" i="6" s="1"/>
  <c r="H152" i="6" l="1"/>
  <c r="H591" i="6" s="1"/>
  <c r="H593" i="6" s="1"/>
  <c r="H332" i="6"/>
  <c r="S21" i="3" l="1"/>
  <c r="AN94" i="2"/>
  <c r="AO93" i="2"/>
  <c r="AN93" i="2"/>
  <c r="AN87" i="2"/>
  <c r="H18" i="2"/>
  <c r="AR31" i="1"/>
  <c r="AQ31" i="1"/>
  <c r="AQ29" i="1"/>
  <c r="AQ30" i="1"/>
  <c r="AQ26" i="1"/>
  <c r="AR27" i="1"/>
  <c r="AQ24" i="1"/>
  <c r="AQ23" i="1"/>
  <c r="AR22" i="1"/>
  <c r="AQ22" i="1"/>
  <c r="AQ21" i="1"/>
  <c r="AR20" i="1"/>
  <c r="AQ20" i="1"/>
  <c r="AQ18" i="1"/>
  <c r="AR16" i="1"/>
  <c r="AQ16" i="1"/>
  <c r="J14" i="1"/>
  <c r="AR14" i="1" s="1"/>
  <c r="AQ14" i="1"/>
  <c r="AE69" i="2" l="1"/>
  <c r="V69" i="2"/>
  <c r="AE117" i="2"/>
  <c r="AG26" i="1"/>
  <c r="X26" i="1"/>
  <c r="AG18" i="1"/>
  <c r="N26" i="1" l="1"/>
  <c r="T26" i="1"/>
  <c r="V83" i="2"/>
  <c r="V52" i="2" l="1"/>
  <c r="V129" i="2" s="1"/>
  <c r="T84" i="3" l="1"/>
  <c r="S83" i="3"/>
  <c r="S82" i="3"/>
  <c r="S81" i="3"/>
  <c r="S80" i="3"/>
  <c r="S79" i="3"/>
  <c r="S78" i="3"/>
  <c r="S77" i="3"/>
  <c r="S76" i="3"/>
  <c r="S75" i="3"/>
  <c r="S74" i="3"/>
  <c r="S73" i="3"/>
  <c r="S72" i="3"/>
  <c r="S71" i="3"/>
  <c r="S70" i="3"/>
  <c r="S69" i="3"/>
  <c r="S68" i="3"/>
  <c r="S67" i="3"/>
  <c r="S66" i="3"/>
  <c r="S65" i="3"/>
  <c r="S64" i="3"/>
  <c r="S63" i="3"/>
  <c r="S62" i="3"/>
  <c r="S61" i="3"/>
  <c r="S60" i="3"/>
  <c r="S59" i="3"/>
  <c r="S58" i="3"/>
  <c r="S57" i="3"/>
  <c r="S56" i="3"/>
  <c r="S55" i="3"/>
  <c r="S54" i="3"/>
  <c r="S53" i="3"/>
  <c r="S52" i="3"/>
  <c r="S51" i="3"/>
  <c r="S50" i="3"/>
  <c r="S49" i="3"/>
  <c r="S48" i="3"/>
  <c r="S47" i="3"/>
  <c r="S46" i="3"/>
  <c r="S45" i="3"/>
  <c r="S44" i="3"/>
  <c r="S43" i="3"/>
  <c r="U42" i="3"/>
  <c r="U84" i="3" s="1"/>
  <c r="S42" i="3"/>
  <c r="S41" i="3"/>
  <c r="S40" i="3"/>
  <c r="S39" i="3"/>
  <c r="S38" i="3"/>
  <c r="S37" i="3"/>
  <c r="S36" i="3"/>
  <c r="S35" i="3"/>
  <c r="S34" i="3"/>
  <c r="S33" i="3"/>
  <c r="S32" i="3"/>
  <c r="S31" i="3"/>
  <c r="S30" i="3"/>
  <c r="S29" i="3"/>
  <c r="S28" i="3"/>
  <c r="S27" i="3"/>
  <c r="S26" i="3"/>
  <c r="S25" i="3"/>
  <c r="S24" i="3"/>
  <c r="S23" i="3"/>
  <c r="S22" i="3"/>
  <c r="S20" i="3"/>
  <c r="S19" i="3"/>
  <c r="S18" i="3"/>
  <c r="S17" i="3"/>
  <c r="S16" i="3"/>
  <c r="S15" i="3"/>
  <c r="S14" i="3"/>
  <c r="S13" i="3"/>
  <c r="V12" i="3"/>
  <c r="S12" i="3"/>
  <c r="S11" i="3"/>
  <c r="S10" i="3"/>
  <c r="S9" i="3"/>
  <c r="S8" i="3"/>
  <c r="AM130" i="2"/>
  <c r="AJ130" i="2"/>
  <c r="AI130" i="2"/>
  <c r="AH130" i="2"/>
  <c r="AG130" i="2"/>
  <c r="AF130" i="2"/>
  <c r="AE130" i="2"/>
  <c r="AD130" i="2"/>
  <c r="AC130" i="2"/>
  <c r="AB130" i="2"/>
  <c r="AA130" i="2"/>
  <c r="Z130" i="2"/>
  <c r="Y130" i="2"/>
  <c r="X130" i="2"/>
  <c r="W130" i="2"/>
  <c r="T130" i="2"/>
  <c r="S130" i="2"/>
  <c r="R130" i="2"/>
  <c r="Q130" i="2"/>
  <c r="P130" i="2"/>
  <c r="O130" i="2"/>
  <c r="N130" i="2"/>
  <c r="M130" i="2"/>
  <c r="AM129" i="2"/>
  <c r="AL129" i="2"/>
  <c r="AJ129" i="2"/>
  <c r="AJ131" i="2" s="1"/>
  <c r="AI129" i="2"/>
  <c r="AI131" i="2" s="1"/>
  <c r="AH129" i="2"/>
  <c r="AH131" i="2" s="1"/>
  <c r="AG129" i="2"/>
  <c r="AF129" i="2"/>
  <c r="AF131" i="2" s="1"/>
  <c r="AE129" i="2"/>
  <c r="AD129" i="2"/>
  <c r="AC129" i="2"/>
  <c r="AC131" i="2" s="1"/>
  <c r="AB129" i="2"/>
  <c r="AB131" i="2" s="1"/>
  <c r="AA129" i="2"/>
  <c r="AA131" i="2" s="1"/>
  <c r="Z129" i="2"/>
  <c r="Z131" i="2" s="1"/>
  <c r="Y129" i="2"/>
  <c r="X129" i="2"/>
  <c r="X131" i="2" s="1"/>
  <c r="W129" i="2"/>
  <c r="U129" i="2"/>
  <c r="T129" i="2"/>
  <c r="S129" i="2"/>
  <c r="Q129" i="2"/>
  <c r="Q131" i="2" s="1"/>
  <c r="P129" i="2"/>
  <c r="P131" i="2" s="1"/>
  <c r="O129" i="2"/>
  <c r="O131" i="2" s="1"/>
  <c r="N129" i="2"/>
  <c r="N131" i="2" s="1"/>
  <c r="M129" i="2"/>
  <c r="M131" i="2" s="1"/>
  <c r="L129" i="2"/>
  <c r="L131" i="2" s="1"/>
  <c r="J129" i="2"/>
  <c r="J131" i="2" s="1"/>
  <c r="I129" i="2"/>
  <c r="I131" i="2" s="1"/>
  <c r="AL128" i="2"/>
  <c r="AK128" i="2"/>
  <c r="AJ128" i="2"/>
  <c r="AE128" i="2"/>
  <c r="Y128" i="2"/>
  <c r="V128" i="2"/>
  <c r="T128" i="2"/>
  <c r="S128" i="2"/>
  <c r="R128" i="2"/>
  <c r="Q128" i="2"/>
  <c r="P128" i="2"/>
  <c r="O128" i="2"/>
  <c r="N128" i="2"/>
  <c r="M128" i="2"/>
  <c r="L128" i="2"/>
  <c r="K128" i="2"/>
  <c r="J128" i="2"/>
  <c r="I128" i="2"/>
  <c r="AL127" i="2"/>
  <c r="AO127" i="2" s="1"/>
  <c r="AJ127" i="2"/>
  <c r="V127" i="2"/>
  <c r="T127" i="2"/>
  <c r="P127" i="2"/>
  <c r="O127" i="2"/>
  <c r="N127" i="2"/>
  <c r="M127" i="2"/>
  <c r="AN126" i="2"/>
  <c r="H126" i="2"/>
  <c r="AN124" i="2"/>
  <c r="H124" i="2"/>
  <c r="H128" i="2" s="1"/>
  <c r="AO123" i="2"/>
  <c r="AN123" i="2"/>
  <c r="AK123" i="2"/>
  <c r="AK127" i="2" s="1"/>
  <c r="AL122" i="2"/>
  <c r="AK122" i="2"/>
  <c r="AJ122" i="2"/>
  <c r="AE122" i="2"/>
  <c r="Y122" i="2"/>
  <c r="V122" i="2"/>
  <c r="T122" i="2"/>
  <c r="S122" i="2"/>
  <c r="R122" i="2"/>
  <c r="P122" i="2"/>
  <c r="O122" i="2"/>
  <c r="N122" i="2"/>
  <c r="M122" i="2"/>
  <c r="AK121" i="2"/>
  <c r="Y121" i="2"/>
  <c r="V121" i="2"/>
  <c r="S121" i="2"/>
  <c r="R121" i="2"/>
  <c r="P121" i="2"/>
  <c r="O121" i="2"/>
  <c r="N121" i="2"/>
  <c r="M121" i="2"/>
  <c r="K121" i="2"/>
  <c r="AN120" i="2"/>
  <c r="H120" i="2"/>
  <c r="AO118" i="2"/>
  <c r="AN118" i="2"/>
  <c r="K118" i="2"/>
  <c r="K122" i="2" s="1"/>
  <c r="J118" i="2"/>
  <c r="J122" i="2" s="1"/>
  <c r="H118" i="2"/>
  <c r="AL117" i="2"/>
  <c r="AN117" i="2" s="1"/>
  <c r="AJ117" i="2"/>
  <c r="AJ121" i="2" s="1"/>
  <c r="H117" i="2"/>
  <c r="H121" i="2" s="1"/>
  <c r="T117" i="2"/>
  <c r="T121" i="2" s="1"/>
  <c r="AL116" i="2"/>
  <c r="AN116" i="2" s="1"/>
  <c r="AK116" i="2"/>
  <c r="AJ116" i="2"/>
  <c r="AE116" i="2"/>
  <c r="Y116" i="2"/>
  <c r="V116" i="2"/>
  <c r="T116" i="2"/>
  <c r="S116" i="2"/>
  <c r="R116" i="2"/>
  <c r="Q116" i="2"/>
  <c r="P116" i="2"/>
  <c r="O116" i="2"/>
  <c r="N116" i="2"/>
  <c r="M116" i="2"/>
  <c r="K116" i="2"/>
  <c r="J116" i="2"/>
  <c r="AO115" i="2"/>
  <c r="AL115" i="2"/>
  <c r="AK115" i="2"/>
  <c r="AJ115" i="2"/>
  <c r="AE115" i="2"/>
  <c r="Y115" i="2"/>
  <c r="V115" i="2"/>
  <c r="S115" i="2"/>
  <c r="P115" i="2"/>
  <c r="O115" i="2"/>
  <c r="N115" i="2"/>
  <c r="M115" i="2"/>
  <c r="AN114" i="2"/>
  <c r="L114" i="2"/>
  <c r="H114" i="2"/>
  <c r="AN112" i="2"/>
  <c r="H112" i="2"/>
  <c r="AO112" i="2" s="1"/>
  <c r="AO111" i="2"/>
  <c r="AN111" i="2"/>
  <c r="T111" i="2"/>
  <c r="T115" i="2" s="1"/>
  <c r="AL110" i="2"/>
  <c r="AK110" i="2"/>
  <c r="AJ110" i="2"/>
  <c r="AE110" i="2"/>
  <c r="Y110" i="2"/>
  <c r="V110" i="2"/>
  <c r="T110" i="2"/>
  <c r="S110" i="2"/>
  <c r="R110" i="2"/>
  <c r="Q110" i="2"/>
  <c r="P110" i="2"/>
  <c r="O110" i="2"/>
  <c r="N110" i="2"/>
  <c r="M110" i="2"/>
  <c r="K110" i="2"/>
  <c r="J110" i="2"/>
  <c r="AL109" i="2"/>
  <c r="AO109" i="2" s="1"/>
  <c r="AK109" i="2"/>
  <c r="AE109" i="2"/>
  <c r="Y109" i="2"/>
  <c r="V109" i="2"/>
  <c r="S109" i="2"/>
  <c r="R109" i="2"/>
  <c r="P109" i="2"/>
  <c r="O109" i="2"/>
  <c r="N109" i="2"/>
  <c r="M109" i="2"/>
  <c r="AN108" i="2"/>
  <c r="H108" i="2"/>
  <c r="AN106" i="2"/>
  <c r="H106" i="2"/>
  <c r="H110" i="2" s="1"/>
  <c r="AO105" i="2"/>
  <c r="AN105" i="2"/>
  <c r="AJ105" i="2"/>
  <c r="AJ109" i="2" s="1"/>
  <c r="T105" i="2"/>
  <c r="T109" i="2" s="1"/>
  <c r="AL104" i="2"/>
  <c r="AK104" i="2"/>
  <c r="AJ104" i="2"/>
  <c r="AE104" i="2"/>
  <c r="Y104" i="2"/>
  <c r="V104" i="2"/>
  <c r="T104" i="2"/>
  <c r="S104" i="2"/>
  <c r="R104" i="2"/>
  <c r="Q104" i="2"/>
  <c r="P104" i="2"/>
  <c r="O104" i="2"/>
  <c r="N104" i="2"/>
  <c r="M104" i="2"/>
  <c r="K104" i="2"/>
  <c r="J104" i="2"/>
  <c r="I104" i="2"/>
  <c r="AL103" i="2"/>
  <c r="AK103" i="2"/>
  <c r="AJ103" i="2"/>
  <c r="Y103" i="2"/>
  <c r="V103" i="2"/>
  <c r="P103" i="2"/>
  <c r="O103" i="2"/>
  <c r="N103" i="2"/>
  <c r="M103" i="2"/>
  <c r="K103" i="2"/>
  <c r="AN102" i="2"/>
  <c r="H102" i="2"/>
  <c r="AN100" i="2"/>
  <c r="H100" i="2"/>
  <c r="AN99" i="2"/>
  <c r="AE99" i="2"/>
  <c r="AE103" i="2" s="1"/>
  <c r="S99" i="2"/>
  <c r="AL98" i="2"/>
  <c r="AK98" i="2"/>
  <c r="AJ98" i="2"/>
  <c r="AE98" i="2"/>
  <c r="Y98" i="2"/>
  <c r="V98" i="2"/>
  <c r="T98" i="2"/>
  <c r="S98" i="2"/>
  <c r="Q98" i="2"/>
  <c r="P98" i="2"/>
  <c r="O98" i="2"/>
  <c r="N98" i="2"/>
  <c r="M98" i="2"/>
  <c r="K98" i="2"/>
  <c r="J98" i="2"/>
  <c r="I98" i="2"/>
  <c r="AK97" i="2"/>
  <c r="AE97" i="2"/>
  <c r="Y97" i="2"/>
  <c r="V97" i="2"/>
  <c r="S97" i="2"/>
  <c r="R97" i="2"/>
  <c r="P97" i="2"/>
  <c r="O97" i="2"/>
  <c r="N97" i="2"/>
  <c r="M97" i="2"/>
  <c r="H96" i="2"/>
  <c r="R94" i="2"/>
  <c r="AL93" i="2"/>
  <c r="AJ93" i="2"/>
  <c r="AJ97" i="2" s="1"/>
  <c r="T93" i="2"/>
  <c r="T97" i="2" s="1"/>
  <c r="AL92" i="2"/>
  <c r="AN92" i="2" s="1"/>
  <c r="AK92" i="2"/>
  <c r="AJ92" i="2"/>
  <c r="AE92" i="2"/>
  <c r="Y92" i="2"/>
  <c r="V92" i="2"/>
  <c r="T92" i="2"/>
  <c r="S92" i="2"/>
  <c r="R92" i="2"/>
  <c r="Q92" i="2"/>
  <c r="P92" i="2"/>
  <c r="O92" i="2"/>
  <c r="N92" i="2"/>
  <c r="M92" i="2"/>
  <c r="K92" i="2"/>
  <c r="J92" i="2"/>
  <c r="I92" i="2"/>
  <c r="AL91" i="2"/>
  <c r="AK91" i="2"/>
  <c r="AJ91" i="2"/>
  <c r="V91" i="2"/>
  <c r="P91" i="2"/>
  <c r="O91" i="2"/>
  <c r="N91" i="2"/>
  <c r="M91" i="2"/>
  <c r="K91" i="2"/>
  <c r="AN90" i="2"/>
  <c r="H90" i="2"/>
  <c r="AN88" i="2"/>
  <c r="H88" i="2"/>
  <c r="AO87" i="2"/>
  <c r="T87" i="2"/>
  <c r="T91" i="2" s="1"/>
  <c r="AL86" i="2"/>
  <c r="AK86" i="2"/>
  <c r="AJ86" i="2"/>
  <c r="AE86" i="2"/>
  <c r="Y86" i="2"/>
  <c r="V86" i="2"/>
  <c r="T86" i="2"/>
  <c r="S86" i="2"/>
  <c r="R86" i="2"/>
  <c r="Q86" i="2"/>
  <c r="P86" i="2"/>
  <c r="O86" i="2"/>
  <c r="N86" i="2"/>
  <c r="M86" i="2"/>
  <c r="K86" i="2"/>
  <c r="J86" i="2"/>
  <c r="AO85" i="2"/>
  <c r="AL85" i="2"/>
  <c r="AK85" i="2"/>
  <c r="AJ85" i="2"/>
  <c r="AE85" i="2"/>
  <c r="Y85" i="2"/>
  <c r="V85" i="2"/>
  <c r="S85" i="2"/>
  <c r="P85" i="2"/>
  <c r="O85" i="2"/>
  <c r="N85" i="2"/>
  <c r="M85" i="2"/>
  <c r="AN84" i="2"/>
  <c r="H84" i="2"/>
  <c r="AN82" i="2"/>
  <c r="H82" i="2"/>
  <c r="AO82" i="2" s="1"/>
  <c r="AO81" i="2"/>
  <c r="AN81" i="2"/>
  <c r="T81" i="2"/>
  <c r="T85" i="2" s="1"/>
  <c r="AL80" i="2"/>
  <c r="AK80" i="2"/>
  <c r="AJ80" i="2"/>
  <c r="AE80" i="2"/>
  <c r="Y80" i="2"/>
  <c r="V80" i="2"/>
  <c r="T80" i="2"/>
  <c r="S80" i="2"/>
  <c r="R80" i="2"/>
  <c r="Q80" i="2"/>
  <c r="P80" i="2"/>
  <c r="O80" i="2"/>
  <c r="N80" i="2"/>
  <c r="M80" i="2"/>
  <c r="K80" i="2"/>
  <c r="J80" i="2"/>
  <c r="I80" i="2"/>
  <c r="AO79" i="2"/>
  <c r="AL79" i="2"/>
  <c r="AK79" i="2"/>
  <c r="AJ79" i="2"/>
  <c r="AE79" i="2"/>
  <c r="Y79" i="2"/>
  <c r="V79" i="2"/>
  <c r="AN79" i="2" s="1"/>
  <c r="S79" i="2"/>
  <c r="P79" i="2"/>
  <c r="O79" i="2"/>
  <c r="N79" i="2"/>
  <c r="M79" i="2"/>
  <c r="K79" i="2"/>
  <c r="J79" i="2"/>
  <c r="I79" i="2"/>
  <c r="AN78" i="2"/>
  <c r="H78" i="2"/>
  <c r="AN76" i="2"/>
  <c r="H76" i="2"/>
  <c r="AO76" i="2" s="1"/>
  <c r="AO75" i="2"/>
  <c r="AN75" i="2"/>
  <c r="T75" i="2"/>
  <c r="T79" i="2" s="1"/>
  <c r="AL74" i="2"/>
  <c r="AK74" i="2"/>
  <c r="AJ74" i="2"/>
  <c r="AE74" i="2"/>
  <c r="Y74" i="2"/>
  <c r="V74" i="2"/>
  <c r="T74" i="2"/>
  <c r="S74" i="2"/>
  <c r="R74" i="2"/>
  <c r="Q74" i="2"/>
  <c r="P74" i="2"/>
  <c r="O74" i="2"/>
  <c r="N74" i="2"/>
  <c r="M74" i="2"/>
  <c r="K74" i="2"/>
  <c r="J74" i="2"/>
  <c r="I74" i="2"/>
  <c r="AL73" i="2"/>
  <c r="AK73" i="2"/>
  <c r="AJ73" i="2"/>
  <c r="AE73" i="2"/>
  <c r="V73" i="2"/>
  <c r="T73" i="2"/>
  <c r="S73" i="2"/>
  <c r="P73" i="2"/>
  <c r="O73" i="2"/>
  <c r="N73" i="2"/>
  <c r="M73" i="2"/>
  <c r="K73" i="2"/>
  <c r="J73" i="2"/>
  <c r="I73" i="2"/>
  <c r="AN72" i="2"/>
  <c r="H72" i="2"/>
  <c r="AN70" i="2"/>
  <c r="H70" i="2"/>
  <c r="AN69" i="2"/>
  <c r="Y69" i="2"/>
  <c r="Y73" i="2" s="1"/>
  <c r="T69" i="2"/>
  <c r="AL68" i="2"/>
  <c r="AN68" i="2" s="1"/>
  <c r="AK68" i="2"/>
  <c r="AJ68" i="2"/>
  <c r="AE68" i="2"/>
  <c r="Y68" i="2"/>
  <c r="V68" i="2"/>
  <c r="T68" i="2"/>
  <c r="S68" i="2"/>
  <c r="R68" i="2"/>
  <c r="Q68" i="2"/>
  <c r="P68" i="2"/>
  <c r="O68" i="2"/>
  <c r="N68" i="2"/>
  <c r="M68" i="2"/>
  <c r="K68" i="2"/>
  <c r="J68" i="2"/>
  <c r="I68" i="2"/>
  <c r="AM67" i="2"/>
  <c r="AL67" i="2"/>
  <c r="AO67" i="2" s="1"/>
  <c r="AK67" i="2"/>
  <c r="AE67" i="2"/>
  <c r="Y67" i="2"/>
  <c r="V67" i="2"/>
  <c r="S67" i="2"/>
  <c r="Q67" i="2"/>
  <c r="P67" i="2"/>
  <c r="O67" i="2"/>
  <c r="N67" i="2"/>
  <c r="M67" i="2"/>
  <c r="K67" i="2"/>
  <c r="J67" i="2"/>
  <c r="I67" i="2"/>
  <c r="H66" i="2"/>
  <c r="AN64" i="2"/>
  <c r="H64" i="2"/>
  <c r="AO64" i="2" s="1"/>
  <c r="AO63" i="2"/>
  <c r="AN63" i="2"/>
  <c r="AJ63" i="2"/>
  <c r="AJ67" i="2" s="1"/>
  <c r="T63" i="2"/>
  <c r="T67" i="2" s="1"/>
  <c r="AL62" i="2"/>
  <c r="AK62" i="2"/>
  <c r="AJ62" i="2"/>
  <c r="AE62" i="2"/>
  <c r="Y62" i="2"/>
  <c r="V62" i="2"/>
  <c r="T62" i="2"/>
  <c r="S62" i="2"/>
  <c r="R62" i="2"/>
  <c r="Q62" i="2"/>
  <c r="P62" i="2"/>
  <c r="O62" i="2"/>
  <c r="N62" i="2"/>
  <c r="M62" i="2"/>
  <c r="K62" i="2"/>
  <c r="J62" i="2"/>
  <c r="I62" i="2"/>
  <c r="AL61" i="2"/>
  <c r="AK61" i="2"/>
  <c r="AJ61" i="2"/>
  <c r="AE61" i="2"/>
  <c r="V61" i="2"/>
  <c r="S61" i="2"/>
  <c r="P61" i="2"/>
  <c r="O61" i="2"/>
  <c r="N61" i="2"/>
  <c r="M61" i="2"/>
  <c r="K61" i="2"/>
  <c r="J61" i="2"/>
  <c r="I61" i="2"/>
  <c r="AN60" i="2"/>
  <c r="H60" i="2"/>
  <c r="AN58" i="2"/>
  <c r="H58" i="2"/>
  <c r="AO58" i="2" s="1"/>
  <c r="AN57" i="2"/>
  <c r="Y57" i="2"/>
  <c r="Y61" i="2" s="1"/>
  <c r="S57" i="2"/>
  <c r="T57" i="2" s="1"/>
  <c r="T61" i="2" s="1"/>
  <c r="AJ56" i="2"/>
  <c r="AE56" i="2"/>
  <c r="Y56" i="2"/>
  <c r="T56" i="2"/>
  <c r="S56" i="2"/>
  <c r="R56" i="2"/>
  <c r="Q56" i="2"/>
  <c r="P56" i="2"/>
  <c r="O56" i="2"/>
  <c r="N56" i="2"/>
  <c r="M56" i="2"/>
  <c r="K56" i="2"/>
  <c r="J56" i="2"/>
  <c r="I56" i="2"/>
  <c r="AJ55" i="2"/>
  <c r="Y55" i="2"/>
  <c r="V55" i="2"/>
  <c r="R55" i="2"/>
  <c r="P55" i="2"/>
  <c r="O55" i="2"/>
  <c r="N55" i="2"/>
  <c r="M55" i="2"/>
  <c r="K55" i="2"/>
  <c r="J55" i="2"/>
  <c r="I55" i="2"/>
  <c r="AL130" i="2"/>
  <c r="AK54" i="2"/>
  <c r="V54" i="2"/>
  <c r="V56" i="2" s="1"/>
  <c r="U54" i="2"/>
  <c r="U130" i="2" s="1"/>
  <c r="H54" i="2"/>
  <c r="AK52" i="2"/>
  <c r="H52" i="2"/>
  <c r="AK51" i="2"/>
  <c r="AK55" i="2" s="1"/>
  <c r="S51" i="2"/>
  <c r="AL50" i="2"/>
  <c r="AN50" i="2" s="1"/>
  <c r="AK50" i="2"/>
  <c r="AJ50" i="2"/>
  <c r="AE50" i="2"/>
  <c r="Y50" i="2"/>
  <c r="V50" i="2"/>
  <c r="T50" i="2"/>
  <c r="S50" i="2"/>
  <c r="R50" i="2"/>
  <c r="Q50" i="2"/>
  <c r="P50" i="2"/>
  <c r="O50" i="2"/>
  <c r="N50" i="2"/>
  <c r="M50" i="2"/>
  <c r="K50" i="2"/>
  <c r="J50" i="2"/>
  <c r="I50" i="2"/>
  <c r="AL49" i="2"/>
  <c r="AK49" i="2"/>
  <c r="AJ49" i="2"/>
  <c r="AM28" i="1" s="1"/>
  <c r="AE49" i="2"/>
  <c r="V49" i="2"/>
  <c r="S49" i="2"/>
  <c r="H45" i="2" s="1"/>
  <c r="H49" i="2" s="1"/>
  <c r="P49" i="2"/>
  <c r="O49" i="2"/>
  <c r="N49" i="2"/>
  <c r="M49" i="2"/>
  <c r="K49" i="2"/>
  <c r="J49" i="2"/>
  <c r="I49" i="2"/>
  <c r="AN48" i="2"/>
  <c r="H48" i="2"/>
  <c r="T47" i="2"/>
  <c r="AO46" i="2"/>
  <c r="AN46" i="2"/>
  <c r="H46" i="2"/>
  <c r="Y45" i="2"/>
  <c r="Y49" i="2" s="1"/>
  <c r="T45" i="2"/>
  <c r="Q45" i="2"/>
  <c r="S28" i="1" s="1"/>
  <c r="AL44" i="2"/>
  <c r="AK44" i="2"/>
  <c r="AJ44" i="2"/>
  <c r="AE44" i="2"/>
  <c r="Y44" i="2"/>
  <c r="V44" i="2"/>
  <c r="T44" i="2"/>
  <c r="S44" i="2"/>
  <c r="R44" i="2"/>
  <c r="Q44" i="2"/>
  <c r="P44" i="2"/>
  <c r="O44" i="2"/>
  <c r="N44" i="2"/>
  <c r="M44" i="2"/>
  <c r="K44" i="2"/>
  <c r="J44" i="2"/>
  <c r="I44" i="2"/>
  <c r="AL43" i="2"/>
  <c r="AK43" i="2"/>
  <c r="AJ43" i="2"/>
  <c r="AE43" i="2"/>
  <c r="Y43" i="2"/>
  <c r="V43" i="2"/>
  <c r="S43" i="2"/>
  <c r="P43" i="2"/>
  <c r="O43" i="2"/>
  <c r="N43" i="2"/>
  <c r="M43" i="2"/>
  <c r="K43" i="2"/>
  <c r="H42" i="2"/>
  <c r="AN40" i="2"/>
  <c r="H40" i="2"/>
  <c r="AN39" i="2"/>
  <c r="T39" i="2"/>
  <c r="T43" i="2" s="1"/>
  <c r="H39" i="2"/>
  <c r="AO39" i="2" s="1"/>
  <c r="AL38" i="2"/>
  <c r="AK38" i="2"/>
  <c r="AJ38" i="2"/>
  <c r="AE38" i="2"/>
  <c r="Y38" i="2"/>
  <c r="V38" i="2"/>
  <c r="T38" i="2"/>
  <c r="S38" i="2"/>
  <c r="R38" i="2"/>
  <c r="Q38" i="2"/>
  <c r="P38" i="2"/>
  <c r="O38" i="2"/>
  <c r="N38" i="2"/>
  <c r="M38" i="2"/>
  <c r="K38" i="2"/>
  <c r="J38" i="2"/>
  <c r="I38" i="2"/>
  <c r="AL37" i="2"/>
  <c r="AK37" i="2"/>
  <c r="AJ37" i="2"/>
  <c r="AE37" i="2"/>
  <c r="Y37" i="2"/>
  <c r="V37" i="2"/>
  <c r="S37" i="2"/>
  <c r="R37" i="2"/>
  <c r="P37" i="2"/>
  <c r="O37" i="2"/>
  <c r="N37" i="2"/>
  <c r="M37" i="2"/>
  <c r="L37" i="2"/>
  <c r="K37" i="2"/>
  <c r="AN36" i="2"/>
  <c r="H36" i="2"/>
  <c r="AN34" i="2"/>
  <c r="H34" i="2"/>
  <c r="AO34" i="2" s="1"/>
  <c r="AN33" i="2"/>
  <c r="T33" i="2"/>
  <c r="T37" i="2" s="1"/>
  <c r="H33" i="2"/>
  <c r="AO33" i="2" s="1"/>
  <c r="AL32" i="2"/>
  <c r="AK32" i="2"/>
  <c r="AJ32" i="2"/>
  <c r="AE32" i="2"/>
  <c r="Y32" i="2"/>
  <c r="V32" i="2"/>
  <c r="T32" i="2"/>
  <c r="S32" i="2"/>
  <c r="R32" i="2"/>
  <c r="Q32" i="2"/>
  <c r="P32" i="2"/>
  <c r="O32" i="2"/>
  <c r="N32" i="2"/>
  <c r="M32" i="2"/>
  <c r="K32" i="2"/>
  <c r="J32" i="2"/>
  <c r="I32" i="2"/>
  <c r="AK31" i="2"/>
  <c r="AJ31" i="2"/>
  <c r="AE31" i="2"/>
  <c r="Y31" i="2"/>
  <c r="V31" i="2"/>
  <c r="S31" i="2"/>
  <c r="R31" i="2"/>
  <c r="P31" i="2"/>
  <c r="O31" i="2"/>
  <c r="N31" i="2"/>
  <c r="M31" i="2"/>
  <c r="K31" i="2"/>
  <c r="J31" i="2"/>
  <c r="I31" i="2"/>
  <c r="AN30" i="2"/>
  <c r="H30" i="2"/>
  <c r="T29" i="2"/>
  <c r="AN28" i="2"/>
  <c r="H28" i="2"/>
  <c r="AL27" i="2"/>
  <c r="AL31" i="2" s="1"/>
  <c r="T27" i="2"/>
  <c r="AL26" i="2"/>
  <c r="AK26" i="2"/>
  <c r="AJ26" i="2"/>
  <c r="AE26" i="2"/>
  <c r="Y26" i="2"/>
  <c r="V26" i="2"/>
  <c r="T26" i="2"/>
  <c r="S26" i="2"/>
  <c r="R26" i="2"/>
  <c r="Q26" i="2"/>
  <c r="P26" i="2"/>
  <c r="O26" i="2"/>
  <c r="N26" i="2"/>
  <c r="M26" i="2"/>
  <c r="K26" i="2"/>
  <c r="J26" i="2"/>
  <c r="I26" i="2"/>
  <c r="AJ25" i="2"/>
  <c r="AE25" i="2"/>
  <c r="Y25" i="2"/>
  <c r="V25" i="2"/>
  <c r="S25" i="2"/>
  <c r="R25" i="2"/>
  <c r="P25" i="2"/>
  <c r="O25" i="2"/>
  <c r="N25" i="2"/>
  <c r="M25" i="2"/>
  <c r="K25" i="2"/>
  <c r="AN24" i="2"/>
  <c r="H24" i="2"/>
  <c r="AN22" i="2"/>
  <c r="H22" i="2"/>
  <c r="AO22" i="2" s="1"/>
  <c r="AK21" i="2"/>
  <c r="AK25" i="2" s="1"/>
  <c r="T21" i="2"/>
  <c r="T25" i="2" s="1"/>
  <c r="S21" i="2"/>
  <c r="H21" i="2" s="1"/>
  <c r="H25" i="2" s="1"/>
  <c r="AL20" i="2"/>
  <c r="AK20" i="2"/>
  <c r="AJ20" i="2"/>
  <c r="AE20" i="2"/>
  <c r="Y20" i="2"/>
  <c r="V20" i="2"/>
  <c r="T20" i="2"/>
  <c r="S20" i="2"/>
  <c r="R20" i="2"/>
  <c r="P20" i="2"/>
  <c r="O20" i="2"/>
  <c r="N20" i="2"/>
  <c r="M20" i="2"/>
  <c r="AL19" i="2"/>
  <c r="AO19" i="2" s="1"/>
  <c r="AK19" i="2"/>
  <c r="AE19" i="2"/>
  <c r="Y19" i="2"/>
  <c r="V19" i="2"/>
  <c r="P19" i="2"/>
  <c r="O19" i="2"/>
  <c r="N19" i="2"/>
  <c r="M19" i="2"/>
  <c r="AN18" i="2"/>
  <c r="AN16" i="2"/>
  <c r="H16" i="2"/>
  <c r="AO16" i="2" s="1"/>
  <c r="AN15" i="2"/>
  <c r="AJ15" i="2"/>
  <c r="AJ19" i="2" s="1"/>
  <c r="T15" i="2"/>
  <c r="T19" i="2" s="1"/>
  <c r="H15" i="2"/>
  <c r="AO15" i="2" s="1"/>
  <c r="AL14" i="2"/>
  <c r="AK14" i="2"/>
  <c r="AJ14" i="2"/>
  <c r="AE14" i="2"/>
  <c r="Y14" i="2"/>
  <c r="V14" i="2"/>
  <c r="T14" i="2"/>
  <c r="S14" i="2"/>
  <c r="R14" i="2"/>
  <c r="Q14" i="2"/>
  <c r="P14" i="2"/>
  <c r="O14" i="2"/>
  <c r="N14" i="2"/>
  <c r="M14" i="2"/>
  <c r="J14" i="2"/>
  <c r="I14" i="2"/>
  <c r="AL13" i="2"/>
  <c r="AO13" i="2" s="1"/>
  <c r="AJ13" i="2"/>
  <c r="V13" i="2"/>
  <c r="Q13" i="2"/>
  <c r="P13" i="2"/>
  <c r="O13" i="2"/>
  <c r="N13" i="2"/>
  <c r="M13" i="2"/>
  <c r="AN12" i="2"/>
  <c r="H12" i="2"/>
  <c r="T11" i="2"/>
  <c r="AN10" i="2"/>
  <c r="K10" i="2"/>
  <c r="H10" i="2"/>
  <c r="H14" i="2" s="1"/>
  <c r="AO14" i="2" s="1"/>
  <c r="AN9" i="2"/>
  <c r="AK9" i="2"/>
  <c r="AK13" i="2" s="1"/>
  <c r="AE9" i="2"/>
  <c r="H9" i="2" s="1"/>
  <c r="AO9" i="2" s="1"/>
  <c r="T9" i="2"/>
  <c r="V31" i="1"/>
  <c r="AM30" i="1"/>
  <c r="AN30" i="1" s="1"/>
  <c r="V30" i="1"/>
  <c r="T30" i="1"/>
  <c r="S30" i="1"/>
  <c r="T29" i="1"/>
  <c r="S29" i="1"/>
  <c r="N29" i="1"/>
  <c r="AO28" i="1"/>
  <c r="V28" i="1"/>
  <c r="T28" i="1"/>
  <c r="AM27" i="1"/>
  <c r="S27" i="1"/>
  <c r="V26" i="1"/>
  <c r="S26" i="1"/>
  <c r="AR25" i="1"/>
  <c r="AQ25" i="1"/>
  <c r="V25" i="1"/>
  <c r="AW24" i="1"/>
  <c r="AV24" i="1"/>
  <c r="U24" i="1"/>
  <c r="V24" i="1" s="1"/>
  <c r="J24" i="1" s="1"/>
  <c r="AR24" i="1" s="1"/>
  <c r="S24" i="1"/>
  <c r="AM23" i="1"/>
  <c r="V23" i="1"/>
  <c r="T23" i="1"/>
  <c r="S23" i="1"/>
  <c r="V22" i="1"/>
  <c r="T22" i="1"/>
  <c r="S22" i="1"/>
  <c r="J21" i="1"/>
  <c r="AR21" i="1" s="1"/>
  <c r="AN19" i="1"/>
  <c r="J19" i="1"/>
  <c r="AM18" i="1"/>
  <c r="V18" i="1"/>
  <c r="W18" i="1" s="1"/>
  <c r="T18" i="1"/>
  <c r="S18" i="1"/>
  <c r="N18" i="1"/>
  <c r="J17" i="1"/>
  <c r="V15" i="1"/>
  <c r="W15" i="1" s="1"/>
  <c r="T15" i="1"/>
  <c r="S15" i="1"/>
  <c r="AM14" i="1"/>
  <c r="W14" i="1"/>
  <c r="AN38" i="2" l="1"/>
  <c r="AO91" i="2"/>
  <c r="AN91" i="2"/>
  <c r="AN98" i="2"/>
  <c r="AN14" i="2"/>
  <c r="AN26" i="2"/>
  <c r="H50" i="2"/>
  <c r="T31" i="2"/>
  <c r="R129" i="2"/>
  <c r="T131" i="2"/>
  <c r="AD131" i="2"/>
  <c r="AG131" i="2"/>
  <c r="J30" i="1"/>
  <c r="AR30" i="1" s="1"/>
  <c r="AQ28" i="1"/>
  <c r="J15" i="1"/>
  <c r="AR15" i="1" s="1"/>
  <c r="J23" i="1"/>
  <c r="AR23" i="1" s="1"/>
  <c r="K129" i="2"/>
  <c r="K131" i="2" s="1"/>
  <c r="AN67" i="2"/>
  <c r="AN85" i="2"/>
  <c r="AO124" i="2"/>
  <c r="AN127" i="2"/>
  <c r="J28" i="1"/>
  <c r="AR28" i="1" s="1"/>
  <c r="AN20" i="2"/>
  <c r="H57" i="2"/>
  <c r="H61" i="2" s="1"/>
  <c r="AO61" i="2" s="1"/>
  <c r="H38" i="2"/>
  <c r="AO38" i="2" s="1"/>
  <c r="H74" i="2"/>
  <c r="AO74" i="2" s="1"/>
  <c r="AN104" i="2"/>
  <c r="AN103" i="2"/>
  <c r="AO50" i="2"/>
  <c r="AO103" i="2"/>
  <c r="AO106" i="2"/>
  <c r="J26" i="1"/>
  <c r="AR26" i="1" s="1"/>
  <c r="AO10" i="2"/>
  <c r="H20" i="2"/>
  <c r="AO20" i="2" s="1"/>
  <c r="AN27" i="2"/>
  <c r="AN37" i="2"/>
  <c r="AL51" i="2"/>
  <c r="AO15" i="1" s="1"/>
  <c r="AQ15" i="1" s="1"/>
  <c r="AN54" i="2"/>
  <c r="Q49" i="2"/>
  <c r="T13" i="2"/>
  <c r="H32" i="2"/>
  <c r="AO32" i="2" s="1"/>
  <c r="H130" i="2"/>
  <c r="AO130" i="2" s="1"/>
  <c r="J18" i="1"/>
  <c r="AR18" i="1" s="1"/>
  <c r="AO37" i="2"/>
  <c r="AL21" i="2"/>
  <c r="AN21" i="2" s="1"/>
  <c r="AO28" i="2"/>
  <c r="AN44" i="2"/>
  <c r="T49" i="2"/>
  <c r="H92" i="2"/>
  <c r="AO92" i="2" s="1"/>
  <c r="AL121" i="2"/>
  <c r="AO121" i="2" s="1"/>
  <c r="AN43" i="2"/>
  <c r="AL56" i="2"/>
  <c r="AN56" i="2" s="1"/>
  <c r="AN62" i="2"/>
  <c r="AN74" i="2"/>
  <c r="AL97" i="2"/>
  <c r="S131" i="2"/>
  <c r="AN52" i="2"/>
  <c r="AN122" i="2"/>
  <c r="Y131" i="2"/>
  <c r="AN80" i="2"/>
  <c r="AN110" i="2"/>
  <c r="AN115" i="2"/>
  <c r="AN121" i="2"/>
  <c r="AN128" i="2"/>
  <c r="AN109" i="2"/>
  <c r="AN73" i="2"/>
  <c r="U131" i="2"/>
  <c r="AN19" i="2"/>
  <c r="AN129" i="2"/>
  <c r="AO31" i="2"/>
  <c r="AN31" i="2"/>
  <c r="R131" i="2"/>
  <c r="AO19" i="1"/>
  <c r="AE13" i="2"/>
  <c r="K14" i="2"/>
  <c r="H26" i="2"/>
  <c r="AO26" i="2" s="1"/>
  <c r="AK56" i="2"/>
  <c r="H62" i="2"/>
  <c r="AO62" i="2" s="1"/>
  <c r="H68" i="2"/>
  <c r="AO68" i="2" s="1"/>
  <c r="AO73" i="2"/>
  <c r="AO117" i="2"/>
  <c r="AL131" i="2"/>
  <c r="H44" i="2"/>
  <c r="AO44" i="2" s="1"/>
  <c r="AO40" i="2"/>
  <c r="T51" i="2"/>
  <c r="T55" i="2" s="1"/>
  <c r="H51" i="2"/>
  <c r="H69" i="2"/>
  <c r="AO69" i="2" s="1"/>
  <c r="AO88" i="2"/>
  <c r="H122" i="2"/>
  <c r="AO122" i="2" s="1"/>
  <c r="W131" i="2"/>
  <c r="AE131" i="2"/>
  <c r="AM131" i="2"/>
  <c r="T99" i="2"/>
  <c r="S103" i="2"/>
  <c r="H99" i="2"/>
  <c r="AO99" i="2" s="1"/>
  <c r="AO110" i="2"/>
  <c r="AN13" i="2"/>
  <c r="H86" i="2"/>
  <c r="AO86" i="2" s="1"/>
  <c r="AN86" i="2"/>
  <c r="AE121" i="2"/>
  <c r="H27" i="2"/>
  <c r="AO27" i="2" s="1"/>
  <c r="AO49" i="2"/>
  <c r="AN49" i="2"/>
  <c r="AL45" i="2"/>
  <c r="V130" i="2"/>
  <c r="V131" i="2" s="1"/>
  <c r="H80" i="2"/>
  <c r="AO80" i="2" s="1"/>
  <c r="AO128" i="2"/>
  <c r="AK130" i="2"/>
  <c r="H56" i="2"/>
  <c r="AO52" i="2"/>
  <c r="H104" i="2"/>
  <c r="AO104" i="2" s="1"/>
  <c r="AO100" i="2"/>
  <c r="AN32" i="2"/>
  <c r="AN61" i="2"/>
  <c r="AO70" i="2"/>
  <c r="H94" i="2"/>
  <c r="H98" i="2" s="1"/>
  <c r="R98" i="2"/>
  <c r="H116" i="2"/>
  <c r="AO116" i="2" s="1"/>
  <c r="AK129" i="2"/>
  <c r="AO98" i="2" l="1"/>
  <c r="AO94" i="2"/>
  <c r="AO97" i="2"/>
  <c r="AN97" i="2"/>
  <c r="AO57" i="2"/>
  <c r="AR19" i="1"/>
  <c r="AQ19" i="1"/>
  <c r="AO56" i="2"/>
  <c r="AK131" i="2"/>
  <c r="AO21" i="2"/>
  <c r="AL25" i="2"/>
  <c r="AN25" i="2" s="1"/>
  <c r="AN51" i="2"/>
  <c r="AL55" i="2"/>
  <c r="AN55" i="2" s="1"/>
  <c r="AN130" i="2"/>
  <c r="AN131" i="2"/>
  <c r="H129" i="2"/>
  <c r="AO45" i="2"/>
  <c r="AN45" i="2"/>
  <c r="T103" i="2"/>
  <c r="V29" i="1"/>
  <c r="J29" i="1" s="1"/>
  <c r="AR29" i="1" s="1"/>
  <c r="H55" i="2"/>
  <c r="AO51" i="2"/>
  <c r="AO25" i="2" l="1"/>
  <c r="AO55" i="2"/>
  <c r="H131" i="2"/>
  <c r="AO131" i="2" s="1"/>
  <c r="AO12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N31" authorId="0" shapeId="0" xr:uid="{3F0B913F-A698-4866-A1BE-5523DB25D7B0}">
      <text>
        <r>
          <rPr>
            <b/>
            <sz val="9"/>
            <color indexed="81"/>
            <rFont val="Tahoma"/>
            <family val="2"/>
          </rPr>
          <t>YULIED.PENARANDA:</t>
        </r>
        <r>
          <rPr>
            <sz val="9"/>
            <color indexed="81"/>
            <rFont val="Tahoma"/>
            <family val="2"/>
          </rPr>
          <t xml:space="preserve">
segplan registra cero(0)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YULIED.PENARANDA</author>
  </authors>
  <commentList>
    <comment ref="AQ45" authorId="0" shapeId="0" xr:uid="{00000000-0006-0000-0100-000004000000}">
      <text>
        <r>
          <rPr>
            <sz val="11"/>
            <color rgb="FF000000"/>
            <rFont val="Calibri"/>
            <family val="2"/>
          </rPr>
          <t>EVELYN.AGUDELO:AJUSTAR RETRASO</t>
        </r>
      </text>
    </comment>
    <comment ref="AP51" authorId="0" shapeId="0" xr:uid="{00000000-0006-0000-0100-000005000000}">
      <text>
        <r>
          <rPr>
            <sz val="11"/>
            <color rgb="FF000000"/>
            <rFont val="Calibri"/>
            <family val="2"/>
          </rPr>
          <t>FAVOR INCLUIR LAS ACTIVIODADES DE SEGAE</t>
        </r>
      </text>
    </comment>
    <comment ref="AL82" authorId="1" shapeId="0" xr:uid="{870A568E-8C47-4C7A-8B13-1C89734B90C0}">
      <text>
        <r>
          <rPr>
            <b/>
            <sz val="9"/>
            <color indexed="81"/>
            <rFont val="Tahoma"/>
            <family val="2"/>
          </rPr>
          <t>YULIED.PENARANDA:</t>
        </r>
        <r>
          <rPr>
            <sz val="9"/>
            <color indexed="81"/>
            <rFont val="Tahoma"/>
            <family val="2"/>
          </rPr>
          <t xml:space="preserve">
Se distribuyo los recursos en las MPDD  480 y 481 así 351,962,450 </t>
        </r>
      </text>
    </comment>
    <comment ref="AJ84" authorId="0" shapeId="0" xr:uid="{00000000-0006-0000-0100-000007000000}">
      <text>
        <r>
          <rPr>
            <sz val="11"/>
            <color rgb="FF000000"/>
            <rFont val="Calibri"/>
            <family val="2"/>
          </rPr>
          <t>EVELYN.AGUDELO:
Los recursos de reservas NO se dividieron en partes igualess:
480=$13,816,416
481=$13,816,417</t>
        </r>
      </text>
    </comment>
    <comment ref="AL84" authorId="1" shapeId="0" xr:uid="{C44B7A92-9710-4836-AAD4-EBAB53E508A3}">
      <text>
        <r>
          <rPr>
            <b/>
            <sz val="9"/>
            <color indexed="81"/>
            <rFont val="Tahoma"/>
            <family val="2"/>
          </rPr>
          <t>YULIED.PENARANDA:</t>
        </r>
        <r>
          <rPr>
            <sz val="9"/>
            <color indexed="81"/>
            <rFont val="Tahoma"/>
            <family val="2"/>
          </rPr>
          <t xml:space="preserve">
Se distribuyo los recursos en las MPDD  480(13,816,416)  y 481 (13,816,417)</t>
        </r>
      </text>
    </comment>
    <comment ref="AJ87" authorId="0" shapeId="0" xr:uid="{00000000-0006-0000-0100-000008000000}">
      <text>
        <r>
          <rPr>
            <sz val="11"/>
            <color rgb="FF000000"/>
            <rFont val="Calibri"/>
            <family val="2"/>
          </rPr>
          <t>EVELYN.AGUDELO:
Esta meta se reportará siempre como 30,34% ya que fue el ultimo y máximo reporte que se realizó (en 2017)</t>
        </r>
      </text>
    </comment>
    <comment ref="AL87" authorId="1" shapeId="0" xr:uid="{DED1ADE7-9753-48D3-A4BD-64CDB16A7D60}">
      <text>
        <r>
          <rPr>
            <b/>
            <sz val="9"/>
            <color indexed="81"/>
            <rFont val="Tahoma"/>
            <family val="2"/>
          </rPr>
          <t>YULIED.PENARANDA:</t>
        </r>
        <r>
          <rPr>
            <sz val="9"/>
            <color indexed="81"/>
            <rFont val="Tahoma"/>
            <family val="2"/>
          </rPr>
          <t xml:space="preserve">
Justificar el incremento</t>
        </r>
      </text>
    </comment>
    <comment ref="AQ87" authorId="0" shapeId="0" xr:uid="{00000000-0006-0000-0100-000009000000}">
      <text>
        <r>
          <rPr>
            <sz val="11"/>
            <color rgb="FF000000"/>
            <rFont val="Calibri"/>
            <family val="2"/>
          </rPr>
          <t>EVELYN.AGUDELO:
Si se dice que a sep de 2017 no hemos alcanzado el 14% de la meta, favor reportar el retraso.</t>
        </r>
      </text>
    </comment>
    <comment ref="AL88" authorId="0" shapeId="0" xr:uid="{00000000-0006-0000-0100-00000A000000}">
      <text>
        <r>
          <rPr>
            <sz val="11"/>
            <color rgb="FF000000"/>
            <rFont val="Calibri"/>
            <family val="2"/>
          </rPr>
          <t>SCASP puso $ 598.934.900,00
	-EVELYN AGUDELO VEGA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V48" authorId="0" shapeId="0" xr:uid="{00000000-0006-0000-0200-000001000000}">
      <text>
        <r>
          <rPr>
            <sz val="11"/>
            <color rgb="FF000000"/>
            <rFont val="Calibri"/>
            <family val="2"/>
          </rPr>
          <t xml:space="preserve">CAMILO.GUTIERREZ:
No es disciente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K308" authorId="0" shapeId="0" xr:uid="{77FC20E4-BE04-4E83-9FBC-509E40FD10F6}">
      <text>
        <r>
          <rPr>
            <sz val="11"/>
            <color rgb="FF000000"/>
            <rFont val="Calibri"/>
            <family val="2"/>
          </rPr>
          <t>EVELYN.AGUDELO:
Por la entrada en vigencia de la LEy de Garantías a principios del primer semestre de 2018, se ha realizado el compromiso de la mayoría de los contratos de personal para la ejecución de la meta durante toda la vigencia, se logra evidenciar un valor inferior en el seguimiento del presupuesto para el segundo trimestre ya que en ese periodo no fueron comprometidos mayores recursos. Lo anterior expone un costo menor por magnitudes 
ejecutadas, de un trimestre respecto a otro.</t>
        </r>
      </text>
    </comment>
  </commentList>
</comments>
</file>

<file path=xl/sharedStrings.xml><?xml version="1.0" encoding="utf-8"?>
<sst xmlns="http://schemas.openxmlformats.org/spreadsheetml/2006/main" count="2943" uniqueCount="566">
  <si>
    <t>SECRETARÍA DISTRITAL DE AMBIENTE</t>
  </si>
  <si>
    <t>FORMATO DE ACTUALIZACIÓN Y SEGUIMIENTO AL COMPONENTE DE INVERSIÓN</t>
  </si>
  <si>
    <t>FORMATO DE ACTUALIZACIÓN Y SEGUIMIENTO AL COMPONENTE DE GESTIÓN</t>
  </si>
  <si>
    <t>FORMATO ACTUALIZACIÓN Y SEGUIMIENTO A LAS ACTIVIDADES</t>
  </si>
  <si>
    <t>DEPENDENCIA:</t>
  </si>
  <si>
    <t>DIRECCION DE GESTIÓN AMBIENTAL</t>
  </si>
  <si>
    <t>CÓDIGO Y NOMBRE DE PROYECTO:</t>
  </si>
  <si>
    <t>CÓDIGO Y NOMBRE PROYECTO:</t>
  </si>
  <si>
    <t>1141 GESTION AMBIENTAL URBANA</t>
  </si>
  <si>
    <t>1141- GESTION AMBIENTAL URBANA</t>
  </si>
  <si>
    <t>Eje Plan de Desarrollo</t>
  </si>
  <si>
    <t>Sostenibilidad ambiental basada en eficiencia energética</t>
  </si>
  <si>
    <t>Programa Plan de Desarrollo</t>
  </si>
  <si>
    <t>1, LÍNEA DE ACCIÓN</t>
  </si>
  <si>
    <t>Gestión de la huella ambiental urbana</t>
  </si>
  <si>
    <t>2, META DE PROYECTO</t>
  </si>
  <si>
    <t>3, ACTIVIDAD</t>
  </si>
  <si>
    <t>4, SE EJECUTA CON RECURSOS DE:</t>
  </si>
  <si>
    <t>5, PONDERACIÓN HORIZONTAL AÑO: _2018__</t>
  </si>
  <si>
    <t>1, PRIMERA CATEGORIA</t>
  </si>
  <si>
    <t xml:space="preserve">6,PONDERACIÓN VERTICAL </t>
  </si>
  <si>
    <t xml:space="preserve"> 2, META PLAN DE DESARROLLO</t>
  </si>
  <si>
    <t>3, INDICADOR ASOCIADO A LA META PLAN DE DESARROLLO</t>
  </si>
  <si>
    <t>4, % CUMPLIMIENTO ACUMULADO
(Vigencia)</t>
  </si>
  <si>
    <t>5, % DE AVANCE CUATRIENIO</t>
  </si>
  <si>
    <t xml:space="preserve">6, DESCRIPCIÓN DE LOS AVANCES Y LOGROS ALCANZADOS  </t>
  </si>
  <si>
    <t xml:space="preserve">7, RETRASOS </t>
  </si>
  <si>
    <t xml:space="preserve">8, SOLUCIONES PLANTEADAS  </t>
  </si>
  <si>
    <t xml:space="preserve">9, BENEFICIOS </t>
  </si>
  <si>
    <t>10, FUENTE DE EVIDENCIAS</t>
  </si>
  <si>
    <t>4,1 VIGENCIA</t>
  </si>
  <si>
    <t>4,2 RESERVA</t>
  </si>
  <si>
    <t>VARIABLES</t>
  </si>
  <si>
    <t>PROGRAMA</t>
  </si>
  <si>
    <t>Ene</t>
  </si>
  <si>
    <t>1,1 COD.</t>
  </si>
  <si>
    <t>1.2 PROYECTO</t>
  </si>
  <si>
    <t>Feb</t>
  </si>
  <si>
    <t>Mar</t>
  </si>
  <si>
    <t>Abr</t>
  </si>
  <si>
    <t>May</t>
  </si>
  <si>
    <t>Jun</t>
  </si>
  <si>
    <t>Jul</t>
  </si>
  <si>
    <t>Ago</t>
  </si>
  <si>
    <t>2,1 COD.</t>
  </si>
  <si>
    <t>2,2  META PLAN DE DESARROLLO</t>
  </si>
  <si>
    <t>N.</t>
  </si>
  <si>
    <t>Sep</t>
  </si>
  <si>
    <t>3,2 INDICADOR</t>
  </si>
  <si>
    <t>3,3 UNIDAD DE MEDIDA</t>
  </si>
  <si>
    <t>3,4 TIPOLOGÍA</t>
  </si>
  <si>
    <t>3,5 MAGNITUD PD</t>
  </si>
  <si>
    <t>3,6 PROGRAMACIÓN - ACTUALIZACIÓN</t>
  </si>
  <si>
    <t>Oct</t>
  </si>
  <si>
    <t>Nov</t>
  </si>
  <si>
    <t>Dic</t>
  </si>
  <si>
    <t>Total</t>
  </si>
  <si>
    <t>2,  META DE PROYECTO</t>
  </si>
  <si>
    <t>3,7 SEGUIMIENTO VIGENCIA ACTUAL</t>
  </si>
  <si>
    <t>3, COD. META PDD A QUE SE ASOCIA META PROY</t>
  </si>
  <si>
    <t>4, COD. META PROYECTO PRIORITARIO</t>
  </si>
  <si>
    <t>5, VARIABLE REQUERIDA</t>
  </si>
  <si>
    <t>6, MAGNITUD PD</t>
  </si>
  <si>
    <t>6,1 META</t>
  </si>
  <si>
    <t>6,2 ACTIVIDAD</t>
  </si>
  <si>
    <t>Linea 1. Ecourbanismo y construcción sostenible</t>
  </si>
  <si>
    <t>IMPLEMENTAR 100 % ACCIONES PRIORIZADAS, EN
CUMPLIMIENTO DEL PLAN DE ACCIÓN DE LA POLÍTICA PÚBLICA DE ECOURBANISMO Y
CONSTRUCCIÓN SOSTENIBLE</t>
  </si>
  <si>
    <t>MAR</t>
  </si>
  <si>
    <t>JUN</t>
  </si>
  <si>
    <t>SEPT</t>
  </si>
  <si>
    <t>1,REALIZAR EL ACOMPAÑAMIENTO PARA EL AJUSTE DEL PLAN DE ACCIÓN DE LA POLÍTICA PÚBLICA DE ECOURBANISMO Y CONSTRUCCIÓN SOSTENIBLE</t>
  </si>
  <si>
    <t>DIC</t>
  </si>
  <si>
    <t>X</t>
  </si>
  <si>
    <t>PROGRAMACIÓN INICIAL CUATRIENIO</t>
  </si>
  <si>
    <t>Programado</t>
  </si>
  <si>
    <t>PROGR. ANUAL CORTE  SEPT</t>
  </si>
  <si>
    <t>PROGR. ANUAL CORTE DIC</t>
  </si>
  <si>
    <t>EJECUTADO</t>
  </si>
  <si>
    <t>REPROGRAMACIÓN VIGENCIA</t>
  </si>
  <si>
    <t>PROGR. ANUAL CORTE  MAR</t>
  </si>
  <si>
    <t>PROGR. ANUAL CORTE  JUN</t>
  </si>
  <si>
    <t>7, PROGRAMACIÓN - ACTUALIZACIÓN</t>
  </si>
  <si>
    <t>Durante el tercer trimestre de 2018, se avanzó en un 6,25% con el desarrollo de las siguientes acciones: Se efectuó la actualización de la matriz de registro, clasificación y consolidación con 66 proyectos e instrumentos de planeamiento urbano (60 Diseños Paisajísticos de Parques y Zonas Verdes, 3 Compatibilidad de Uso de Vivienda en Área Restringida, 1 Planes Parciales De Renovación 1 Plan Regularización y Manejo y 1 Proyecto de Alianza Público-Privada).
De esta manera en lo trascurrido del año 2018 SEGAE ha consolidado una matriz de seguimiento a la Política de Ecourbanismo con 172 proyectos e instrumentos que tienen lineamientos ambientales y dan cumplimiento a metas de la Resolución 1319 de 2015.</t>
  </si>
  <si>
    <t>Territorio Sostenible</t>
  </si>
  <si>
    <t xml:space="preserve">Generar acciones de control a los medianos y grandes generadores de Residuos Peligrosos -RESPEL- </t>
  </si>
  <si>
    <t>Ejecutado</t>
  </si>
  <si>
    <t>8, EJECUCIÓN</t>
  </si>
  <si>
    <t>% de cumplimiento de acciones  de control y seguimiento  a los medianos y grandes generadores de Residuos Peligrosos</t>
  </si>
  <si>
    <t>INCLUIR EN 800 PROYECTOS CRITERIOS DE SOSTENIBILIDAD AMBIENTAL</t>
  </si>
  <si>
    <t>Porcentaje</t>
  </si>
  <si>
    <t>Suma</t>
  </si>
  <si>
    <t>2,EMITIR LINEAMIENTOS Y DETERMINANTES AMBIENTALES PARA LA INCORPORACIÓN DE CRITERIOS DE ECOURBANISMO Y CONSTRUCCIÓN SOSTENIBLE EN PROYECTOS URBANOS Y ARQUITECTÓNICOS DE DIFERENTES ESCALAS.</t>
  </si>
  <si>
    <t>9, % CUMPLIMIENTO ACUMULADO (Vigencia)</t>
  </si>
  <si>
    <t>10 ,% DE AVANCE CUATRIENIO</t>
  </si>
  <si>
    <t xml:space="preserve">11, DESCRIPCIÓN DE LOS AVANCES Y LOGROS ALCANZADOS                 </t>
  </si>
  <si>
    <t>12, RETRASOS</t>
  </si>
  <si>
    <t xml:space="preserve">13, SOLUCIONES PLANTEADAS </t>
  </si>
  <si>
    <t>14, BENEFICIOS</t>
  </si>
  <si>
    <t>15, FUENTE DE EVIDENCIAS</t>
  </si>
  <si>
    <t>DISEÑO E IMPLEMENTACIÓN DE 1 PROYECTO DE SISTEMA URBANO DE DRENAJE SOSTENIBLE</t>
  </si>
  <si>
    <t xml:space="preserve">3,REALIZAR EL ACOMPAÑAMIENTO PARA EL DISEÑO Y CONSTRUCCIÓN DE UN PROYECTO DE SUDS, ASOCIADO AL MANEJO SOSTENIBLE DEL AGUA LLUVIA </t>
  </si>
  <si>
    <t>NINGUNO</t>
  </si>
  <si>
    <t>PROMOVER LA IMPLEMENTACIÓN DE 20000 M2 DE TECHOS VERDES Y JARDINES VERTICALES, EN ESPACIO PUBLICO Y PRIVADO.</t>
  </si>
  <si>
    <t>4,PROMOVER EN ESTRUCTURAS NUEVAS Y/O EXISTENTES LA IMPLEMENTACIÓN DE TECHOS VERDES Y JARDINES VERTICALES, MEDIANTE PROCESOS DE DIVULGACIÓN, CAPACITACIÓN, ACOMPAÑAMIENTO TÉCNICO Y GENERACIÓN DE INCENTIVO</t>
  </si>
  <si>
    <t>N/A</t>
  </si>
  <si>
    <t>Controlar la generación, manejo y disposición de RESPEL conforme a lo establecido en  la normatividad ambiental vigente, redunda en minimizar  el riesgo que dichos residuos puedan generar a las comunidades o a los recursos naturales del D. C.  Esta gestión como ejercicio como autoridad se complementa al control que se ejerce sobre los demás residuos de interés ambiental que desarrolla conjuntamente con distintas dependencias de la SDA</t>
  </si>
  <si>
    <t>Ver expedientes asociados a cada trámite o radicado atendido</t>
  </si>
  <si>
    <t>Aprovechar 25.000 toneladas de llantas usadas</t>
  </si>
  <si>
    <t>Promover el  aprovechamiento de 25000 toneladas de llantas usadas</t>
  </si>
  <si>
    <t>Toneladas</t>
  </si>
  <si>
    <t>SUMA</t>
  </si>
  <si>
    <t>8,1 SEGUIMIENTO VIGENCIA ACTUAL</t>
  </si>
  <si>
    <t>2,2 META</t>
  </si>
  <si>
    <t>2,3 TIPOLOGÍA</t>
  </si>
  <si>
    <t>Linea 2. Gestión Ambiental Empresarial</t>
  </si>
  <si>
    <t>LOGRAR 500 EMPRESAS CON UN ÍNDICE DE DESEMPEÑO AMBIENTAL EMPRESARIAL  - IDAE ENTRE MUY BUENO Y SUPERIOR</t>
  </si>
  <si>
    <t>5,REALIZAR CAPACITACIONES, VISITAS DE SEGUIMIENTO, RECOLECCIÓN Y VALIDACIÓN DE INFORMACIÓN PARA LA APLICACIÓN DEL ÍNDICE DE DESEMPEÑO AMBIENTAL EMPRESARIAL</t>
  </si>
  <si>
    <t>Se realizó la convocatoria a las empresas para participar en las actividades programadas para el tercer trimestre del 2018 en el PGAE, como una medida de acompañamiento donde a través de capacitaciones y visitas técnicas se busca el cumplimiento de los requisitos legales ambientales aplicables, el mejoramiento de los indicadores de desempeño ambiental y la proyección social se espera incrementar su Índice Desempeño Ambiental Empresarial a un estado muy bueno y superior, logrando una participación de 189 empresas, de las cuales 110 fueron visitadas durante el tercer trimestre y las restantes se realizarán en el cuarto trimestre del año.
De acuerdo a esto se han realizado 2 sesiones de capacitaciones en donde se abordaron los siguientes temas: introducción a los sistemas de gestión ambiental, política ambiental, contexto de la organización, roles, responsabilidades y autoridades, incentivos tributarios y régimen sancionatorio ambiental, dando cumplimiento con las actividades programadas.
De las empresas que iniciaron su participación en el segundo ciclo del año 2017, se realizaron 57 visitas de evaluación y de acuerdo a sus resultados, durante el cuarto trimestre se elaborarán los informes finales de resultados, de las cuales 24 tuvieron un indice entre muy bueno y superior.</t>
  </si>
  <si>
    <t>MARZO</t>
  </si>
  <si>
    <t>MAGNITUD META</t>
  </si>
  <si>
    <t xml:space="preserve">6,REALIZAR LA  SEMANA ECOEMPRESARIAL COMO HERRAMIENTA DE FORTALECIMIENTO AL ESQUEMA VOLUNTARIO DE AUTOGESTIÓN AMBINETAL </t>
  </si>
  <si>
    <t>Impulsar el aprovechamiento de llantas usadas en el distrito capital apoyando el  desarrollo de programas posconsumo,  divulgación y educación dirigidos a la comunidad y  campañas de información, con el fin de orientar a los consumidores sobre la obligación de depositar las llantas usadas según los Sistemas de Recolección Selectiva y Gestión Ambiental.
Es importante destacar el apoyo y la comunicación que se realiza con los  programas posconsumo y  la  SDA  para el cumplimiento de metas, por medio de campañas de promoción y divulgación que aportan a la gestión adecuadas de llantas usadas en entidades y  en la ciudadanía.</t>
  </si>
  <si>
    <t>Constancias y Certificados de aprovechamiento provenientes de programas postconsumo y gestores.</t>
  </si>
  <si>
    <t>Utilizar gradualmente el 25% de gránulo de caucho reciclado y/o residuos de demolición dentro de la mezcla asfáltica que se utilicen para la construcción y reconstrucción de vías de la ciudad</t>
  </si>
  <si>
    <t>Porcentaje de granulo de caucho utilizado dentro de la mezcla asfáltica en las vías vehiculares determinadas en la normatividad ambiental vigente</t>
  </si>
  <si>
    <t>Constante</t>
  </si>
  <si>
    <t xml:space="preserve">Se desarrollaron acciones enmarcadas en crear sinergias con los actores estratégicos identificados en el trimestre anterior, con los cuales se establecieron responsabilidades de apoyo y participación en las actividades establecidas para el desarrollo de la tercera versión de la Semana Ecoempresarial, de igual forma se establecen los aspectos logísticos y escenarios para el desarrollo de cada una de las actividades planeadas. </t>
  </si>
  <si>
    <t>ACTUALIZAR 100 PORCIENTO LA POLÍTICA DISTRITAL DE PRODUCCIÓN Y CONSUMO SOSTENIBLE Y  PONERLA EN MARCHA</t>
  </si>
  <si>
    <t>7,ACTUALIZAR Y PONER EN MARCHA LA POLÍTICA DE PRODUCCIÓN Y CONSUMO SOSTENIBLE DEL DISTRITO CAPITAL</t>
  </si>
  <si>
    <t>APOYAR 100 PORCIENTO LA FORMULACIÓN Y SEGUIMIENTO DEL PROYECTO PARQUE INDUSTRIAL ECOEFICIENTE DE SAN BENITO-PIESB.</t>
  </si>
  <si>
    <t>8,APOYAR EN EL DESARROLLO DEL  PARQUE INDUSTRIAL ECOEFICIENTE DE SAN BENITO-PIESB EN LOS COMPONENTES A CARGO DE LA SDA.</t>
  </si>
  <si>
    <t xml:space="preserve">Se han realizado 7 mesas de trabajo conjuntamente con entidades como el Ministerio de Comercio, la Secretaría de Desarrollo Económico y el Cluster del Cuero. Como resultado de estas gestiones se obtuvo acompañamiento de un experto de la agencia de cooperación japonesa JICA, para brindar asistencia técnica a dos curtiembres en control de procesos.
Adicionalmente en julio mediante oficio 2018EE164161, se ratifico a ASOPIESB la solicitud de un informe de avance, el cual fue remitido en agosto mediante oficio 2018ER203505,  en el cual se informa que se está definiendo el análisis de alternativas para la PTAR que es la prioridad para la conformación del parque ecoeficiente, sobre esta PTAR la SDA remitió los diferentes conceptos que ha dado la institución y la empresa de acueducto para que sean tenidos en cuenta en el análisis de viabilidad legal de la alternativa.
Continuando con las labores de formación se realizó una capacitación y 4 practicas de laboratorio para las curtiembres, con el apoyo del SENA, sobre tratamiento de aguas, esto apoyando a las empresas para que cumplan con los compromisos establecidos con la magistrada respecto al tratamiento fisicoquímico de sus aguas.
En materia de apoyo para disminuir los costos por disposición final de los lodos de las curtiembres, la SDA realizo 9 visitas y desarrollo una técnica para deshidratación de lodos con el uso de polímeros, la cual fue tomada como buena practica de un grupo de tres curtiembres.
En materia de investigación se inicio proyecto para recuperación del cromo de las aguas residuales de curtiembres con el SENA y se realizaron las visitas y muestreos iniciales durante el mes de septiembre.
Adicionalmente se realizaron 6 mesas de trabajo con la universidad de la salle para avanzar en la actualización de la guía producción más limpia de las curtiembres.
</t>
  </si>
  <si>
    <t>34.73%</t>
  </si>
  <si>
    <t>Linea 3. Gestión integral de los residuos peligrosos y especiales generados en la ciudad</t>
  </si>
  <si>
    <t>PROMOVER LA DISPOSICIÓN ADECUADA DE 15000 TONELADAS DE RESIDUOS PELIGROSOS Y ESPECIALES</t>
  </si>
  <si>
    <t>9,FORTALECER LA GESTIÓN DE RESPEL Y ESPECIALES, MEDIANTE PROMOCIÓN DE ESQUEMAS DE GESTIÓN, ARTICULACIÓN DE ACTORES, Y ACCIONES DE PROMOCIÓN Y DIVULGACIÓN DEL APROVECHAMIENTO DE RESIDUOS Y SUBPRODUCTOS.</t>
  </si>
  <si>
    <t xml:space="preserve">La cantidad reportada de residuos peligrosos y especiales para el tercer trimestre del año 2018 es de 1603.10 toneladas, discriminados de la siguiente manera:
Aceite Vegetal Usado -AVU: 398.67 Ton equivalente al 24.87%,
Medicamentos: 20.15 Ton equivalente a 1.26%,
Pilas: 21.57 Ton equivalente a 1.35%,
Luminarias: 100.32 Ton equivalente a 6.26%,
Baterías plomo ácido: 282.51 Ton equivalente a 17.62%,
Tóner: 12.33 Ton equivalente a 0.77%, 
Electrodomésticos línea blanca: 24.21 Ton equivalentes a 1.51%,
Residuos de Aparatos Eléctricos y Electrónicos -RAEE: 743.34 Ton equivalente a 46.37%.
</t>
  </si>
  <si>
    <t>Durante el tercer trimestre se incorporó criterios de sostenibilidad ambiental a sesenta y cuatro (64) proyectos de diferentes escalas, tanto en espacio público como en privado, promoviendo la construcción sostenible y el ecourbanismo en la ciudad. Los proyectos a los cuales se les incorporo criterios de sostenibilidad corresponden a: dos (2) Planes Parciales de Desarrollo, cuatro (4) Planes Parciales de Renovación Urbana, cinco (5) Planes de Implantación, cinco (5) proyectos de compatibilidad de usos de vivienda en suelo restringido, cuarenta y seis (46) proyectos de diseño paisajístico de parques y zonas verdes, un (1) proyectos de Alianza Publico Privada - APP, un (1) proyecto Pre-reconocido por el programa Bogotá Construcción Sostenible.</t>
  </si>
  <si>
    <t>10,FORTALECER Y PROMOVER LA ESTRATEGIA ORIENTADA AL MANEJO AMBIENTALMENTE RESPONSABLE DE LOS RESIDUOS DE APARATOS ELÉCTRICOS Y ELECTRÓNICOS- ECOLECTA</t>
  </si>
  <si>
    <t>Incorporando criterios de sostenibilidad ambiental mediante la emisión de lineamientos y determinantes ambientales en proyectos urbanos y arquitectónicos de diferentes escalas, así como a instrumentos de planeamiento urbano, promueve la construcción sostenible y el ecourbanismo en la ciudad, mediante la armonización de los proyectos urbanos y el modelo de ocupación del territorio con la Estructura ecológica Principal, garantizando mejores espacios para la habitabilidad urbana y mayor equidad e igualdad en la población capitalina.</t>
  </si>
  <si>
    <t xml:space="preserve">Las acciones encaminadas al aprovechamiento de las llantas en su transformación a grano de caucho reciclado, contribuyen a garantizar que la ciudadanía goce de un ambiente sano. Se aporta a la mitigación de la contaminación del aire, disminuyendo las concentraciones de sustancias químicas tóxicas provocadas por la quema indiscriminadas de este material, permitiendo la prevención de enfermedades respiratorias en las personas. Así mismo, se favorece la preservación del suelo y del paisaje al aunar esfuerzos en la recuperación del espacio público y de otros escenarios que se han visto afectados por la indebida disposición de las llantas. Además, las obras de infraestructura vial y áreas recreativas, se ven beneficiadas por el agregado de este material, ya que posibilita el buen desempeño y durabilidad de las mismas, aportando a la construcción de comunidad y cultura ciudadana en el Distrito Capital
</t>
  </si>
  <si>
    <t>Constancias y Certificados de aprovechamiento Archivos SCASP
Informes Técnicos 
Bases de Datos SCASP</t>
  </si>
  <si>
    <t>Formular un plan de acción y control para la gestión de las llantas usadas, orientado al aprovechamiento</t>
  </si>
  <si>
    <t>Por medio de las campañas realizadas en el marco del programa Ecolecta de la SDA y con colaboración del programa posconsumo EcoComputo y Digital Green,  se logro la recolección de Residuos de Aparatos Eléctricos y Electrónicos -RAEE de 743.34 Ton Equivalente a 46.37% con respecto ael valor total reportado.</t>
  </si>
  <si>
    <t>Porcentaje de formulación y de ejecución  de un plan de acción y control de llantas usadas</t>
  </si>
  <si>
    <t>Porcentaje de avance</t>
  </si>
  <si>
    <t>Creciente</t>
  </si>
  <si>
    <t>Oficios FOREST, Actas, Archivo de Gestión SEGAE.</t>
  </si>
  <si>
    <t>N.A.</t>
  </si>
  <si>
    <t xml:space="preserve">META CUMPLIDA,
Durante la vigencia 2017 se formuló el documento Plan de acción y control para la gestión de las llantas usadas, que detalla las acciones a desarrollar por parte de la SDA para la evaluación, control, seguimiento y gestión integral de las llantas usadas para promover su aprovechamiento en la D.C. </t>
  </si>
  <si>
    <t>La estructuración de un Plan de acción permitirá identificar, priorizar  e implementa ar acciones de evaluación,  control,  seguimiento y gestión  integral de las llantas usadas, para promover su aprovechamiento en el D.C.
El desarrollo de un Plan de Acción como una de las estrategias que desarrollará la Secretaría Distrital de Ambiente como autoridad Ambiental del Distrito Capital permitirán efectuar el control y seguimiento del registro de los establecimientos, generadores y gestores de llantas usadas ubicados en su jurisdicción, verificando el cumplimiento de la normatividad  ambiental de los mismos y realizando actualizaciones periódicas del mencionado registro, de igual forma realizarán visitas de  seguimiento y control a las instalaciones que realicen almacenamiento de llantas usadas o material derivado de actividades de tratamiento o aprovechamiento de llantas en Bogotá D.C, con el objeto de prevenir factores de contaminación ambiental derivados de tal actividad.</t>
  </si>
  <si>
    <t>Documento de formulación de plan de acción y control de llantas usadas</t>
  </si>
  <si>
    <t xml:space="preserve">Reducir 800.000 toneladas de las emisiones de CO2eq </t>
  </si>
  <si>
    <t>PRESUPUESTO VIGENCIA</t>
  </si>
  <si>
    <t>Numero de toneladas de emisiones de CO2 reducidas sobre año</t>
  </si>
  <si>
    <t>11,IMPLEMENTAR Y HACERLE SEGUIMIENTO AL INSTRUMENTO NORMATIVO EXISTENTE QUE REGULA LA GESTIÓN DE ACEITES USADOS VEGETALES, DURANTE TODO EL CICLO DE VIDA DE ESTE RESIDUO.</t>
  </si>
  <si>
    <t>Con los resultados obtenidos del registro en la plataforma de Aceite Vegetal Usado -AVU de la SDA se ha logrado recopilar la  información gradualmente de acuerdo con las fechas iniciales de registro durante el año 2017 y 2018  se cuenta con más reportes de actores registrados logrando consolidar un volumen mayor y un funcionamiento adecuado de la plataforma de registro de AVU de la SDA. De los cuales se reportan 398.67 Ton Equivalente al 46.37% del valor total reportado.</t>
  </si>
  <si>
    <t>Linea 4. Control al  aprovechamiento de llantas usadas en la Ciudad de Bogotá</t>
  </si>
  <si>
    <t>12,PROMOVER LA GESTIÓN DE LLANTAS USADAS Y SUS SUBPRODUCTOS EN EL DISTRITO CAPITAL, A TRAVÉS DE LA ARTICULACIÓN Y FORTALECIMIENTO DE LOS ACTORES QUE INTERVIENEN EN EL CICLO DE VIDA DE ESTE RESIDUO.</t>
  </si>
  <si>
    <t xml:space="preserve">
Mediante el grupo de  Control al aprovechamiento de llantas usadas en la ciudad de Bogotá  de la Subdirección Control Ambiental al Sector Público y en cumplimiento del Decreto 442 de 2015  y 265 de 2016, adelantó a septiembre de 2018 actividades  para promover el aprovechamiento de un total de 2.122.5 Ton llantas, mediante visitas de control a  generadores y gestores de llantas usadas, ubicados en el perímetro urbano del Distrito Capital, revisión de los certificados de gestión de las llantas entregadas a gestores de este residuo  y verificación  en el aplicativo web de la Secretaría Distrital de Ambiente.
</t>
  </si>
  <si>
    <t>MAGNITUD META DE RESERVAS</t>
  </si>
  <si>
    <t>13,EFECTUAR VISITAS DE CONTROL Y SEGUIMIENTO A LOS GESTORES DE LLANTAS USADAS UBICADOS EN LA JURISDICCIÓN.</t>
  </si>
  <si>
    <t xml:space="preserve">Con el desarrollo de proyectos orientados a la reducción de emisiones de Gases Efecto Invernadero se contribuye a mitigar los efectos del cambio climático y al mejoramiento de la calidad del aire de la ciudad, lo cual tiene efectos positivos para la salud de los ciudadanos.   </t>
  </si>
  <si>
    <t>Fichas de seguimiento a los proyectos y cálculo de reducción de emisiones</t>
  </si>
  <si>
    <t>A Septiembre  de 2018 fueron visitados por parte de los profesionales de la SCASP 1218 gestores de llantas a los cuales se les realizaron visitas de control y seguimiento del registro de los generadores y gestores de llantas usadas, ubicados en el perímetro urbano del Distrito Capital, verificando el cumplimiento de la normatividad ambiental  específicamente el Decreto 442 de 2015 y 265 de 2016.</t>
  </si>
  <si>
    <t>Diseñar e implementar un plan de acción encaminado a la reducción de GEI</t>
  </si>
  <si>
    <t>Porcentaje de implementación del plan de acción encaminado a la reducción de GEI</t>
  </si>
  <si>
    <t>14,REALIZAR CONTROL DE CUMPLIMIENTO A LOS REPORTES DE GESTIÓN REMITIDOS  POR ACOPIADORES Y GESTORES DE LLANTAS USADAS, EVIDENCIANDO EL APROVECHAMIENTO DE ESTOS RESIDUOS.</t>
  </si>
  <si>
    <t>El seguimiento respecto al control de las emisiones de GEI - Gases Efecto Invernadero contribuye a que a SDA determine el impacto de los diferentes proyectos en el Distrito y plantee estrategias de mitigación de los efectos del cambio climático.</t>
  </si>
  <si>
    <t>Fichas de seguimiento a los proyectos.
Cálculo de reducción de emisiones de GEI.
Archivo del estado de los proyectos establecidos en el Plan de Acción.</t>
  </si>
  <si>
    <t>Generar acciones de control para los residuos hospitalarios y de riesgo biológico</t>
  </si>
  <si>
    <t>% de cumplimiento de acciones  de control y seguimiento de los residuos hospitalarios y de riesgo biológico</t>
  </si>
  <si>
    <t xml:space="preserve">Durante el periodo comprendido entre enero y septiembre de 2018 se realizó la revisión de 3.392  certificados de gestión de las llantas entregadas a gestores de este residuo  y verificación  en el aplicativo web de la Secretaría Distrital de Ambiente, de los cuales 2.158 cumplieon con los criterios del artículo septimo del decreto 442 de 2015 por lo cual fueron aprobados. </t>
  </si>
  <si>
    <t>Mediante las diferentes acciones que realiza el Grupo de Residuos  Hospitalarios se busca minimizar los impactos de este tipo de residuos peligrosos en la ciudad, sobre el ambiente y la salud de los ciudadano, mediante los diferentes seguimientos y controles efectuados a los generadores de manera integral para los diferentes establecimientos, con el fin de evitar la incorrecta disposición de los residuos peligrosos.
Lo anterior basado en la normatividad ambiental vigente, este grupo enfoca las acciones de seguimiento y control a la gestión externa de los residuos peligrosos (sólidos y líquidos) y de tipo infeccioso, químico y de origen administrativo generados por los establecimientos prestadores de en la atención en salud y otras actividades. Es importante mencionar que en febrero de 2014 se produce un cambio en la normatividad y entra en vigencia el Decreto 351 de 2014 “Por el cual se reglamenta la gestión integral de los residuos generados en la atención en salud y otras actividades”</t>
  </si>
  <si>
    <t xml:space="preserve">
Bases de Datos - Procesos Forest con Actas de visitas y reporte de toneladas - Expedientes SCASP
Archivo Hospitalarios
Informes Técnicos </t>
  </si>
  <si>
    <t>Implementar la política de ecourbanismo y construcción sostenible</t>
  </si>
  <si>
    <t xml:space="preserve">Porcentaje  de avance en la implementacion de acciones de  la política de ecourbanismo y construcción sostenible programadas </t>
  </si>
  <si>
    <t>%</t>
  </si>
  <si>
    <t>Hacer  seguimiento y control a 8000 establecimientos  de acopio de llantas usadas</t>
  </si>
  <si>
    <t>15,  EFECTUAR VISITAS DE CONTROL Y SEGUIMIENTO A LOS ESTABLECIMIENTOS ACOPIADORES DE LLANTAS USADAS O MATERIAL DERIVADO DEL TRATAMIENTO DE LLANTAS USADAS EN BOGOTÁ D.C</t>
  </si>
  <si>
    <t>RESERVA PRESUPUESTAL</t>
  </si>
  <si>
    <t>16,GENERAR REQUERIMIENTOS Y/O CONCEPTOS TÉCNICOS A LOS ESTABLECIMIENTOS QUE NO CUMPLAN CON LO DISPUESTO EN EL DECRETO 442 DE 2015 Y 265 DE 2016, TENIENDO EN CUENTA LA FRECUENCIA EN EL INCUMPLIMIENTO.</t>
  </si>
  <si>
    <t>De acuerdo a las visitas técnicas  realizadas en el marco del seguimiento y control a establecimientos  de acopio de llantas usadas se generaron segun correspondió 512 requerimientos por incumplimiento a lo establecido en el Decreto 442 de 2015 y/o 265 de 2016</t>
  </si>
  <si>
    <t xml:space="preserve">El acumulado ejecutado para el cuatrienio corresponde a 43.75%, de los cuales 18.75% corresponden a lo ejecutado durante los tres primeros trimestres de la vigencia 2018.
Durante el tercer trimestre de 2018, se avanzó en un 6,25% con el desarrollo de las siguientes acciones: Se efectuó la actualización de la matriz de registro, clasificación y consolidación con 66 proyectos e instrumentos de planeamiento urbano (60 Diseños Paisajísticos de Parques y Zonas Verdes, 3 Compatibilidad de Uso de Vivienda en Área Restringida, 1 Planes Parciales De Renovación 1 Plan Regularización y Manejo y 1 Proyecto de Alianza Público-Privada).
De esta manera en lo trascurrido del año 2018 SEGAE ha consolidado una matriz de seguimiento a la Política de Ecourbanismo con 172 proyectos e instrumentos que tienen lineamientos ambientales y dan cumplimiento a metas de la Resolución 1319 de 2015.
</t>
  </si>
  <si>
    <t xml:space="preserve">La implementación de la política pública de ecourbanismo y construcción sostenible (Decreto 566 de 2014) y su plan de acción sostenible (Resolución 1319 de 2015), le aporta al objetivo de ecoeficiencia como herramienta fundamental para reorientar las actuaciones de urbanismo y construcción de Bogotá hacia un enfoque de desarrollo sostenible. </t>
  </si>
  <si>
    <t>Comunicaciones oficiales Externas e Internas, FOREST y matriz de seguimiento al plan de accion en el archivo de gestión de la SEGAE</t>
  </si>
  <si>
    <t>Formular un (1) proyecto de sistema urbano de drenaje sostenible para manejo de aguas y escorrentías</t>
  </si>
  <si>
    <t>Proyecto formulado e implementado del sistema urbano de drenaje sostenible-SUDS</t>
  </si>
  <si>
    <t>Proyectos</t>
  </si>
  <si>
    <t>Desarrollar  e implementar  100% Un instrumento de control y seguimiento por medio de innovación tecnológica para el acopio, transporte, tratamiento y aprovechamiento de llantas usadas en la ciudad.</t>
  </si>
  <si>
    <t xml:space="preserve">17,REALIZAR  DISEÑO E IMPLANTACIÓN DE LA SOLUCIÓN TECNOLÓGICA REQUERIDA POR LA SDA PARA FORTALECER LA EVALUACIÓN CONTROL Y SEGUIMIENTO A LAS LLANTAS USADAS  GENERADAS EN EL DISTRITO CAPITAL, </t>
  </si>
  <si>
    <t>TOTAL MAGNITUD META</t>
  </si>
  <si>
    <t xml:space="preserve">Para dar continuidad a  la Fase 3. Diseño, desarrollo e implementación del instrumento de control, a septiembre de 2018 la SCASP avanzó en la realización de los trámites precontractuales, asi mismo se realizaron los ajustes solictados por el área contractual en el anexo técnico  para avanzar aduirir el Diseño, desarrollo e implementación de la Arquitectura de Interoperabilidad para los Sistemas de Información, Gobierno y Gestión de Datos en el marco de la Arquitectura Empresarial, así como, desarrollo y puesta en operación del caso de negocio que genere un instrumento de control y seguimiento para el aprovechamiento de llantas usadas en el D.C. lo anterior con el objeto de establecer la arquitectura de interoperabilidad que le permitira a la herramienta en principio  recibir, unificar y contener los datos base; posteriormente  procesar y analizar la  información y finalmente  poder generar los respectivos reportes, informes  o alertas.
Así mismo como parte del desarrollo delinstrumento de control y seguimiento por medio de innovación tecnológica para el acopio, transporte, tratamiento y aprovechamiento de llantas usadas en la ciudad.e celebro el CONTRATO DE PRESTACION DE SERVICIOS No. SDA–SECOP II-CD–20181243
con el objeto de PRESTAR LOS SERVICIOS DE SOPORTE TÉCNICO, MANTENIMIENTO Y ACTUALIZACIÓN DEL SISTEMA DE INFORMACIÓN PARA EL RECAUDO DE VISITAS TÉCNICAS ONTRACK  para su utilización en las visitas técnicas en campo, los cuales a su vez  se emplearan como colectores de información base para fortalecer el recaudo de información, la carga y procesamiento y reportes de datos requeridos en la herramienta de control lo cual permitirá el análisis, generación de informes para la toma de decisiones en relación a establecer alertas y priorizar las acciones de evaluación Control y Seguimiento al acopio de llantas usadas y al aprovechamiento de grano de caucho en el D.C.
</t>
  </si>
  <si>
    <t>Linea 5. Evaluación, Control y Seguimiento a las actividades de manejo, aprovechamiento,  tratamiento y/o disposición final de los residuos de construcción y demolición en el Distrito Capital..</t>
  </si>
  <si>
    <t xml:space="preserve">Controlar 32000000 toneladas De residuos de construcción y demolición  con disposición  adecuada  </t>
  </si>
  <si>
    <t>18,REALIZAR VISITAS DE EVALUACIÓN CONTROL Y SEGUIMIENTO AL MANEJO Y DISPOSICIÓN DE RCD EN OBRAS MAYORES A 5000 M2 O QUE GENEREN MÁS DE 1000 M3 DE RCD EN BOGOTÁ.</t>
  </si>
  <si>
    <t xml:space="preserve">TOTAL PRESUPUESTO </t>
  </si>
  <si>
    <t xml:space="preserve">En lo corrido del año 2018 se reporta un total acumulado de 532 visitas de control y seguimiento a  obras de infraestructura en el perímetro urbano del Distrito Capital y la revisión de 762 planes de Gestión de  Residuos de Construcción y Demolición -RCD, que permitieron controlar la disposición adecuada de 9.170.122 toneladas de RCD en sitios autorizados acorde con lo establecido en la en la Resolución 01115 de 2012, 0932 de 2015 y Resolución 1138 de 2013. </t>
  </si>
  <si>
    <t>19,VERIFICAR EL CUMPLIMIENTO AL PLAN DE GESTIÓN DE RCD EN RELACIÓN AL MANEJO Y DISPOSICIÓN DE RCD Y GENERAR LAS RESPECTIVAS RESPUESTAS COMO A LAS REVISIONES HECHAS AL APLICATIVO WEB.</t>
  </si>
  <si>
    <t xml:space="preserve">A Septiembre de 2018 la SDA realizó la  revisión sobre el manejo y disposición de Residuos de Construcción y Demolición -RCD en  762 Planes de Gestión de Residuos de Construcción y Demolición -PDGRCD de obras mayores a 5.000 m2  inscritos en el aplicativo web de la entidad , de los cuales se aprobarón 167 planes  y se generaron 593 requerimiento a  PDGRCD  por incumplimiento en obras en las diferentes obligaciones estipuladas en la Resolución 01115 de 2012, 0932 de 2015 y Resolución 1138 de 2013. 
</t>
  </si>
  <si>
    <t>20,PROYECTAR INFORMES TÉCNICOS Y/O CONCEPTOS TÉCNICOS Y/O OFICIOS DE REQUERIMIENTO</t>
  </si>
  <si>
    <t>0.12</t>
  </si>
  <si>
    <t xml:space="preserve">A Septiembre de 2018 se generaron 26  Informes técnicos ( Clasificación de impacto ambiental) y/o Conceptos técnicos por incumplimiento en obras en las diferentes obligaciones estipuladas en la Resolución 01115 de 2012, 0932 de 2015 y Resolución 1138 de 2013. </t>
  </si>
  <si>
    <t>21,ADELANTAR LOS ACTOS ADMINISTRATIVOS QUE CORRESPONDAN PARA LA EVALUACIÓN, CONTROL Y SEGUIMIENTO SOBRE EL MANEJO Y DISPOSICIÓN ADECUADA DE RCD  GENERADOS EN BOGOTÁ.</t>
  </si>
  <si>
    <t>La formulación e implementación del proyecto incluye la elaboración del diseño de un Sistema Urbano de Drenaje Sostenible que alimente permanentemente la red de humedales interconectados dentro del área protegida. La propuesta busca recuperar espejos de agua, recuperar la franja litoral y configurar algunos islotes la propuesta debe estar enmarcada dentro de un diseño paisajístico para lograr no solo aliviar el déficit hídrico del humedal sino configurar una propuesta de parque temático indígena para el disfrute y uso público de la ciudadanía.</t>
  </si>
  <si>
    <t>Archivo de Gestión SEGAE</t>
  </si>
  <si>
    <t>Techos verdes y jardines verticales implementados</t>
  </si>
  <si>
    <t>M2 de techos verdes implementados en espacio público y privado</t>
  </si>
  <si>
    <t>M2</t>
  </si>
  <si>
    <t xml:space="preserve">Se avanzó en el  trámite sobre 141 actos administrativos  permisivos y Sancionatorios correspondientes  a la temática de evaluación, control y seguimiento sobre el manejo y disposición  de Residuos de Construcción y Demolición -RCD y otros residuos generados en Bogotá. Distribuidos así: 
No. De conceptos técnicos revisados        3
No. De Medidas preventivas impuestas        3
No. Autos de inicio        17
No. Autos de formulación        4
No. Autos de pruebas        2
No. Resoluciones de decisiones de fondo        1
No. De recursos contra autos de pruebas        2
No. De recursos contra sanciones        1
No. De otros actos administrativos en el marco del proceso sancionatorio        8
No. De Autos de inicio de Permiso de Ocupación de Cauce        54
No. De Resoluciones de desistimiento del Permiso de Ocupación de Cauce        2
No. De Resoluciones que otorgan o niegan el Permiso de Ocupación de Cauce        34
No. de actos administrativos de cobro por seguimiento        6
No. De autos que ordenan archivo de expedientes.        4
</t>
  </si>
  <si>
    <t>Controlar y hacer seguimiento a 100%  De los sitios autorizados para disposición final de RDC en Bogotá jurisdicción SDA</t>
  </si>
  <si>
    <t>22,REALIZAR VISITAS DE EVALUACIÓN CONTROL Y SEGUIMIENTO A LOS SITIOS AUTORIZADOS PARA LA DISPOSICIÓN FINAL DE ESCOMBROS Y EN EL DISTRITO CAPITAL.</t>
  </si>
  <si>
    <t xml:space="preserve">En el periodo comprendido entre enero y septiembre de  2018, se realizó 1 visita técnica mensual de control y seguimiento a los  4 sitios de disposición final vigentes :
Sitio de Disposición Final "Las Manas" - CEMEX  - SAN ANTONIO, CANTARANA como resultado de los anterior se generaron 4 requerimientos por incumplimiento de la Resolución 1115 del 26 de 2012 en cuanto a los lineamientos técnico- ambientales para las actividades de manejo, aprovechamiento y tratamiento de los residuos de construcción y demolición en el D.C. </t>
  </si>
  <si>
    <t>Incremental</t>
  </si>
  <si>
    <t>Promover la implementación de techos verdes y jardines verticales, en espacio público y privado en estructuras nuevas y/o existentes mediante procesos de divulgación, capacitación de esta tecnología, acompañamiento técnico y generación de incentivos, ofrecen múltiples beneficios ambientales (Eje. Retienen el agua lluvia, mitigan el efecto isla de calor, absorben el ruido), sociales (Eje. Mejoran el paisaje urbano, aumentan el área verde de la ciudad, mejoran la calidad de vida) y económicos (Eje. Mantienen la comodidad térmica al interior de las edificaciones, evitando el uso de calefactores, valorizan el predio, permiten integrarse con sistemas de aprovechamiento de agua lluvia, ahorrando consumo de agua), para la ciudad y sus habitantes.</t>
  </si>
  <si>
    <t>Matriz de reporte, archivo de gestión SEGAE.</t>
  </si>
  <si>
    <t xml:space="preserve">Lograr  en 500 empresas un índice de desempeño ambiental empresarial -IDAE - entre muy bueno y excelente. </t>
  </si>
  <si>
    <t>Número de empresas con índice de desempeño ambiental empresarial -IDAE - entre muy bueno y excelente.</t>
  </si>
  <si>
    <t>Número empresas</t>
  </si>
  <si>
    <t>23,PROYECTAR INFORMES TÉCNICOS Y/O CONCEPTOS TÉCNICOS Y/O OFICIOS DE REQUERIMIENTO</t>
  </si>
  <si>
    <t>De acuerdo a las visitas técnicas  realizadas en el marco del Control y seguimiento a los sitios autorizados para disposición final de RDC en Bogotá se generaron 21 informes técnicos.</t>
  </si>
  <si>
    <t>Realizar evaluación control y seguimiento  100% De los proyectos especiales de infraestructura que se desarrollen  en la Ciudad de Bogotá.</t>
  </si>
  <si>
    <t>24,REALIZAR ACCIONES DE EVALUACIÓN, CONTROL Y SEGUIMIENTO AL MANEJO DE LOS RCD ,  ENDURECIMIENTO DE ESPACIOS BLANDOS Y TRÁMITES AMBIENTALES GENERADOS EN LOS PROYECTOS ESPECIALES DE INFRAESTRUCTURA</t>
  </si>
  <si>
    <t xml:space="preserve">Los Proyectos Especiales de Infraestructura se encuentran divididos en dos categorías: en la primera, los relacionados con proyectos de infraestructura que, por su magnitud, tiempo de ejecución e impacto en la sociedad y en el ambiente, tienen que ser objeto de actividades de control y seguimiento ambiental constantes. En la segunda de ellas se encuentran los proyectos relacionados con Permisos de Ocupación de Cauce - POC, los cuales corresponden a procesos constructivos que se adelantan en cuerpos de agua adoptados mediante el Decreto 190 de 2004 como componentes de las Estructura Ecológica Principal – EEP y que son considerados territorios de especial manejo ambiental.   
Teniendo en cuenta lo anterior, a 30 de septiembre de 2018 el grupo de Proyectos especiales de infraestructura PEI se encuentra tramitando 63 procesos de proyectos especiales de infraestructura relacionados con POC, de los cuales 25 se encuentran en el grupo jurídico para generación de resolución o inicio de trámite, 23 se encuentran a la espera de información complementaria por parte del solicitante y 9 se encuentran en el grupo técnico para la evaluación o generación de Concepto Tècnico correspondiente.
Es importante tener en cuenta que las 63 solicitudes que se encuentran en trámite corresponden a:
- 40 solicitudes adelantadas por Entidades públicas, tales como IDU, IDIGER y EAB
- 23 solicitudes adelantadas por Entidades públicas
A la fecha de las  solicitudes evaluadas, 31 han sido aprobadas mediante acto administrativo o modificación de Resolución correspondiente; destacando que 22 corresponden a entidades públicas como la EAB y el IDU y las 9 Restantes a Entidades Privadas.
</t>
  </si>
  <si>
    <t>Como el reporte es anual, durante el último trimestre se terminará de validar toda la información recolectada del año 2017 capturada mediante la Herramienta GAE entregada por las empresas participantes de la Estrategia Acercar 2018 Ciclo 1, las que faltaron por validar del Ciclo 2 del año 2017, y a su vez las que se postularon al Programa de Excelencia Ambiental Distrital - PREAD, realizando el ejercició de medición del Índice para ellas.</t>
  </si>
  <si>
    <t>1. Terminar de consolidar y validar la información reportada por las empresas participantes en la Estrategia Acercar Ciclo 2 - 2017 y Ciclo 1 2018 del Programa GAE, aplicando el Índice a cada una de ellas. 
2. Finalizar la medición del Índice a las empresas Postuladas al Programa de Excelencia Ambiental Distrital, teniendo en cuenta su participación y resultado en la implementación de proyectos de la Red de empresas ambientalmente sostenibles, cuyos resultados permitiran avanzar en el cumplimiento de la meta.</t>
  </si>
  <si>
    <t>Controlar que 25%  De RCD sean  reutilizados o aprovechados en obra</t>
  </si>
  <si>
    <t>25,REALIZAR VISTAS DE CONTROL Y SEGUIMIENTO AL APROVECHAMIENTO DE RCD GENERADOS EN LAS OBRAS, DE ACUERDO A LOS PROYECTOS EN EJECUCIÓN Y CUMPLIMIENTO DE LAS RESOLUCIONES 01115 DE 2012 Y 932 DE 2015</t>
  </si>
  <si>
    <t>Fortalecer el esquema voluntario de autogestión ambiental, el cual involucra las organizaciones de la ciudad, academia y gremios.</t>
  </si>
  <si>
    <t xml:space="preserve">Un esquema voluntario de autogestión ambiental fortalecido </t>
  </si>
  <si>
    <t>UN ESQUEMA</t>
  </si>
  <si>
    <t>CRECIENTE</t>
  </si>
  <si>
    <t>26,PROYECTAR INFORMES TÉCNICOS Y/O CONCEPTOS TÉCNICOS Y/O OFICIOS DE REQUERIMIENTO</t>
  </si>
  <si>
    <t>0.5</t>
  </si>
  <si>
    <t xml:space="preserve">A Septiembre de 2018 la SDA realizó la  revisión sobre el manejo y disposición de RCD en  762 Planes de gestión de RCD - PDGRCD de obras mayores a 5.000 m2  inscritos en el aplicativo wed de la entidad , de los cuales se aprobarón 167 planes  y se generaron 593 requerimiento a  PDGRCD  por incumplimiento en obras en las diferentes obligaciones estipuladas en la Resolución 01115 de 2012, 0932 de 2015 y Resolución 1138 de 2013. 
</t>
  </si>
  <si>
    <t xml:space="preserve">27,ADELANTAR LOS ACTOS ADMINISTRATIVOS PARA LA EVALUACIÓN, CONTROL Y SEGUIMIENTO SOBRE EL APROVECHAMIENTO Y TRATAMIENTO DE RCD  EN  OBRAS MAYORES A 5000 M2 O QUE GENEREN MÁS DE 1000 M3 DE RCD </t>
  </si>
  <si>
    <t xml:space="preserve">Se avanzó en el  trámite sobre 141 actos administrativos  permisivos y Sancionatorios correspondientes  a la temática de evaluación, control y seguimiento sobre el manejo y disposición  de RCD y otros residuos generados en Bogotá. Distribuidos así: 
No. De conceptos técnicos revisados        3
No. De Medidas preventivas impuestas        3
No. Autos de inicio        17
No. Autos de formulación        4
No. Autos de pruebas        2
No. Resoluciones de decisiones de fondo        1
No. De recursos contra autos de pruebas        2
No. De recursos contra sanciones        1
No. De otros actos administrativos en el marco del proceso sancionatorio        8
No. De Autos de inicio de Permiso de Ocupación de Cauce        54
No. De Resoluciones de desistimiento del Permiso de Ocupación de Cauce        2
No. De Resoluciones que otorgan o niegan el Permiso de Ocupación de Cauce        34
No. de actos administrativos de cobro por seguimiento        6
No. De autos que ordenan archivo de expedientes.        4
</t>
  </si>
  <si>
    <t>Desarrollar e implementar 100% Un instrumento de control a partir de procesos de innovación tecnológica e investigación para la gestión integral de RCD en Bogotá.</t>
  </si>
  <si>
    <t>28,REALIZAR  DISEÑO E IMPLANTACIÓN DE LA SOLUCIÓN TECNOLÓGICA REQUERIDA POR LA SDA PARA FORTALECER LA EVALUACIÓN CONTROL Y SEGUIMIENTO PARA LA GESTIÓN INTEGRAL DE RCD EN BOGOTÁ.</t>
  </si>
  <si>
    <t>0.4</t>
  </si>
  <si>
    <t xml:space="preserve">Para dar continuidad a las fases establecidas, en la vigencia 2018 se realizará la implementación del instrumento de control , que permita el análisis, procesamiento y generación de reportes para establecer alertas operativas, preventivas y/o correctivas específicas orientadas a planear y priorizar actuaciones técnicas y administrativas de evaluación, control y seguimiento al aprovechamiento de RCD, en este sentido a septiembre de 2018 la SCASP avanza en la realización de los trámites precontractuales y la realización los ajustes solicitados por el área contractual en el anexo técnico  para avanzar para adquirir el Diseño, desarrollo e implementación de la Arquitectura de Interoperabilidad para los Sistemas de Información, Gobierno y Gestión de Datos en el marco de la Arquitectura Empresarial, así como, desarrollo y puesta en operación del caso de negocio que genere un instrumento de control y seguimiento para la gestión integral de RCD en el D.C. 
Así mismo durante el tercer trimeste de 2018 y como parte del desarrollo del instrumento de control a partir de procesos de innovación tecnológica e investigación para la gestión integral de RCD en Bogotá se celebro el CONTRATO DE PRESTACION DE SERVICIOS No. SDA–SECOP II-CD–20181243
con el objeto de PRESTAR LOS SERVICIOS DE SOPORTE TÉCNICO, MANTENIMIENTO Y ACTUALIZACIÓN DEL SISTEMA DE INFORMACIÓN PARA EL RECAUDO DE VISITAS TÉCNICAS ONTRACK para su utilización en las visitas técnicas en campo, los cuales a su vez  se emplearan como colectores de información base para fortalecer el recaudo de información, la carga y procesamiento y reportes de datos requeridos en la herramienta de control los cuales posteriormente permitirán el análisis, generación de informes para la toma de decisiones en relación a establecer alertas y priorizar las acciones de evaluación Control y Seguimiento
</t>
  </si>
  <si>
    <t xml:space="preserve">El acumulado ejecutado para el cuatrienio corresponde a 40%. De los cuales en el tercer trimestre de 2018 se avanzó en 5%, con el desarrollo de las siguientes acciones: 
Se desarrollaron acciones enmarcadas en crear sinergias con los actores estratégicos identificados en el trimestre anterior, con los cuales se establecieron responsabilidades de apoyo y participación en las actividades establecidas para el desarrollo de la tercera versión de la Semana Ecoempresarial, de igual forma se establecen los aspectos logísticos y escenarios para el desarrollo de cada una de las actividades planeadas.    Asimismo, en el primer trimestre del 2018, se realiza la estructuración y planeación de la tercera edición de la semana ecoempresarial, incorporando la aplicación de diferentes proyectos de producción y consumo sostenible. Para el segundo trimestre del año 2018, se logró la separación de algunos lugares para llevar a cabo las actividades, y se definió la metodología y operación de cada día.
En el 2016 se diseñó la Semana Ecoempresarial como una estrategia para fortalecer el esquema voluntario llamado Programa de Gestión Ambiental Empresarial.  En tal sentido, se han desarrollado 2 ediciones anuales (2016 y 2017), en las que se ha involucrado diferentes organizaciones, gremios y academia, y se han obtenido como resultados generales: la implementación de huertas en colegios distritales (85m2), 5000 personas participantes de las actividades de sensibilización ambiental, recolección de 97 Ton de residuos de aparatos eléctricos y electrónicos, 1200 empresas participantes fomentando estilos de vida sostenible en sus colaboradores y partes interesadas, establecimiento del Foro en Responsabilidad Empresarial y Sostenibilidad.
</t>
  </si>
  <si>
    <t>Reconocimiento del Programa de Gestión Ambiental Empresarial en la comunidad empresarial, y participación voluntaria de organizaciones que incorporan la autorregulación ambiental.</t>
  </si>
  <si>
    <t>Controlar 32.000.000 de toneladas de residuos de construcción y demolición</t>
  </si>
  <si>
    <t>Linea 6. Control a la gestión externa de residuos peligrosos generados en establecimientos de salud humana y afines en la Ciudad de Bogotá.</t>
  </si>
  <si>
    <t>Número de toneladas de residuos de construcción y demolición controladas</t>
  </si>
  <si>
    <t>Controlar 32000 Toneladas de residuos peligrosos en establecimientos de salud humana y afines con  gestión externa adecuada</t>
  </si>
  <si>
    <t>29,GENERAR ACCIONES DE CONTROL A LA GESTIÓN EXTERNA  DE LOS RESIDUOS HOSPITALARIOS Y DE RIESGO BIOLÓGICO EN BOGOTÁ</t>
  </si>
  <si>
    <t>El acumulado ejecutado para el cuatrienio corresponde a 56,00%. De los cuales en el primer semestre de 2018 se avanzó en un 16.2% con el desarrollo de las siguientes acciones: 
Durante el periodo de Enero a Septiembre del año 2018 los profesionales de la SDA realizaron 2.710 actuaciones técnicas distribuidas así: 
382 visitas de seguimiento y control a generadores de Residuos Hospitalarios, 
63 Conceptos técnicos proyectados para iniciar proceso Sancionatorio, 
48 Informe técnico proyectados, 
5 Conceptos técnicos proyectados para Permiso de Vertimientos, 
255 No. de solicitudes de registro de vertimientos Atendidos - Registros de Vertimientos 
295 No. De Informes de Gestión atendidos
155  No. De caracterizaciones analizadas
512  No. De solicitudes de información atendidas
995 No. De requerimientos a generadores de RH y similares
Lo anterior permitió controlar un total de 5.396  toneladas de Residuos Peligrosos (infecciosos, químicos y administrativos) en el sector salud y afines generadas en el Distrito Capital</t>
  </si>
  <si>
    <t>30,REALIZAR VISITAS DE SEGUIMIENTO Y CONTROL A GENERADORES DE RESIDUOS HOSPITALARIOS Y SIMILARES</t>
  </si>
  <si>
    <t xml:space="preserve">El acumulado ejecutado en la última fecha de reporte para el cuatrienio corresponde a 0,12%. 
LA SDA suscribió el convenio 1353 de 2017 con la Empresa de Acueducto en Bogotá-EAB con el fin de realizar los diseños detallados del Sistema Urbano de Drenaje Sostenible-SUDS, en el Rio Tunjuelo, el cual dio inicio en enero de 2018. La SDA y la EAB trabajaron en la elaboración de los estudios previos y propuesta económica del convenio. Se han realizado dos suspensiones temporales a la ejecución de actividades del convenio, por demoras en la incorporación de recursos por parte de la EAB ESP través de la aprobación del comité CONFIS, sin embargo posteriormente se logró aclarar que  la EAB no requiere de la celebración del CONFIS para la apropiación de los recursos para abrir el proceso contractual y llevar a cabo la elaboración de los diseños (Decreto 816 de 2017).  Se han realizado a la fecha cuatro (4) comités técnicos operativos del convenio (01/02/2018, 17/04/2018, 10/08/2018 y 24/09/2018) donde se ha hecho seguimiento al proceso contractual de consultoría de diseños del SUDS y se ha dado a conocer la premura del avance de este proceso para dar cumplimiento a metas Plan de Desarrollo.
</t>
  </si>
  <si>
    <t xml:space="preserve">En el período de enero a septiembre de 2018  la SDA controló un total de 5.396 toneladas de Residuos Peligrosos (infecciosos, químicos y administrativos) en el sector salud y afines generadas en el Distrito Capital,  a través de la realización  de 382 visitas de Seguimiento y Control a establecimientos generadores de residuos hospitalarios y similares con su respectiva actuación técnica, </t>
  </si>
  <si>
    <t>Las actividades de  evaluación, control y seguimiento a la gestión integral de RCD en Bogotá D. C., ha contribuido en la reducción de la presión de deterioro que ejerce el sector de la construcción sobre las áreas de alto valor ecológico de la Estructura Ecológica Principal –EEP- que concentra gran parte de la biodiversidad de Bogotá, así mismo han contribuido a disminuir la degradación del paisaje urbano y espacio público, en relación a  la  afectación al paisaje por el cambio visual tan agreste que se sufre al disponer escombros sin las medidas de mitigación apropiadas.</t>
  </si>
  <si>
    <t>Actas de visitas - Aplicativo web de la SDA para la evaluación control y seguimiento  sobre la disposición adecuada de RCD en Bogotá.</t>
  </si>
  <si>
    <t>Aprovechar el 25% de los residuos de construcción y demolición que controla la SDA</t>
  </si>
  <si>
    <t>Aprovechamiento de Residuos de Construcción y demolición</t>
  </si>
  <si>
    <t>31,REALIZAR EL SEGUIMIENTO A LOS INFORMES PRESENTADOS POR ECOCAPITAL S.A ESP. EN EL MARCO DEL CUMPLIMIENTO A LA RESOLUCIÓN 1164 DEL 2002 A TRAVÉS DE LA ENTIDAD RESPONSABLE DEL CONTRATO DE CONCESIÓN.</t>
  </si>
  <si>
    <t xml:space="preserve">Es necesario aclarar que  la dinámica de ejecución de la meta  inicia cada año desde 0% y debe llegar al 25%, si bien la meta es de tipología creciente se imposibilita reportar el avance real de la vigencia 2018, según las instrucciones ya concertadas para el reporte común de este tipo de metas.
Por lo anterior teniendo en cuenta la tipología creciente de la meta, el valor  que se presenta es de 30,34% de aprovechamiento de los Residuos de Construcción y Demolición - RCD,  considerando que fue el valor alcanzado en el año 2017. 
En relación a la vigencia 2018 , en el periodo comprendido entre enero y Junio   la SDA  controló la aplicación de  técnicas de aprovechamiento y tratamiento de RCD a un  total 1.273.909 Ton. de RCD como resultado de las actividades realizadas por los profesionales dela SDA, en las cuales  verificaron el cumplimiento al 338 planes de gestión de RCD -PDGRCD,  los reportes generados por el seguimiento realizado a las obras y al aplicativo Web de la Entidad.
En este sentido considerando que  la meta establecida para el 2018,  equivale a un 25% acorde con la norma, corresponde a 2.312.361 toneladas de RCD con aplicación de  técnicas de aprovechamiento y tratamiento  en las obras , a septiembre se reporta un avance del 13,77% de aprovechamiento de RCD.
En síntesis en lo corrido del cuatrienio a marzo de 2018,  la SDA ha realizado actividades de evaluación control y seguimiento que permitieron evidenciar el aprovechamiento de  6.862.321 toneladas de Residuos de Construcción y demolición -RCD en el Distrito Capital.
</t>
  </si>
  <si>
    <t xml:space="preserve">Durante este periódo se realizó el seguimiento a los informes presentados por el gestor externo ECOCAPITAL S.A ESP. en el marco del cumplimiento a la resolución 1164 del 2002 a través de la entidad responsable del contrato de concesión, en relación a los residuos hospitalarios de tipo infeccioso recolectados, tratados y dispuestos  en los cuales se reportan 4.374 toneladas de RHYS  (Biosanitarios, Cortopunzantes, Anatomopatológicos y Animales), los informes correspondientes al tercer trimestre se encuentran en proceso de revisión y verificar para generar el respectivo reporte.
</t>
  </si>
  <si>
    <t xml:space="preserve">Controlar que los RCD sean  reutilizados o aprovechados en obra aporta en:
Integrar en la gestión de RCD a los actores de la cadena de producción, los gestores ambientales y las entidades públicas y privadas, para lograr la minimización de los residuos, su correcta separación y gestión en la ciudad.
Regular e Incentivar el procesamiento y transformación de los RCD, para el desarrollo de nuevos productos y materiales (valorizar) que se integren nuevamente en los ciclos productivos y económicos de la construcción.
</t>
  </si>
  <si>
    <t xml:space="preserve">Actas de seguimiento ambiental en obras y/u otros informes de sitios de disposición final y/o certificados de aprovechamiento autorizados, reportes de los generadores, bases de datos -  Aplicativo web de la SDA para la evaluación control y seguimiento  a la disposición adecuada de RCD en Bogotá.
</t>
  </si>
  <si>
    <t xml:space="preserve">Disponer adecuadamente 15.000 toneladas de residuos peligrosos y especiales (posconsumo, de recolección selectiva, voluntarios, aceites vegetales usados, etc.) </t>
  </si>
  <si>
    <t xml:space="preserve">Promover la disposición adecuada de 1500 toneladas de residuos peligrosos y especiales </t>
  </si>
  <si>
    <t>32,PROYECTAR INFORMES TÉCNICOS Y/O CONCEPTOS TÉCNICOS Y/O OFICIOS DE REQUERIMIENTO</t>
  </si>
  <si>
    <t>Diseñar  e implementar 100% Una estrategia de control de residuos peligrosos generados  en establecimientos de salud humana y afines en la Ciudad de Bogotá</t>
  </si>
  <si>
    <t>33,REALIZAR SEGUIMIENTO A LA ELABORACIÓN DEL DIAGNÓSTICO Y FACTIBILIDAD DEL USO DE INNOVACIONES TECNOLÓGICAS COMO INSTRUMENTOS DE CONTROL DE RESPEL GENERADOS  EN ESTABLECIMIENTOS DE SALUD HUMANA Y AFINES</t>
  </si>
  <si>
    <t>Los tiempos de entrega de información y generación de certificados emitidos  por los gestores varían de acuerdo a su tratamiento o proceso de disposición final  entre 3 a 6 meses, de acuerdo a lo anterior no contamos con la información completa del año 2018 esta información se complementará en el reporte del último trimestre del año; sin embargo, como se puede evidenciar en el tercer trimestre hubo un incremeto considerable de las cantidades reportadas por los diferentes programas posconsumo.</t>
  </si>
  <si>
    <t>Los ajustes finales de las cantidades se irán calculando progresivamente trimestralmente en concordancia con la periodicidad del SEGPLAN, con base en las nuevas cantidades que sean entregadas por los programas posconsumo en el momento en que emitan los respectivos certificados de disposición final, para lo cual se hará el seguimiento pertinente y se consolidará la información mes a mes con el fin de  precisar éstas variaciones de las cantidades en el tiempo. Se consolidara la informacion en el momento que se emitan los certificados de disposicion final  entregados por los programas posconsumo.</t>
  </si>
  <si>
    <t>Entre el mes de enero y junio de 2018 se avanzó en el desarrollo y revisión de los productos No. 2 y 3 (Base de datos en formato en Excel y Documento Diagnostico y factibilidad), generados de la consultoría en investigación realizada por ENGINERING  CONSTRUCTION GROUP S.A.S. dentro del contrato No. CTO SDA 20171378. 
Entre los meses de abril a junio de 2018 se realizó la revisión técnica de los productos 3, 4 y 5   en relación al Diagnóstico y factibilidad técnica, normativa, económica y funcional para la SDA con resultados y análisis del uso de innovaciones tecnológicas para fortalecer los instrumentos de control aplicados por la SDA y las  tres (3) estrategias de innovación tecnológica para recopilar, almacenar y procesar la información recolectada en campo y en línea sobre la evaluación, control y seguimiento a residuos peligrosos y vertimientos generados en establecimientos de salud humana y afines los cuales fueron recibidos a satisfacción.  En cuanto al producto 5 Diseño de la propuesta seleccionada por la SDA de innovación tecnológica para fortalecer las herramientas y los instrumentos de control aplicados por la SDA para la evaluación control y seguimiento a los residuos peligrosos y vertimientos,  se encuentra aún en revisión y ajustes por parte de la Consultoría.
a septiembre de 2018 se realizaron  las  3 versiones de producto 5 una versión del producto 6  y se encuentra pendiente de aprobación el informa final que corresponde al producto 7, sin embargo pese a la serie de observaciones técnicas y funcionales presentadas los productos 5 y 7 no han sido aprobados, razon por la cual se decidió iniciar trámite de incumplimiento ante contractual.</t>
  </si>
  <si>
    <t>De acuerdo a la revisión, verificación y consolidación que realiza la SDA con los certificados de disposición emitidos por los gestores de cada uno de los programas posconsumo se pretende reducir los impactos ambientales y sanitarios que se generan por la  inadecuada disposición de los residuos peligrosos y especiales; además mejorar alternativas de reutilización, reciclaje y aprovechamiento dirigidos en extender la vida útil del relleno sanitario en el distrito capital.</t>
  </si>
  <si>
    <t>Constancias y Certificados de aprovechamiento provenientes de los gestores de los programas posconsumo y gestores.</t>
  </si>
  <si>
    <t>34,FORMULAR Y DESARROLLAR  UNA INVESTIGACIÓN BASE PARA FORTALECER ACCIONES DE EVALUACIÓN CONTROL Y SEGUIMIENTO A LA GESTIÓN EXTERNA  DE RESPEL GENERADOS  EN ESTABLECIMIENTOS DE SALUD HUMANA Y AFINES.</t>
  </si>
  <si>
    <t>Controlar y realizar seguimiento a 32.000 toneladas de residuos peligrosos en establecimientos de salud humana y afines</t>
  </si>
  <si>
    <t>Número de toneladas de residuos peligrosos en establecimientos de salud humana y afines controlados y con seguimiento</t>
  </si>
  <si>
    <t>Teniendo en cuenta que en el transcurso de esta vigencia, como parte del cumplimiento de lo establecido en la meta en mención, se avanza en el desarrollo del contrato SDA – CM- 20171378 suscrito el 22 de diciembre de 2017 por un plazo de cuatro (4) ?y con el objeto de “Realizar el diagnóstico y factibilidad del uso de innovaciones tecnológicas, como estrategia de control que permita fortalecer los instrumentos aplicados por la SDA, para establecer alertas y priorizar las acciones de evaluación, control y seguimiento a los residuos peligrosos y vertimientos generados en establecimientos de salud humana y afines en la ciudad de Bogotá”,  del cual los productos obtenidos serán insumos para dar continuidad a la fase 3 establecida para el desarrollo de la estrategia de Control planteada en esta meta, por lo anterior  a Junio de 2018 no se han realizado avances al respecto, ya que los productos de la anteriormente consultoria citada se requieren para el avance de esta actividad.</t>
  </si>
  <si>
    <t>Realizar evaluación control y seguimiento al 100% en la implementación del Plan Institucional de Gestión Ambiental – PIGA</t>
  </si>
  <si>
    <t>A través de  las diferentes acciones que realiza el Grupo de Residuos  Hospitalarios se busca minimizar los impactos de este tipo de residuos peligrosos en la ciudad, sobre el ambiente y la salud de los ciudadano, mediante los diferentes seguimientos y controles efectuados a los generadores de manera integral para los diferentes establecimientos, con el fin de evitar la incorrecta disposición de los residuos peligrosos.
Lo anterior basado en la normatividad ambiental vigente, este grupo enfoca las acciones de seguimiento y control a la gestión externa de los residuos peligrosos (sólidos y líquidos) y de tipo infeccioso, químico y de origen administrativo generados por los establecimientos prestadores de en la atención en salud y otras actividades. Es importante mencionar que en febrero de 2014 se produce un cambio en la normatividad y entra en vigencia el Decreto 351 de 2014 “Por el cual se reglamenta la gestión integral de los residuos generados en la atención en salud y otras actividades”</t>
  </si>
  <si>
    <t>35,REALIZAR VISITAS DE EVALUACIÓN, CONTROL Y SEGUIMIENTO A LA IMPLEMENTACIÓN DEL PIGA DE LAS ENTIDADES DISTRITALES</t>
  </si>
  <si>
    <t xml:space="preserve">Incorporar criterios de sostenibilidad en 800 proyectos  en la etapa de diseño u operación </t>
  </si>
  <si>
    <t>Número de proyectos en etapa de diseño u operación con criterios de sostenibilidad</t>
  </si>
  <si>
    <t>Para el periodo comprendido entre enero y septiembre del año 2018 se realizaron 68  visitas a entidades Públicas ubicadas en el D.C, con el fin de realizar la evaluación, control y seguimiento al cumplimiento normativo ambiental con énfasis en la implementación del PIGA, acorde con lo definido por la la Resolución 242 de 2014 “Por la cual se adoptan los lineamientos para la formulación, concertación, implementación, evaluación, control y seguimiento del Plan Institucional de Gestión Ambiental –PIGA”
Visitas de evaluación, control y seguimiento al PIGA
En el mes de enero de 2018 no se realizaron visitas considerando que los esfuerzos se direccionaron a la revisión de requerimientos y la inducción de los profesionales del equipo, en su mayoría vinculado en la última semana de enero.
Febrero: 4  entidades 
Marzo: 6 entidades
Abril: 14 entidades
Mayo: 12 entidades
Junio: 7 entidades
Julio: 7 entidades
Agosto: 8 entidades
Septiembre:10 entidades
Con la realización de estas visitas a 68 entidades se alcanzo un cumplimiento de la meta del  88,31% con corte al mes de septiembre.
De igual forma a septiembre de 2018 desde la SCASP se realizaron visitas de control al cumplimiento normativo a las siguientes sedes de  entidades Públicas ubicadas en el D.C 
Febrero: 12 sedes
Marzo: 50 sedes (se visitaron 20 sedes del IPES la visita de PIGA de esta entidad se realizó en el mes de abril, se visito ademas un parque distrital por lo tanto, las 50 visitas a sedes corresponden a 8 entidades)
Abril: 70 sedes (se visitaron  17 sedes del IDARTES y 18 sedes de UAECOB, la visita de PIGA de estas entidades se realizó en el mes de mayo por lo tanto, las 70 visitas a sedes corresponden a 15 entidades)
Mayo: 24 sedes
Junio: 19 sedes
Julio: 17 sedes
Agosto: 33 sedes
Septiembre: 41 sedes
Para un total con corte a septiembre 24 de 268 sedes
Así mismo, se remitieron a las entidades distritales objeto de Evaluación, Control y Seguimiento  al PIGA, los siguientes requerimientos:
Visitas 2017: 90 
Febrero: 31
Marzo: 11
Abril:3</t>
  </si>
  <si>
    <t xml:space="preserve">El acumulado ejecutado para el cuatrienio corresponde a 474 proyectos, de los cuales en los tres primeros trimestres de 2018 se avanzó en 163 proyectos, con el desarrollo de las siguientes acciones: Durante el tercer trimestre se incorporó criterios de sostenibilidad ambiental a sesenta y cuatro (64) proyectos de diferentes escalas, tanto en espacio público como en privado, promoviendo la construcción sostenible y el ecourbanismo en la ciudad. Los proyectos a los cuales se les incorporo criterios de sostenibilidad corresponden a: dos (2) Planes Parciales de Desarrollo, cuatro (4) Planes Parciales de Renovación Urbana, cinco (5) Planes de Implantación, cinco (5) proyecto de compatibilidad de usos de vivienda en suelo restringido, cuarenta y seis (46) proyectos de diseño paisajístico de parques y zonas verdes, un (1) proyectos de Alianza Publico Privada - APP, un (1) proyecto Pre-reconocido por el programa Bogotá Construcción Sostenible.
</t>
  </si>
  <si>
    <t>Incorporando criterios de sostenibilidad ambiental mediante la emisión de lineamientos y determinantes ambientales en proyectos urbanos y arquitectónicos de diferentes escalas, así como a instrumentos de planeamiento urbano, promueve la construcción sostenible y el ecourbanismo en la ciudad, mediante la armonización de los proyectos urbanos y el modelo de ocupación del territorio con la Estructura ecológica Principal, garantizando mejores espacios para la habitabilidad urbana y mayor equidad e igualdad en la población capitalina</t>
  </si>
  <si>
    <t>Linea 7. Seguimiento a la reducción de emisiones de GEI – Cambio Climático</t>
  </si>
  <si>
    <t>Desarrollar 1 proyecto de sistema urbano de drenaje sostenible para manejo de aguas y escorrentías</t>
  </si>
  <si>
    <t>Un proyecto de sistema urbano de drenaje sostenible para manejo de aguas y escorrentías desarrollado</t>
  </si>
  <si>
    <t>0.2</t>
  </si>
  <si>
    <t>Realizar el seguimiento a la reducción de 800.000 toneladas de Gases Efecto Invernadero-GEI en el Distrito Capital</t>
  </si>
  <si>
    <t xml:space="preserve">36,REALIZAR EL SEGUIMIENTO A LOS PROYECTOS DISTRITALES ORIENTADOS A LA REDUCCIÓN DE EMISIONES DE GASES EFECTO INVERNADERO-GEI ARTICULADOS AL PLAN DE GESTIÓN DEL CAMBIO CLIMÁTICO, </t>
  </si>
  <si>
    <t xml:space="preserve">Diligenciamiento de la ficha de seguimiento de reducción de emisiones de GEI para los proyectos 
1.“Extracción, tratamiento y aprovechamiento del Biogás proveniente del Relleno Sanitario Doña Juana-RSDJ” 
2.“Operación Planta de Tratamiento de Aguas Residuales PTAR Salitre”
3."Ruta selectiva de residuos orgánicos en las Plazas de Mercado Distritales"
Es importante tener en cuenta que el Plan de acción encaminado a la reducción de GEI está conformado por 15 proyectos de mitigación de GEI identificados en el Plan Distrital de Desarrollo Distrital los cuales deben ser objeto de seguimiento. Sin embargo, se precisa que solo 3 proyectos se encuentran en ejecución y 1 inicia en el último trimestre de 2018 por lo que solo estos proyectos están sujetos a seguimiento durante 2018.
Además de acuerdo con lo establecido por los profesionales del grupo de Cambio Climático de la Dirección de Control Ambiental, 4 proyectos requieren ser reformulados para dar inicio a su seguimiento durante el 2018.
</t>
  </si>
  <si>
    <t>126PG01-PR02-F-2-V10.0</t>
  </si>
  <si>
    <t>37,ELABORAR Y PRESENTAR INFORMES CORRESPONDIENTES AL ESTADO DE AVANCE DE PROYECTOS DISTRITALES ORIENTADOS A LA REDUCCIÓN DE EMISIONES DE GEI ARTICULADOS AL PLAN DE GESTIÓN DEL CAMBIO CLIMÁTICO.</t>
  </si>
  <si>
    <t>38,PUBLICAR EL INVENTARIO DE GASES EFECTO INVERNADERO AÑO 2012 DE ACUERDO CON LA INFORMACIÓN PREVIAMENTE RECOPILADA, REALIZANDO LA VALIDACIÓN CORRESPONDIENTE.</t>
  </si>
  <si>
    <t>El documento ya fue validado tecnicamente, en el presente mes de septiembre, se esta realizando la gestion del proceso de publicacion en la pagina web de la Secretaria Distrital de Ambiente</t>
  </si>
  <si>
    <t>TOTAL PONDERACIÓN</t>
  </si>
  <si>
    <t xml:space="preserve">Durante la vigencia 2018 se ha promovido un total de 3.711 m2, de los cuales corresponden al tercer trimestre 1200m2 en total de los cuales se relacionan: 336 m2 de jardín vertical y 864 m2 de techo verde, en proyectos existentes en espacio público y privado de las localidades de Chapinero (490 m2), Barrios Unidos (16 m2), Engativá (65 m2), Kennedy (86 m2), Mártires (498), Santa Fé (3), Teusaquillo (7 m2), Tunjuelito (5) y Usaquén (30 m2) de la Ciudad de Bogotá. </t>
  </si>
  <si>
    <t>Línea 2. Gestión Ambiental Empresarial</t>
  </si>
  <si>
    <t>LOGRAR UN ÍNDICE DE DESEMPEÑO AMBIENTAL EMPRESARIAL –IDAE ENTRE MUY BUENO Y SUPERIOR EN 500 EMPRESAS.</t>
  </si>
  <si>
    <r>
      <t xml:space="preserve">El acumulado ejecutado para el cuatrienio corresponde a 216 empresas.                                                    
Durante el tercer trimestre se realizó la evaluación de 45 empresas participantes de la Estrategia Acercar del Programa Gestión Ambiental Empresarial durante el segundo Ciclo del año 2017 y algunas otras postuladas al Programa de Excelencia Ambiental Distrital PREAD, de las cuales </t>
    </r>
    <r>
      <rPr>
        <b/>
        <sz val="11"/>
        <rFont val="Calibri"/>
        <family val="2"/>
      </rPr>
      <t>24</t>
    </r>
    <r>
      <rPr>
        <sz val="11"/>
        <color rgb="FF000000"/>
        <rFont val="Calibri"/>
        <family val="2"/>
      </rPr>
      <t xml:space="preserve"> lograron una clasificación entre Muy Bueno y Excelente (Valor que se reporta).
Adicionalmente se inició la recolección de la información de 270 empresas participantes de la Estrategia Acercar durante el primer Ciclo del año 2018, las cuales serán medidas con el Índice durante el cuarto trimestre de 2018, de acuerdo a lo contemplado en el plan de trabajo; y se continuará con la validación de los indicadores de consumo de agua, energía y de generación de residuos peligrosos de este grupo de empresas.
Finalmente, se realizaron algunos ajustes a la construcción y desarrollo de la herramienta electónica para la captura y consolidación de información, la cual ya se encuentra habilitada a través del aplicativo FOREST y todas las empresas pueden acceder desde la ventanilla virtual en internet de trámites y servicios el linea.</t>
    </r>
  </si>
  <si>
    <t xml:space="preserve">A través del IDAE, se podrá visualizar el mejoramiento ambiental de las organizaciones a partir de estrategias de prevención, que permitan minimizar el impacto ambiental generado en la ciudad. </t>
  </si>
  <si>
    <t>ACTUALIZAR LA POLÍTICA DISTRITAL DE PRODUCCIÓN Y CONSUMO SOSTENIBLE Y  PONERLA EN MARCHA</t>
  </si>
  <si>
    <t xml:space="preserve">En el tercer  trimestre de 2018, se continuo con la estructuración de la política distrital de producción y consumo sostenible, a partir de los lineamientos establecidos en el decreto 668/2017 y la resolución 2045/2017. En este sentido, se ha coordinaron diferentes actividades y talleres de participación ciudadana, y se ajustó la información de la propuesta para la “Formulación de la Política Pública Distrital de Producción y Consumo Sostenible – PDPCS”, conforme a lo solicitado por la Secretaría Distrital de Planeación.   Respecto a la puesta en marcha, se avanzó en la implementación de los Proyectos de Responsabilidad Empresarial y Sostenibilidad -Pro-Redes-, como estrategias que le aportan al fomento de la promoción de la producción más limpia, la asociación empresarial y al consumo sostenible, en este sentido, se desarrollaron talleres técnicos con 180 establecimientos, y un conversatorio sobre cómo incorporar la cultura de la innovación en las empresas, en donde participaron como panelistas, la academia, los gremios y otras entidades. </t>
  </si>
  <si>
    <t>La implementación de la Política permitirá realizar acciones que disminuyan la presión sobre el territorio natural, asociado a patrones insostenibles de producción y consumo.</t>
  </si>
  <si>
    <t>Comunicados internos, actas de reunión y documento de estructura de polítca.</t>
  </si>
  <si>
    <t>FORMATO DE  ACTUALIZACIÓN Y SEGUIMIENTO A LA TERRITORIALIZACIÓN DE LA INVERSIÓN</t>
  </si>
  <si>
    <t>PROYECTO:</t>
  </si>
  <si>
    <t>Apoyar 100 Porciento la formulación y seguimiento del proyecto Parque Industrial Ecoeficiente de San Benito-PIESB.</t>
  </si>
  <si>
    <t>PERIODO:</t>
  </si>
  <si>
    <t>AÑO 2017</t>
  </si>
  <si>
    <t>1 COD. META</t>
  </si>
  <si>
    <t>2 Meta Proyecto</t>
  </si>
  <si>
    <t>3 Nombre -Punto de inversión (Localidad Especial Distrital)</t>
  </si>
  <si>
    <t>4 Variable</t>
  </si>
  <si>
    <t>5 Programación-Actualización</t>
  </si>
  <si>
    <t>6 ACTUALIZACIÓN</t>
  </si>
  <si>
    <t xml:space="preserve">Se han realizado 7 mesas de trabajo conjuntamente con entidades como el Ministerio de Comercio, la Secretaría de Desarrollo Económico y el Cluster del Cuero. Como resultado de estas gestiones se obtuvo acompañamiento de un experto de la Agencia de Cooperación Japonesa -JICA, para brindar asistencia técnica a dos curtiembres en control de procesos.
Adicionalmente en julio mediante oficio 2018EE164161, se ratifico a Asociación Parque Industrial Ecoeficiente San Benito -ASOPIESB, la solicitud de un informe de avance, el cual fue remitido en agosto mediante oficio 2018ER203505,  en el cual se informa que se está definiendo el análisis de alternativas para la Planta de Tratamiento de Aguas Residuales  -PTAR, que es la prioridad para la conformación del parque ecoeficiente. Sobre esta PTAR, la SDA remitió los diferentes conceptos que ha dado la institución y la empresa de acueducto para que sean tenidos en cuenta en el análisis de viabilidad legal de la alternativa.
Continuando con las labores de formación se realizó una capacitación y 4 practicas de laboratorio para las curtiembres, con el apoyo del SENA, sobre tratamiento de aguas, esto apoyando a las empresas para que cumplan con los compromisos establecidos con la magistrada respecto al tratamiento fisicoquímico de sus aguas.
En materia de apoyo para disminuir los costos por disposición final de los lodos de las curtiembres, la SDA realizo 9 visitas y desarrollo una técnica para deshidratación de lodos con el uso de polímeros, la cual fue tomada como buena practica de un grupo de tres curtiembres.
En materia de investigación se inicio proyecto para recuperación del cromo de las aguas residuales de curtiembres con el SENA y se realizaron las visitas y muestreos iniciales durante el mes de septiembre.
Adicionalmente se realizaron 6 mesas de trabajo con la Universidad de la Salle para avanzar en la actualización de la guía producción más limpia de las curtiembres.
</t>
  </si>
  <si>
    <t>7 SEGUIMIENTO META</t>
  </si>
  <si>
    <t>8 LOCALIZACIÓN GEOGRÁFICA</t>
  </si>
  <si>
    <t>El retraso presentado en el cumplimiento de la meta se da debido a   que a la fecha se esperaba que la planta de tratamiento colectiva, estuviese construida, por lo que las actividades de 2018 contempladas en la formulación del proyecto, de inversión, implicaban el seguimiento a la operación y puesta en marcha del PIESB, actividad a cargo de las curtiembres y que a la fecha no se ha cumplido (Ver autos de la magistrada).
De acuerdo a la audiencia realizada en el año 2016, los curtidores tenian plazo hasta el 18 de octubre de 2017, para construir la planta de tratamiento conjunta. Dado que esta acción no se cumplio, PIESB S.A.S., en nombre de las curtiembres, solicitó audiencia a la magistrada y les fue otorgado un nuevo plazo hasta  el 6 de febrero de 2020, por lo tanto a la SDA  le compete continuar prestando apoyo según las necesidades del sector curtidor y  las labores propias de seguimiento a la operación y puesta en marcha solo podran realizarce una vez las curtiembres construyan la planta colectiva en 2020.
Por este motivo dado que actualmente no se pueden hacer labores de seguimiento se presenta un incumpliento en la meta formulada, atribuible a los retrasos de las curtiembres en la construcción de la planta colectiva, la cual apenas esta en fase de análisis de alternativas, no obstante la magistrada aprobó a los curtidores un mayor tiempo para esta acción.</t>
  </si>
  <si>
    <t xml:space="preserve">Continuar realizando las mesas de curtiembres programadas con el fin de hacer seguimiento al cumplimiento de los compromisos asignados por la magistrada. </t>
  </si>
  <si>
    <t xml:space="preserve">Dentro de los beneficios vinculados al proyecto se encuentra el apoyo al cumplimiento de la orden 4,63 en el marco de la Sentencia Río Bogotá y al Incidente No. 22 proferido el 11 de diciembre del 2017 de acuerdo a los compromisos adoptados por las curtiembres.  A su vez, se resalta  la contribución para la descontaminación del Río Bogotá, considerando que el sector curtidor ubicado en San Benito, es una de las principales fuentes de contaminación y se ve influenciado por las altas cargas contaminantes vertidas  por las curtiembres sobre el Río Tunjuelo. </t>
  </si>
  <si>
    <t>9  POBLACIÓN</t>
  </si>
  <si>
    <t>61 Actualización Marzo</t>
  </si>
  <si>
    <t>62 Actualización Junio</t>
  </si>
  <si>
    <t>63 Actualización Septiembre</t>
  </si>
  <si>
    <t>64 Actualización Diciembre</t>
  </si>
  <si>
    <t>71 Seguimiento Marzo</t>
  </si>
  <si>
    <t>72 Seguimiento Junio</t>
  </si>
  <si>
    <t>73 Seguimiento Septiembre</t>
  </si>
  <si>
    <t>74 Seguimiento Diciembre</t>
  </si>
  <si>
    <t>81 LOCALIDADES</t>
  </si>
  <si>
    <t>82 UPZ</t>
  </si>
  <si>
    <t>83 BARRIO</t>
  </si>
  <si>
    <t>84 PUNTO LÍNEA O POLÍGONO</t>
  </si>
  <si>
    <t>85 ÁREA DE INFLUENCIA</t>
  </si>
  <si>
    <t>91 NUMERO DE HOMBRES</t>
  </si>
  <si>
    <t>92 NUMERO DE MUJERES</t>
  </si>
  <si>
    <t xml:space="preserve">NUMERO INTERSEXUAL </t>
  </si>
  <si>
    <t>93 GRUPO ETARIO</t>
  </si>
  <si>
    <t>94 CONDICION POBLACIONAL</t>
  </si>
  <si>
    <t>95 GRUPOS ETNICOS</t>
  </si>
  <si>
    <t>96 TOTAL POBLACIÓN
PERSONAS/CANTIDAD</t>
  </si>
  <si>
    <t>CÓDIGO</t>
  </si>
  <si>
    <t>LOCALIZACION</t>
  </si>
  <si>
    <t>GRUPO ETAREO</t>
  </si>
  <si>
    <t>CONDICION POBLACIONAL</t>
  </si>
  <si>
    <t>GRUPOS ETNICOS</t>
  </si>
  <si>
    <t xml:space="preserve">
Descripción: ESPACIO PUBLICO Y PRIVADO EN AREAS DE USO RESIDENCIAL, PARQUES, ZONAS VERDES Y TRAMOS DE PROYECTOS VIALES PARA LA DEFINICION DE CRITERIOS AMBIENTALES. -  PROYECTOS URBANOS Y ARQUITECTONICOS EN BOGOTÁ D.C.</t>
  </si>
  <si>
    <t>Magnitud Vigencia</t>
  </si>
  <si>
    <t>DISTRITAL</t>
  </si>
  <si>
    <t>Varias 
(Remitirse a Generación de Shape)</t>
  </si>
  <si>
    <t>Varios
(Remitirse a Generación de Shape)</t>
  </si>
  <si>
    <t>Punto 
(Remitirse a Generación de Shape)</t>
  </si>
  <si>
    <t>DISTRITO CAPITAL</t>
  </si>
  <si>
    <t>SIN DEFINIR</t>
  </si>
  <si>
    <t>GRUPO ETARIO SIN DEFINIR</t>
  </si>
  <si>
    <t>TODOS LOS GRUPOS</t>
  </si>
  <si>
    <t>NO IDENTIFICA GRUPOS ETNICOS</t>
  </si>
  <si>
    <t>Barrios Unidos</t>
  </si>
  <si>
    <t>Niños y niñas de primera infancia</t>
  </si>
  <si>
    <t>Recursos Vigencia</t>
  </si>
  <si>
    <t xml:space="preserve">Línea 3. Gestión integral de los residuos peligrosos y especiales generados en la ciudad. </t>
  </si>
  <si>
    <t>Promover la disposición adecuada de 15000 toneladas de residuos peligrosos y especiales</t>
  </si>
  <si>
    <t>Teusaquillo</t>
  </si>
  <si>
    <t>Niños niñas y adolescentes desescolarizados</t>
  </si>
  <si>
    <t>Magnitud Reservas</t>
  </si>
  <si>
    <t>El acumulado ejecutado para el cuatrienio se han dispuesto adecuadamente 6086,66 toneladas, de los cuales 1028 toneladas se dipusieron en el año 2016, 2427.56 toneladas en el 2017 y hasta el tercer trimestre de 2018, se han dispuesto 2630,9 toneladas; estas cantidades fueron reportadas por los programas posconsumo de residuos de aparatos eléctricos y electrónicos, reportes de aceite vegetal usado, pilas y acumuladores, baterías plomo ácido, luminarias, medicamentos y tóner. En total, durante la vigencia 2018 se ha promovido la disposición adecuada de 2630,9 tons.
Se realizó la verificación y consolidación de las cantidades de residuos gestionados por cada uno de los programas posconsumo y gestores de residuos especiales (Aceite Vegetal Usado-AVU) respectivamente, estas cantidades cuentan con su correspondiente certificado de disposición siendo así el soporte de cantidades gestionadas en la ciudad. Los residuos fueron recolectados por medio de campañas de recolección, promoción y difusión tanto en el sector residencial (Ecolecta y Puntos fijos) y empresarial, campañas que se hacen con cada uno de los programas posconsumo.
Se estableció para uso de la ciudadanía la plataforma para el reporte de cantidades de AVU gestionadas adecuadamente, teniendo en cuenta los informes trimestrales entregados por medio del aplicativo de la entidad lo cual facilita la obtención y análisis de las cantidades generadas de AVU en la ciudad, igualmente se continúa con las actividades de divulgación y capacitación del acuerdo Distrital 634 de 2015.
La cantidad reportada de residuos peligrosos y especiales para el tercer trimestre del año 2018 es de 1603.10 toneladas, discriminados de la siguiente manera:
AVU: 398.67 Ton equivalente al 24.87%,
Medicamentos: 20.15 Ton equivalente a 1.26%,
Pilas: 21.57 Ton equivalente a 1.35%,
Luminarias: 100.32 Ton equivalente a 6.26%,
Baterías plomo ácido: 282.51 Ton equivalente a 17.62%,
Tóner: 12.33 Ton equivalente a 0.77%, 
Electrodomésticos línea blanca: 24.21 Ton equivalentes a 1.51%,
RAEE: 743.34 Ton equivalente a 46.37%.</t>
  </si>
  <si>
    <t>Los Martires</t>
  </si>
  <si>
    <t>Los tiempos de entrega de información y generación de certificados emitidos  por los gestores varían de acuerdo a su tratamiento o proceso de disposición final  entre 3 a 6 meses, de acuerdo a lo anterior se reporta un retraso en la consolidacion de la informacion ya que no contamos con la información completa del año 2018 esta información se complementará en el reporte del cuarto trimestre del año; como se puede evidenciar el aumento en las cantidades gestionadas en cada uno de los reportes trimestrales los cuales son reportadas por los diferentes programas posconsumo.</t>
  </si>
  <si>
    <t>Niños niñas y adolescentes en riesgo social vinculacion temprana al trabajo o acompañamiento</t>
  </si>
  <si>
    <t>Reservas Presupuestales</t>
  </si>
  <si>
    <t>BARRIOS UNIDOS</t>
  </si>
  <si>
    <t>BOSA</t>
  </si>
  <si>
    <t>CHAPINERO</t>
  </si>
  <si>
    <t xml:space="preserve">Impulsar el aprovechamiento de llantas usadas en el distrito capital apoyando el  desarrollo de programas posconsumo,  divulgación y educación dirigidos a la comunidad y  campañas de información, con el fin de orientar a los consumidores sobre la obligación de depositar las llantas usadas según los Sistemas de Recolección Selectiva y Gestión Ambiental.
Es importante destacar el apoyo y la comunicación que se realiza con los  programas posconsumo y  la  SDA  para el cumplimiento de metas, por medio de campañas de promoción y divulgación que aportan a la gestión adecuadas de llantas usadas en entidades y  en la ciudadanía.
</t>
  </si>
  <si>
    <t>CANDELARIA</t>
  </si>
  <si>
    <t xml:space="preserve">CANDELARIA </t>
  </si>
  <si>
    <t>SANTA FÉ</t>
  </si>
  <si>
    <t xml:space="preserve">SANTA FÉ </t>
  </si>
  <si>
    <t>USME</t>
  </si>
  <si>
    <t xml:space="preserve">Las estrategias que  desarrollará la SDA permitirán efectuar el control y seguimiento del registro de los establecimientos, generadores y gestores de llantas usadas ubicados en su jurisdicción, verificando el cumplimiento de la normatividad  ambiental de los mismos y realizando actualizaciones periódicas del mencionado registro, de igual forma realizará el  seguimiento y control a las instalaciones que realicen almacenamiento de llantas usadas o material derivado de actividades de tratamiento o aprovechamiento de llantas en Bogotá D.C, con el objeto de prevenir factores de contaminación ambiental derivados de tal actividad.
</t>
  </si>
  <si>
    <t xml:space="preserve">Actas de visitas - Aplicativo web de la SDA para el control y seguimiento  de los establecimientos de acopio de llantas usadas  </t>
  </si>
  <si>
    <t>PUENTE ARANDA</t>
  </si>
  <si>
    <t>PUNETE ARANDA</t>
  </si>
  <si>
    <t>CIUDAD BOLIVAR</t>
  </si>
  <si>
    <t>ENGATIVA</t>
  </si>
  <si>
    <t>FONTIBON</t>
  </si>
  <si>
    <t>FONTIBÓN</t>
  </si>
  <si>
    <t>Para dar continuidad a  la Fase 3. Diseño, desarrollo e implementación del instrumento de control, a septiembre de 2018 la SCASP avanzó en la realización de los trámites precontractuales, asi mismo se realizaron los ajustes solictados por el área contractual en el anexo técnico  para avanzar aduirir el Diseño, desarrollo e implementación de la Arquitectura de Interoperabilidad para los Sistemas de Información, Gobierno y Gestión de Datos en el marco de la Arquitectura Empresarial, así como, desarrollo y puesta en operación del caso de negocio que genere un instrumento de control y seguimiento para el aprovechamiento de llantas usadas en el D.C. lo anterior con el objeto de establecer la arquitectura de interoperabilidad que le permitira a la herramienta en principio  recibir, unificar y contener los datos base; posteriormente  procesar y analizar la  información y finalmente  poder generar los respectivos reportes, informes  o alertas.
Así mismo como parte del desarrollo delinstrumento de control y seguimiento por medio de innovación tecnológica para el acopio, transporte, tratamiento y aprovechamiento de llantas usadas en la ciudad.e celebro el CONTRATO DE PRESTACION DE SERVICIOS No. SDA–SECOP II-CD–20181243
con el objeto de PRESTAR LOS SERVICIOS DE SOPORTE TÉCNICO, MANTENIMIENTO Y ACTUALIZACIÓN DEL SISTEMA DE INFORMACIÓN PARA EL RECAUDO DE VISITAS TÉCNICAS ONTRACK  para su utilización en las visitas técnicas en campo, los cuales a su vez  se emplearan como colectores de información base para fortalecer el recaudo de información, la carga y procesamiento y reportes de datos requeridos en la herramienta de control lo cual permitirá el análisis, generación de informes para la toma de decisiones en relación a establecer alertas y priorizar las acciones de evaluación Control y Seguimiento al acopio de llantas usadas y al aprovechamiento de grano de caucho en el D.C.</t>
  </si>
  <si>
    <t>Se presenta un retraso dado que el cronograma plateado para  la contratación para adquirir la arquitectura de interoperabilidad  para el sistema de información  y caso de negocio que genere un instrumento de control y seguimiento para la gestión integral de llantas usadas  en Bogotá, se ha tomado más tiempo que el proyectado, considerando que los ajustes solicitados por las diferentes áreas de la SDA como filtor para la publicación de pliegos de condiciones.</t>
  </si>
  <si>
    <t>Se realizaran mesas de trabajo conjunto para disminuir los tiempos  resolviendo  inquietudes y realizando  ajustes según corresponda en paralelo.</t>
  </si>
  <si>
    <t>El desarrollo e implementación de un instrumento de control y seguimiento por medio de innovación tecnológica para el acopio, transporte, tratamiento y aprovechamiento de llantas usadas en la ciudad, permitirá  determinar  la posibilidad y viabilidad del uso de herramientas tecnológicas (innovación y desarrollo) para realizar  Evaluación, Control y Seguimiento a las actividades de acopio y gestión de  Llantas Usadas,  lo cual redundará en realizar eficientemente el control y seguimiento a los diferentes actores (Acopiadores, transportadores y quienes se dediquen a de realizar el tratamiento y aprovechamiento de llantas usadas) en lo referente a georreferenciación por zonas con mayor cantidad de sitios de acopio, tratamiento o aprovechamiento en la ciudad, puntos recurrentes de arrojo de llantas,  acumulaciones de cantidades de llantas que podrían causar emergencias en la ciudad, identificación de ubicación de gestores (quienes realicen tratamiento o aprovechamiento).</t>
  </si>
  <si>
    <t>Documento soporte de estudio de costos  para realizar el análisis  técnico y económico sobre la viabilidad del uso de productos derivados de las llantas usadas en la ingenieria civil</t>
  </si>
  <si>
    <t>KENNEDY</t>
  </si>
  <si>
    <t>MARTIRES</t>
  </si>
  <si>
    <t>RAFAEL URIBE</t>
  </si>
  <si>
    <t>RAFAEL URIBE URIBE</t>
  </si>
  <si>
    <t>Linea 5. Evaluación, Control y Seguimiento a las actividades de manejo, aprovechamiento,  tratamiento y/o disposición final de los residuos de construcción y demolición en el Distrito Capital</t>
  </si>
  <si>
    <t>SAN CRISTOBAL</t>
  </si>
  <si>
    <t xml:space="preserve">En lo corrido del año 2018 se reporta un total acumulado de 532 visitas de control y seguimiento a  obras de infraestructura en el perímetro urbano del Distrito Capital y la revisión de 762 planes de Gestión de RCD que permitieron controlar la disposición adecuada de 9.170.122 toneladas de RCD en sitios autorizados acorde con lo establecido en la en la Resolución 01115 de 2012, 0932 de 2015 y Resolución 1138 de 2013. </t>
  </si>
  <si>
    <t>SUBA</t>
  </si>
  <si>
    <t>TEUSAQUILLO</t>
  </si>
  <si>
    <t>TUNJUELITO</t>
  </si>
  <si>
    <t xml:space="preserve">Con el fin de minimizar el impacto de los RCD y los residuos sólidos generados por la ciudad sobre el ambiente y la salud de los ciudadanos y dado que los sitios de disposición final de residuos de construcción y demolición en Bogotá D.C. son parte fundamental de la cadena de gestión de residuos de construcción y demolición, son sujetos de seguimiento y control ambiental por parte de la SDA, toda vez que la Resolución 01115 de 2012 en su artículo 6°, obliga a los sitios de disposición final registrarse e iniciar el reporte de información en el aplicativo web.  </t>
  </si>
  <si>
    <t>Informes técnicos  de control  seguimiento a  sitios de disposición final autorizadops en el D.C.</t>
  </si>
  <si>
    <t>USAQUEN</t>
  </si>
  <si>
    <t>DISTRITAL (Por ejecutar)</t>
  </si>
  <si>
    <t>480 y 481 (Dividir presupuesto en partes iguales)</t>
  </si>
  <si>
    <t>Total Locailzaciones Meta</t>
  </si>
  <si>
    <t>Los Proyectos Especiales de Infraestructura se encuentran divididos en dos categorías: en la primera, los relacionados con proyectos de infraestructura que, por su magnitud, tiempo de ejecución e impacto en la sociedad y en el ambiente, tienen que ser objeto de actividades de control y seguimiento ambiental constantes. En la segunda de ellas se encuentran los proyectos relacionados con Permisos de Ocupación de Cauce - POC, los cuales corresponden a procesos constructivos que se adelantan en cuerpos de agua adoptados mediante el Decreto 190 de 2004 como componentes de las Estructura Ecológica Principal – EEP y que son considerados territorios de especial manejo ambiental.   
Teniendo en cuenta lo anterior, a 30 de septiembre de 2018 el grupo de Proyectos especiales de infraestructura PEI se encuentra tramitando 63 procesos de proyectos especiales de infraestructura relacionados con POC, de los cuales 25 se encuentran en el grupo jurídico para generación de resolución o inicio de trámite, 23 se encuentran a la espera de información complementaria por parte del solicitante y 9 se encuentran en el grupo técnico para la evaluación o generación de Concepto Tècnico correspondiente.
Es importante tener en cuenta que las 63 solicitudes que se encuentran en trámite corresponden a:
- 40 solicitudes adelantadas por Entidades públicas, tales como IDU, IDIGER y EAB
- 23 solicitudes adelantadas por Entidades públicas
A la fecha de las  solicitudes evaluadas, 31 han sido aprobadas mediante acto administrativo o modificación de Resolución correspondiente; destacando que 22 corresponden a entidades públicas como la EAB y el IDU y las 9 Restantes a Entidades Privadas.</t>
  </si>
  <si>
    <t xml:space="preserve">Realizar evaluación control y seguimiento a los proyectos especiales de infraestructura que se desarrollan  en la Ciudad de Bogotá, contribuye a disminuir la afectación sobre elementos de la Estructura Ecológica Principal  llevando a una posible  alteración de ecosistemas estratégicos </t>
  </si>
  <si>
    <t>Localización: Tunjuelito. PROYECTO DE SISTEMA URBANO DE DRENAJE SOSTENIBLE - SUDS UBICADO EN AREA DE LA UPZ VENECIA, EN LOS LOCALIZACIONES ESPECIFICAS DE LOS BARRIOS: MUZU, ARBORIZADORA BAJA, EL CHIRCAL SUR. 
Descripción: PROYECTO SUDS PARA EL MANEJO SOSTENIBLE DEL AGUA LLUVIA Y MINIMIZAR LOS IMPACTOS DEL ENDURECIMIENTO PRODUCIDO POR LOS DESARROLLOS URBANÍSTICOS.</t>
  </si>
  <si>
    <r>
      <t>Es necesario aclarar que  la dinámica de ejecución de la meta  inicia cada año desde 0% y debe llegar al 25%, si bien la meta es de tipología creciente se imposibilita reportar el avance real de la vigencia 2018, según las instrucciones ya concertadas para el reporte común de este tipo de metas.
Por lo anterior teniendo en cuenta la tipología creciente de la meta, el valor  que se presenta es de 30,34% de aprovechamiento de los Residuos de Construcción y Demolición - RCD,  considerando que fue el valor alcanzado en el año 2017. 
En relación a la vigencia 2018 , en el periodo comprendido entre enero y Septiembre   la SDA  controló la aplicación de  técnicas de aprovechamiento y tratamiento de RCD a un  total 1.273.909 Ton. de RCD como resultado de las actividades realizadas por los profesionales dela SDA, en las cuales  verificaron el cumplimiento al 338 planes de gestión de RCD -PDGRCD,  los reportes generados por el seguimiento realizado a las obras y al aplicativo Web de la Entidad.
En este sentido considerando que  la meta establecida para el 2018,  equivale a un 25% acorde con la norma, corresponde a 2.312.361 toneladas de RCD con aplicación de  técnicas de aprovechamiento y tratamiento  en las obras , a septiembre se reporta un avance del</t>
    </r>
    <r>
      <rPr>
        <sz val="10"/>
        <color rgb="FFFF0000"/>
        <rFont val="Calibri"/>
        <family val="2"/>
      </rPr>
      <t xml:space="preserve"> 13,77% </t>
    </r>
    <r>
      <rPr>
        <sz val="10"/>
        <rFont val="Calibri"/>
        <family val="2"/>
      </rPr>
      <t xml:space="preserve">de aprovechamiento de RCD.
En síntesis en lo corrido del cuatrienio a marzo de 2018,  la SDA ha realizado actividades de evaluación control y seguimiento que permitieron evidenciar el aprovechamiento de  6.862.321 toneladas de Residuos de Construcción y demolición -RCD en el Distrito Capital.
</t>
    </r>
  </si>
  <si>
    <t>Tunjuelito</t>
  </si>
  <si>
    <t>Venecia</t>
  </si>
  <si>
    <t>Muzu, Arborizadora Baja, El Chircal Sur</t>
  </si>
  <si>
    <t>Poligono</t>
  </si>
  <si>
    <t xml:space="preserve">Total Locailzaciones Meta                                </t>
  </si>
  <si>
    <t>PROMOVER LA IMPLEMENTACIÓN DE 20000 M2 DE TECHOS VERDES Y JARDINES VERTICALES EN ESPACIO PUBLICO Y PRIVADO.</t>
  </si>
  <si>
    <t xml:space="preserve">Dirección: MPI3. Areas para la implementación de techos verdes y jardines verticales en espacio publico y privado.
Descripción: MPI3. Desarrollo de actividades que impulsan la implementación de techos verdes y jardines verticales con acompañamiento técnico de la SDA. 
</t>
  </si>
  <si>
    <t xml:space="preserve">Para dar continuidad a  la Fase 3. Diseño, desarrollo e implementación del instrumento de control, a septiembre de 2018 la SCASP avanzó en la realización de los trámites precontractuales para aduirir el Diseño, desarrollo e implementación de la Arquitectura de Interoperabilidad para los Sistemas de Información, Gobierno y Gestión de Datos en el marco de la Arquitectura Empresarial, así como, desarrollo y puesta en operación del caso de negocio que genere un instrumento de control y seguimiento para la gestión integral de RCD en Bogotá. Lo anterior con el objeto de establecer la arquitectura de interoperabilidad que le permitira a la herramienta en principio  recibir, unificar y contener los datos base; posteriormente  procesar y analizar la  información y finalmente  poder generar los respectivos reportes, informes  o alertas.
Así mismo teniendo en cuenta que como parte de la implementación del instrumento de control se avanza en los trámites para contratar los servicios de desarrollo e implementación para realizar la actualización en el sistema de Información Ontrack para su utilización de las visitas técnicas en campo, los cuales a su vez  se emplearan como colectores de información base para fortalecer el recaudo de información, la carga y procesamiento y reportes de datos requeridos en la herramienta de control los cuales posteriormente permitirán el análisis, generación de informes para la toma de decisiones en relación a establecer alertas y priorizar las acciones de evaluación Control y Seguimiento al manejo, disposición, tratamiento y al aprovechamiento de RCD en el D.C.
</t>
  </si>
  <si>
    <t>Se presenta un retraso dado lque el cronograma plateado para  la contratación para adquirir la arquitectura de interoperabilidad  para el sistema de información  y caso de negocio que genere un instrumento de control y seguimiento para la gestión integral de RCD en Bogotá, se ha tomado más tiempo que el proyectado, considerando que los ajustes solicitados por las diferentes áreas de la SDA como filtor para la publicación de pliegos de condiciones.</t>
  </si>
  <si>
    <t>El desarrollo e implementación de un instrumento de control a partir de procesos de innovación tecnológica e investigación para la gestión integral de RCD en Bogotá permitirá  determinar  la posibilidad y viabilidad del uso de herramientas tecnológicas (innovación y desarrollo) para realizar  Evaluación, Control y Seguimiento a las actividades de gestión integral de los  Residuos de Construcción y Demolición RCD, generados en la producción de subproductos del procesamiento de  RCD en el Distrito Capital lo cual redundará en el fortalecimiento de las herramientas destinadas a la operación del sistema de gestión de la información de RCD a cargo de la SDA para realizar un eficaz, eficiente y efectivo proceso de evaluación control y seguimiento a los generadores de RCD por medio del uso de herramientas tecnológicas que permitan georreferenciar las obras constructivas que se desarrollan en la ciudad así como  efectuar su seguimiento por medio de reportes de los grandes generadores de RCD públicos y privados que generan la autorregulación de los sujetos de control de la SDA.</t>
  </si>
  <si>
    <t>Documento soporte de estudio de costos realizar estudio de caracterización y selección de alternativas de aprovechamiento de los residuos de construcción y demolición – rcd generados en bogotá como parte de la información requerida para el funcionamiento del instrumento de control a partir de procesos de innovación tecnológica e investigación para la gestión integral de RCD en Bogotá.</t>
  </si>
  <si>
    <t>En el período de enero a septiembre de 2018  la SDA controló un total de 5.396 toneladas de Residuos Peligrosos (infecciosos, químicos y administrativos) en el sector salud y afines generadas en el Distrito Capital,  a través de la realización  de 382 visitas de seguimiento y control a generadores de Residuos Hospitalarios, 295  Informes de Gestión atendidos  y 995 No. De requerimientos a generadores de RH y similares, entre otras acciones de control realizadas.</t>
  </si>
  <si>
    <t xml:space="preserve">Entre el mes de enero y junio de 2018 se avanzó en el desarrollo y revisión de los productos No. 2 y 3 (Base de datos en formato en Excel y Documento Diagnostico y factibilidad), generados de la consultoría en investigación realizada por ENGINERING  CONSTRUCTION GROUP S.A.S. dentro del contrato No. CTO SDA 20171378. 
Entre los meses de abril a junio de 2018 se realizó la revisión técnica de los productos 3, 4 y 5   en relación al Diagnóstico y factibilidad técnica, normativa, económica y funcional para la SDA con resultados y análisis del uso de innovaciones tecnológicas para fortalecer los instrumentos de control aplicados por la SDA y las  tres (3) estrategias de innovación tecnológica para recopilar, almacenar y procesar la información recolectada en campo y en línea sobre la evaluación, control y seguimiento a residuos peligrosos y vertimientos generados en establecimientos de salud humana y afines los cuales fueron recibidos a satisfacción.  En cuanto al producto 5 Diseño de la propuesta seleccionada por la SDA de innovación tecnológica para fortalecer las herramientas y los instrumentos de control aplicados por la SDA para la evaluación control y seguimiento a los residuos peligrosos y vertimientos,  se encuentra aún en revisión y ajustes por parte de la Consultoría.
a septiembre de 2018 se realizaron  las  3 versiones de producto 5 una versión del producto 6  y se encuentra pendiente de aprobación el informa final que corresponde al producto 7, sin embargo pese a la serie de observaciones técnicas y funcionales presentadas los productos 5 y 7 no han sido aprobados, razon por la cual se decidió iniciar trámite de incumplimiento ante contractual.
</t>
  </si>
  <si>
    <t>Algunos de los productos presentados por ENGINERING  CONSTRUCTION GROUP S.A.S. dentro del contrato No. CTO SDA 20171378, no han cumplido con algunas de las especificaciones técnicas por lo cual la consultoría se ha tomado más tiempo del planeado para realizar ajustes o consolidar información de terceros y volver a entregar productos corregidos.
De igual forma el retraso generado por el desarrollo del CTO SDA 20171378 ha afectado el inicio de la fase  de Desarrollo e  implementación del Instrument</t>
  </si>
  <si>
    <t xml:space="preserve">Al respecto se han realizado 2 prorrogas al contrato CTO SDA 20171378 con ENGINERING  CONSTRUCTION GROUP S.A.S. la primera fue firmada el día 21 mayo  por un Mes y la segunda el día 2 de Junio por 25 días calendario, lo anterior con el ánimo de poder avanzar en el cumplimiento de la meta.
</t>
  </si>
  <si>
    <t xml:space="preserve">El desarrollo de esta estrategia permitirá efectuar eficientemente acciones de evaluación control y seguimiento a la gestión externa en el marco de la gestión integral de los residuos peligrosos generados en las actividades de salud y otras actividades afines. Lo anterior con el fin de optimizar los recursos asignados con los que cuenta la entidad, contribuir en la asertiva toma de decisiones. </t>
  </si>
  <si>
    <t>Documento soporte de Diseño de la propuesta de la tecnología diseñada, el cul contiene:
- Diagramación de la solución
- Definición de árbol de navegación
Los productos reposan en los archivos de la SCASP</t>
  </si>
  <si>
    <t>ENGATIVÁ</t>
  </si>
  <si>
    <t xml:space="preserve">
Para el periodo comprendido entre enero y septiembre del año 2018 se realizaron 68  visitas a entidades Públicas ubicadas en el D.C, con el fin de realizar la evaluación, control y seguimiento al cumplimiento normativo ambiental con énfasis en la implementación del PIGA, acorde con lo definido por la la Resolución 242 de 2014 “Por la cual se adoptan los lineamientos para la formulación, concertación, implementación, evaluación, control y seguimiento del Plan Institucional de Gestión Ambiental –PIGA”
Visitas de evaluación, control y seguimiento al PIGA
En el mes de enero de 2018 no se realizaron visitas considerando que los esfuerzos se direccionaron a la revisión de requerimientos y la inducción de los profesionales del equipo, en su mayoría vinculado en la última semana de enero.
Febrero: 4  entidades 
Marzo: 6 entidades
Abril: 14 entidades
Mayo: 12 entidades
Junio: 7 entidades
Julio: 7 entidades
Agosto: 8 entidades
Septiembre:10 entidades
Con la realización de estas visitas a 68 entidades se alcanzo un cumplimiento de la meta del  88,31% con corte al mes de septiembre.
De igual forma a septiembre de 2018 desde la SCASP se realizaron visitas de control al cumplimiento normativo a las siguientes sedes de  entidades Públicas ubicadas en el D.C 
Febrero: 12 sedes
Marzo: 50 sedes (se visitaron 20 sedes del IPES la visita de PIGA de esta entidad se realizó en el mes de abril, se visito ademas un parque distrital por lo tanto, las 50 visitas a sedes corresponden a 8 entidades)
Abril: 70 sedes (se visitaron  17 sedes del IDARTES y 18 sedes de UAECOB, la visita de PIGA de estas entidades se realizó en el mes de mayo por lo tanto, las 70 visitas a sedes corresponden a 15 entidades)
Mayo: 24 sedes
Junio: 19 sedes
Julio: 17 sedes
Agosto: 33 sedes
Septiembre: 41 sedes
Para un total con corte a septiembre 24 de 268 sedes
Así mismo, se remitieron a las entidades distritales objeto de Evaluación, Control y Seguimiento  al PIGA, los siguientes requerimientos:
Visitas 2017: 90 
Febrero: 31
Marzo: 11
Abril:3</t>
  </si>
  <si>
    <t xml:space="preserve">Realizar evaluación control y seguimiento en la implementación del Plan Institucional de Gestión Ambiental – PIGA contribuye a disminuir los posibles   impactos ambientales que generan las entidades que conforman la estructura del Distrito Capital, a través de los aspectos ambientales resultantes de sus procesos, tales como consumo elevado de recursos y materiales (agua, energía, papel, insumos, entre otros), generación de residuos sólidos (aprovechables, no aprovechables, de manejo especial y peligrosos), vertimientos, emisiones atmosféricas por fuentes fijas y móviles, ruido y publicidad exterior visual. 
</t>
  </si>
  <si>
    <t xml:space="preserve">
Archivo SCASP
Actas de visitas - Informes Técnicos 
Bases de Datos</t>
  </si>
  <si>
    <t>100%%</t>
  </si>
  <si>
    <t>Para este tercer trimestre de la vigencia 2018,el seguimiento realizado a los proyectos orientados a la reducción de emisiones de Gases Efecto Invernadero-GEI, se avanzó con el desarrollo de las siguientes acciones: se llevó a cabo el seguimiento a los proyectos orientados a la reducción de emisiones de GEI, donde se evidencio el avance del proyecto de mitigación “Extracción, tratamiento y aprovechamiento del Biogás proveniente del Relleno Sanitario Doña Juana-RSDJ” , el total de emisiones reducidas que se obtuvo  durante el periodo entre julio a septiembre de 2018, corresponde a  44.803,50 tCO2eq. Respecto al seguimiento realizado a los proyectos  “Operación Planta de Tratamiento de Aguas Residuales PTAR Salitre y "Ruta selectiva de residuos orgánicos en las Plazas de Mercado Distritales" se encuentran actualmente en fase de validación de la información por parte de las entidades responsables, se espera tener el reporte correspondiente en el último trimestre de la presente vigencia 2018.</t>
  </si>
  <si>
    <t xml:space="preserve">Con el desarrollo de proyectos orientados a la reducción de emisiones de Gases Efecto Invernadero se contribuye a mitigar los efectos del cambio climático y al mejoramiento de la calidad del aire de la ciudad, lo cual tiene efectos positivos para la salud de los ciudadanos.    </t>
  </si>
  <si>
    <t xml:space="preserve">Fichas de seguimiento a los proyectos y cálculo de reducción de emisiones
</t>
  </si>
  <si>
    <t>Implementar 100 % Acciones Priorizadas, en
Cumplimiento Del Plan De Acción De La Política Pública De Ecourbanismo Y
Construcción Sostenible.</t>
  </si>
  <si>
    <t>Lograr 500 Empresas con un índice de desempeño ambiental empresarial  - IDAE entre muy bueno y superior</t>
  </si>
  <si>
    <r>
      <rPr>
        <b/>
        <sz val="8"/>
        <rFont val="Arial"/>
        <family val="2"/>
      </rPr>
      <t>Localización: DISTRITAL</t>
    </r>
    <r>
      <rPr>
        <sz val="8"/>
        <rFont val="Arial"/>
        <family val="2"/>
      </rPr>
      <t xml:space="preserve">.  Empresas con índice de desempenio ambiental.  
Descripción:  Empresas en el Distrito Capital con aplicacion del indice de desempenio ambiental empresarial  entre muy bueno y superior.
</t>
    </r>
  </si>
  <si>
    <t>TOTAL PROYECTO</t>
  </si>
  <si>
    <t xml:space="preserve">Total Locailzaciones Meta   </t>
  </si>
  <si>
    <t>Actualizar 100 Porciento la Política Distrital de Producción y Consumo Sostenible y  ponerla en marcha</t>
  </si>
  <si>
    <t>DISTRITAL: debido a que las acciones que se plasman en el documento abarcan todas las localidades de la ciudad. Adicionalmente, cabe anotar que dichas acciones no han sido aprobadas, hasta que surja el acto administrativo que las soporta, por lo que es muy adelantado describir alguna localidad.</t>
  </si>
  <si>
    <t xml:space="preserve">Dirección: Barrio San Benito, proyecto Parque Industrial Ecoeficiente de San Benito-PIESB.
 Descripción: Parque Industrial Ecoeficiente de San Benito-PIESB en los componentes a cargo de la SDA. </t>
  </si>
  <si>
    <t xml:space="preserve"> Tunjuelito</t>
  </si>
  <si>
    <t xml:space="preserve"> Barrio San Benito</t>
  </si>
  <si>
    <t xml:space="preserve">DISTRITAL: Actores relacionados en la localidad con el aprovechamiento de residuos peligrosos y especiales.
Descripción:  Espacios para gestion de residuos peligrosos y especiales con Sistemas de Recolección Selectiva, Gestión Ambiental y Sistemas voluntario.  
</t>
  </si>
  <si>
    <t>ANTONIO NARIÑO</t>
  </si>
  <si>
    <t>Restrepo</t>
  </si>
  <si>
    <t>Villa Mayor Oriental</t>
  </si>
  <si>
    <t>PUNTO</t>
  </si>
  <si>
    <t>SD</t>
  </si>
  <si>
    <t xml:space="preserve">BARRIOS UNIDOS </t>
  </si>
  <si>
    <t>Los Andes, Doce de Octubre, Los Alcázares</t>
  </si>
  <si>
    <t>Los Andes, La Castellana, Metrópolis, Polo Club, San fernando, Concepci´n Norte</t>
  </si>
  <si>
    <t>El provenir, Bosa Central</t>
  </si>
  <si>
    <t>Parcela el Porvenir, San Pablo Bosa</t>
  </si>
  <si>
    <t>La Candelaria</t>
  </si>
  <si>
    <t>La catedral</t>
  </si>
  <si>
    <t>Chicó Lago, El refugio, Pardo Rubio, Chapinero</t>
  </si>
  <si>
    <t>Chicó Norte, El Chicó, Antiguo Country, Espartillal, Porciuncula, Bellavista, Quinta Camacho, Emaus, Chapinero Norte, María cristina, Marly, Sucre</t>
  </si>
  <si>
    <t>Arbolizadora</t>
  </si>
  <si>
    <t>Arbolizadora baja</t>
  </si>
  <si>
    <t>Garcés Navas, Álamos, Boyacá Real, LAS Ferias, Santa cecilia</t>
  </si>
  <si>
    <t>Gran Granada, Garcés Navas, Quirigua II,  Florida Blanca, Santa helenita, Alamos, Palo blanco, San Ignacio, Normandía</t>
  </si>
  <si>
    <t xml:space="preserve">FONTIBON </t>
  </si>
  <si>
    <t>Fontibón, Granjas de Techo, Ciudad Salitre</t>
  </si>
  <si>
    <t xml:space="preserve">San Pablo Jerico, Ferrocajas Fontibon, Ciudad hAyuelos, Salite Occidental </t>
  </si>
  <si>
    <t>Castilla, Tintal Norte, Patio Bonito, Américas, Kennedy Central, Carvajal, Gran Britalia.</t>
  </si>
  <si>
    <t xml:space="preserve"> vereda Tintal Rural, Castilla, Bavaria, Lusitania, Patio Bonito, Ciudad kennedy, Hipotecho occidental, Ciudad Kennedy Oriental, Casa blanca sur, Ca Campiña, Alquería</t>
  </si>
  <si>
    <t>La Sabana</t>
  </si>
  <si>
    <t>Paloquemao</t>
  </si>
  <si>
    <t>San Rafael, Zona Industrial, Muzu, Ciudad Muntes</t>
  </si>
  <si>
    <t>San gabriel, Estación Central, Pensilvania, Tejar, La Asunción, Autopista Muzu Oriental</t>
  </si>
  <si>
    <t>Quiroga</t>
  </si>
  <si>
    <t>Santiago Pérez</t>
  </si>
  <si>
    <t>San Blas</t>
  </si>
  <si>
    <t>SANTAFE</t>
  </si>
  <si>
    <t>Sagrado Corazón Las Nieves</t>
  </si>
  <si>
    <t>La Merced, San Amrtín, Las Nieves</t>
  </si>
  <si>
    <t>La Academia, San Jose de Bavaria, Suba, El Rincón, Tibabuyes, El Prado, Niza,  La Alhambra, La Floresta</t>
  </si>
  <si>
    <t>Pasadena, Julio Florez, Puente largo, San José del Prado, Prado Veraniego, Prado Pinzón, Santa Helena, Pinos de Lombardía, San José de bavaria, Casablanca suba.</t>
  </si>
  <si>
    <t>Ciudad Salitre, La Esperalda, Galerías, Teusaquillo.</t>
  </si>
  <si>
    <t>Ciudad Salitre nororiental, Galerías, LA Soledad, LA Esmeralda, campín, Nicolás de Federman.</t>
  </si>
  <si>
    <t>Venecia, Tunal Oriental</t>
  </si>
  <si>
    <t xml:space="preserve">USAQUEN </t>
  </si>
  <si>
    <t>Verbenal, La Uribe, Toberín, Los cedros, Santa barbara,  Usaquén</t>
  </si>
  <si>
    <t>Usaquén, Santa bibiana, Santa Ana occidental, San Gabriel central, cedritos, Las margaritas, Toberín, San Antonio Occidental Verbenal.</t>
  </si>
  <si>
    <t>Gran Yomasa</t>
  </si>
  <si>
    <t>Santa Librada</t>
  </si>
  <si>
    <t>Sin territorializar 
(Cantidades reportadas que no se han podido territorializar)</t>
  </si>
  <si>
    <t>TODAS LAS LOCALIDADES</t>
  </si>
  <si>
    <t>NÚMERO INTERSEXUAL SIN DEFINIR</t>
  </si>
  <si>
    <t>Sin territorializar RESERVA 
(Cantidades reportadas que no se han podido territorializar)</t>
  </si>
  <si>
    <t xml:space="preserve">TOTAL META </t>
  </si>
  <si>
    <t xml:space="preserve">
Dirección: MPI8. Desempeño ambiental empresarial en Bogota D.C.
Descripción: MPI8. Desarrollo de actividades orientadas a incentivar la autogestión ambiental en Bogota D.C.
</t>
  </si>
  <si>
    <t>Los Alcázares
Doce de octubre</t>
  </si>
  <si>
    <t>Metrópolis, Alcázares, San Fernando, Doce de Octubre</t>
  </si>
  <si>
    <t>Bosa Central</t>
  </si>
  <si>
    <t>Gualoche</t>
  </si>
  <si>
    <t>El Refugio</t>
  </si>
  <si>
    <t>Bellavista</t>
  </si>
  <si>
    <t>Garcés Navas, Álamos, Boyacá Real</t>
  </si>
  <si>
    <t>Santa María, San Ingasio, El Dorado</t>
  </si>
  <si>
    <t>Capellanía, Zona Franca, Fontibón San Pablo</t>
  </si>
  <si>
    <t>El Charco, San Pablo Jericó, Sabana Grande, San José de Fontibón</t>
  </si>
  <si>
    <t>Patio Bonito, Calandaima, Kennedy Central, Carvajal</t>
  </si>
  <si>
    <t xml:space="preserve">El Jasmín, Ciudad Kennedy, Tintala, Vergel Occidenta, Alquería La fragua, Lusitania, </t>
  </si>
  <si>
    <t>Paloquemao, Ricaurte</t>
  </si>
  <si>
    <t>Ciudad montes, Zona Industrial, Puente Aranda.</t>
  </si>
  <si>
    <t>Puente Aranda, Salazar Gómez, La Florida occidental, Montes, Los ejidos.</t>
  </si>
  <si>
    <t>San José de Bavaria, La Floresta, La Academia.</t>
  </si>
  <si>
    <t>Nueva Zelandia, San josé de Bavaria, Casablanca Suba Urbano, Mirandela.</t>
  </si>
  <si>
    <t>Paseo Los Libertadores, La Uribe, San Cristobal Norte, Los Cedros.</t>
  </si>
  <si>
    <t>Los Cedros, Caobos Salazar, Barrancas, Bosque de Pinos, Tibabita Rural</t>
  </si>
  <si>
    <t>SANTA FE</t>
  </si>
  <si>
    <t xml:space="preserve">Localización: DISTRITAL 
Dirección: Establecimientos acopiadores de llantas usadas o material derivado del tratamiento de llantas usadas en Bogotá D.C.
Descripción: Ejecutar acciones de control y seguimiento a los establecimientos acopiadores de llantas usadas o material derivado del tratamiento de llantas usadas en Bogotá D.C, para el cumplimiento del Decreto 442 de 2015 y 265 de 2016.
</t>
  </si>
  <si>
    <t>Desarrollar  e implementar  100% Un instrumento de control y seguimiento por medio de innovación tecnológica para el acopio transporte tratamiento y aprovechamiento de llantas usadas en la ciudad.</t>
  </si>
  <si>
    <t xml:space="preserve">Dirección:  Distrital. Localizaciones de acopio, tratamiento y aprovechamiento de llantas usadas en el D.C.
Descripción:  Investigacion base para la localización de áreas para el acopio, transporte, tratamiento y aprovechamiento de llantas usadas. </t>
  </si>
  <si>
    <t>Localización: Distrital
RESIDUOS DE CONSTRUCCION Y DEMOLICIÓN  GENERADOS EN EL EN BOGOTÁ D.C.
Descripción: EVALUACION, CONTROL Y SEGUIMIENTO SOBRE EL MANEJO Y DISPOSICION DE RCD GENERADOS EN BOGOTA.</t>
  </si>
  <si>
    <t>LOS MARTIRES</t>
  </si>
  <si>
    <t xml:space="preserve">CIUDAD BOLIVAR </t>
  </si>
  <si>
    <t>Sin territorializar 
(Cantidades DISTRITAL)</t>
  </si>
  <si>
    <t xml:space="preserve">Localización: Distrital.  Sitios autorizados para disposición final de RDC.
Descripción:  Sitios autorizados en el territorio Distrital para disposición final de RDC jurisdicción SDA. </t>
  </si>
  <si>
    <t xml:space="preserve">Direción: Distrital. Proyectos especiales de infraestructura en desarrollo en el D.C.
Descripción:  Control de endurecimiento de espacios blandos, la generación y  aprovechamiento de RCD y otros residuos de Construcción y demolición en los proyectos espaciales de infraestructura en Bogotá. </t>
  </si>
  <si>
    <t xml:space="preserve">Dirección: Obras de construcción y demolición que generan residuos en Bogota.
Descripicón:  Obras  generadoras de escombros y demas residuos de Construccion y Demolicion en Bogota. </t>
  </si>
  <si>
    <t xml:space="preserve">Direción:  Residuos de Construccion y Demolicion en Bogotá.
Descripción:  Linea base para el tratamiento y/o disposición final de los residuos de construccion y demolicion en el Distrito Capital. </t>
  </si>
  <si>
    <t>Dirección:  Establecimientos de salud humana de Bogotá.
Descripción:  Residuos peligrosos generados por establecimientos de salud humana (hospitales y similares) objeto de control y seguimiento por la SDA. RESIDUOS DE CONSTRUCCION Y DEMOLICIÓN  GENERADOS EN EL EN BOGOTÁ D.C.
Descripción: EVALUACION, CONTROL Y SEGUIMIENTO SOBRE EL MANEJO Y DISPOSICION DE RCD GENERADOS EN BOGOTA.</t>
  </si>
  <si>
    <t xml:space="preserve"> </t>
  </si>
  <si>
    <t xml:space="preserve">Dirección:  Localizaciones definidas para la disposicion adecuada de RCD.
Descripción:  Toneladas de residuos de construcción y demolición con disposición adecuada.  </t>
  </si>
  <si>
    <t xml:space="preserve">Direcicón:  PIGA entidades distritales.
DESCRIPCIÓN:   MPI18. Sedes de las entidades distritales de Bogota con evaluacion, control y seguimiento al PIGA. </t>
  </si>
  <si>
    <t>Realizar el seguimiento a la reducción de 8000 toneladas de Gases Efecto Invernadero-GEI en el Distrito Capital</t>
  </si>
  <si>
    <t xml:space="preserve"> Toneladas de Gases Efecto Invernadero-GEI en el Distrito Capital.
Descripción:  Proyectos distritales relacionados a la reducción de emisiones de GEI en D.C. </t>
  </si>
  <si>
    <t xml:space="preserve">IMPLEMENTAR LA POLITICA DE ECOURBANISMO Y CONSTRUCCIÓN SOSTENIBLE </t>
  </si>
  <si>
    <r>
      <rPr>
        <b/>
        <sz val="8"/>
        <rFont val="Arial"/>
        <family val="2"/>
      </rPr>
      <t>Localización: DISTRITAL.</t>
    </r>
    <r>
      <rPr>
        <sz val="8"/>
        <rFont val="Arial"/>
        <family val="2"/>
      </rPr>
      <t xml:space="preserve">  Dirección: MPI20.  Politica publica de ecourbanismo y construcción sostenible en Bogota DC.
Descripción: MPI20. Desarrollo de acciones orientadas a acompañar el ajuste del plan de acción de la política. 
</t>
    </r>
  </si>
  <si>
    <t>TOTALES - PROYECTO</t>
  </si>
  <si>
    <t>TOTAL RE CUR SOS VIGENCIA</t>
  </si>
  <si>
    <t>TOTAL RECUR SOS RESERVA</t>
  </si>
  <si>
    <t>TOTAL RECURSOS</t>
  </si>
  <si>
    <t>El acumulado ejecutado para el cuatrienio corresponde a 56%. De los cuales durante la vigencia a septiembre, se avanzó en un 21% con el desarrollo de las siguientes acciones: 
Durante el periodo de Enero a Septiembre del año 2018 los profesionales de la SDA realizaron 2.710 actuaciones técnicas distribuidas así: 
382 visitas de seguimiento y control a generadores de Residuos Hospitalarios, 
63 Conceptos técnicos proyectados para iniciar proceso Sancionatorio, 
48 Informe técnico proyectados, 
5 Conceptos técnicos proyectados para Permiso de Vertimientos, 
255 No. de solicitudes de registro de vertimientos Atendidos - Registros de Vertimientos 
295 No. De Informes de Gestión atendidos
155  No. De caracterizaciones analizadas
512  No. De solicitudes de información atendidas
995 No. De requerimientos a generadores de RH y similares
Lo anterior permitió controlar un total de 5.396  toneladas de Residuos Peligrosos (infecciosos, químicos y administrativos) en el sector salud y afines generadas en el Distrito Capital</t>
  </si>
  <si>
    <t>A septiembre de  2018 como resultado de las acciones de control y seguimiento a la gestión externa de los generadores de residuos hospitalarios y similares, la SDA  realizó 995 oficios de requerimiento,63 Conceptos técnicos proyectados para iniciar proceso Sancionatorio  y 48 Informes Técnicos, Por último, se analizaron 295 Informes de gestión de residuos hospitalarios con su respectiva actuación</t>
  </si>
  <si>
    <t>Es necesario aclarar que  la dinámica de ejecución de la meta  inicia cada año desde 0% y debe llegar al 25%, si bien la meta es de tipología creciente se imposibilita reportar el avance real de la vigencia 2018, según las instrucciones ya concertadas para el reporte común de este tipo de metas.
Por lo anterior teniendo en cuenta la tipología creciente de la meta, el valor  que se presenta es de 30,34% de aprovechamiento de los Residuos de Construcción y Demolición - RCD,  considerando que fue el valor alcanzado en el año 2017. 
En relación a la vigencia 2018 , en el periodo comprendido entre enero y Septiembre   la SDA  controló la aplicación de  técnicas de aprovechamiento y tratamiento de RCD a un  total 1.273.909 Ton. de RCD como resultado de las actividades realizadas por los profesionales dela SDA, en las cuales  verificaron el cumplimiento al 338 planes de gestión de RCD -PDGRCD,  los reportes generados por el seguimiento realizado a las obras y al aplicativo Web de la Entidad.
En este sentido considerando que  la meta establecida para el 2018,  equivale a un 25% acorde con la norma, corresponde a 2.312.361 toneladas de RCD con aplicación de  técnicas de aprovechamiento y tratamiento  en las obras , a septiembre se reporta un avance del 13,77% de aprovechamiento de RCD.
En síntesis en lo corrido del cuatrienio a marzo de 2018,  la SDA ha realizado actividades de evaluación control y seguimiento que permitieron evidenciar el aprovechamiento de  6.862.321 toneladas de Residuos de Construcción y demolición -RCD en el Distrito Capital.</t>
  </si>
  <si>
    <t>Se han generado retrasos, debido a que la EAAB manifestó que debía incorporar los recursos de la SDA a través del CONFIS, sin embargo a Julio de 2018 se aclaró que no es requerida la celebración del CONFIS para dicho fin (Decreto 816 de 2017), lo cual genero demoras en la contratación de los diseños impidiendo la ejecucion del cronograma inicialmente planteado para el cumplimiento de esta meta. Asi las cosas, no se podra ejecutar las obras de la Sistema Urbano de Drenaje Sostenible con forme a lo inicialmente programado.</t>
  </si>
  <si>
    <r>
      <t xml:space="preserve">A Septiembre de 2018 fueron visitados por parte de los profesionales de la SCASP 1218 establecimientos mediante la ejecución de visitas de control a establecimientos y visitas de seguimiento del registro de los establecimientos, generadores y gestores de llantas usadas, ubicados en el perímetro urbano del Distrito Capital, verificando el cumplimiento de la normatividad ambiental  especificamente el Decreto 442 de 2015 y 265 de 2016. De lo anterior, </t>
    </r>
    <r>
      <rPr>
        <b/>
        <sz val="10"/>
        <rFont val="Calibri"/>
        <family val="2"/>
      </rPr>
      <t>319</t>
    </r>
    <r>
      <rPr>
        <sz val="10"/>
        <rFont val="Calibri"/>
        <family val="2"/>
      </rPr>
      <t xml:space="preserve"> fueron realizadas durante el tercer trimestre del año comprendido entre julio y septiembre.</t>
    </r>
  </si>
  <si>
    <t>Para la ejecución de esta actividad  se viene compilando la información reportada de acuerdo al estado de avance de cada uno de los proyectos que aportan a la reducción de emisiones de GEI, la cual sera presentada en un informe final que sera en el cuarto trimestre de la vigencia.</t>
  </si>
  <si>
    <r>
      <t>En lo corrido del cuatrenio se ha realizado el aprovechamiento de 14137,51 tons de llantas, de las cuales, durante la vigencia 2018 se han realizado  4,836,51 toneladas de llantas, 2.133,62 tons, solo durante los meses de julio a septiembre, distribuidas de la siguiente manera.
Mediante el grupo de  Control al aprovechamiento de llantas usadas en la ciudad de Bogotá  la la SDA en cumplimiento del Decreto 442 de 2015  y 265 de 2016, adelantó en el tercer trimestre de 2018 actividades  para promover el aprovechamiento de un total de</t>
    </r>
    <r>
      <rPr>
        <b/>
        <sz val="11"/>
        <rFont val="Arial"/>
        <family val="2"/>
      </rPr>
      <t xml:space="preserve"> 954,07 </t>
    </r>
    <r>
      <rPr>
        <sz val="11"/>
        <rFont val="Arial"/>
        <family val="2"/>
      </rPr>
      <t xml:space="preserve">Ton llantas, mediante visitas de control a  generadores y gestores de llantas usadas, ubicados en el perímetro urbano del Distrito Capital, revisión de los certificados de gestión de las llantas entregadas a gestores de este residuo  y verificación  en el aplicativo web de la SDA.
Por otra parte, el grupo de residuos durante el tercer trimestre del año logró promover el aprovechamiento de </t>
    </r>
    <r>
      <rPr>
        <b/>
        <sz val="11"/>
        <rFont val="Arial"/>
        <family val="2"/>
      </rPr>
      <t>1179,55</t>
    </r>
    <r>
      <rPr>
        <sz val="11"/>
        <rFont val="Arial"/>
        <family val="2"/>
      </rPr>
      <t xml:space="preserve"> tons de llantas usadas, que fueron verificadas por medio de actividades realizadas con los programas posconsumo.
Así las cosas y en cumplimiento a la meta del plan de desarrollo y de la resolución 1326 de 2017 se adelantaron actividades para la promoción y divulgación de los diferentes sistemas de recolección selectiva y gestión ambiental de llantas usadas, en el marco del plan de acción coordinado con diferentes entidades distritales en la recolección de llantas usadas en el espacio público.
Además, mediante el visor geográfico ambiental de la SDA se informa a la ciudadanía los puntos de entrega habilitados por los programas de recolección selectiva y gestión ambiental de llantas usadas y de esta manera se consolida la información de cantidades gestionadas de estos puntos y así mismo las llantas gestionadas por medio de sus afiliados.
</t>
    </r>
  </si>
  <si>
    <t>Acorde con lo programado a septiembre de 2018 la meta debería presentar un avance del 18%, sin embargo se reportá un avance del 13,77%  evideciando un atraso del 4,23%, lo cual se soporta de la siguiente manera: los Generadores presentan informes técnicos  de no aprovechamiento argumentando que no conocen  estudios donde se sustente la forma de reutilizar en obra, por lo tanto, el constructor se basa dentro de su cotidianidad en sus procedimientos constructivos, por lo cual siguen utilizando material virgen aumentando de esta manera   la cantidad de RCD enviado a disposición final.</t>
  </si>
  <si>
    <t>La SDA proyectará requerimientos a las grandes constructoras indicando el cumplimiento de la normatividad vigente en temas de aprovechamiento de RCD.
La SDA avanza en la actualización de la Guia Ambiental para la Construcción en la cual se fomentará los procedimientos de buenas practicas ambientales en los se incluye el aprovechamiento de RCD.</t>
  </si>
  <si>
    <t xml:space="preserve">En lo corrido del cuatrenio se ha realizado el aprovechamiento de 14137,51 tons de llantas, de las cuales, durante la vigencia 2018 se han realizado  4,836,51 toneladas de llantas, 2.133,62 tons, solo durante los meses de julio a septiembre, distribuidas de la siguiente manera.
Mediante el grupo de  Control al aprovechamiento de llantas usadas en la ciudad de Bogotá  la la SDA en cumplimiento del Decreto 442 de 2015  y 265 de 2016, adelantó en el tercer trimestre de 2018 actividades  para promover el aprovechamiento de un total de 954,07 Ton llantas, mediante visitas de control a  generadores y gestores de llantas usadas, ubicados en el perímetro urbano del Distrito Capital, revisión de los certificados de gestión de las llantas entregadas a gestores de este residuo  y verificación  en el aplicativo web de la SDA.
Por otra parte, el grupo de residuos durante el tercer trimestre del año logró promover el aprovechamiento de 1179,55 tons de llantas usadas, que fueron verificadas por medio de actividades realizadas con los programas posconsumo.
Así las cosas y en cumplimiento a la meta del plan de desarrollo y de la resolución 1326 de 2017 se adelantaron actividades para la promoción y divulgación de los diferentes sistemas de recolección selectiva y gestión ambiental de llantas usadas, en el marco del plan de acción coordinado con diferentes entidades distritales en la recolección de llantas usadas en el espacio público.
Además, mediante el visor geográfico ambiental de la SDA se informa a la ciudadanía los puntos de entrega habilitados por los programas de recolección selectiva y gestión ambiental de llantas usadas y de esta manera se consolida la información de cantidades gestionadas de estos puntos y así mismo las llantas gestionadas por medio de sus afiliados.
</t>
  </si>
  <si>
    <t>A Septiembre de 2018 fueron visitados por parte de los profesionales de la SCASP 1218 establecimientos mediante la ejecución de visitas de control a establecimientos y visitas de seguimiento del registro de los establecimientos, generadores y gestores de llantas usadas, ubicados en el perímetro urbano del Distrito Capital, verificando el cumplimiento de la normatividad ambiental  especificamente el Decreto 442 de 2015 y 265 de 2016. De lo anterior, 319 fueron realizadas durante el tercer trimestre del año comprendido entre julio y septiembre.</t>
  </si>
  <si>
    <t xml:space="preserve">Durante el cuatrenio, se ha realizado un aprovechamiento del 25% del granulo de caucho para cada año.
A septiembre de 2018 se realizaron visitas de control y seguimiento a 19 Fondos de Desarrollo Local, Instituto de Desarrollo Urbano -IDU, Instituto Distrital De Recreación y Deporte-IDRD y Unidad de Mantenimiento-UMV Vial, con el fin de dar cumplimiento a lo descrito en el Decreto 265 de 2016 en materia de aprovechamiento de GCR en mezclas asfálticas para mantenimiento de la mala vial distrital y utilización de Granulo de caucho reciclado para el mantenimiento del Sistema Distrital de Parques.
Una vez realizada las visitas de seguimiento y control se inició proceso de requerimiento a las entidades, de las cuales 6 (IDU -ALCALDÍA LOCAL DE USAQUÉN
UMV -ALCALDÍA LOCAL DE ANTONIO NARIÑO - ALCALDÍA LOCAL DE SAN CRISTÓBAL - ALCALDÍA LOCAL DE TUNJUELITO) Como acciones de gestión la SDA realizó 22 visitas de control a las obras viales y de parques que se encontran en ejecución .
De un total de mezcla asfaltica utilizada 69.975,69  m3 el  % de aprovechamiento de GCR en mezcla asfáltica  de las entidades que reportaron (IDU -ALCALDÍA LOCAL DE USAQUÉN
UMV -ALCALDÍA LOCAL DE ANTONIO NARIÑO - ALCALDÍA LOCAL DE SAN CRISTÓBAL - ALCALDÍA LOCAL DE TUNJUELITO)  fue el 34.73% que corresponde a 23.204.71m3.
</t>
  </si>
  <si>
    <t xml:space="preserve">El acumulado ejecutado en la última fecha de reporte para el cuatrienio corresponde a 0,12%, cifra que cambiará a diciembre de 2018, donde se tiene proyectado reportar el avance de la vigencia. Pese a to anterior, a continuación se describen los avances realizados a la fecha: 
LA SDA suscribió el convenio 1353 de 2017 con la Empresa de Acueducto en Bogotá-EAB con el fin de realizar los diseños detallados del Sistema Urbano de Drenaje Sostenible-SUDS, en el Rio Tunjuelo, el cual dio inicio en enero de 2018. La SDA y la EAB trabajaron en la elaboración de los estudios previos y propuesta económica del convenio. Se han realizado dos suspensiones temporales a la ejecución de actividades del convenio, por demoras en la incorporación de recursos por parte de la EAB ESP través de la aprobación del comité CONFIS, sin embargo posteriormente se logró aclarar que  la EAB no requiere de la celebración del CONFIS para la apropiación de los recursos para abrir el proceso contractual y llevar a cabo la elaboración de los diseños (Decreto 816 de 2017).  Se han realizado a la fecha cuatro (4) comités técnicos operativos del convenio (01/02/2018, 17/04/2018, 10/08/2018 y 24/09/2018) donde se ha hecho seguimiento al proceso contractual de consultoría de diseños del SUDS y se ha dado a conocer la premura del avance de este proceso para dar cumplimiento a metas Plan de Desarrollo.
Se han generado retrasos, debido a que la EAAB manifestó que debía incorporar los recursos de la SDA a través del CONFIS, sin embargo a Julio de 2018 se aclaró que no es requerida la celebración del CONFIS para dicho fin (Decreto 816 de 2017), lo cual genero demoras en la contratación de los diseños impidiendo la ejecucion del cronograma inicialmente planteado para el cumplimiento de esta meta. Asi las cosas, no se podra ejecutar las obras de la Sistema Urbano de Drenaje Sostenible con forme a lo inicialmente programado.
</t>
  </si>
  <si>
    <t xml:space="preserve">LA SDA suscribió el convenio 1353 de 2017 con la Empresa de Acueducto en Bogotá-EAB con el fin de realizar los diseños detallados del Sistema Urbano de Drenaje Sostenible-SUDS, en el Rio Tunjuelo, el cual dio inicio en enero de 2018. La SDA y la EAB trabajaron en la elaboración de los estudios previos y propuesta económica del convenio. Se han realizado dos suspensiones temporales a la ejecución de actividades del convenio, por demoras en la incorporación de recursos por parte de la EAB ESP través de la aprobación del comité CONFIS, sin embargo posteriormente se logró aclarar que  la EAB no requiere de la celebración del CONFIS para la apropiación de los recursos para abrir el proceso contractual y llevar a cabo la elaboración de los diseños (Decreto 816 de 2017).  Se han realizado a la fecha cuatro (4) comités técnicos operativos del convenio (01/02/2018, 17/04/2018, 10/08/2018 y 24/09/2018) donde se ha hecho seguimiento al proceso contractual de consultoría de diseños del SUDS y se ha dado a conocer la premura del avance de este proceso para dar cumplimiento a metas Plan de Desarrollo.
</t>
  </si>
  <si>
    <r>
      <rPr>
        <b/>
        <sz val="11"/>
        <color theme="1"/>
        <rFont val="Arial"/>
        <family val="2"/>
      </rPr>
      <t>META CUMPLIDA A JUNIO DE 2018</t>
    </r>
    <r>
      <rPr>
        <sz val="11"/>
        <color theme="1"/>
        <rFont val="Arial"/>
        <family val="2"/>
      </rPr>
      <t xml:space="preserve">
Entorno a la gestión realizada para la Generación de acciones de control a los medianos y grandes generadores de Residuos Peligrosos -RESPEL-, se ha logrado cumplir la meta establecida para el cuatrenio durante el primer semestre de 2018 con un total de 1.726 acciones reportada. Lo anterior fue posible mediante las acciones de seguimiento, control y vigilancia a generadores de residuos peligrosos basados en requerimientos u oficios de Control y vigilancia de RESPEL, atención de Registros de RESPEL, cancelación de registros RESPEL, atención de Registros de Acopiadores Primarios, oficios de requerimientos a entidades públicas y prestadores de servicios de salud y afines,) y conceptos o informes de Control y vigilancia con otra actuación.
</t>
    </r>
  </si>
  <si>
    <r>
      <rPr>
        <b/>
        <sz val="11"/>
        <color theme="1"/>
        <rFont val="Arial"/>
        <family val="2"/>
      </rPr>
      <t>En lo corrido del cuatrenio, se ha logrado la reducción de 607706,18 tons de CO2eq</t>
    </r>
    <r>
      <rPr>
        <sz val="11"/>
        <color theme="1"/>
        <rFont val="Arial"/>
        <family val="2"/>
      </rPr>
      <t>. De acuerdo con el seguimiento realizado a los proyectos orientados a la reducción de emisiones de Gases Efecto Invernadero-GEI, en el</t>
    </r>
    <r>
      <rPr>
        <b/>
        <sz val="11"/>
        <color theme="1"/>
        <rFont val="Calibri"/>
        <family val="2"/>
      </rPr>
      <t xml:space="preserve"> tercer trimestre de la vigencia 2018,</t>
    </r>
    <r>
      <rPr>
        <sz val="11"/>
        <color theme="1"/>
        <rFont val="Calibri"/>
        <family val="2"/>
      </rPr>
      <t xml:space="preserve"> se avanzó con el desarrollo de las siguientes acciones:  se llevó a cabo el seguimiento a los proyectos orientados a la reducción de emisiones de GEI, donde se evidencio el avance del proyecto de mitigación “Extracción, tratamiento y aprovechamiento del Biogás proveniente del Relleno Sanitario Doña Juana-RSDJ” , el total de emisiones reducidas que se obtuvo  durante el periodo entre abril a mayo del 2018, corresponde a  </t>
    </r>
    <r>
      <rPr>
        <b/>
        <sz val="11"/>
        <color theme="1"/>
        <rFont val="Calibri"/>
        <family val="2"/>
      </rPr>
      <t>44.803,50 tCO2eq.</t>
    </r>
    <r>
      <rPr>
        <sz val="11"/>
        <color theme="1"/>
        <rFont val="Calibri"/>
        <family val="2"/>
      </rPr>
      <t xml:space="preserve"> Respecto al seguimiento realizado a los proyectos  “Operación Planta de Tratamiento de Aguas Residuales PTAR Salitre y "Ruta selectiva de residuos orgánicos en las Plazas de Mercado Distritales" se encuentran actualmente en fase de validación de la información por parte de las entidades responsables, se espera tener el reporte correspondiente en el último trimestre de la presente vigencia 2018.                                                                                                .</t>
    </r>
  </si>
  <si>
    <t xml:space="preserve">El acumulado ejecutado para el cuatrienio corresponde al 47,51%. de los cuales, a Septiembre de 2018 , se avanzó a un 28,11%, con el desarrollo de las siguientes acciones: 
1. Validación de las actividades que garantizan la reducción de emisiones de Gases Efecto Invernadero GEI, mediante la verificación del estado de 15 proyectos establecidos en el Plan de Acción de Reducción de emisiones de GEI (2016-2020), lo que equivale   al 4,69%                                                                                                                                                                                                                   
2.  Seguimiento de reducción de emisiones de GEI para los siguientes proyectos ( Lo que equivale al 4,69% restante):
                                                                                                                                                                              *  "Extracción, tratamiento y aprovechamiento del Biogás proveniente del Relleno Sanitario Doña Juana-RSDJ" según la información disponible suministrada por la UAESP en el periodo abril a mayo de 2018, se estimó una reducción de 44.803,50 tCO2eq por el tratamiento de metano en la planta de Biogás.
</t>
  </si>
  <si>
    <t xml:space="preserve">Mediante la gestión realizada desde el grupo de Ecourbanismo  de la Secretaría Distrital de Ambiente, se ha logrado promover la implementación de 11.302 m2 de techos verdes y jardines verticales en lo corrido del cuatrienio.
Durante la vigencia 2018 se ha promovido un total de 3.711 m2, de los cuales corresponden al tercer trimestre a 336 m2 de jardín vertical y 864 m2 de techo verde, en proyectos existentes en espacio público y privado de las localidades de Chapinero (490 m2), Barrios Unidos (16 m2), Engativá (65 m2), Kennedy (86 m2), Mártires (498), Santa Fé (3), Teusaquillo (7 m2), Tunjuelito (5) y Usaquén (30 m2) de la Ciudad de Bogotá. </t>
  </si>
  <si>
    <t>El acumulado ejecutado para el cuatrienio corresponde a 217 empresas.                                                    
Durante el tercer trimestre se realizó la evaluación de 45 empresas participantes de la Estrategia Acercar del Programa Gestión Ambiental Empresarial durante el segundo Ciclo del año 2017 y algunas otras postuladas al Programa de Excelencia Ambiental Distrital PREAD, de las cuales 24 lograron una clasificación entre Muy Bueno y Excelente (Valor que se reporta).
Adicionalmente se inició la recolección de la información de 270 empresas participantes de la Estrategia Acercar durante el primer Ciclo del año 2018, las cuales serán medidas con el Índice durante el cuarto trimestre de 2018, de acuerdo a lo contemplado en el plan de trabajo; y se continuará con la validación de los indicadores de consumo de agua, energía y de generación de residuos peligrosos de este grupo de empresas.
Finalmente, se realizaron algunos ajustes a la construcción y desarrollo de la herramienta electónica para la captura y consolidación de información, la cual ya se encuentra habilitada a través del aplicativo FOREST y todas las empresas pueden acceder desde la ventanilla virtual en internet de trámites y servicios el linea.</t>
  </si>
  <si>
    <t xml:space="preserve">El acumulado ejecutado para el cuatrienio corresponde a 24.657.924   toneladas de Residuos de Construcción y Demolición-RCD, de las cuales durante en la vigencia 2018 se han logrado controlar la disposición adecuada de 9.170.122 toneladas de RCD.
En lo corrido del año 2018 se reporta un total acumulado de 532 visitas de control y seguimiento a  obras de infraestructura en el perímetro urbano del Distrito Capital y la revisión de 619 planes de Gestión de RCD que permitieron controlar la disposición adecuada de 9.170.122 toneladas de RCD en sitios autorizados acorde con lo establecido en la en la Resolución 01115 de 2012, 0932 de 2015 y Resolución 1138 de 2013. </t>
  </si>
  <si>
    <t>El acumulado ejecutado para el cuatrienio se han dispuesto adecuadamente 6085,89 toneladas, de los cuales 1028.toneladas se dipusieron en el año 2016, 2427toneladas en el 2017 y hasta el tercer trimestre de 2018, se han dispuesto 2630,9 toneladas; estas cantidades fueron reportadas por los programas posconsumo de residuos de aparatos eléctricos y electrónicos, reportes de aceite vegetal usado, pilas y acumuladores, baterías plomo ácido, luminarias, medicamentos y tóner. 
Se realizó la verificación y consolidación de las cantidades de residuos gestionados por cada uno de los programas posconsumo y gestores de residuos especiales (Aceite Vegetal Usado-AVU) respectivamente, estas cantidades cuentan con su correspondiente certificado de disposición siendo así el soporte de cantidades gestionadas en la ciudad. Los residuos fueron recolectados por medio de campañas de recolección, promoción y difusión tanto en el sector residencial (Ecolecta y Puntos fijos) y empresarial, campañas que se hacen con cada uno de los programas posconsumo.
Se estableció para uso de la ciudadanía la plataforma para el reporte de cantidades de AVU gestionadas adecuadamente, teniendo en cuenta los informes trimestrales entregados por medio del aplicativo de la entidad lo cual facilita la obtención y análisis de las cantidades generadas de AVU en la ciudad, igualmente se continúa con las actividades de divulgación y capacitación del acuerdo Distrital 634 de 2015.
La cantidad reportada de residuos peligrosos y especiales para el tercer trimestre del año 2018 es de 1603.10 toneladas, discriminados de la siguiente manera:
AVU: 398.67 Ton equivalente al 24.87%,
Medicamentos: 20.15 Ton equivalente a 1.26%,
Pilas: 21.57 Ton equivalente a 1.35%,
Luminarias: 100.32 Ton equivalente a 6.26%,
Baterías plomo ácido: 282.51 Ton equivalente a 17.62%,
Tóner: 12.33 Ton equivalente a 0.77%, 
Electrodomésticos línea blanca: 24.21 Ton equivalentes a 1.51%,
RAEE: 743.34 Ton equivalente a 46.37%.</t>
  </si>
  <si>
    <t>El acumulado ejecutado para el cuatrienio corresponde a 18.091 toneladas de los cuales en el período de enero a septiembre de 2018  la SDA controló un total de 5.396 toneladas de Residuos Peligrosos (infecciosos, químicos y administrativos) en el sector salud y afines generadas en el Distrito Capital,  a través de la realización  de 371 visitas de Seguimiento y Control a establecimientos generadores de residuos hospitalarios y similares con su respectiva actuación técnica, generando 671 oficios de requerimiento, 39 Conceptos técnicos y  42 Informes Técnicos, Por último, se analizaron 211 Informes de gestión de residuos hospitalarios con su respectiva actuación</t>
  </si>
  <si>
    <r>
      <t>7, OBSERVACIONES AVANCE TRIMESTRE__3</t>
    </r>
    <r>
      <rPr>
        <b/>
        <sz val="10"/>
        <rFont val="Arial"/>
        <family val="2"/>
      </rPr>
      <t>_  DE _2018</t>
    </r>
  </si>
  <si>
    <t>64,346,564</t>
  </si>
  <si>
    <t>$20,100,980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</si>
</sst>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164" formatCode="_(&quot;$&quot;\ * #,##0.00_);_(&quot;$&quot;\ * \(#,##0.00\);_(&quot;$&quot;\ * &quot;-&quot;??_);_(@_)"/>
    <numFmt numFmtId="165" formatCode="_(* #,##0.00_);_(* \(#,##0.00\);_(* &quot;-&quot;??_);_(@_)"/>
    <numFmt numFmtId="166" formatCode="_-&quot;$&quot;* #,##0.00_-;\-&quot;$&quot;* #,##0.00_-;_-&quot;$&quot;* &quot;-&quot;??_-;_-@_-"/>
    <numFmt numFmtId="167" formatCode="_-* #,##0\ _€_-;\-* #,##0\ _€_-;_-* &quot;-&quot;??\ _€_-;_-@"/>
    <numFmt numFmtId="168" formatCode="0.0%"/>
    <numFmt numFmtId="169" formatCode="_(* #,##0_);_(* \(#,##0\);_(* &quot;-&quot;??_);_(@_)"/>
    <numFmt numFmtId="170" formatCode="_-* #,##0.00\ _€_-;\-* #,##0.00\ _€_-;_-* &quot;-&quot;??\ _€_-;_-@"/>
    <numFmt numFmtId="171" formatCode="_-&quot;$&quot;* #,##0.00_-;\-&quot;$&quot;* #,##0.00_-;_-&quot;$&quot;* &quot;-&quot;??_-;_-@"/>
    <numFmt numFmtId="172" formatCode="_-* #,##0.0\ _€_-;\-* #,##0.0\ _€_-;_-* &quot;-&quot;??\ _€_-;_-@"/>
    <numFmt numFmtId="173" formatCode="#,##0.0"/>
    <numFmt numFmtId="174" formatCode="0.0"/>
    <numFmt numFmtId="175" formatCode="#,##0.0;\-#,##0.0"/>
    <numFmt numFmtId="176" formatCode="#,##0.0_);\(#,##0.0\)"/>
    <numFmt numFmtId="177" formatCode="#,##0.000000;\-#,##0.000000"/>
    <numFmt numFmtId="178" formatCode="_(#,##0.0_);\(#,##0.0\)"/>
    <numFmt numFmtId="179" formatCode="#,##0.00\ [$€-1]"/>
    <numFmt numFmtId="180" formatCode="[$$-240A]\ #,##0"/>
    <numFmt numFmtId="181" formatCode="#,##0.00_ ;\-#,##0.00\ "/>
    <numFmt numFmtId="182" formatCode="_([$$-240A]\ * #,##0_);_([$$-240A]\ * \(#,##0\);_([$$-240A]\ * &quot;-&quot;??_);_(@_)"/>
    <numFmt numFmtId="183" formatCode="_-&quot;$&quot;\ * #,##0_-;\-&quot;$&quot;\ * #,##0_-;_-&quot;$&quot;\ * &quot;-&quot;_-;_-@"/>
    <numFmt numFmtId="184" formatCode="_-&quot;$&quot;* #,##0_-;\-&quot;$&quot;* #,##0_-;_-&quot;$&quot;* &quot;-&quot;??_-;_-@"/>
    <numFmt numFmtId="185" formatCode="#,##0.000"/>
    <numFmt numFmtId="186" formatCode="_(&quot;$&quot;\ * #,##0_);_(&quot;$&quot;\ * \(#,##0\);_(&quot;$&quot;\ * &quot;-&quot;??_);_(@_)"/>
    <numFmt numFmtId="187" formatCode="#,##0.00000"/>
    <numFmt numFmtId="188" formatCode="#,##0.000;\-#,##0.000"/>
    <numFmt numFmtId="189" formatCode="[$$-240A]\ #,##0.00"/>
    <numFmt numFmtId="190" formatCode="_-&quot;$&quot;* #,##0.0_-;\-&quot;$&quot;* #,##0.0_-;_-&quot;$&quot;* &quot;-&quot;??_-;_-@"/>
    <numFmt numFmtId="191" formatCode="_(&quot;$&quot;\ * #,##0.0_);_(&quot;$&quot;\ * \(#,##0.0\);_(&quot;$&quot;\ * &quot;-&quot;??_);_(@_)"/>
  </numFmts>
  <fonts count="45" x14ac:knownFonts="1">
    <font>
      <sz val="11"/>
      <color rgb="FF000000"/>
      <name val="Calibri"/>
    </font>
    <font>
      <sz val="11"/>
      <name val="Calibri"/>
      <family val="2"/>
    </font>
    <font>
      <sz val="11"/>
      <name val="Calibri"/>
      <family val="2"/>
    </font>
    <font>
      <sz val="12"/>
      <name val="Arial"/>
      <family val="2"/>
    </font>
    <font>
      <b/>
      <sz val="14"/>
      <name val="Arial"/>
      <family val="2"/>
    </font>
    <font>
      <sz val="10"/>
      <name val="Arial"/>
      <family val="2"/>
    </font>
    <font>
      <b/>
      <sz val="18"/>
      <name val="Arial"/>
      <family val="2"/>
    </font>
    <font>
      <b/>
      <sz val="8"/>
      <name val="Arial"/>
      <family val="2"/>
    </font>
    <font>
      <sz val="14"/>
      <name val="Calibri"/>
      <family val="2"/>
    </font>
    <font>
      <b/>
      <sz val="10"/>
      <name val="Arial"/>
      <family val="2"/>
    </font>
    <font>
      <sz val="8"/>
      <name val="Arial"/>
      <family val="2"/>
    </font>
    <font>
      <sz val="8"/>
      <color rgb="FF000000"/>
      <name val="Arial"/>
      <family val="2"/>
    </font>
    <font>
      <sz val="10"/>
      <name val="Calibri"/>
      <family val="2"/>
    </font>
    <font>
      <sz val="11"/>
      <name val="Arial Narrow"/>
      <family val="2"/>
    </font>
    <font>
      <sz val="11"/>
      <name val="Arial"/>
      <family val="2"/>
    </font>
    <font>
      <sz val="12"/>
      <name val="Calibri"/>
      <family val="2"/>
    </font>
    <font>
      <b/>
      <sz val="12"/>
      <name val="Arial"/>
      <family val="2"/>
    </font>
    <font>
      <sz val="12"/>
      <color rgb="FF000000"/>
      <name val="Arial"/>
      <family val="2"/>
    </font>
    <font>
      <sz val="12"/>
      <color rgb="FFFF0000"/>
      <name val="Arial"/>
      <family val="2"/>
    </font>
    <font>
      <sz val="11"/>
      <color rgb="FF000000"/>
      <name val="Arial"/>
      <family val="2"/>
    </font>
    <font>
      <b/>
      <sz val="14"/>
      <name val="Calibri"/>
      <family val="2"/>
    </font>
    <font>
      <b/>
      <sz val="11"/>
      <name val="Calibri"/>
      <family val="2"/>
    </font>
    <font>
      <sz val="10"/>
      <color rgb="FF000000"/>
      <name val="Arial"/>
      <family val="2"/>
    </font>
    <font>
      <sz val="8"/>
      <color rgb="FF000000"/>
      <name val="Calibri"/>
      <family val="2"/>
    </font>
    <font>
      <sz val="10"/>
      <color rgb="FFFF0000"/>
      <name val="Calibri"/>
      <family val="2"/>
    </font>
    <font>
      <sz val="22"/>
      <name val="Arial"/>
      <family val="2"/>
    </font>
    <font>
      <sz val="10"/>
      <color rgb="FF000000"/>
      <name val="Calibri"/>
      <family val="2"/>
    </font>
    <font>
      <sz val="9"/>
      <color rgb="FF000000"/>
      <name val="Quattrocento Sans"/>
    </font>
    <font>
      <sz val="24"/>
      <name val="Arial"/>
      <family val="2"/>
    </font>
    <font>
      <b/>
      <sz val="12"/>
      <name val="Tahoma"/>
      <family val="2"/>
    </font>
    <font>
      <sz val="8"/>
      <name val="Calibri"/>
      <family val="2"/>
    </font>
    <font>
      <sz val="11"/>
      <color theme="1"/>
      <name val="Calibri"/>
      <family val="2"/>
    </font>
    <font>
      <sz val="12"/>
      <color theme="1"/>
      <name val="Arial"/>
      <family val="2"/>
    </font>
    <font>
      <sz val="9"/>
      <color indexed="81"/>
      <name val="Tahoma"/>
      <family val="2"/>
    </font>
    <font>
      <sz val="10"/>
      <color theme="1"/>
      <name val="Calibri"/>
      <family val="2"/>
    </font>
    <font>
      <b/>
      <sz val="9"/>
      <color indexed="81"/>
      <name val="Tahoma"/>
      <family val="2"/>
    </font>
    <font>
      <sz val="11"/>
      <name val="Calibri"/>
      <family val="2"/>
    </font>
    <font>
      <b/>
      <sz val="11"/>
      <name val="Arial"/>
      <family val="2"/>
    </font>
    <font>
      <b/>
      <sz val="10"/>
      <name val="Calibri"/>
      <family val="2"/>
    </font>
    <font>
      <sz val="11"/>
      <color rgb="FF000000"/>
      <name val="Calibri"/>
      <family val="2"/>
    </font>
    <font>
      <sz val="11"/>
      <color theme="1"/>
      <name val="Arial"/>
      <family val="2"/>
    </font>
    <font>
      <b/>
      <sz val="11"/>
      <color theme="1"/>
      <name val="Arial"/>
      <family val="2"/>
    </font>
    <font>
      <b/>
      <sz val="11"/>
      <color theme="1"/>
      <name val="Calibri"/>
      <family val="2"/>
    </font>
    <font>
      <sz val="8"/>
      <color theme="0"/>
      <name val="Arial"/>
      <family val="2"/>
    </font>
    <font>
      <b/>
      <sz val="14"/>
      <color rgb="FF000000"/>
      <name val="Calibri"/>
      <family val="2"/>
    </font>
  </fonts>
  <fills count="20">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92D050"/>
        <bgColor rgb="FF92D050"/>
      </patternFill>
    </fill>
    <fill>
      <patternFill patternType="solid">
        <fgColor rgb="FF7BB800"/>
        <bgColor rgb="FF7BB800"/>
      </patternFill>
    </fill>
    <fill>
      <patternFill patternType="solid">
        <fgColor rgb="FF00B050"/>
        <bgColor rgb="FF00B050"/>
      </patternFill>
    </fill>
    <fill>
      <patternFill patternType="solid">
        <fgColor rgb="FFD8D8D8"/>
        <bgColor rgb="FFD8D8D8"/>
      </patternFill>
    </fill>
    <fill>
      <patternFill patternType="solid">
        <fgColor rgb="FFD6DCE4"/>
        <bgColor rgb="FFD6DCE4"/>
      </patternFill>
    </fill>
    <fill>
      <patternFill patternType="solid">
        <fgColor rgb="FFDADADA"/>
        <bgColor rgb="FFDADADA"/>
      </patternFill>
    </fill>
    <fill>
      <patternFill patternType="solid">
        <fgColor rgb="FFD0CECE"/>
        <bgColor rgb="FFD0CECE"/>
      </patternFill>
    </fill>
    <fill>
      <patternFill patternType="solid">
        <fgColor rgb="FFFF66CC"/>
        <bgColor rgb="FFFF66CC"/>
      </patternFill>
    </fill>
    <fill>
      <patternFill patternType="solid">
        <fgColor theme="0"/>
        <bgColor indexed="64"/>
      </patternFill>
    </fill>
    <fill>
      <patternFill patternType="solid">
        <fgColor theme="0"/>
        <bgColor rgb="FFFFFFFF"/>
      </patternFill>
    </fill>
    <fill>
      <patternFill patternType="solid">
        <fgColor rgb="FF92D050"/>
        <bgColor rgb="FFFFFFFF"/>
      </patternFill>
    </fill>
    <fill>
      <patternFill patternType="solid">
        <fgColor rgb="FF92D050"/>
        <bgColor indexed="64"/>
      </patternFill>
    </fill>
    <fill>
      <patternFill patternType="solid">
        <fgColor rgb="FF92D050"/>
        <bgColor rgb="FFFFC000"/>
      </patternFill>
    </fill>
    <fill>
      <patternFill patternType="solid">
        <fgColor theme="0" tint="-0.14999847407452621"/>
        <bgColor rgb="FFFFFFFF"/>
      </patternFill>
    </fill>
    <fill>
      <patternFill patternType="solid">
        <fgColor theme="0" tint="-0.14999847407452621"/>
        <bgColor indexed="64"/>
      </patternFill>
    </fill>
    <fill>
      <patternFill patternType="solid">
        <fgColor theme="0" tint="-0.14999847407452621"/>
        <bgColor rgb="FFD8D8D8"/>
      </patternFill>
    </fill>
  </fills>
  <borders count="141">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top style="medium">
        <color rgb="FF000000"/>
      </top>
      <bottom style="thin">
        <color rgb="FF000000"/>
      </bottom>
      <diagonal/>
    </border>
    <border>
      <left/>
      <right style="thin">
        <color rgb="FF000000"/>
      </right>
      <top/>
      <bottom/>
      <diagonal/>
    </border>
    <border>
      <left/>
      <right style="medium">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top/>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medium">
        <color rgb="FF000000"/>
      </left>
      <right style="thin">
        <color rgb="FF000000"/>
      </right>
      <top style="medium">
        <color rgb="FF000000"/>
      </top>
      <bottom/>
      <diagonal/>
    </border>
    <border>
      <left/>
      <right style="thin">
        <color rgb="FF000000"/>
      </right>
      <top style="thin">
        <color rgb="FF000000"/>
      </top>
      <bottom/>
      <diagonal/>
    </border>
    <border>
      <left style="thin">
        <color rgb="FF000000"/>
      </left>
      <right/>
      <top style="medium">
        <color rgb="FF000000"/>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top style="thin">
        <color rgb="FF000000"/>
      </top>
      <bottom/>
      <diagonal/>
    </border>
    <border>
      <left style="medium">
        <color rgb="FF000000"/>
      </left>
      <right style="thin">
        <color rgb="FF000000"/>
      </right>
      <top/>
      <bottom/>
      <diagonal/>
    </border>
    <border>
      <left style="thin">
        <color rgb="FF000000"/>
      </left>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top style="thin">
        <color rgb="FF000000"/>
      </top>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medium">
        <color rgb="FF000000"/>
      </left>
      <right/>
      <top style="thin">
        <color rgb="FF000000"/>
      </top>
      <bottom style="medium">
        <color rgb="FF000000"/>
      </bottom>
      <diagonal/>
    </border>
    <border>
      <left style="thin">
        <color rgb="FF000000"/>
      </left>
      <right style="medium">
        <color rgb="FF000000"/>
      </right>
      <top/>
      <bottom style="medium">
        <color rgb="FF000000"/>
      </bottom>
      <diagonal/>
    </border>
    <border>
      <left/>
      <right style="thin">
        <color rgb="FF000000"/>
      </right>
      <top style="medium">
        <color rgb="FF000000"/>
      </top>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000000"/>
      </right>
      <top/>
      <bottom/>
      <diagonal/>
    </border>
    <border>
      <left style="thin">
        <color rgb="FF000000"/>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medium">
        <color rgb="FF000000"/>
      </right>
      <top style="thin">
        <color rgb="FF000000"/>
      </top>
      <bottom style="medium">
        <color rgb="FF000000"/>
      </bottom>
      <diagonal/>
    </border>
    <border>
      <left/>
      <right/>
      <top style="thin">
        <color rgb="FF000000"/>
      </top>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right style="thin">
        <color rgb="FF000000"/>
      </right>
      <top/>
      <bottom/>
      <diagonal/>
    </border>
    <border>
      <left style="medium">
        <color rgb="FF000000"/>
      </left>
      <right/>
      <top style="thin">
        <color rgb="FF000000"/>
      </top>
      <bottom/>
      <diagonal/>
    </border>
    <border>
      <left style="medium">
        <color rgb="FF000000"/>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style="thin">
        <color rgb="FF000000"/>
      </top>
      <bottom/>
      <diagonal/>
    </border>
    <border>
      <left/>
      <right/>
      <top/>
      <bottom/>
      <diagonal/>
    </border>
    <border>
      <left style="medium">
        <color rgb="FF000000"/>
      </left>
      <right/>
      <top/>
      <bottom/>
      <diagonal/>
    </border>
    <border>
      <left/>
      <right/>
      <top/>
      <bottom/>
      <diagonal/>
    </border>
    <border>
      <left/>
      <right/>
      <top style="medium">
        <color rgb="FF000000"/>
      </top>
      <bottom style="thin">
        <color rgb="FF000000"/>
      </bottom>
      <diagonal/>
    </border>
    <border>
      <left/>
      <right/>
      <top style="thin">
        <color rgb="FF000000"/>
      </top>
      <bottom style="thin">
        <color rgb="FF000000"/>
      </bottom>
      <diagonal/>
    </border>
    <border>
      <left/>
      <right/>
      <top/>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768">
    <xf numFmtId="0" fontId="0" fillId="0" borderId="0" xfId="0" applyFont="1" applyAlignment="1"/>
    <xf numFmtId="0" fontId="1" fillId="2" borderId="1" xfId="0" applyFont="1" applyFill="1" applyBorder="1"/>
    <xf numFmtId="0" fontId="1" fillId="2" borderId="1" xfId="0" applyFont="1" applyFill="1" applyBorder="1" applyAlignment="1">
      <alignment horizontal="center"/>
    </xf>
    <xf numFmtId="0" fontId="1" fillId="3" borderId="1" xfId="0" applyFont="1" applyFill="1" applyBorder="1" applyAlignment="1">
      <alignment horizontal="center"/>
    </xf>
    <xf numFmtId="0" fontId="5" fillId="0" borderId="0" xfId="0" applyFont="1" applyAlignment="1">
      <alignment vertical="center"/>
    </xf>
    <xf numFmtId="0" fontId="1" fillId="0" borderId="0" xfId="0" applyFont="1"/>
    <xf numFmtId="0" fontId="7" fillId="5" borderId="19" xfId="0" applyFont="1" applyFill="1" applyBorder="1" applyAlignment="1">
      <alignment horizontal="left" vertical="center" wrapText="1"/>
    </xf>
    <xf numFmtId="0" fontId="7" fillId="5" borderId="25" xfId="0" applyFont="1" applyFill="1" applyBorder="1" applyAlignment="1">
      <alignment horizontal="left" vertical="center" wrapText="1"/>
    </xf>
    <xf numFmtId="0" fontId="3" fillId="2" borderId="27" xfId="0" applyFont="1" applyFill="1" applyBorder="1"/>
    <xf numFmtId="0" fontId="3" fillId="2" borderId="1" xfId="0" applyFont="1" applyFill="1" applyBorder="1"/>
    <xf numFmtId="0" fontId="3" fillId="2" borderId="1" xfId="0" applyFont="1" applyFill="1" applyBorder="1" applyAlignment="1">
      <alignment horizontal="center"/>
    </xf>
    <xf numFmtId="0" fontId="3" fillId="3" borderId="1" xfId="0" applyFont="1" applyFill="1" applyBorder="1" applyAlignment="1">
      <alignment horizontal="center"/>
    </xf>
    <xf numFmtId="0" fontId="3" fillId="2" borderId="31" xfId="0" applyFont="1" applyFill="1" applyBorder="1"/>
    <xf numFmtId="0" fontId="9" fillId="0" borderId="0" xfId="0" applyFont="1" applyAlignment="1">
      <alignment vertical="center"/>
    </xf>
    <xf numFmtId="0" fontId="10" fillId="0" borderId="0" xfId="0" applyFont="1" applyAlignment="1">
      <alignment horizontal="left" vertical="center"/>
    </xf>
    <xf numFmtId="9" fontId="5" fillId="0" borderId="0" xfId="0" applyNumberFormat="1" applyFont="1" applyAlignment="1">
      <alignment vertical="center"/>
    </xf>
    <xf numFmtId="10" fontId="5" fillId="0" borderId="0" xfId="0" applyNumberFormat="1" applyFont="1" applyAlignment="1">
      <alignment vertical="center"/>
    </xf>
    <xf numFmtId="0" fontId="5" fillId="0" borderId="0" xfId="0" applyFont="1"/>
    <xf numFmtId="0" fontId="5" fillId="0" borderId="0" xfId="0" applyFont="1" applyAlignment="1">
      <alignment horizontal="left" vertical="center"/>
    </xf>
    <xf numFmtId="0" fontId="10" fillId="0" borderId="0" xfId="0" applyFont="1"/>
    <xf numFmtId="0" fontId="3" fillId="0" borderId="0" xfId="0" applyFont="1" applyAlignment="1">
      <alignment horizontal="center"/>
    </xf>
    <xf numFmtId="0" fontId="3" fillId="2" borderId="27" xfId="0" applyFont="1" applyFill="1" applyBorder="1" applyAlignment="1">
      <alignment vertical="top" wrapText="1"/>
    </xf>
    <xf numFmtId="0" fontId="3" fillId="0" borderId="19" xfId="0" applyFont="1" applyBorder="1" applyAlignment="1">
      <alignment horizontal="center"/>
    </xf>
    <xf numFmtId="0" fontId="3" fillId="2" borderId="1" xfId="0" applyFont="1" applyFill="1" applyBorder="1" applyAlignment="1">
      <alignment vertical="top" wrapText="1"/>
    </xf>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0" borderId="0" xfId="0" applyFont="1" applyAlignment="1">
      <alignment horizontal="center"/>
    </xf>
    <xf numFmtId="167" fontId="1" fillId="0" borderId="0" xfId="0" applyNumberFormat="1" applyFont="1" applyAlignment="1">
      <alignment horizontal="center"/>
    </xf>
    <xf numFmtId="10" fontId="1" fillId="0" borderId="0" xfId="0" applyNumberFormat="1" applyFont="1"/>
    <xf numFmtId="0" fontId="5" fillId="2" borderId="1" xfId="0" applyFont="1" applyFill="1" applyBorder="1" applyAlignment="1">
      <alignment vertical="center"/>
    </xf>
    <xf numFmtId="0" fontId="7" fillId="5" borderId="41" xfId="0" applyFont="1" applyFill="1" applyBorder="1" applyAlignment="1">
      <alignment horizontal="center" vertical="center" wrapText="1"/>
    </xf>
    <xf numFmtId="0" fontId="3" fillId="0" borderId="0" xfId="0" applyFont="1" applyAlignment="1">
      <alignment vertical="center"/>
    </xf>
    <xf numFmtId="0" fontId="10" fillId="5" borderId="41" xfId="0" applyFont="1" applyFill="1" applyBorder="1" applyAlignment="1">
      <alignment horizontal="center" vertical="center" wrapText="1"/>
    </xf>
    <xf numFmtId="10" fontId="5" fillId="5" borderId="41" xfId="0" applyNumberFormat="1" applyFont="1" applyFill="1" applyBorder="1" applyAlignment="1">
      <alignment horizontal="center" vertical="center" wrapText="1"/>
    </xf>
    <xf numFmtId="9" fontId="5" fillId="5" borderId="41" xfId="0" applyNumberFormat="1" applyFont="1" applyFill="1" applyBorder="1" applyAlignment="1">
      <alignment horizontal="center" vertical="center" wrapText="1"/>
    </xf>
    <xf numFmtId="0" fontId="1" fillId="0" borderId="0" xfId="0" applyFont="1" applyAlignment="1">
      <alignment horizontal="left"/>
    </xf>
    <xf numFmtId="0" fontId="5" fillId="5" borderId="41" xfId="0" applyFont="1" applyFill="1" applyBorder="1" applyAlignment="1">
      <alignment horizontal="center" vertical="center" wrapText="1"/>
    </xf>
    <xf numFmtId="0" fontId="3" fillId="0" borderId="0" xfId="0" applyFont="1"/>
    <xf numFmtId="0" fontId="9" fillId="5" borderId="41" xfId="0" applyFont="1" applyFill="1" applyBorder="1" applyAlignment="1">
      <alignment horizontal="center" vertical="center" wrapText="1"/>
    </xf>
    <xf numFmtId="0" fontId="3" fillId="4" borderId="41" xfId="0" applyFont="1" applyFill="1" applyBorder="1" applyAlignment="1">
      <alignment horizontal="center" vertical="center" wrapText="1"/>
    </xf>
    <xf numFmtId="168" fontId="12" fillId="6" borderId="36" xfId="0" applyNumberFormat="1" applyFont="1" applyFill="1" applyBorder="1" applyAlignment="1">
      <alignment vertical="center"/>
    </xf>
    <xf numFmtId="168" fontId="12" fillId="2" borderId="36" xfId="0" applyNumberFormat="1" applyFont="1" applyFill="1" applyBorder="1" applyAlignment="1">
      <alignment vertical="center"/>
    </xf>
    <xf numFmtId="0" fontId="3" fillId="2" borderId="19" xfId="0" applyFont="1" applyFill="1" applyBorder="1" applyAlignment="1">
      <alignment horizontal="center" vertical="center"/>
    </xf>
    <xf numFmtId="0" fontId="3" fillId="2" borderId="19" xfId="0" applyFont="1" applyFill="1" applyBorder="1" applyAlignment="1">
      <alignment horizontal="left" vertical="center" wrapText="1"/>
    </xf>
    <xf numFmtId="168" fontId="12" fillId="4" borderId="25" xfId="0" applyNumberFormat="1" applyFont="1" applyFill="1" applyBorder="1" applyAlignment="1">
      <alignment vertical="center"/>
    </xf>
    <xf numFmtId="168" fontId="12" fillId="2" borderId="25" xfId="0" applyNumberFormat="1" applyFont="1" applyFill="1" applyBorder="1" applyAlignment="1">
      <alignment vertical="center"/>
    </xf>
    <xf numFmtId="0" fontId="3" fillId="0" borderId="19" xfId="0" applyFont="1" applyBorder="1" applyAlignment="1">
      <alignment horizontal="center" vertical="center"/>
    </xf>
    <xf numFmtId="169" fontId="3" fillId="2" borderId="19" xfId="0" applyNumberFormat="1" applyFont="1" applyFill="1" applyBorder="1" applyAlignment="1">
      <alignment horizontal="center" vertical="center"/>
    </xf>
    <xf numFmtId="170" fontId="3" fillId="2" borderId="19" xfId="0" applyNumberFormat="1" applyFont="1" applyFill="1" applyBorder="1" applyAlignment="1">
      <alignment horizontal="center" vertical="center"/>
    </xf>
    <xf numFmtId="0" fontId="13" fillId="0" borderId="0" xfId="0" applyFont="1" applyAlignment="1">
      <alignment horizontal="center" vertical="center"/>
    </xf>
    <xf numFmtId="168" fontId="12" fillId="4" borderId="19" xfId="0" applyNumberFormat="1" applyFont="1" applyFill="1" applyBorder="1" applyAlignment="1">
      <alignment vertical="center"/>
    </xf>
    <xf numFmtId="167" fontId="3" fillId="2" borderId="19" xfId="0" applyNumberFormat="1" applyFont="1" applyFill="1" applyBorder="1" applyAlignment="1">
      <alignment horizontal="center" vertical="center"/>
    </xf>
    <xf numFmtId="168" fontId="12" fillId="2" borderId="19" xfId="0" applyNumberFormat="1" applyFont="1" applyFill="1" applyBorder="1" applyAlignment="1">
      <alignment vertical="center"/>
    </xf>
    <xf numFmtId="1" fontId="3" fillId="2" borderId="19" xfId="0" applyNumberFormat="1" applyFont="1" applyFill="1" applyBorder="1" applyAlignment="1">
      <alignment horizontal="center" vertical="center"/>
    </xf>
    <xf numFmtId="168" fontId="12" fillId="6" borderId="19" xfId="0" applyNumberFormat="1" applyFont="1" applyFill="1" applyBorder="1" applyAlignment="1">
      <alignment vertical="center"/>
    </xf>
    <xf numFmtId="3" fontId="3" fillId="0" borderId="19" xfId="0" applyNumberFormat="1" applyFont="1" applyBorder="1" applyAlignment="1">
      <alignment horizontal="center" vertical="center"/>
    </xf>
    <xf numFmtId="0" fontId="3" fillId="2" borderId="34" xfId="0" applyFont="1" applyFill="1" applyBorder="1" applyAlignment="1">
      <alignment horizontal="left" vertical="center" wrapText="1"/>
    </xf>
    <xf numFmtId="3" fontId="3" fillId="2" borderId="36" xfId="0" applyNumberFormat="1" applyFont="1" applyFill="1" applyBorder="1" applyAlignment="1">
      <alignment horizontal="center" vertical="center" wrapText="1"/>
    </xf>
    <xf numFmtId="9" fontId="3" fillId="0" borderId="19" xfId="0" applyNumberFormat="1" applyFont="1" applyBorder="1" applyAlignment="1">
      <alignment horizontal="center" vertical="center"/>
    </xf>
    <xf numFmtId="0" fontId="3" fillId="2" borderId="36" xfId="0" applyFont="1" applyFill="1" applyBorder="1" applyAlignment="1">
      <alignment horizontal="center" vertical="center"/>
    </xf>
    <xf numFmtId="9" fontId="3" fillId="2" borderId="19" xfId="0" applyNumberFormat="1" applyFont="1" applyFill="1" applyBorder="1" applyAlignment="1">
      <alignment horizontal="center" vertical="center"/>
    </xf>
    <xf numFmtId="3" fontId="3" fillId="0" borderId="36" xfId="0" applyNumberFormat="1" applyFont="1" applyBorder="1" applyAlignment="1">
      <alignment horizontal="center" vertical="center" wrapText="1"/>
    </xf>
    <xf numFmtId="0" fontId="3" fillId="0" borderId="36" xfId="0" applyFont="1" applyBorder="1" applyAlignment="1">
      <alignment horizontal="center" vertical="center"/>
    </xf>
    <xf numFmtId="10" fontId="3" fillId="2" borderId="19" xfId="0" applyNumberFormat="1" applyFont="1" applyFill="1" applyBorder="1" applyAlignment="1">
      <alignment horizontal="center" vertical="center"/>
    </xf>
    <xf numFmtId="3" fontId="3" fillId="2" borderId="36" xfId="0" applyNumberFormat="1" applyFont="1" applyFill="1" applyBorder="1" applyAlignment="1">
      <alignment horizontal="center" vertical="center"/>
    </xf>
    <xf numFmtId="168" fontId="12" fillId="6" borderId="25" xfId="0" applyNumberFormat="1" applyFont="1" applyFill="1" applyBorder="1" applyAlignment="1">
      <alignment vertical="center"/>
    </xf>
    <xf numFmtId="167" fontId="3" fillId="2" borderId="36" xfId="0" applyNumberFormat="1" applyFont="1" applyFill="1" applyBorder="1" applyAlignment="1">
      <alignment horizontal="center" vertical="center"/>
    </xf>
    <xf numFmtId="10" fontId="3" fillId="2" borderId="36" xfId="0" applyNumberFormat="1" applyFont="1" applyFill="1" applyBorder="1" applyAlignment="1">
      <alignment horizontal="center" vertical="center"/>
    </xf>
    <xf numFmtId="10" fontId="3" fillId="0" borderId="71" xfId="0" applyNumberFormat="1" applyFont="1" applyBorder="1" applyAlignment="1">
      <alignment horizontal="center" vertical="center"/>
    </xf>
    <xf numFmtId="168" fontId="3" fillId="0" borderId="19" xfId="0" applyNumberFormat="1" applyFont="1" applyBorder="1" applyAlignment="1">
      <alignment horizontal="center" vertical="center"/>
    </xf>
    <xf numFmtId="0" fontId="1" fillId="2" borderId="1" xfId="0" applyFont="1" applyFill="1" applyBorder="1" applyAlignment="1">
      <alignment horizontal="center" vertical="center"/>
    </xf>
    <xf numFmtId="171" fontId="3" fillId="2" borderId="39" xfId="0" applyNumberFormat="1" applyFont="1" applyFill="1" applyBorder="1" applyAlignment="1">
      <alignment horizontal="left" vertical="center" wrapText="1"/>
    </xf>
    <xf numFmtId="4" fontId="3" fillId="0" borderId="19" xfId="0" applyNumberFormat="1" applyFont="1" applyBorder="1" applyAlignment="1">
      <alignment horizontal="center" vertical="center"/>
    </xf>
    <xf numFmtId="171" fontId="3" fillId="2" borderId="19" xfId="0" applyNumberFormat="1" applyFont="1" applyFill="1" applyBorder="1" applyAlignment="1">
      <alignment horizontal="center" vertical="center" wrapText="1"/>
    </xf>
    <xf numFmtId="171" fontId="3" fillId="2" borderId="19" xfId="0" applyNumberFormat="1" applyFont="1" applyFill="1" applyBorder="1" applyAlignment="1">
      <alignment horizontal="center" vertical="center"/>
    </xf>
    <xf numFmtId="171" fontId="3" fillId="0" borderId="19" xfId="0" applyNumberFormat="1" applyFont="1" applyBorder="1" applyAlignment="1">
      <alignment horizontal="center" vertical="center"/>
    </xf>
    <xf numFmtId="10" fontId="3" fillId="2" borderId="73" xfId="0" applyNumberFormat="1" applyFont="1" applyFill="1" applyBorder="1" applyAlignment="1">
      <alignment horizontal="center" vertical="center"/>
    </xf>
    <xf numFmtId="10" fontId="3" fillId="0" borderId="72" xfId="0" applyNumberFormat="1" applyFont="1" applyBorder="1" applyAlignment="1">
      <alignment horizontal="center" vertical="center"/>
    </xf>
    <xf numFmtId="171" fontId="1" fillId="2" borderId="1" xfId="0" applyNumberFormat="1" applyFont="1" applyFill="1" applyBorder="1"/>
    <xf numFmtId="4" fontId="3" fillId="2" borderId="19" xfId="0" applyNumberFormat="1" applyFont="1" applyFill="1" applyBorder="1" applyAlignment="1">
      <alignment horizontal="center" vertical="center"/>
    </xf>
    <xf numFmtId="0" fontId="3" fillId="2" borderId="39" xfId="0" applyFont="1" applyFill="1" applyBorder="1" applyAlignment="1">
      <alignment horizontal="left" vertical="center" wrapText="1"/>
    </xf>
    <xf numFmtId="0" fontId="3" fillId="7" borderId="19" xfId="0" applyFont="1" applyFill="1" applyBorder="1" applyAlignment="1">
      <alignment horizontal="right" vertical="center"/>
    </xf>
    <xf numFmtId="0" fontId="3" fillId="7" borderId="19" xfId="0" applyFont="1" applyFill="1" applyBorder="1" applyAlignment="1">
      <alignment horizontal="center" vertical="center"/>
    </xf>
    <xf numFmtId="37" fontId="3" fillId="7" borderId="19" xfId="0" applyNumberFormat="1" applyFont="1" applyFill="1" applyBorder="1" applyAlignment="1">
      <alignment horizontal="center" vertical="center"/>
    </xf>
    <xf numFmtId="10" fontId="3" fillId="0" borderId="19" xfId="0" applyNumberFormat="1" applyFont="1" applyBorder="1" applyAlignment="1">
      <alignment horizontal="center" vertical="center"/>
    </xf>
    <xf numFmtId="0" fontId="5" fillId="2" borderId="1" xfId="0" applyFont="1" applyFill="1" applyBorder="1" applyAlignment="1">
      <alignment horizontal="left" vertical="center" wrapText="1"/>
    </xf>
    <xf numFmtId="37" fontId="3" fillId="8" borderId="19" xfId="0" applyNumberFormat="1" applyFont="1" applyFill="1" applyBorder="1" applyAlignment="1">
      <alignment horizontal="center" vertical="center"/>
    </xf>
    <xf numFmtId="1" fontId="3" fillId="9" borderId="19" xfId="0" applyNumberFormat="1" applyFont="1" applyFill="1" applyBorder="1" applyAlignment="1">
      <alignment horizontal="center" vertical="center"/>
    </xf>
    <xf numFmtId="1" fontId="3" fillId="10" borderId="19" xfId="0" applyNumberFormat="1" applyFont="1" applyFill="1" applyBorder="1" applyAlignment="1">
      <alignment horizontal="center" vertical="center"/>
    </xf>
    <xf numFmtId="37" fontId="3" fillId="0" borderId="19" xfId="0" applyNumberFormat="1" applyFont="1" applyBorder="1" applyAlignment="1">
      <alignment horizontal="center" vertical="center"/>
    </xf>
    <xf numFmtId="0" fontId="0" fillId="0" borderId="36" xfId="0" applyFont="1" applyBorder="1" applyAlignment="1">
      <alignment horizontal="center" vertical="center" wrapText="1"/>
    </xf>
    <xf numFmtId="37" fontId="3" fillId="2" borderId="19" xfId="0" applyNumberFormat="1" applyFont="1" applyFill="1" applyBorder="1" applyAlignment="1">
      <alignment horizontal="center" vertical="center"/>
    </xf>
    <xf numFmtId="10" fontId="3" fillId="2" borderId="36" xfId="0" applyNumberFormat="1" applyFont="1" applyFill="1" applyBorder="1" applyAlignment="1">
      <alignment horizontal="center" vertical="center" wrapText="1"/>
    </xf>
    <xf numFmtId="0" fontId="3" fillId="0" borderId="19" xfId="0" applyFont="1" applyBorder="1" applyAlignment="1">
      <alignment horizontal="right" vertical="center"/>
    </xf>
    <xf numFmtId="0" fontId="0" fillId="0" borderId="19" xfId="0" applyFont="1" applyBorder="1" applyAlignment="1">
      <alignment horizontal="center" vertical="center" wrapText="1"/>
    </xf>
    <xf numFmtId="10" fontId="3" fillId="7" borderId="19" xfId="0" applyNumberFormat="1" applyFont="1" applyFill="1" applyBorder="1" applyAlignment="1">
      <alignment horizontal="center" vertical="center"/>
    </xf>
    <xf numFmtId="10" fontId="3" fillId="7" borderId="72" xfId="0" applyNumberFormat="1" applyFont="1" applyFill="1" applyBorder="1" applyAlignment="1">
      <alignment horizontal="center" vertical="center"/>
    </xf>
    <xf numFmtId="171" fontId="3" fillId="2" borderId="19" xfId="0" applyNumberFormat="1" applyFont="1" applyFill="1" applyBorder="1" applyAlignment="1">
      <alignment horizontal="right" vertical="center"/>
    </xf>
    <xf numFmtId="171" fontId="3" fillId="7" borderId="19" xfId="0" applyNumberFormat="1" applyFont="1" applyFill="1" applyBorder="1" applyAlignment="1">
      <alignment horizontal="right" vertical="center"/>
    </xf>
    <xf numFmtId="171" fontId="3" fillId="7" borderId="19" xfId="0" applyNumberFormat="1" applyFont="1" applyFill="1" applyBorder="1" applyAlignment="1">
      <alignment horizontal="center" vertical="center"/>
    </xf>
    <xf numFmtId="10" fontId="3" fillId="2" borderId="19" xfId="0" applyNumberFormat="1" applyFont="1" applyFill="1" applyBorder="1" applyAlignment="1">
      <alignment horizontal="center" vertical="center" wrapText="1"/>
    </xf>
    <xf numFmtId="171" fontId="1" fillId="0" borderId="19" xfId="0" applyNumberFormat="1" applyFont="1" applyBorder="1" applyAlignment="1">
      <alignment horizontal="center" vertical="center"/>
    </xf>
    <xf numFmtId="171" fontId="3" fillId="0" borderId="19" xfId="0" applyNumberFormat="1" applyFont="1" applyBorder="1" applyAlignment="1">
      <alignment horizontal="right" vertical="center"/>
    </xf>
    <xf numFmtId="171" fontId="15" fillId="2" borderId="19" xfId="0" applyNumberFormat="1" applyFont="1" applyFill="1" applyBorder="1" applyAlignment="1">
      <alignment horizontal="center" vertical="center"/>
    </xf>
    <xf numFmtId="10" fontId="5" fillId="2" borderId="1" xfId="0" applyNumberFormat="1" applyFont="1" applyFill="1" applyBorder="1" applyAlignment="1">
      <alignment vertical="center"/>
    </xf>
    <xf numFmtId="171" fontId="1" fillId="2" borderId="1" xfId="0" applyNumberFormat="1" applyFont="1" applyFill="1" applyBorder="1" applyAlignment="1">
      <alignment horizontal="center" vertical="center"/>
    </xf>
    <xf numFmtId="3" fontId="3" fillId="2" borderId="19" xfId="0" applyNumberFormat="1" applyFont="1" applyFill="1" applyBorder="1" applyAlignment="1">
      <alignment horizontal="center" vertical="center" wrapText="1"/>
    </xf>
    <xf numFmtId="3" fontId="3" fillId="2" borderId="19" xfId="0" applyNumberFormat="1" applyFont="1" applyFill="1" applyBorder="1" applyAlignment="1">
      <alignment horizontal="center" vertical="center"/>
    </xf>
    <xf numFmtId="3" fontId="3" fillId="0" borderId="19" xfId="0" applyNumberFormat="1" applyFont="1" applyBorder="1" applyAlignment="1">
      <alignment horizontal="center" vertical="center" wrapText="1"/>
    </xf>
    <xf numFmtId="171" fontId="3" fillId="2" borderId="79" xfId="0" applyNumberFormat="1" applyFont="1" applyFill="1" applyBorder="1" applyAlignment="1">
      <alignment horizontal="left" vertical="center" wrapText="1"/>
    </xf>
    <xf numFmtId="171" fontId="3" fillId="2" borderId="25" xfId="0" applyNumberFormat="1" applyFont="1" applyFill="1" applyBorder="1" applyAlignment="1">
      <alignment horizontal="center" vertical="center"/>
    </xf>
    <xf numFmtId="171" fontId="3" fillId="0" borderId="25" xfId="0" applyNumberFormat="1" applyFont="1" applyBorder="1" applyAlignment="1">
      <alignment horizontal="center" vertical="center"/>
    </xf>
    <xf numFmtId="10" fontId="3" fillId="0" borderId="59" xfId="0" applyNumberFormat="1" applyFont="1" applyBorder="1" applyAlignment="1">
      <alignment horizontal="center" vertical="center"/>
    </xf>
    <xf numFmtId="0" fontId="3" fillId="2" borderId="80" xfId="0" applyFont="1" applyFill="1" applyBorder="1" applyAlignment="1">
      <alignment horizontal="left" vertical="center" wrapText="1"/>
    </xf>
    <xf numFmtId="3" fontId="3" fillId="2" borderId="34" xfId="0" applyNumberFormat="1" applyFont="1" applyFill="1" applyBorder="1" applyAlignment="1">
      <alignment horizontal="center" vertical="center" wrapText="1"/>
    </xf>
    <xf numFmtId="3" fontId="3" fillId="7" borderId="36" xfId="0" applyNumberFormat="1" applyFont="1" applyFill="1" applyBorder="1" applyAlignment="1">
      <alignment horizontal="center" vertical="center" wrapText="1"/>
    </xf>
    <xf numFmtId="2" fontId="3" fillId="0" borderId="19" xfId="0" applyNumberFormat="1" applyFont="1" applyBorder="1" applyAlignment="1">
      <alignment horizontal="center" vertical="center"/>
    </xf>
    <xf numFmtId="10" fontId="12" fillId="4" borderId="19" xfId="0" applyNumberFormat="1" applyFont="1" applyFill="1" applyBorder="1" applyAlignment="1">
      <alignment vertical="center"/>
    </xf>
    <xf numFmtId="2" fontId="3" fillId="2" borderId="19" xfId="0" applyNumberFormat="1" applyFont="1" applyFill="1" applyBorder="1" applyAlignment="1">
      <alignment horizontal="center" vertical="center"/>
    </xf>
    <xf numFmtId="173" fontId="3" fillId="2" borderId="36" xfId="0" applyNumberFormat="1" applyFont="1" applyFill="1" applyBorder="1" applyAlignment="1">
      <alignment horizontal="center" vertical="center" wrapText="1"/>
    </xf>
    <xf numFmtId="165" fontId="3" fillId="2" borderId="19" xfId="0" applyNumberFormat="1" applyFont="1" applyFill="1" applyBorder="1" applyAlignment="1">
      <alignment horizontal="center" vertical="center"/>
    </xf>
    <xf numFmtId="2" fontId="3" fillId="2" borderId="36" xfId="0" applyNumberFormat="1" applyFont="1" applyFill="1" applyBorder="1" applyAlignment="1">
      <alignment horizontal="center" vertical="center"/>
    </xf>
    <xf numFmtId="170" fontId="3" fillId="2" borderId="36" xfId="0" applyNumberFormat="1" applyFont="1" applyFill="1" applyBorder="1" applyAlignment="1">
      <alignment horizontal="center" vertical="center"/>
    </xf>
    <xf numFmtId="165" fontId="3" fillId="0" borderId="19" xfId="0" applyNumberFormat="1" applyFont="1" applyBorder="1" applyAlignment="1">
      <alignment horizontal="center" vertical="center"/>
    </xf>
    <xf numFmtId="171" fontId="3" fillId="2" borderId="81" xfId="0" applyNumberFormat="1" applyFont="1" applyFill="1" applyBorder="1" applyAlignment="1">
      <alignment horizontal="left" vertical="center" wrapText="1"/>
    </xf>
    <xf numFmtId="171" fontId="3" fillId="2" borderId="39" xfId="0" applyNumberFormat="1" applyFont="1" applyFill="1" applyBorder="1" applyAlignment="1">
      <alignment horizontal="center" vertical="center"/>
    </xf>
    <xf numFmtId="10" fontId="3" fillId="0" borderId="69" xfId="0" applyNumberFormat="1" applyFont="1" applyBorder="1" applyAlignment="1">
      <alignment horizontal="center" vertical="center"/>
    </xf>
    <xf numFmtId="0" fontId="3" fillId="2" borderId="81" xfId="0" applyFont="1" applyFill="1" applyBorder="1" applyAlignment="1">
      <alignment horizontal="left" vertical="center" wrapText="1"/>
    </xf>
    <xf numFmtId="0" fontId="3" fillId="7" borderId="39" xfId="0" applyFont="1" applyFill="1" applyBorder="1" applyAlignment="1">
      <alignment horizontal="right" vertical="center"/>
    </xf>
    <xf numFmtId="0" fontId="3" fillId="10" borderId="19" xfId="0" applyFont="1" applyFill="1" applyBorder="1" applyAlignment="1">
      <alignment horizontal="center" vertical="center"/>
    </xf>
    <xf numFmtId="0" fontId="1" fillId="9" borderId="19" xfId="0" applyFont="1" applyFill="1" applyBorder="1"/>
    <xf numFmtId="171" fontId="3" fillId="2" borderId="39" xfId="0" applyNumberFormat="1" applyFont="1" applyFill="1" applyBorder="1" applyAlignment="1">
      <alignment horizontal="right" vertical="center"/>
    </xf>
    <xf numFmtId="0" fontId="0" fillId="0" borderId="0" xfId="0" applyFont="1"/>
    <xf numFmtId="3" fontId="3" fillId="2" borderId="39" xfId="0" applyNumberFormat="1" applyFont="1" applyFill="1" applyBorder="1" applyAlignment="1">
      <alignment horizontal="center" vertical="center" wrapText="1"/>
    </xf>
    <xf numFmtId="3" fontId="3" fillId="7" borderId="19" xfId="0" applyNumberFormat="1" applyFont="1" applyFill="1" applyBorder="1" applyAlignment="1">
      <alignment horizontal="center" vertical="center" wrapText="1"/>
    </xf>
    <xf numFmtId="173" fontId="3" fillId="2" borderId="19" xfId="0" applyNumberFormat="1" applyFont="1" applyFill="1" applyBorder="1" applyAlignment="1">
      <alignment horizontal="center" vertical="center" wrapText="1"/>
    </xf>
    <xf numFmtId="4" fontId="3" fillId="2" borderId="19" xfId="0" applyNumberFormat="1" applyFont="1" applyFill="1" applyBorder="1" applyAlignment="1">
      <alignment horizontal="center" vertical="center" wrapText="1"/>
    </xf>
    <xf numFmtId="0" fontId="21" fillId="0" borderId="0" xfId="0" applyFont="1" applyAlignment="1">
      <alignment horizontal="center"/>
    </xf>
    <xf numFmtId="173" fontId="3" fillId="0" borderId="19" xfId="0" applyNumberFormat="1" applyFont="1" applyBorder="1" applyAlignment="1">
      <alignment horizontal="center" vertical="center"/>
    </xf>
    <xf numFmtId="173" fontId="3" fillId="0" borderId="19" xfId="0" applyNumberFormat="1" applyFont="1" applyBorder="1" applyAlignment="1">
      <alignment horizontal="center" vertical="center" wrapText="1"/>
    </xf>
    <xf numFmtId="1" fontId="3" fillId="0" borderId="19" xfId="0" applyNumberFormat="1" applyFont="1" applyBorder="1" applyAlignment="1">
      <alignment horizontal="center" vertical="center"/>
    </xf>
    <xf numFmtId="10" fontId="9" fillId="5" borderId="89" xfId="0" applyNumberFormat="1" applyFont="1" applyFill="1" applyBorder="1" applyAlignment="1">
      <alignment horizontal="center" vertical="center" wrapText="1"/>
    </xf>
    <xf numFmtId="171" fontId="3" fillId="2" borderId="90" xfId="0" applyNumberFormat="1" applyFont="1" applyFill="1" applyBorder="1" applyAlignment="1">
      <alignment horizontal="left" vertical="center" wrapText="1"/>
    </xf>
    <xf numFmtId="0" fontId="9" fillId="5" borderId="91" xfId="0" applyFont="1" applyFill="1" applyBorder="1" applyAlignment="1">
      <alignment horizontal="left" vertical="center" wrapText="1"/>
    </xf>
    <xf numFmtId="171" fontId="3" fillId="2" borderId="79" xfId="0" applyNumberFormat="1" applyFont="1" applyFill="1" applyBorder="1" applyAlignment="1">
      <alignment horizontal="center" vertical="center"/>
    </xf>
    <xf numFmtId="0" fontId="10" fillId="0" borderId="0" xfId="0" applyFont="1" applyAlignment="1">
      <alignment vertical="center"/>
    </xf>
    <xf numFmtId="171" fontId="3" fillId="7" borderId="25" xfId="0" applyNumberFormat="1" applyFont="1" applyFill="1" applyBorder="1" applyAlignment="1">
      <alignment horizontal="center" vertical="center"/>
    </xf>
    <xf numFmtId="0" fontId="7"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9" fontId="9" fillId="2" borderId="1" xfId="0" applyNumberFormat="1" applyFont="1" applyFill="1" applyBorder="1" applyAlignment="1">
      <alignment horizontal="center" vertical="center" wrapText="1"/>
    </xf>
    <xf numFmtId="10" fontId="9" fillId="2" borderId="1" xfId="0" applyNumberFormat="1" applyFont="1" applyFill="1" applyBorder="1" applyAlignment="1">
      <alignment horizontal="center" vertical="center"/>
    </xf>
    <xf numFmtId="0" fontId="22" fillId="0" borderId="0" xfId="0" applyFont="1"/>
    <xf numFmtId="0" fontId="23" fillId="0" borderId="0" xfId="0" applyFont="1"/>
    <xf numFmtId="9" fontId="0" fillId="0" borderId="0" xfId="0" applyNumberFormat="1" applyFont="1"/>
    <xf numFmtId="37" fontId="3" fillId="7" borderId="19" xfId="0" applyNumberFormat="1" applyFont="1" applyFill="1" applyBorder="1" applyAlignment="1">
      <alignment horizontal="right" vertical="center"/>
    </xf>
    <xf numFmtId="171" fontId="1" fillId="2" borderId="19" xfId="0" applyNumberFormat="1" applyFont="1" applyFill="1" applyBorder="1"/>
    <xf numFmtId="171" fontId="3" fillId="2" borderId="25" xfId="0" applyNumberFormat="1" applyFont="1" applyFill="1" applyBorder="1" applyAlignment="1">
      <alignment horizontal="center" vertical="center" wrapText="1"/>
    </xf>
    <xf numFmtId="1" fontId="3" fillId="2" borderId="34" xfId="0" applyNumberFormat="1" applyFont="1" applyFill="1" applyBorder="1" applyAlignment="1">
      <alignment horizontal="center" vertical="center" wrapText="1"/>
    </xf>
    <xf numFmtId="37" fontId="3" fillId="2" borderId="36" xfId="0" applyNumberFormat="1" applyFont="1" applyFill="1" applyBorder="1" applyAlignment="1">
      <alignment horizontal="center" vertical="center"/>
    </xf>
    <xf numFmtId="37" fontId="3" fillId="0" borderId="36" xfId="0" applyNumberFormat="1" applyFont="1" applyBorder="1" applyAlignment="1">
      <alignment horizontal="center" vertical="center"/>
    </xf>
    <xf numFmtId="0" fontId="3" fillId="7" borderId="39" xfId="0" applyFont="1" applyFill="1" applyBorder="1" applyAlignment="1">
      <alignment horizontal="center" vertical="center"/>
    </xf>
    <xf numFmtId="0" fontId="3" fillId="7" borderId="19" xfId="0" applyFont="1" applyFill="1" applyBorder="1" applyAlignment="1">
      <alignment horizontal="right" vertical="center" wrapText="1"/>
    </xf>
    <xf numFmtId="171" fontId="1" fillId="2" borderId="19" xfId="0" applyNumberFormat="1" applyFont="1" applyFill="1" applyBorder="1" applyAlignment="1">
      <alignment horizontal="center" vertical="center"/>
    </xf>
    <xf numFmtId="1" fontId="3" fillId="2" borderId="39" xfId="0" applyNumberFormat="1" applyFont="1" applyFill="1" applyBorder="1" applyAlignment="1">
      <alignment horizontal="center" vertical="center" wrapText="1"/>
    </xf>
    <xf numFmtId="171" fontId="3" fillId="2" borderId="79" xfId="0" applyNumberFormat="1" applyFont="1" applyFill="1" applyBorder="1" applyAlignment="1">
      <alignment vertical="center"/>
    </xf>
    <xf numFmtId="37" fontId="3" fillId="2" borderId="34" xfId="0" applyNumberFormat="1" applyFont="1" applyFill="1" applyBorder="1" applyAlignment="1">
      <alignment horizontal="center" vertical="center"/>
    </xf>
    <xf numFmtId="37" fontId="3" fillId="7" borderId="39" xfId="0" applyNumberFormat="1" applyFont="1" applyFill="1" applyBorder="1" applyAlignment="1">
      <alignment horizontal="center" vertical="center"/>
    </xf>
    <xf numFmtId="0" fontId="1" fillId="7" borderId="19" xfId="0" applyFont="1" applyFill="1" applyBorder="1" applyAlignment="1">
      <alignment horizontal="center" vertical="center"/>
    </xf>
    <xf numFmtId="37" fontId="3" fillId="2" borderId="39" xfId="0" applyNumberFormat="1" applyFont="1" applyFill="1" applyBorder="1" applyAlignment="1">
      <alignment horizontal="center" vertical="center"/>
    </xf>
    <xf numFmtId="0" fontId="10" fillId="0" borderId="0" xfId="0" applyFont="1" applyAlignment="1">
      <alignment vertical="center" wrapText="1"/>
    </xf>
    <xf numFmtId="0" fontId="10" fillId="0" borderId="0" xfId="0" applyFont="1" applyAlignment="1">
      <alignment wrapText="1"/>
    </xf>
    <xf numFmtId="174" fontId="3" fillId="2" borderId="36" xfId="0" applyNumberFormat="1" applyFont="1" applyFill="1" applyBorder="1" applyAlignment="1">
      <alignment horizontal="center" vertical="center"/>
    </xf>
    <xf numFmtId="175" fontId="3" fillId="2" borderId="36" xfId="0" applyNumberFormat="1" applyFont="1" applyFill="1" applyBorder="1" applyAlignment="1">
      <alignment horizontal="center" vertical="center"/>
    </xf>
    <xf numFmtId="177" fontId="3" fillId="7" borderId="19" xfId="0" applyNumberFormat="1" applyFont="1" applyFill="1" applyBorder="1" applyAlignment="1">
      <alignment horizontal="center" vertical="center"/>
    </xf>
    <xf numFmtId="171" fontId="1" fillId="7" borderId="19" xfId="0" applyNumberFormat="1" applyFont="1" applyFill="1" applyBorder="1"/>
    <xf numFmtId="0" fontId="7" fillId="4" borderId="103" xfId="0" applyFont="1" applyFill="1" applyBorder="1" applyAlignment="1">
      <alignment horizontal="center" vertical="center"/>
    </xf>
    <xf numFmtId="171" fontId="3" fillId="9" borderId="19" xfId="0" applyNumberFormat="1" applyFont="1" applyFill="1" applyBorder="1" applyAlignment="1">
      <alignment horizontal="center" vertical="center"/>
    </xf>
    <xf numFmtId="0" fontId="7" fillId="0" borderId="0" xfId="0" applyFont="1" applyAlignment="1">
      <alignment horizontal="center" vertical="center" wrapText="1"/>
    </xf>
    <xf numFmtId="0" fontId="10" fillId="0" borderId="0" xfId="0" applyFont="1" applyAlignment="1">
      <alignment horizontal="center" vertical="center" wrapText="1"/>
    </xf>
    <xf numFmtId="0" fontId="7" fillId="0" borderId="0" xfId="0" applyFont="1" applyAlignment="1">
      <alignment vertical="center" wrapText="1"/>
    </xf>
    <xf numFmtId="178" fontId="3" fillId="2" borderId="19" xfId="0" applyNumberFormat="1" applyFont="1" applyFill="1" applyBorder="1" applyAlignment="1">
      <alignment horizontal="center" vertical="center"/>
    </xf>
    <xf numFmtId="178" fontId="3" fillId="0" borderId="19" xfId="0" applyNumberFormat="1" applyFont="1" applyBorder="1" applyAlignment="1">
      <alignment horizontal="center" vertical="center"/>
    </xf>
    <xf numFmtId="174" fontId="3" fillId="0" borderId="19" xfId="0" applyNumberFormat="1" applyFont="1" applyBorder="1" applyAlignment="1">
      <alignment horizontal="center" vertical="center"/>
    </xf>
    <xf numFmtId="175" fontId="3" fillId="0" borderId="19" xfId="0" applyNumberFormat="1" applyFont="1" applyBorder="1" applyAlignment="1">
      <alignment horizontal="center" vertical="center"/>
    </xf>
    <xf numFmtId="179" fontId="3" fillId="0" borderId="25" xfId="0" applyNumberFormat="1" applyFont="1" applyBorder="1" applyAlignment="1">
      <alignment horizontal="center" vertical="center"/>
    </xf>
    <xf numFmtId="176" fontId="3" fillId="2" borderId="36" xfId="0" applyNumberFormat="1" applyFont="1" applyFill="1" applyBorder="1" applyAlignment="1">
      <alignment horizontal="center" vertical="center"/>
    </xf>
    <xf numFmtId="167" fontId="3" fillId="2" borderId="19" xfId="0" applyNumberFormat="1" applyFont="1" applyFill="1" applyBorder="1" applyAlignment="1">
      <alignment horizontal="left" vertical="center" wrapText="1"/>
    </xf>
    <xf numFmtId="167" fontId="3" fillId="2" borderId="19" xfId="0" applyNumberFormat="1" applyFont="1" applyFill="1" applyBorder="1" applyAlignment="1">
      <alignment vertical="center" wrapText="1"/>
    </xf>
    <xf numFmtId="167" fontId="3" fillId="0" borderId="19" xfId="0" applyNumberFormat="1" applyFont="1" applyBorder="1" applyAlignment="1">
      <alignment vertical="center" wrapText="1"/>
    </xf>
    <xf numFmtId="1" fontId="3" fillId="2" borderId="36" xfId="0" applyNumberFormat="1" applyFont="1" applyFill="1" applyBorder="1" applyAlignment="1">
      <alignment horizontal="center" vertical="center"/>
    </xf>
    <xf numFmtId="39" fontId="3" fillId="2" borderId="36" xfId="0" applyNumberFormat="1" applyFont="1" applyFill="1" applyBorder="1" applyAlignment="1">
      <alignment horizontal="center" vertical="center"/>
    </xf>
    <xf numFmtId="181" fontId="3" fillId="7" borderId="19" xfId="0" applyNumberFormat="1" applyFont="1" applyFill="1" applyBorder="1" applyAlignment="1">
      <alignment horizontal="center" vertical="center"/>
    </xf>
    <xf numFmtId="37" fontId="3" fillId="10" borderId="19" xfId="0" applyNumberFormat="1" applyFont="1" applyFill="1" applyBorder="1" applyAlignment="1">
      <alignment horizontal="center" vertical="center"/>
    </xf>
    <xf numFmtId="0" fontId="1" fillId="10" borderId="19" xfId="0" applyFont="1" applyFill="1" applyBorder="1"/>
    <xf numFmtId="171" fontId="3" fillId="0" borderId="58" xfId="0" applyNumberFormat="1" applyFont="1" applyBorder="1" applyAlignment="1">
      <alignment horizontal="center" vertical="center"/>
    </xf>
    <xf numFmtId="0" fontId="12" fillId="2" borderId="1" xfId="0" applyFont="1" applyFill="1" applyBorder="1" applyAlignment="1">
      <alignment horizontal="center" vertical="center"/>
    </xf>
    <xf numFmtId="171" fontId="12" fillId="2" borderId="1" xfId="0" applyNumberFormat="1" applyFont="1" applyFill="1" applyBorder="1" applyAlignment="1">
      <alignment horizontal="center" vertical="center"/>
    </xf>
    <xf numFmtId="0" fontId="1" fillId="7" borderId="19" xfId="0" applyFont="1" applyFill="1" applyBorder="1"/>
    <xf numFmtId="9" fontId="3" fillId="2" borderId="34" xfId="0" applyNumberFormat="1" applyFont="1" applyFill="1" applyBorder="1" applyAlignment="1">
      <alignment horizontal="center" vertical="center" wrapText="1"/>
    </xf>
    <xf numFmtId="9" fontId="3" fillId="2" borderId="36" xfId="0" applyNumberFormat="1" applyFont="1" applyFill="1" applyBorder="1" applyAlignment="1">
      <alignment horizontal="center" vertical="center" wrapText="1"/>
    </xf>
    <xf numFmtId="9" fontId="3" fillId="2" borderId="36" xfId="0" applyNumberFormat="1" applyFont="1" applyFill="1" applyBorder="1" applyAlignment="1">
      <alignment horizontal="center" vertical="center"/>
    </xf>
    <xf numFmtId="9" fontId="3" fillId="0" borderId="36" xfId="0" applyNumberFormat="1" applyFont="1" applyBorder="1" applyAlignment="1">
      <alignment horizontal="center" vertical="center"/>
    </xf>
    <xf numFmtId="168" fontId="3" fillId="2" borderId="36" xfId="0" applyNumberFormat="1" applyFont="1" applyFill="1" applyBorder="1" applyAlignment="1">
      <alignment horizontal="center" vertical="center"/>
    </xf>
    <xf numFmtId="10" fontId="3" fillId="0" borderId="66" xfId="0" applyNumberFormat="1" applyFont="1" applyBorder="1" applyAlignment="1">
      <alignment horizontal="center" vertical="center"/>
    </xf>
    <xf numFmtId="9" fontId="3" fillId="7" borderId="19" xfId="0" applyNumberFormat="1" applyFont="1" applyFill="1" applyBorder="1" applyAlignment="1">
      <alignment horizontal="center" vertical="center"/>
    </xf>
    <xf numFmtId="0" fontId="3" fillId="9" borderId="19" xfId="0" applyFont="1" applyFill="1" applyBorder="1" applyAlignment="1">
      <alignment horizontal="center" vertical="center"/>
    </xf>
    <xf numFmtId="171" fontId="18" fillId="7" borderId="19" xfId="0" applyNumberFormat="1" applyFont="1" applyFill="1" applyBorder="1" applyAlignment="1">
      <alignment horizontal="center" vertical="center"/>
    </xf>
    <xf numFmtId="171" fontId="18" fillId="2" borderId="19" xfId="0" applyNumberFormat="1" applyFont="1" applyFill="1" applyBorder="1" applyAlignment="1">
      <alignment horizontal="center" vertical="center"/>
    </xf>
    <xf numFmtId="171" fontId="3" fillId="10" borderId="19" xfId="0" applyNumberFormat="1" applyFont="1" applyFill="1" applyBorder="1" applyAlignment="1">
      <alignment horizontal="center" vertical="center"/>
    </xf>
    <xf numFmtId="9" fontId="3" fillId="2" borderId="39" xfId="0" applyNumberFormat="1" applyFont="1" applyFill="1" applyBorder="1" applyAlignment="1">
      <alignment horizontal="center" vertical="center" wrapText="1"/>
    </xf>
    <xf numFmtId="9" fontId="3" fillId="2" borderId="19" xfId="0" applyNumberFormat="1" applyFont="1" applyFill="1" applyBorder="1" applyAlignment="1">
      <alignment horizontal="center" vertical="center" wrapText="1"/>
    </xf>
    <xf numFmtId="9" fontId="3" fillId="0" borderId="19" xfId="0" applyNumberFormat="1" applyFont="1" applyBorder="1" applyAlignment="1">
      <alignment horizontal="center" vertical="center" wrapText="1"/>
    </xf>
    <xf numFmtId="173" fontId="3" fillId="2" borderId="36" xfId="0" applyNumberFormat="1" applyFont="1" applyFill="1" applyBorder="1" applyAlignment="1">
      <alignment horizontal="center" vertical="center"/>
    </xf>
    <xf numFmtId="171" fontId="3" fillId="2" borderId="19" xfId="0" applyNumberFormat="1" applyFont="1" applyFill="1" applyBorder="1" applyAlignment="1">
      <alignment vertical="center"/>
    </xf>
    <xf numFmtId="169" fontId="3" fillId="7" borderId="19" xfId="0" applyNumberFormat="1" applyFont="1" applyFill="1" applyBorder="1" applyAlignment="1">
      <alignment horizontal="center" vertical="center"/>
    </xf>
    <xf numFmtId="10" fontId="3" fillId="2" borderId="71" xfId="0" applyNumberFormat="1" applyFont="1" applyFill="1" applyBorder="1" applyAlignment="1">
      <alignment horizontal="center" vertical="center"/>
    </xf>
    <xf numFmtId="10" fontId="3" fillId="2" borderId="72" xfId="0" applyNumberFormat="1" applyFont="1" applyFill="1" applyBorder="1" applyAlignment="1">
      <alignment horizontal="center" vertical="center"/>
    </xf>
    <xf numFmtId="10" fontId="3" fillId="0" borderId="107" xfId="0" applyNumberFormat="1" applyFont="1" applyBorder="1" applyAlignment="1">
      <alignment horizontal="center" vertical="center"/>
    </xf>
    <xf numFmtId="9" fontId="3" fillId="0" borderId="36" xfId="0" applyNumberFormat="1" applyFont="1" applyBorder="1" applyAlignment="1">
      <alignment horizontal="center" vertical="center" wrapText="1"/>
    </xf>
    <xf numFmtId="10" fontId="3" fillId="2" borderId="34" xfId="0" applyNumberFormat="1" applyFont="1" applyFill="1" applyBorder="1" applyAlignment="1">
      <alignment horizontal="center" vertical="center" wrapText="1"/>
    </xf>
    <xf numFmtId="165" fontId="3" fillId="2" borderId="36" xfId="0" applyNumberFormat="1" applyFont="1" applyFill="1" applyBorder="1" applyAlignment="1">
      <alignment horizontal="center" vertical="center" wrapText="1"/>
    </xf>
    <xf numFmtId="10" fontId="3" fillId="2" borderId="39" xfId="0" applyNumberFormat="1" applyFont="1" applyFill="1" applyBorder="1" applyAlignment="1">
      <alignment horizontal="center" vertical="center" wrapText="1"/>
    </xf>
    <xf numFmtId="165" fontId="3" fillId="2" borderId="19" xfId="0" applyNumberFormat="1" applyFont="1" applyFill="1" applyBorder="1" applyAlignment="1">
      <alignment horizontal="center" vertical="center" wrapText="1"/>
    </xf>
    <xf numFmtId="0" fontId="3" fillId="2" borderId="109" xfId="0" applyFont="1" applyFill="1" applyBorder="1" applyAlignment="1">
      <alignment horizontal="left" vertical="center" wrapText="1"/>
    </xf>
    <xf numFmtId="9" fontId="3" fillId="2" borderId="110" xfId="0" applyNumberFormat="1" applyFont="1" applyFill="1" applyBorder="1" applyAlignment="1">
      <alignment horizontal="center" vertical="center" wrapText="1"/>
    </xf>
    <xf numFmtId="9" fontId="3" fillId="2" borderId="73" xfId="0" applyNumberFormat="1" applyFont="1" applyFill="1" applyBorder="1" applyAlignment="1">
      <alignment horizontal="center" vertical="center" wrapText="1"/>
    </xf>
    <xf numFmtId="9" fontId="3" fillId="2" borderId="73" xfId="0" applyNumberFormat="1" applyFont="1" applyFill="1" applyBorder="1" applyAlignment="1">
      <alignment horizontal="center" vertical="center"/>
    </xf>
    <xf numFmtId="37" fontId="3" fillId="0" borderId="66" xfId="0" applyNumberFormat="1" applyFont="1" applyBorder="1" applyAlignment="1">
      <alignment horizontal="center" vertical="center"/>
    </xf>
    <xf numFmtId="0" fontId="3" fillId="0" borderId="66" xfId="0" applyFont="1" applyBorder="1" applyAlignment="1">
      <alignment horizontal="center" vertical="center"/>
    </xf>
    <xf numFmtId="9" fontId="3" fillId="0" borderId="66" xfId="0" applyNumberFormat="1" applyFont="1" applyBorder="1" applyAlignment="1">
      <alignment horizontal="center" vertical="center"/>
    </xf>
    <xf numFmtId="168" fontId="3" fillId="7" borderId="19" xfId="0" applyNumberFormat="1" applyFont="1" applyFill="1" applyBorder="1" applyAlignment="1">
      <alignment horizontal="center" vertical="center"/>
    </xf>
    <xf numFmtId="9" fontId="3" fillId="10" borderId="19" xfId="0" applyNumberFormat="1" applyFont="1" applyFill="1" applyBorder="1" applyAlignment="1">
      <alignment horizontal="center" vertical="center"/>
    </xf>
    <xf numFmtId="171" fontId="3" fillId="2" borderId="112" xfId="0" applyNumberFormat="1" applyFont="1" applyFill="1" applyBorder="1" applyAlignment="1">
      <alignment horizontal="left" vertical="center" wrapText="1"/>
    </xf>
    <xf numFmtId="171" fontId="3" fillId="2" borderId="113" xfId="0" applyNumberFormat="1" applyFont="1" applyFill="1" applyBorder="1" applyAlignment="1">
      <alignment horizontal="center" vertical="center"/>
    </xf>
    <xf numFmtId="171" fontId="3" fillId="2" borderId="41" xfId="0" applyNumberFormat="1" applyFont="1" applyFill="1" applyBorder="1" applyAlignment="1">
      <alignment horizontal="center" vertical="center"/>
    </xf>
    <xf numFmtId="171" fontId="3" fillId="0" borderId="44" xfId="0" applyNumberFormat="1" applyFont="1" applyBorder="1" applyAlignment="1">
      <alignment horizontal="center" vertical="center"/>
    </xf>
    <xf numFmtId="10" fontId="3" fillId="0" borderId="51" xfId="0" applyNumberFormat="1" applyFont="1" applyBorder="1" applyAlignment="1">
      <alignment horizontal="center" vertical="center"/>
    </xf>
    <xf numFmtId="170" fontId="3" fillId="2" borderId="36" xfId="0" applyNumberFormat="1" applyFont="1" applyFill="1" applyBorder="1" applyAlignment="1">
      <alignment horizontal="center" vertical="center" wrapText="1"/>
    </xf>
    <xf numFmtId="167" fontId="3" fillId="2" borderId="36" xfId="0" applyNumberFormat="1" applyFont="1" applyFill="1" applyBorder="1" applyAlignment="1">
      <alignment horizontal="center" vertical="center" wrapText="1"/>
    </xf>
    <xf numFmtId="4" fontId="3" fillId="2" borderId="36" xfId="0" applyNumberFormat="1" applyFont="1" applyFill="1" applyBorder="1" applyAlignment="1">
      <alignment horizontal="center" vertical="center"/>
    </xf>
    <xf numFmtId="171" fontId="3" fillId="11" borderId="19" xfId="0" applyNumberFormat="1" applyFont="1" applyFill="1" applyBorder="1" applyAlignment="1">
      <alignment horizontal="center" vertical="center"/>
    </xf>
    <xf numFmtId="9" fontId="3" fillId="0" borderId="66" xfId="0" applyNumberFormat="1" applyFont="1" applyBorder="1" applyAlignment="1">
      <alignment horizontal="center" vertical="center" wrapText="1"/>
    </xf>
    <xf numFmtId="0" fontId="3" fillId="2" borderId="19" xfId="0" applyFont="1" applyFill="1" applyBorder="1" applyAlignment="1">
      <alignment horizontal="center" vertical="center" wrapText="1"/>
    </xf>
    <xf numFmtId="3" fontId="3" fillId="2" borderId="110" xfId="0" applyNumberFormat="1" applyFont="1" applyFill="1" applyBorder="1" applyAlignment="1">
      <alignment horizontal="center" vertical="center" wrapText="1"/>
    </xf>
    <xf numFmtId="3" fontId="3" fillId="2" borderId="73" xfId="0" applyNumberFormat="1" applyFont="1" applyFill="1" applyBorder="1" applyAlignment="1">
      <alignment horizontal="center" vertical="center" wrapText="1"/>
    </xf>
    <xf numFmtId="4" fontId="3" fillId="2" borderId="73" xfId="0" applyNumberFormat="1" applyFont="1" applyFill="1" applyBorder="1" applyAlignment="1">
      <alignment horizontal="center" vertical="center" wrapText="1"/>
    </xf>
    <xf numFmtId="169" fontId="3" fillId="2" borderId="73" xfId="0" applyNumberFormat="1" applyFont="1" applyFill="1" applyBorder="1" applyAlignment="1">
      <alignment horizontal="center" vertical="center"/>
    </xf>
    <xf numFmtId="37" fontId="3" fillId="2" borderId="73" xfId="0" applyNumberFormat="1" applyFont="1" applyFill="1" applyBorder="1" applyAlignment="1">
      <alignment horizontal="center" vertical="center"/>
    </xf>
    <xf numFmtId="39" fontId="3" fillId="2" borderId="73" xfId="0" applyNumberFormat="1" applyFont="1" applyFill="1" applyBorder="1" applyAlignment="1">
      <alignment horizontal="center" vertical="center"/>
    </xf>
    <xf numFmtId="0" fontId="1" fillId="10" borderId="19" xfId="0" applyFont="1" applyFill="1" applyBorder="1" applyAlignment="1">
      <alignment horizontal="center" vertical="center"/>
    </xf>
    <xf numFmtId="10" fontId="3" fillId="0" borderId="70" xfId="0" applyNumberFormat="1" applyFont="1" applyBorder="1" applyAlignment="1">
      <alignment horizontal="center" vertical="center"/>
    </xf>
    <xf numFmtId="0" fontId="3" fillId="7" borderId="36" xfId="0" applyFont="1" applyFill="1" applyBorder="1" applyAlignment="1">
      <alignment horizontal="center" vertical="center"/>
    </xf>
    <xf numFmtId="4" fontId="15" fillId="2" borderId="36" xfId="0" applyNumberFormat="1" applyFont="1" applyFill="1" applyBorder="1" applyAlignment="1">
      <alignment horizontal="center" vertical="center"/>
    </xf>
    <xf numFmtId="167" fontId="3" fillId="7" borderId="19" xfId="0" applyNumberFormat="1" applyFont="1" applyFill="1" applyBorder="1" applyAlignment="1">
      <alignment horizontal="right" vertical="center"/>
    </xf>
    <xf numFmtId="171" fontId="3" fillId="2" borderId="73" xfId="0" applyNumberFormat="1" applyFont="1" applyFill="1" applyBorder="1" applyAlignment="1">
      <alignment horizontal="left" vertical="center" wrapText="1"/>
    </xf>
    <xf numFmtId="171" fontId="3" fillId="2" borderId="73" xfId="0" applyNumberFormat="1" applyFont="1" applyFill="1" applyBorder="1" applyAlignment="1">
      <alignment horizontal="center" vertical="center" wrapText="1"/>
    </xf>
    <xf numFmtId="171" fontId="3" fillId="0" borderId="66" xfId="0" applyNumberFormat="1" applyFont="1" applyBorder="1" applyAlignment="1">
      <alignment horizontal="center" vertical="center" wrapText="1"/>
    </xf>
    <xf numFmtId="171" fontId="12" fillId="2" borderId="1" xfId="0" applyNumberFormat="1" applyFont="1" applyFill="1" applyBorder="1" applyAlignment="1">
      <alignment horizontal="left"/>
    </xf>
    <xf numFmtId="171" fontId="12" fillId="2" borderId="1" xfId="0" applyNumberFormat="1" applyFont="1" applyFill="1" applyBorder="1"/>
    <xf numFmtId="171" fontId="12" fillId="2" borderId="31" xfId="0" applyNumberFormat="1" applyFont="1" applyFill="1" applyBorder="1"/>
    <xf numFmtId="171" fontId="1" fillId="0" borderId="0" xfId="0" applyNumberFormat="1" applyFont="1"/>
    <xf numFmtId="171" fontId="3" fillId="7" borderId="19" xfId="0" applyNumberFormat="1" applyFont="1" applyFill="1" applyBorder="1" applyAlignment="1">
      <alignment horizontal="center" vertical="center" wrapText="1"/>
    </xf>
    <xf numFmtId="171" fontId="3" fillId="0" borderId="19" xfId="0" applyNumberFormat="1" applyFont="1" applyBorder="1" applyAlignment="1">
      <alignment horizontal="center" vertical="center" wrapText="1"/>
    </xf>
    <xf numFmtId="0" fontId="12" fillId="2" borderId="1" xfId="0" applyFont="1" applyFill="1" applyBorder="1" applyAlignment="1">
      <alignment horizontal="left"/>
    </xf>
    <xf numFmtId="0" fontId="12" fillId="2" borderId="1" xfId="0" applyFont="1" applyFill="1" applyBorder="1"/>
    <xf numFmtId="0" fontId="12" fillId="2" borderId="31" xfId="0" applyFont="1" applyFill="1" applyBorder="1"/>
    <xf numFmtId="171" fontId="3" fillId="2" borderId="19" xfId="0" applyNumberFormat="1" applyFont="1" applyFill="1" applyBorder="1" applyAlignment="1">
      <alignment horizontal="left" vertical="center" wrapText="1"/>
    </xf>
    <xf numFmtId="171" fontId="16" fillId="2" borderId="31" xfId="0" applyNumberFormat="1" applyFont="1" applyFill="1" applyBorder="1" applyAlignment="1">
      <alignment horizontal="right"/>
    </xf>
    <xf numFmtId="10" fontId="0" fillId="0" borderId="0" xfId="0" applyNumberFormat="1" applyFont="1"/>
    <xf numFmtId="0" fontId="0" fillId="0" borderId="0" xfId="0" applyFont="1" applyAlignment="1">
      <alignment horizontal="left"/>
    </xf>
    <xf numFmtId="168" fontId="12" fillId="0" borderId="25" xfId="0" applyNumberFormat="1" applyFont="1" applyFill="1" applyBorder="1" applyAlignment="1">
      <alignment vertical="center"/>
    </xf>
    <xf numFmtId="168" fontId="12" fillId="0" borderId="19" xfId="0" applyNumberFormat="1" applyFont="1" applyFill="1" applyBorder="1" applyAlignment="1">
      <alignment vertical="center"/>
    </xf>
    <xf numFmtId="173" fontId="3" fillId="12" borderId="19" xfId="0" applyNumberFormat="1" applyFont="1" applyFill="1" applyBorder="1" applyAlignment="1">
      <alignment horizontal="center" vertical="center"/>
    </xf>
    <xf numFmtId="171" fontId="3" fillId="12" borderId="25" xfId="0" applyNumberFormat="1" applyFont="1" applyFill="1" applyBorder="1" applyAlignment="1">
      <alignment horizontal="center" vertical="center"/>
    </xf>
    <xf numFmtId="3" fontId="3" fillId="12" borderId="19" xfId="0" applyNumberFormat="1" applyFont="1" applyFill="1" applyBorder="1" applyAlignment="1">
      <alignment horizontal="center" vertical="center"/>
    </xf>
    <xf numFmtId="2" fontId="3" fillId="13" borderId="19" xfId="0" applyNumberFormat="1" applyFont="1" applyFill="1" applyBorder="1" applyAlignment="1">
      <alignment horizontal="center" vertical="center"/>
    </xf>
    <xf numFmtId="37" fontId="3" fillId="0" borderId="36" xfId="0" applyNumberFormat="1" applyFont="1" applyFill="1" applyBorder="1" applyAlignment="1">
      <alignment horizontal="center" vertical="center"/>
    </xf>
    <xf numFmtId="0" fontId="3" fillId="0" borderId="36" xfId="0" applyFont="1" applyFill="1" applyBorder="1" applyAlignment="1">
      <alignment horizontal="center" vertical="center"/>
    </xf>
    <xf numFmtId="171" fontId="3" fillId="0" borderId="19" xfId="0" applyNumberFormat="1" applyFont="1" applyFill="1" applyBorder="1" applyAlignment="1">
      <alignment horizontal="center" vertical="center"/>
    </xf>
    <xf numFmtId="171" fontId="15" fillId="0" borderId="19" xfId="0" applyNumberFormat="1" applyFont="1" applyFill="1" applyBorder="1" applyAlignment="1">
      <alignment horizontal="center" vertical="center"/>
    </xf>
    <xf numFmtId="10" fontId="3" fillId="0" borderId="73" xfId="0" applyNumberFormat="1" applyFont="1" applyFill="1" applyBorder="1" applyAlignment="1">
      <alignment horizontal="center" vertical="center"/>
    </xf>
    <xf numFmtId="3" fontId="3" fillId="0" borderId="19" xfId="0" applyNumberFormat="1" applyFont="1" applyFill="1" applyBorder="1" applyAlignment="1">
      <alignment horizontal="center" vertical="center"/>
    </xf>
    <xf numFmtId="171" fontId="3" fillId="0" borderId="25" xfId="0" applyNumberFormat="1" applyFont="1" applyFill="1" applyBorder="1" applyAlignment="1">
      <alignment horizontal="center" vertical="center"/>
    </xf>
    <xf numFmtId="2" fontId="3" fillId="0" borderId="19" xfId="0" applyNumberFormat="1" applyFont="1" applyFill="1" applyBorder="1" applyAlignment="1">
      <alignment horizontal="center" vertical="center"/>
    </xf>
    <xf numFmtId="166" fontId="0" fillId="0" borderId="0" xfId="0" applyNumberFormat="1" applyFont="1" applyAlignment="1"/>
    <xf numFmtId="9" fontId="3" fillId="0" borderId="19" xfId="0" applyNumberFormat="1" applyFont="1" applyFill="1" applyBorder="1" applyAlignment="1">
      <alignment horizontal="center" vertical="center"/>
    </xf>
    <xf numFmtId="10" fontId="12" fillId="4" borderId="25" xfId="0" applyNumberFormat="1" applyFont="1" applyFill="1" applyBorder="1" applyAlignment="1">
      <alignment vertical="center"/>
    </xf>
    <xf numFmtId="0" fontId="0" fillId="0" borderId="0" xfId="0" applyFont="1" applyAlignment="1"/>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wrapText="1"/>
    </xf>
    <xf numFmtId="0" fontId="3" fillId="0" borderId="19" xfId="0" applyFont="1" applyFill="1" applyBorder="1" applyAlignment="1">
      <alignment horizontal="center" vertical="center" wrapText="1"/>
    </xf>
    <xf numFmtId="169" fontId="3" fillId="0" borderId="19" xfId="0" applyNumberFormat="1" applyFont="1" applyFill="1" applyBorder="1" applyAlignment="1">
      <alignment horizontal="center" vertical="center"/>
    </xf>
    <xf numFmtId="170" fontId="3" fillId="0" borderId="19" xfId="0" applyNumberFormat="1" applyFont="1" applyFill="1" applyBorder="1" applyAlignment="1">
      <alignment horizontal="center" vertical="center"/>
    </xf>
    <xf numFmtId="10" fontId="3" fillId="0" borderId="19" xfId="0" applyNumberFormat="1" applyFont="1" applyFill="1" applyBorder="1" applyAlignment="1">
      <alignment vertical="center"/>
    </xf>
    <xf numFmtId="0" fontId="14" fillId="0" borderId="19" xfId="0" applyFont="1" applyFill="1" applyBorder="1" applyAlignment="1">
      <alignment horizontal="center" vertical="center" wrapText="1"/>
    </xf>
    <xf numFmtId="0" fontId="14" fillId="0" borderId="19" xfId="0" applyFont="1" applyFill="1" applyBorder="1" applyAlignment="1">
      <alignment horizontal="left" vertical="center" wrapText="1"/>
    </xf>
    <xf numFmtId="167" fontId="3" fillId="0" borderId="19" xfId="0" applyNumberFormat="1" applyFont="1" applyFill="1" applyBorder="1" applyAlignment="1">
      <alignment vertical="center"/>
    </xf>
    <xf numFmtId="167" fontId="3" fillId="0" borderId="19" xfId="0" applyNumberFormat="1" applyFont="1" applyFill="1" applyBorder="1" applyAlignment="1">
      <alignment horizontal="center" vertical="center"/>
    </xf>
    <xf numFmtId="1" fontId="3" fillId="0" borderId="19" xfId="0" applyNumberFormat="1" applyFont="1" applyFill="1" applyBorder="1" applyAlignment="1">
      <alignment horizontal="center" vertical="center"/>
    </xf>
    <xf numFmtId="9" fontId="3" fillId="0" borderId="19" xfId="0" applyNumberFormat="1" applyFont="1" applyFill="1" applyBorder="1" applyAlignment="1">
      <alignment vertical="center"/>
    </xf>
    <xf numFmtId="168" fontId="3" fillId="0" borderId="19" xfId="0" applyNumberFormat="1" applyFont="1" applyFill="1" applyBorder="1" applyAlignment="1">
      <alignment horizontal="center" vertical="center"/>
    </xf>
    <xf numFmtId="10" fontId="3" fillId="0" borderId="19" xfId="0" applyNumberFormat="1" applyFont="1" applyFill="1" applyBorder="1" applyAlignment="1">
      <alignment horizontal="center" vertical="center"/>
    </xf>
    <xf numFmtId="0" fontId="14" fillId="0" borderId="19" xfId="0" applyFont="1" applyFill="1" applyBorder="1" applyAlignment="1">
      <alignment vertical="center" wrapText="1"/>
    </xf>
    <xf numFmtId="0" fontId="14" fillId="0" borderId="72" xfId="0" applyFont="1" applyFill="1" applyBorder="1" applyAlignment="1">
      <alignment vertical="center" wrapText="1"/>
    </xf>
    <xf numFmtId="0" fontId="3" fillId="0" borderId="19" xfId="0" applyFont="1" applyFill="1" applyBorder="1" applyAlignment="1">
      <alignment vertical="center" wrapText="1"/>
    </xf>
    <xf numFmtId="4" fontId="3" fillId="0" borderId="19" xfId="0" applyNumberFormat="1" applyFont="1" applyFill="1" applyBorder="1" applyAlignment="1">
      <alignment horizontal="center" vertical="center"/>
    </xf>
    <xf numFmtId="39" fontId="3" fillId="0" borderId="19" xfId="0" applyNumberFormat="1" applyFont="1" applyFill="1" applyBorder="1" applyAlignment="1">
      <alignment horizontal="center" vertical="center"/>
    </xf>
    <xf numFmtId="0" fontId="0" fillId="0" borderId="41" xfId="0" applyFont="1" applyFill="1" applyBorder="1" applyAlignment="1">
      <alignment vertical="center" wrapText="1"/>
    </xf>
    <xf numFmtId="0" fontId="0" fillId="0" borderId="78" xfId="0" applyFont="1" applyFill="1" applyBorder="1" applyAlignment="1">
      <alignment horizontal="left" vertical="center" wrapText="1"/>
    </xf>
    <xf numFmtId="0" fontId="17" fillId="0" borderId="19" xfId="0" applyFont="1" applyFill="1" applyBorder="1" applyAlignment="1">
      <alignment horizontal="center" vertical="center"/>
    </xf>
    <xf numFmtId="10" fontId="18" fillId="0" borderId="19" xfId="0" applyNumberFormat="1" applyFont="1" applyFill="1" applyBorder="1" applyAlignment="1">
      <alignment horizontal="center" vertical="center"/>
    </xf>
    <xf numFmtId="10" fontId="17" fillId="0" borderId="19" xfId="0" applyNumberFormat="1" applyFont="1" applyFill="1" applyBorder="1" applyAlignment="1">
      <alignment horizontal="center" vertical="center"/>
    </xf>
    <xf numFmtId="168" fontId="3" fillId="0" borderId="19" xfId="0" applyNumberFormat="1" applyFont="1" applyFill="1" applyBorder="1" applyAlignment="1">
      <alignment vertical="center"/>
    </xf>
    <xf numFmtId="10" fontId="32" fillId="0" borderId="19" xfId="0" applyNumberFormat="1" applyFont="1" applyFill="1" applyBorder="1" applyAlignment="1">
      <alignment horizontal="center" vertical="center"/>
    </xf>
    <xf numFmtId="167" fontId="3" fillId="0" borderId="19" xfId="0" applyNumberFormat="1" applyFont="1" applyFill="1" applyBorder="1" applyAlignment="1">
      <alignment horizontal="left" vertical="center"/>
    </xf>
    <xf numFmtId="172" fontId="3" fillId="0" borderId="19" xfId="0" applyNumberFormat="1" applyFont="1" applyFill="1" applyBorder="1" applyAlignment="1">
      <alignment vertical="center"/>
    </xf>
    <xf numFmtId="172" fontId="3" fillId="0" borderId="19" xfId="0" applyNumberFormat="1" applyFont="1" applyFill="1" applyBorder="1" applyAlignment="1">
      <alignment horizontal="left" vertical="center"/>
    </xf>
    <xf numFmtId="170" fontId="3" fillId="0" borderId="19" xfId="0" applyNumberFormat="1" applyFont="1" applyFill="1" applyBorder="1" applyAlignment="1">
      <alignment vertical="center"/>
    </xf>
    <xf numFmtId="170" fontId="3" fillId="0" borderId="19" xfId="0" applyNumberFormat="1" applyFont="1" applyFill="1" applyBorder="1" applyAlignment="1">
      <alignment horizontal="left" vertical="center"/>
    </xf>
    <xf numFmtId="172" fontId="3" fillId="0" borderId="19" xfId="0" applyNumberFormat="1" applyFont="1" applyFill="1" applyBorder="1" applyAlignment="1">
      <alignment horizontal="center" vertical="center"/>
    </xf>
    <xf numFmtId="170" fontId="14" fillId="0" borderId="19" xfId="0" applyNumberFormat="1" applyFont="1" applyFill="1" applyBorder="1" applyAlignment="1">
      <alignment horizontal="center" vertical="center" wrapText="1"/>
    </xf>
    <xf numFmtId="37" fontId="3" fillId="0" borderId="19" xfId="0" applyNumberFormat="1" applyFont="1" applyFill="1" applyBorder="1" applyAlignment="1">
      <alignment horizontal="center" vertical="center"/>
    </xf>
    <xf numFmtId="0" fontId="14" fillId="0" borderId="72" xfId="0" applyFont="1" applyFill="1" applyBorder="1" applyAlignment="1">
      <alignment horizontal="left" vertical="center" wrapText="1"/>
    </xf>
    <xf numFmtId="165" fontId="3" fillId="0" borderId="19" xfId="0" applyNumberFormat="1" applyFont="1" applyFill="1" applyBorder="1" applyAlignment="1">
      <alignment horizontal="center" vertical="center"/>
    </xf>
    <xf numFmtId="0" fontId="19" fillId="0" borderId="1" xfId="0" applyFont="1" applyFill="1" applyBorder="1" applyAlignment="1">
      <alignment vertical="center" wrapText="1"/>
    </xf>
    <xf numFmtId="49" fontId="14" fillId="0" borderId="19" xfId="0" applyNumberFormat="1" applyFont="1" applyFill="1" applyBorder="1" applyAlignment="1">
      <alignment horizontal="center" vertical="center" wrapText="1"/>
    </xf>
    <xf numFmtId="0" fontId="3" fillId="16" borderId="41" xfId="0" applyFont="1" applyFill="1" applyBorder="1" applyAlignment="1">
      <alignment horizontal="center" vertical="center" wrapText="1"/>
    </xf>
    <xf numFmtId="0" fontId="3" fillId="0" borderId="1" xfId="0" applyFont="1" applyFill="1" applyBorder="1"/>
    <xf numFmtId="4" fontId="3" fillId="0" borderId="36" xfId="0" applyNumberFormat="1" applyFont="1" applyFill="1" applyBorder="1" applyAlignment="1">
      <alignment horizontal="center" vertical="center" wrapText="1"/>
    </xf>
    <xf numFmtId="173" fontId="3" fillId="0" borderId="36" xfId="0" applyNumberFormat="1" applyFont="1" applyFill="1" applyBorder="1" applyAlignment="1">
      <alignment horizontal="center" vertical="center" wrapText="1"/>
    </xf>
    <xf numFmtId="3" fontId="3" fillId="0" borderId="36" xfId="0" applyNumberFormat="1" applyFont="1" applyFill="1" applyBorder="1" applyAlignment="1">
      <alignment horizontal="center" vertical="center" wrapText="1"/>
    </xf>
    <xf numFmtId="176" fontId="3" fillId="0" borderId="36" xfId="0" applyNumberFormat="1" applyFont="1" applyFill="1" applyBorder="1" applyAlignment="1">
      <alignment horizontal="center" vertical="center"/>
    </xf>
    <xf numFmtId="39" fontId="3" fillId="0" borderId="36" xfId="0" applyNumberFormat="1" applyFont="1" applyFill="1" applyBorder="1" applyAlignment="1">
      <alignment horizontal="center" vertical="center"/>
    </xf>
    <xf numFmtId="9" fontId="3" fillId="0" borderId="36" xfId="0" applyNumberFormat="1" applyFont="1" applyFill="1" applyBorder="1" applyAlignment="1">
      <alignment horizontal="center" vertical="center"/>
    </xf>
    <xf numFmtId="168" fontId="3" fillId="0" borderId="36" xfId="0" applyNumberFormat="1" applyFont="1" applyFill="1" applyBorder="1" applyAlignment="1">
      <alignment horizontal="center" vertical="center"/>
    </xf>
    <xf numFmtId="171" fontId="3" fillId="0" borderId="19" xfId="0" applyNumberFormat="1" applyFont="1" applyFill="1" applyBorder="1" applyAlignment="1">
      <alignment vertical="center"/>
    </xf>
    <xf numFmtId="10" fontId="3" fillId="0" borderId="36" xfId="0" applyNumberFormat="1" applyFont="1" applyFill="1" applyBorder="1" applyAlignment="1">
      <alignment horizontal="center" vertical="center"/>
    </xf>
    <xf numFmtId="9" fontId="3" fillId="0" borderId="73" xfId="0" applyNumberFormat="1" applyFont="1" applyFill="1" applyBorder="1" applyAlignment="1">
      <alignment horizontal="center" vertical="center"/>
    </xf>
    <xf numFmtId="170" fontId="3" fillId="0" borderId="36" xfId="0" applyNumberFormat="1" applyFont="1" applyFill="1" applyBorder="1" applyAlignment="1">
      <alignment horizontal="center" vertical="center"/>
    </xf>
    <xf numFmtId="171" fontId="3" fillId="0" borderId="41" xfId="0" applyNumberFormat="1" applyFont="1" applyFill="1" applyBorder="1" applyAlignment="1">
      <alignment horizontal="center" vertical="center"/>
    </xf>
    <xf numFmtId="37" fontId="3" fillId="0" borderId="73" xfId="0" applyNumberFormat="1" applyFont="1" applyFill="1" applyBorder="1" applyAlignment="1">
      <alignment horizontal="center" vertical="center"/>
    </xf>
    <xf numFmtId="37" fontId="3" fillId="0" borderId="66" xfId="0" applyNumberFormat="1" applyFont="1" applyFill="1" applyBorder="1" applyAlignment="1">
      <alignment horizontal="center" vertical="center"/>
    </xf>
    <xf numFmtId="0" fontId="3" fillId="0" borderId="66" xfId="0" applyFont="1" applyFill="1" applyBorder="1" applyAlignment="1">
      <alignment horizontal="center" vertical="center"/>
    </xf>
    <xf numFmtId="39" fontId="3" fillId="0" borderId="73" xfId="0" applyNumberFormat="1" applyFont="1" applyFill="1" applyBorder="1" applyAlignment="1">
      <alignment horizontal="center" vertical="center"/>
    </xf>
    <xf numFmtId="171" fontId="3" fillId="0" borderId="44" xfId="0" applyNumberFormat="1" applyFont="1" applyFill="1" applyBorder="1" applyAlignment="1">
      <alignment horizontal="center" vertical="center"/>
    </xf>
    <xf numFmtId="10" fontId="3" fillId="0" borderId="36" xfId="0" applyNumberFormat="1" applyFont="1" applyFill="1" applyBorder="1" applyAlignment="1">
      <alignment horizontal="center" vertical="center" wrapText="1"/>
    </xf>
    <xf numFmtId="171" fontId="3" fillId="0" borderId="19" xfId="0" applyNumberFormat="1" applyFont="1" applyFill="1" applyBorder="1" applyAlignment="1">
      <alignment horizontal="right" vertical="center"/>
    </xf>
    <xf numFmtId="3" fontId="3" fillId="0" borderId="19" xfId="0" applyNumberFormat="1" applyFont="1" applyFill="1" applyBorder="1" applyAlignment="1">
      <alignment horizontal="center" vertical="center" wrapText="1"/>
    </xf>
    <xf numFmtId="174" fontId="3" fillId="0" borderId="19" xfId="0" applyNumberFormat="1" applyFont="1" applyFill="1" applyBorder="1" applyAlignment="1">
      <alignment horizontal="center" vertical="center"/>
    </xf>
    <xf numFmtId="171" fontId="3" fillId="0" borderId="73" xfId="0" applyNumberFormat="1" applyFont="1" applyFill="1" applyBorder="1" applyAlignment="1">
      <alignment horizontal="center" vertical="center" wrapText="1"/>
    </xf>
    <xf numFmtId="171" fontId="3" fillId="0" borderId="19" xfId="0" applyNumberFormat="1" applyFont="1" applyFill="1" applyBorder="1" applyAlignment="1">
      <alignment horizontal="center" vertical="center" wrapText="1"/>
    </xf>
    <xf numFmtId="3" fontId="3" fillId="0" borderId="36" xfId="0" applyNumberFormat="1" applyFont="1" applyFill="1" applyBorder="1" applyAlignment="1">
      <alignment horizontal="center" vertical="center"/>
    </xf>
    <xf numFmtId="0" fontId="15" fillId="0" borderId="36" xfId="0" applyFont="1" applyFill="1" applyBorder="1" applyAlignment="1">
      <alignment horizontal="center" vertical="center"/>
    </xf>
    <xf numFmtId="3" fontId="15" fillId="0" borderId="36" xfId="0" applyNumberFormat="1" applyFont="1" applyFill="1" applyBorder="1" applyAlignment="1">
      <alignment horizontal="center" vertical="center"/>
    </xf>
    <xf numFmtId="37" fontId="3" fillId="17" borderId="19" xfId="0" applyNumberFormat="1" applyFont="1" applyFill="1" applyBorder="1" applyAlignment="1">
      <alignment horizontal="center" vertical="center"/>
    </xf>
    <xf numFmtId="37" fontId="3" fillId="18" borderId="19" xfId="0" applyNumberFormat="1" applyFont="1" applyFill="1" applyBorder="1" applyAlignment="1">
      <alignment horizontal="center" vertical="center"/>
    </xf>
    <xf numFmtId="0" fontId="3" fillId="18" borderId="19" xfId="0" applyFont="1" applyFill="1" applyBorder="1" applyAlignment="1">
      <alignment horizontal="center" vertical="center"/>
    </xf>
    <xf numFmtId="0" fontId="1" fillId="17" borderId="19" xfId="0" applyFont="1" applyFill="1" applyBorder="1" applyAlignment="1">
      <alignment horizontal="center" vertical="center"/>
    </xf>
    <xf numFmtId="0" fontId="3" fillId="19" borderId="19" xfId="0" applyFont="1" applyFill="1" applyBorder="1" applyAlignment="1">
      <alignment horizontal="center" vertical="center"/>
    </xf>
    <xf numFmtId="0" fontId="3" fillId="17" borderId="19" xfId="0" applyFont="1" applyFill="1" applyBorder="1" applyAlignment="1">
      <alignment horizontal="center" vertical="center"/>
    </xf>
    <xf numFmtId="10" fontId="3" fillId="19" borderId="19" xfId="0" applyNumberFormat="1" applyFont="1" applyFill="1" applyBorder="1" applyAlignment="1">
      <alignment horizontal="center" vertical="center"/>
    </xf>
    <xf numFmtId="0" fontId="1" fillId="17" borderId="19" xfId="0" applyFont="1" applyFill="1" applyBorder="1"/>
    <xf numFmtId="171" fontId="3" fillId="17" borderId="19" xfId="0" applyNumberFormat="1" applyFont="1" applyFill="1" applyBorder="1" applyAlignment="1">
      <alignment horizontal="center" vertical="center"/>
    </xf>
    <xf numFmtId="171" fontId="3" fillId="18" borderId="19" xfId="0" applyNumberFormat="1" applyFont="1" applyFill="1" applyBorder="1" applyAlignment="1">
      <alignment horizontal="center" vertical="center"/>
    </xf>
    <xf numFmtId="171" fontId="1" fillId="17" borderId="19" xfId="0" applyNumberFormat="1" applyFont="1" applyFill="1" applyBorder="1"/>
    <xf numFmtId="0" fontId="40" fillId="0" borderId="19" xfId="0" applyFont="1" applyFill="1" applyBorder="1" applyAlignment="1">
      <alignment horizontal="left" vertical="top" wrapText="1"/>
    </xf>
    <xf numFmtId="0" fontId="40" fillId="0" borderId="19" xfId="0" applyFont="1" applyFill="1" applyBorder="1" applyAlignment="1">
      <alignment vertical="top" wrapText="1"/>
    </xf>
    <xf numFmtId="0" fontId="40" fillId="0" borderId="72" xfId="0" applyFont="1" applyFill="1" applyBorder="1" applyAlignment="1">
      <alignment vertical="top" wrapText="1"/>
    </xf>
    <xf numFmtId="168" fontId="12" fillId="0" borderId="36" xfId="0" applyNumberFormat="1" applyFont="1" applyFill="1" applyBorder="1" applyAlignment="1">
      <alignment vertical="center"/>
    </xf>
    <xf numFmtId="10" fontId="12" fillId="0" borderId="25" xfId="0" applyNumberFormat="1" applyFont="1" applyFill="1" applyBorder="1" applyAlignment="1">
      <alignment vertical="center"/>
    </xf>
    <xf numFmtId="9" fontId="12" fillId="0" borderId="19" xfId="0" applyNumberFormat="1" applyFont="1" applyFill="1" applyBorder="1" applyAlignment="1">
      <alignment vertical="center"/>
    </xf>
    <xf numFmtId="0" fontId="12" fillId="0" borderId="36" xfId="0" applyFont="1" applyFill="1" applyBorder="1" applyAlignment="1">
      <alignment vertical="center"/>
    </xf>
    <xf numFmtId="168" fontId="34" fillId="0" borderId="19" xfId="0" applyNumberFormat="1" applyFont="1" applyFill="1" applyBorder="1" applyAlignment="1">
      <alignment vertical="center"/>
    </xf>
    <xf numFmtId="10" fontId="34" fillId="0" borderId="19" xfId="0" applyNumberFormat="1" applyFont="1" applyFill="1" applyBorder="1" applyAlignment="1">
      <alignment vertical="center"/>
    </xf>
    <xf numFmtId="10" fontId="12" fillId="0" borderId="19" xfId="0" applyNumberFormat="1" applyFont="1" applyFill="1" applyBorder="1" applyAlignment="1">
      <alignment vertical="center"/>
    </xf>
    <xf numFmtId="0" fontId="7" fillId="4" borderId="44" xfId="0" applyFont="1" applyFill="1" applyBorder="1" applyAlignment="1">
      <alignment horizontal="center" vertical="center" wrapText="1"/>
    </xf>
    <xf numFmtId="0" fontId="7" fillId="4" borderId="114" xfId="0" applyFont="1" applyFill="1" applyBorder="1" applyAlignment="1">
      <alignment horizontal="center" vertical="center" wrapText="1"/>
    </xf>
    <xf numFmtId="0" fontId="7" fillId="4" borderId="104" xfId="0" applyFont="1" applyFill="1" applyBorder="1" applyAlignment="1">
      <alignment horizontal="center" vertical="center" wrapText="1"/>
    </xf>
    <xf numFmtId="4" fontId="10" fillId="0" borderId="126" xfId="0" applyNumberFormat="1" applyFont="1" applyFill="1" applyBorder="1" applyAlignment="1">
      <alignment horizontal="right" vertical="center" wrapText="1"/>
    </xf>
    <xf numFmtId="3" fontId="10" fillId="0" borderId="126" xfId="0" applyNumberFormat="1" applyFont="1" applyFill="1" applyBorder="1" applyAlignment="1">
      <alignment horizontal="center" vertical="center" wrapText="1"/>
    </xf>
    <xf numFmtId="0" fontId="10" fillId="0" borderId="0" xfId="0" applyFont="1" applyFill="1"/>
    <xf numFmtId="0" fontId="10" fillId="0" borderId="0" xfId="0" applyFont="1" applyFill="1" applyAlignment="1">
      <alignment vertical="center" wrapText="1"/>
    </xf>
    <xf numFmtId="0" fontId="10" fillId="0" borderId="0" xfId="0" applyFont="1" applyFill="1" applyAlignment="1">
      <alignment wrapText="1"/>
    </xf>
    <xf numFmtId="180" fontId="10" fillId="0" borderId="129" xfId="0" applyNumberFormat="1" applyFont="1" applyFill="1" applyBorder="1" applyAlignment="1">
      <alignment horizontal="left" vertical="center" wrapText="1"/>
    </xf>
    <xf numFmtId="171" fontId="10" fillId="0" borderId="129" xfId="0" applyNumberFormat="1" applyFont="1" applyFill="1" applyBorder="1" applyAlignment="1">
      <alignment horizontal="right"/>
    </xf>
    <xf numFmtId="180" fontId="10" fillId="0" borderId="129" xfId="0" applyNumberFormat="1" applyFont="1" applyFill="1" applyBorder="1" applyAlignment="1">
      <alignment horizontal="center" vertical="center" wrapText="1"/>
    </xf>
    <xf numFmtId="4" fontId="10" fillId="0" borderId="129" xfId="0" applyNumberFormat="1" applyFont="1" applyFill="1" applyBorder="1" applyAlignment="1">
      <alignment horizontal="right" vertical="center" wrapText="1"/>
    </xf>
    <xf numFmtId="171" fontId="10" fillId="0" borderId="129" xfId="0" applyNumberFormat="1" applyFont="1" applyFill="1" applyBorder="1" applyAlignment="1">
      <alignment horizontal="right" vertical="center" wrapText="1"/>
    </xf>
    <xf numFmtId="0" fontId="10" fillId="0" borderId="129" xfId="0" applyFont="1" applyFill="1" applyBorder="1" applyAlignment="1">
      <alignment horizontal="left" vertical="center" wrapText="1"/>
    </xf>
    <xf numFmtId="3" fontId="10" fillId="0" borderId="129" xfId="0" applyNumberFormat="1" applyFont="1" applyFill="1" applyBorder="1" applyAlignment="1">
      <alignment horizontal="center" vertical="center" wrapText="1"/>
    </xf>
    <xf numFmtId="0" fontId="7" fillId="0" borderId="129" xfId="0" applyFont="1" applyFill="1" applyBorder="1" applyAlignment="1">
      <alignment horizontal="left" vertical="center" wrapText="1"/>
    </xf>
    <xf numFmtId="4" fontId="7" fillId="0" borderId="129" xfId="0" applyNumberFormat="1" applyFont="1" applyFill="1" applyBorder="1" applyAlignment="1">
      <alignment horizontal="right"/>
    </xf>
    <xf numFmtId="3" fontId="10" fillId="0" borderId="129" xfId="0" applyNumberFormat="1" applyFont="1" applyFill="1" applyBorder="1"/>
    <xf numFmtId="0" fontId="10" fillId="0" borderId="122" xfId="0" applyFont="1" applyFill="1" applyBorder="1"/>
    <xf numFmtId="0" fontId="10" fillId="0" borderId="122" xfId="0" applyFont="1" applyFill="1" applyBorder="1" applyAlignment="1">
      <alignment vertical="center" wrapText="1"/>
    </xf>
    <xf numFmtId="0" fontId="10" fillId="0" borderId="122" xfId="0" applyFont="1" applyFill="1" applyBorder="1" applyAlignment="1">
      <alignment wrapText="1"/>
    </xf>
    <xf numFmtId="0" fontId="10" fillId="2" borderId="122" xfId="0" applyFont="1" applyFill="1" applyBorder="1" applyAlignment="1">
      <alignment wrapText="1"/>
    </xf>
    <xf numFmtId="0" fontId="10" fillId="2" borderId="122" xfId="0" applyFont="1" applyFill="1" applyBorder="1"/>
    <xf numFmtId="180" fontId="7" fillId="0" borderId="129" xfId="0" applyNumberFormat="1" applyFont="1" applyFill="1" applyBorder="1" applyAlignment="1">
      <alignment horizontal="left" vertical="center" wrapText="1"/>
    </xf>
    <xf numFmtId="171" fontId="7" fillId="0" borderId="129" xfId="0" applyNumberFormat="1" applyFont="1" applyFill="1" applyBorder="1" applyAlignment="1">
      <alignment horizontal="right"/>
    </xf>
    <xf numFmtId="182" fontId="10" fillId="0" borderId="129" xfId="0" applyNumberFormat="1" applyFont="1" applyFill="1" applyBorder="1"/>
    <xf numFmtId="180" fontId="7" fillId="0" borderId="132" xfId="0" applyNumberFormat="1" applyFont="1" applyFill="1" applyBorder="1" applyAlignment="1">
      <alignment vertical="center" wrapText="1"/>
    </xf>
    <xf numFmtId="171" fontId="7" fillId="0" borderId="132" xfId="0" applyNumberFormat="1" applyFont="1" applyFill="1" applyBorder="1" applyAlignment="1">
      <alignment horizontal="right"/>
    </xf>
    <xf numFmtId="3" fontId="10" fillId="0" borderId="132" xfId="0" applyNumberFormat="1" applyFont="1" applyFill="1" applyBorder="1"/>
    <xf numFmtId="0" fontId="10" fillId="0" borderId="126" xfId="0" applyFont="1" applyFill="1" applyBorder="1" applyAlignment="1">
      <alignment horizontal="left" vertical="center" wrapText="1"/>
    </xf>
    <xf numFmtId="4" fontId="10" fillId="0" borderId="126" xfId="0" applyNumberFormat="1" applyFont="1" applyFill="1" applyBorder="1" applyAlignment="1">
      <alignment horizontal="center" vertical="center" wrapText="1"/>
    </xf>
    <xf numFmtId="183" fontId="10" fillId="0" borderId="129" xfId="0" applyNumberFormat="1" applyFont="1" applyFill="1" applyBorder="1" applyAlignment="1">
      <alignment horizontal="right" vertical="center" wrapText="1"/>
    </xf>
    <xf numFmtId="3" fontId="7" fillId="0" borderId="129" xfId="0" applyNumberFormat="1" applyFont="1" applyFill="1" applyBorder="1"/>
    <xf numFmtId="182" fontId="7" fillId="0" borderId="129" xfId="0" applyNumberFormat="1" applyFont="1" applyFill="1" applyBorder="1"/>
    <xf numFmtId="3" fontId="7" fillId="0" borderId="132" xfId="0" applyNumberFormat="1" applyFont="1" applyFill="1" applyBorder="1"/>
    <xf numFmtId="183" fontId="10" fillId="0" borderId="129" xfId="0" applyNumberFormat="1" applyFont="1" applyFill="1" applyBorder="1" applyAlignment="1">
      <alignment horizontal="right"/>
    </xf>
    <xf numFmtId="173" fontId="10" fillId="0" borderId="129" xfId="0" applyNumberFormat="1" applyFont="1" applyFill="1" applyBorder="1" applyAlignment="1">
      <alignment horizontal="right" vertical="center" wrapText="1"/>
    </xf>
    <xf numFmtId="0" fontId="1" fillId="0" borderId="129" xfId="0" applyFont="1" applyFill="1" applyBorder="1"/>
    <xf numFmtId="1" fontId="10" fillId="0" borderId="129" xfId="0" applyNumberFormat="1" applyFont="1" applyFill="1" applyBorder="1" applyAlignment="1">
      <alignment horizontal="center" vertical="center" wrapText="1"/>
    </xf>
    <xf numFmtId="0" fontId="1" fillId="0" borderId="130" xfId="0" applyFont="1" applyFill="1" applyBorder="1"/>
    <xf numFmtId="182" fontId="10" fillId="0" borderId="129" xfId="0" applyNumberFormat="1" applyFont="1" applyFill="1" applyBorder="1" applyAlignment="1">
      <alignment horizontal="center" vertical="center" wrapText="1"/>
    </xf>
    <xf numFmtId="4" fontId="43" fillId="0" borderId="129" xfId="0" applyNumberFormat="1" applyFont="1" applyFill="1" applyBorder="1" applyAlignment="1">
      <alignment horizontal="right" vertical="center" wrapText="1"/>
    </xf>
    <xf numFmtId="171" fontId="43" fillId="0" borderId="129" xfId="0" applyNumberFormat="1" applyFont="1" applyFill="1" applyBorder="1" applyAlignment="1">
      <alignment horizontal="right"/>
    </xf>
    <xf numFmtId="1" fontId="10" fillId="0" borderId="0" xfId="0" applyNumberFormat="1" applyFont="1" applyAlignment="1">
      <alignment wrapText="1"/>
    </xf>
    <xf numFmtId="4" fontId="10" fillId="0" borderId="126" xfId="0" applyNumberFormat="1" applyFont="1" applyFill="1" applyBorder="1" applyAlignment="1">
      <alignment horizontal="right"/>
    </xf>
    <xf numFmtId="171" fontId="10" fillId="0" borderId="129" xfId="0" applyNumberFormat="1" applyFont="1" applyFill="1" applyBorder="1" applyAlignment="1">
      <alignment horizontal="center" vertical="center" wrapText="1"/>
    </xf>
    <xf numFmtId="4" fontId="10" fillId="0" borderId="129" xfId="0" applyNumberFormat="1" applyFont="1" applyFill="1" applyBorder="1" applyAlignment="1">
      <alignment horizontal="right"/>
    </xf>
    <xf numFmtId="171" fontId="7" fillId="0" borderId="129" xfId="0" applyNumberFormat="1" applyFont="1" applyFill="1" applyBorder="1"/>
    <xf numFmtId="4" fontId="7" fillId="0" borderId="129" xfId="0" applyNumberFormat="1" applyFont="1" applyFill="1" applyBorder="1"/>
    <xf numFmtId="171" fontId="7" fillId="0" borderId="132" xfId="0" applyNumberFormat="1" applyFont="1" applyFill="1" applyBorder="1"/>
    <xf numFmtId="39" fontId="10" fillId="0" borderId="126" xfId="0" applyNumberFormat="1" applyFont="1" applyFill="1" applyBorder="1" applyAlignment="1">
      <alignment horizontal="right" vertical="center"/>
    </xf>
    <xf numFmtId="183" fontId="10" fillId="0" borderId="129" xfId="0" applyNumberFormat="1" applyFont="1" applyFill="1" applyBorder="1" applyAlignment="1">
      <alignment horizontal="right" vertical="center"/>
    </xf>
    <xf numFmtId="39" fontId="10" fillId="0" borderId="129" xfId="0" applyNumberFormat="1" applyFont="1" applyFill="1" applyBorder="1" applyAlignment="1">
      <alignment horizontal="right" vertical="center"/>
    </xf>
    <xf numFmtId="39" fontId="7" fillId="0" borderId="129" xfId="0" applyNumberFormat="1" applyFont="1" applyFill="1" applyBorder="1" applyAlignment="1">
      <alignment horizontal="right" vertical="center"/>
    </xf>
    <xf numFmtId="3" fontId="7" fillId="0" borderId="129" xfId="0" applyNumberFormat="1" applyFont="1" applyFill="1" applyBorder="1" applyAlignment="1">
      <alignment horizontal="center" vertical="center" wrapText="1"/>
    </xf>
    <xf numFmtId="183" fontId="7" fillId="0" borderId="129" xfId="0" applyNumberFormat="1" applyFont="1" applyFill="1" applyBorder="1" applyAlignment="1">
      <alignment horizontal="right" vertical="center"/>
    </xf>
    <xf numFmtId="183" fontId="7" fillId="0" borderId="132" xfId="0" applyNumberFormat="1" applyFont="1" applyFill="1" applyBorder="1" applyAlignment="1">
      <alignment horizontal="right" vertical="center" wrapText="1"/>
    </xf>
    <xf numFmtId="3" fontId="7" fillId="0" borderId="132" xfId="0" applyNumberFormat="1" applyFont="1" applyFill="1" applyBorder="1" applyAlignment="1">
      <alignment horizontal="center" vertical="center" wrapText="1"/>
    </xf>
    <xf numFmtId="39" fontId="10" fillId="0" borderId="126" xfId="0" applyNumberFormat="1" applyFont="1" applyFill="1" applyBorder="1" applyAlignment="1">
      <alignment horizontal="right" vertical="center" wrapText="1"/>
    </xf>
    <xf numFmtId="184" fontId="10" fillId="0" borderId="129" xfId="0" applyNumberFormat="1" applyFont="1" applyFill="1" applyBorder="1" applyAlignment="1">
      <alignment horizontal="right" vertical="center" wrapText="1"/>
    </xf>
    <xf numFmtId="39" fontId="10" fillId="0" borderId="129" xfId="0" applyNumberFormat="1" applyFont="1" applyFill="1" applyBorder="1" applyAlignment="1">
      <alignment horizontal="right" vertical="center" wrapText="1"/>
    </xf>
    <xf numFmtId="185" fontId="10" fillId="0" borderId="129" xfId="0" applyNumberFormat="1" applyFont="1" applyFill="1" applyBorder="1" applyAlignment="1">
      <alignment horizontal="right" vertical="center" wrapText="1"/>
    </xf>
    <xf numFmtId="4" fontId="10" fillId="0" borderId="129" xfId="0" applyNumberFormat="1" applyFont="1" applyFill="1" applyBorder="1" applyAlignment="1">
      <alignment horizontal="center" vertical="center" wrapText="1"/>
    </xf>
    <xf numFmtId="169" fontId="10" fillId="0" borderId="129" xfId="0" applyNumberFormat="1" applyFont="1" applyFill="1" applyBorder="1"/>
    <xf numFmtId="165" fontId="10" fillId="0" borderId="129" xfId="0" applyNumberFormat="1" applyFont="1" applyFill="1" applyBorder="1" applyAlignment="1">
      <alignment horizontal="center" vertical="center" wrapText="1"/>
    </xf>
    <xf numFmtId="164" fontId="10" fillId="0" borderId="129" xfId="0" applyNumberFormat="1" applyFont="1" applyFill="1" applyBorder="1" applyAlignment="1">
      <alignment horizontal="center" vertical="center" wrapText="1"/>
    </xf>
    <xf numFmtId="189" fontId="10" fillId="0" borderId="129" xfId="0" applyNumberFormat="1" applyFont="1" applyFill="1" applyBorder="1" applyAlignment="1">
      <alignment horizontal="center" vertical="center" wrapText="1"/>
    </xf>
    <xf numFmtId="186" fontId="10" fillId="0" borderId="129" xfId="0" applyNumberFormat="1" applyFont="1" applyFill="1" applyBorder="1" applyAlignment="1">
      <alignment horizontal="center" vertical="center" wrapText="1"/>
    </xf>
    <xf numFmtId="190" fontId="10" fillId="0" borderId="129" xfId="0" applyNumberFormat="1" applyFont="1" applyFill="1" applyBorder="1" applyAlignment="1">
      <alignment horizontal="right" vertical="center" wrapText="1"/>
    </xf>
    <xf numFmtId="4" fontId="7" fillId="0" borderId="129" xfId="0" applyNumberFormat="1" applyFont="1" applyFill="1" applyBorder="1" applyAlignment="1">
      <alignment horizontal="right" vertical="center" wrapText="1"/>
    </xf>
    <xf numFmtId="165" fontId="7" fillId="0" borderId="129" xfId="0" applyNumberFormat="1" applyFont="1" applyFill="1" applyBorder="1" applyAlignment="1">
      <alignment horizontal="center" vertical="center" wrapText="1"/>
    </xf>
    <xf numFmtId="171" fontId="7" fillId="0" borderId="129" xfId="0" applyNumberFormat="1" applyFont="1" applyFill="1" applyBorder="1" applyAlignment="1">
      <alignment horizontal="right" vertical="center" wrapText="1"/>
    </xf>
    <xf numFmtId="180" fontId="10" fillId="0" borderId="132" xfId="0" applyNumberFormat="1" applyFont="1" applyFill="1" applyBorder="1" applyAlignment="1">
      <alignment horizontal="left" vertical="center" wrapText="1"/>
    </xf>
    <xf numFmtId="171" fontId="7" fillId="0" borderId="132" xfId="0" applyNumberFormat="1" applyFont="1" applyFill="1" applyBorder="1" applyAlignment="1">
      <alignment horizontal="right" vertical="center" wrapText="1"/>
    </xf>
    <xf numFmtId="3" fontId="10" fillId="0" borderId="132" xfId="0" applyNumberFormat="1" applyFont="1" applyFill="1" applyBorder="1" applyAlignment="1">
      <alignment horizontal="center" vertical="center" wrapText="1"/>
    </xf>
    <xf numFmtId="169" fontId="10" fillId="0" borderId="126" xfId="0" applyNumberFormat="1" applyFont="1" applyFill="1" applyBorder="1" applyAlignment="1">
      <alignment vertical="center" wrapText="1"/>
    </xf>
    <xf numFmtId="191" fontId="10" fillId="0" borderId="129" xfId="0" applyNumberFormat="1" applyFont="1" applyFill="1" applyBorder="1" applyAlignment="1">
      <alignment horizontal="center" vertical="center" wrapText="1"/>
    </xf>
    <xf numFmtId="4" fontId="7" fillId="0" borderId="132" xfId="0" applyNumberFormat="1" applyFont="1" applyFill="1" applyBorder="1" applyAlignment="1">
      <alignment horizontal="right" vertical="center" wrapText="1"/>
    </xf>
    <xf numFmtId="10" fontId="10" fillId="0" borderId="126" xfId="0" applyNumberFormat="1" applyFont="1" applyFill="1" applyBorder="1" applyAlignment="1">
      <alignment horizontal="right" vertical="center" wrapText="1"/>
    </xf>
    <xf numFmtId="9" fontId="10" fillId="0" borderId="126" xfId="0" applyNumberFormat="1" applyFont="1" applyFill="1" applyBorder="1" applyAlignment="1">
      <alignment horizontal="center" vertical="center" wrapText="1"/>
    </xf>
    <xf numFmtId="10" fontId="10" fillId="0" borderId="129" xfId="0" applyNumberFormat="1" applyFont="1" applyFill="1" applyBorder="1" applyAlignment="1">
      <alignment horizontal="right" vertical="center" wrapText="1"/>
    </xf>
    <xf numFmtId="10" fontId="7" fillId="0" borderId="129" xfId="0" applyNumberFormat="1" applyFont="1" applyFill="1" applyBorder="1" applyAlignment="1">
      <alignment horizontal="right"/>
    </xf>
    <xf numFmtId="10" fontId="7" fillId="0" borderId="129" xfId="0" applyNumberFormat="1" applyFont="1" applyFill="1" applyBorder="1"/>
    <xf numFmtId="3" fontId="10" fillId="0" borderId="126" xfId="0" applyNumberFormat="1" applyFont="1" applyFill="1" applyBorder="1" applyAlignment="1">
      <alignment vertical="center" wrapText="1"/>
    </xf>
    <xf numFmtId="3" fontId="10" fillId="0" borderId="129" xfId="0" applyNumberFormat="1" applyFont="1" applyFill="1" applyBorder="1" applyAlignment="1">
      <alignment vertical="center" wrapText="1"/>
    </xf>
    <xf numFmtId="184" fontId="7" fillId="0" borderId="129" xfId="0" applyNumberFormat="1" applyFont="1" applyFill="1" applyBorder="1" applyAlignment="1">
      <alignment horizontal="right" vertical="center" wrapText="1"/>
    </xf>
    <xf numFmtId="180" fontId="7" fillId="0" borderId="132" xfId="0" applyNumberFormat="1" applyFont="1" applyFill="1" applyBorder="1" applyAlignment="1">
      <alignment horizontal="left" vertical="center" wrapText="1"/>
    </xf>
    <xf numFmtId="9" fontId="10" fillId="0" borderId="126" xfId="0" applyNumberFormat="1" applyFont="1" applyFill="1" applyBorder="1" applyAlignment="1">
      <alignment horizontal="right" vertical="center" wrapText="1"/>
    </xf>
    <xf numFmtId="9" fontId="10" fillId="0" borderId="129" xfId="0" applyNumberFormat="1" applyFont="1" applyFill="1" applyBorder="1" applyAlignment="1">
      <alignment horizontal="right" vertical="center" wrapText="1"/>
    </xf>
    <xf numFmtId="168" fontId="10" fillId="0" borderId="126" xfId="0" applyNumberFormat="1" applyFont="1" applyFill="1" applyBorder="1" applyAlignment="1">
      <alignment horizontal="right" vertical="center" wrapText="1"/>
    </xf>
    <xf numFmtId="168" fontId="10" fillId="0" borderId="129" xfId="0" applyNumberFormat="1" applyFont="1" applyFill="1" applyBorder="1" applyAlignment="1">
      <alignment horizontal="right" vertical="center"/>
    </xf>
    <xf numFmtId="9" fontId="10" fillId="0" borderId="129" xfId="0" applyNumberFormat="1" applyFont="1" applyFill="1" applyBorder="1" applyAlignment="1">
      <alignment horizontal="center" vertical="center" wrapText="1"/>
    </xf>
    <xf numFmtId="0" fontId="1" fillId="0" borderId="0" xfId="0" applyFont="1" applyFill="1"/>
    <xf numFmtId="0" fontId="0" fillId="0" borderId="0" xfId="0" applyFont="1" applyFill="1" applyAlignment="1"/>
    <xf numFmtId="0" fontId="1" fillId="0" borderId="122" xfId="0" applyFont="1" applyFill="1" applyBorder="1"/>
    <xf numFmtId="4" fontId="10" fillId="0" borderId="129" xfId="0" applyNumberFormat="1" applyFont="1" applyFill="1" applyBorder="1" applyAlignment="1">
      <alignment vertical="center" wrapText="1"/>
    </xf>
    <xf numFmtId="187" fontId="7" fillId="0" borderId="129" xfId="0" applyNumberFormat="1" applyFont="1" applyFill="1" applyBorder="1" applyAlignment="1">
      <alignment horizontal="right"/>
    </xf>
    <xf numFmtId="10" fontId="10" fillId="0" borderId="129" xfId="0" applyNumberFormat="1" applyFont="1" applyFill="1" applyBorder="1" applyAlignment="1">
      <alignment horizontal="right" vertical="center"/>
    </xf>
    <xf numFmtId="37" fontId="10" fillId="0" borderId="126" xfId="0" applyNumberFormat="1" applyFont="1" applyFill="1" applyBorder="1" applyAlignment="1">
      <alignment horizontal="right" vertical="center"/>
    </xf>
    <xf numFmtId="188" fontId="10" fillId="0" borderId="126" xfId="0" applyNumberFormat="1" applyFont="1" applyFill="1" applyBorder="1" applyAlignment="1">
      <alignment horizontal="right" vertical="center"/>
    </xf>
    <xf numFmtId="165" fontId="10" fillId="0" borderId="126" xfId="0" applyNumberFormat="1" applyFont="1" applyFill="1" applyBorder="1" applyAlignment="1">
      <alignment horizontal="center" vertical="center" wrapText="1"/>
    </xf>
    <xf numFmtId="37" fontId="10" fillId="0" borderId="129" xfId="0" applyNumberFormat="1" applyFont="1" applyFill="1" applyBorder="1" applyAlignment="1">
      <alignment horizontal="right" vertical="center"/>
    </xf>
    <xf numFmtId="180" fontId="10" fillId="4" borderId="135" xfId="0" applyNumberFormat="1" applyFont="1" applyFill="1" applyBorder="1" applyAlignment="1">
      <alignment vertical="center" wrapText="1"/>
    </xf>
    <xf numFmtId="4" fontId="10" fillId="4" borderId="135" xfId="0" applyNumberFormat="1" applyFont="1" applyFill="1" applyBorder="1" applyAlignment="1">
      <alignment horizontal="right" vertical="center"/>
    </xf>
    <xf numFmtId="165" fontId="10" fillId="4" borderId="122" xfId="0" applyNumberFormat="1" applyFont="1" applyFill="1" applyBorder="1"/>
    <xf numFmtId="0" fontId="10" fillId="4" borderId="122" xfId="0" applyFont="1" applyFill="1" applyBorder="1"/>
    <xf numFmtId="0" fontId="10" fillId="4" borderId="136" xfId="0" applyFont="1" applyFill="1" applyBorder="1"/>
    <xf numFmtId="0" fontId="10" fillId="2" borderId="122" xfId="0" applyFont="1" applyFill="1" applyBorder="1" applyAlignment="1">
      <alignment vertical="center" wrapText="1"/>
    </xf>
    <xf numFmtId="180" fontId="10" fillId="4" borderId="129" xfId="0" applyNumberFormat="1" applyFont="1" applyFill="1" applyBorder="1" applyAlignment="1">
      <alignment vertical="center" wrapText="1"/>
    </xf>
    <xf numFmtId="165" fontId="10" fillId="4" borderId="129" xfId="0" applyNumberFormat="1" applyFont="1" applyFill="1" applyBorder="1" applyAlignment="1">
      <alignment horizontal="center" vertical="center"/>
    </xf>
    <xf numFmtId="180" fontId="10" fillId="4" borderId="132" xfId="0" applyNumberFormat="1" applyFont="1" applyFill="1" applyBorder="1" applyAlignment="1">
      <alignment vertical="center" wrapText="1"/>
    </xf>
    <xf numFmtId="171" fontId="10" fillId="4" borderId="132" xfId="0" applyNumberFormat="1" applyFont="1" applyFill="1" applyBorder="1" applyAlignment="1">
      <alignment horizontal="right" vertical="center"/>
    </xf>
    <xf numFmtId="0" fontId="10" fillId="4" borderId="138" xfId="0" applyFont="1" applyFill="1" applyBorder="1"/>
    <xf numFmtId="10" fontId="16" fillId="2" borderId="1" xfId="0" applyNumberFormat="1" applyFont="1" applyFill="1" applyBorder="1" applyAlignment="1">
      <alignment horizontal="right" vertical="center"/>
    </xf>
    <xf numFmtId="0" fontId="4" fillId="4" borderId="16" xfId="0" applyFont="1" applyFill="1" applyBorder="1" applyAlignment="1">
      <alignment horizontal="center" vertical="center" wrapText="1"/>
    </xf>
    <xf numFmtId="0" fontId="2" fillId="0" borderId="15" xfId="0" applyFont="1" applyBorder="1"/>
    <xf numFmtId="0" fontId="2" fillId="0" borderId="18" xfId="0" applyFont="1" applyBorder="1"/>
    <xf numFmtId="0" fontId="4" fillId="4" borderId="8" xfId="0" applyFont="1" applyFill="1" applyBorder="1" applyAlignment="1">
      <alignment horizontal="center" vertical="center" wrapText="1"/>
    </xf>
    <xf numFmtId="0" fontId="2" fillId="0" borderId="6" xfId="0" applyFont="1" applyBorder="1"/>
    <xf numFmtId="0" fontId="2" fillId="0" borderId="11" xfId="0" applyFont="1" applyBorder="1"/>
    <xf numFmtId="0" fontId="3" fillId="0" borderId="2" xfId="0" applyFont="1" applyBorder="1" applyAlignment="1">
      <alignment horizontal="center"/>
    </xf>
    <xf numFmtId="0" fontId="2" fillId="0" borderId="3" xfId="0" applyFont="1" applyBorder="1"/>
    <xf numFmtId="0" fontId="2" fillId="0" borderId="7" xfId="0" applyFont="1" applyBorder="1"/>
    <xf numFmtId="0" fontId="2" fillId="0" borderId="10" xfId="0" applyFont="1" applyBorder="1"/>
    <xf numFmtId="0" fontId="0" fillId="0" borderId="0" xfId="0" applyFont="1" applyAlignment="1"/>
    <xf numFmtId="0" fontId="2" fillId="0" borderId="13" xfId="0" applyFont="1" applyBorder="1"/>
    <xf numFmtId="0" fontId="2" fillId="0" borderId="21" xfId="0" applyFont="1" applyBorder="1"/>
    <xf numFmtId="0" fontId="2" fillId="0" borderId="22" xfId="0" applyFont="1" applyBorder="1"/>
    <xf numFmtId="0" fontId="2" fillId="0" borderId="24" xfId="0" applyFont="1" applyBorder="1"/>
    <xf numFmtId="0" fontId="4" fillId="4" borderId="14" xfId="0" applyFont="1" applyFill="1" applyBorder="1" applyAlignment="1">
      <alignment horizontal="center" vertical="center" wrapText="1"/>
    </xf>
    <xf numFmtId="0" fontId="2" fillId="0" borderId="20" xfId="0" applyFont="1" applyBorder="1"/>
    <xf numFmtId="0" fontId="3" fillId="2" borderId="33" xfId="0" applyFont="1" applyFill="1" applyBorder="1" applyAlignment="1">
      <alignment horizontal="center" vertical="center" wrapText="1"/>
    </xf>
    <xf numFmtId="0" fontId="2" fillId="0" borderId="28" xfId="0" applyFont="1" applyBorder="1"/>
    <xf numFmtId="0" fontId="2" fillId="0" borderId="30" xfId="0" applyFont="1" applyBorder="1"/>
    <xf numFmtId="0" fontId="3" fillId="2" borderId="32" xfId="0" applyFont="1" applyFill="1" applyBorder="1" applyAlignment="1">
      <alignment horizontal="center" vertical="center" wrapText="1"/>
    </xf>
    <xf numFmtId="0" fontId="2" fillId="0" borderId="9" xfId="0" applyFont="1" applyBorder="1"/>
    <xf numFmtId="0" fontId="4" fillId="4" borderId="32" xfId="0" applyFont="1" applyFill="1" applyBorder="1" applyAlignment="1">
      <alignment horizontal="center" vertical="center" wrapText="1"/>
    </xf>
    <xf numFmtId="0" fontId="4"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2" fillId="0" borderId="50" xfId="0" applyFont="1" applyBorder="1"/>
    <xf numFmtId="0" fontId="2" fillId="0" borderId="40" xfId="0" applyFont="1" applyBorder="1"/>
    <xf numFmtId="0" fontId="3" fillId="4" borderId="14" xfId="0" applyFont="1" applyFill="1" applyBorder="1" applyAlignment="1">
      <alignment horizontal="center" vertical="center"/>
    </xf>
    <xf numFmtId="0" fontId="2" fillId="15" borderId="15" xfId="0" applyFont="1" applyFill="1" applyBorder="1"/>
    <xf numFmtId="0" fontId="2" fillId="15" borderId="20" xfId="0" applyFont="1" applyFill="1" applyBorder="1"/>
    <xf numFmtId="0" fontId="3" fillId="4" borderId="16" xfId="0" applyFont="1" applyFill="1" applyBorder="1" applyAlignment="1">
      <alignment horizontal="center" vertical="center"/>
    </xf>
    <xf numFmtId="0" fontId="3" fillId="4" borderId="44" xfId="0" applyFont="1" applyFill="1" applyBorder="1" applyAlignment="1">
      <alignment horizontal="center" vertical="center" wrapText="1"/>
    </xf>
    <xf numFmtId="0" fontId="2" fillId="15" borderId="40" xfId="0" applyFont="1" applyFill="1" applyBorder="1"/>
    <xf numFmtId="0" fontId="3" fillId="16" borderId="44" xfId="0" applyFont="1" applyFill="1" applyBorder="1" applyAlignment="1">
      <alignment horizontal="center" vertical="center" wrapText="1"/>
    </xf>
    <xf numFmtId="0" fontId="3" fillId="4" borderId="45" xfId="0" applyFont="1" applyFill="1" applyBorder="1" applyAlignment="1">
      <alignment horizontal="center" vertical="center"/>
    </xf>
    <xf numFmtId="0" fontId="2" fillId="0" borderId="46" xfId="0" applyFont="1" applyBorder="1"/>
    <xf numFmtId="0" fontId="2" fillId="0" borderId="48" xfId="0" applyFont="1" applyBorder="1"/>
    <xf numFmtId="0" fontId="3" fillId="4" borderId="14" xfId="0" applyFont="1" applyFill="1" applyBorder="1" applyAlignment="1">
      <alignment horizontal="center" vertical="center" wrapText="1"/>
    </xf>
    <xf numFmtId="0" fontId="20" fillId="4" borderId="84" xfId="0" applyFont="1" applyFill="1" applyBorder="1" applyAlignment="1">
      <alignment horizontal="right"/>
    </xf>
    <xf numFmtId="0" fontId="2" fillId="0" borderId="85" xfId="0" applyFont="1" applyBorder="1"/>
    <xf numFmtId="0" fontId="2" fillId="0" borderId="86" xfId="0" applyFont="1" applyBorder="1"/>
    <xf numFmtId="0" fontId="3" fillId="4" borderId="43" xfId="0" applyFont="1" applyFill="1" applyBorder="1" applyAlignment="1">
      <alignment horizontal="center" vertical="center" wrapText="1"/>
    </xf>
    <xf numFmtId="0" fontId="3" fillId="16" borderId="35" xfId="0" applyFont="1" applyFill="1" applyBorder="1" applyAlignment="1">
      <alignment horizontal="center" vertical="center" wrapText="1"/>
    </xf>
    <xf numFmtId="0" fontId="2" fillId="15" borderId="50" xfId="0" applyFont="1" applyFill="1" applyBorder="1"/>
    <xf numFmtId="0" fontId="3" fillId="4" borderId="38" xfId="0" applyFont="1" applyFill="1" applyBorder="1" applyAlignment="1">
      <alignment horizontal="center" vertical="center" wrapText="1"/>
    </xf>
    <xf numFmtId="0" fontId="2" fillId="15" borderId="51" xfId="0" applyFont="1" applyFill="1" applyBorder="1"/>
    <xf numFmtId="0" fontId="2" fillId="15" borderId="53" xfId="0" applyFont="1" applyFill="1" applyBorder="1"/>
    <xf numFmtId="0" fontId="3" fillId="4" borderId="8" xfId="0" applyFont="1" applyFill="1" applyBorder="1" applyAlignment="1">
      <alignment horizontal="center" vertical="center" wrapText="1"/>
    </xf>
    <xf numFmtId="0" fontId="2" fillId="0" borderId="37" xfId="0" applyFont="1" applyBorder="1"/>
    <xf numFmtId="0" fontId="3" fillId="2" borderId="44" xfId="0" applyFont="1" applyFill="1" applyBorder="1" applyAlignment="1">
      <alignment horizontal="center" vertical="center"/>
    </xf>
    <xf numFmtId="0" fontId="2" fillId="0" borderId="66" xfId="0" applyFont="1" applyBorder="1"/>
    <xf numFmtId="0" fontId="3" fillId="4" borderId="42" xfId="0" applyFont="1" applyFill="1" applyBorder="1" applyAlignment="1">
      <alignment horizontal="center" vertical="center" wrapText="1"/>
    </xf>
    <xf numFmtId="0" fontId="2" fillId="0" borderId="52" xfId="0" applyFont="1" applyBorder="1"/>
    <xf numFmtId="0" fontId="2" fillId="0" borderId="55" xfId="0" applyFont="1" applyBorder="1"/>
    <xf numFmtId="0" fontId="3" fillId="2" borderId="44"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2" fillId="0" borderId="50" xfId="0" applyFont="1" applyFill="1" applyBorder="1"/>
    <xf numFmtId="0" fontId="2" fillId="0" borderId="66" xfId="0" applyFont="1" applyFill="1" applyBorder="1"/>
    <xf numFmtId="0" fontId="16" fillId="0" borderId="44"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2" fillId="0" borderId="4" xfId="0" applyFont="1" applyBorder="1"/>
    <xf numFmtId="0" fontId="2" fillId="0" borderId="60" xfId="0" applyFont="1" applyBorder="1"/>
    <xf numFmtId="0" fontId="2" fillId="0" borderId="61" xfId="0" applyFont="1" applyBorder="1"/>
    <xf numFmtId="0" fontId="2" fillId="0" borderId="62" xfId="0" applyFont="1" applyBorder="1"/>
    <xf numFmtId="0" fontId="3" fillId="4" borderId="47" xfId="0" applyFont="1" applyFill="1" applyBorder="1" applyAlignment="1">
      <alignment horizontal="center" vertical="center" wrapText="1"/>
    </xf>
    <xf numFmtId="0" fontId="2" fillId="0" borderId="65" xfId="0" applyFont="1" applyBorder="1"/>
    <xf numFmtId="0" fontId="3" fillId="0" borderId="44" xfId="0" applyFont="1" applyFill="1" applyBorder="1" applyAlignment="1">
      <alignment horizontal="left" vertical="center" wrapText="1"/>
    </xf>
    <xf numFmtId="0" fontId="1" fillId="0" borderId="2" xfId="0" applyFont="1" applyBorder="1" applyAlignment="1">
      <alignment horizontal="center"/>
    </xf>
    <xf numFmtId="0" fontId="2" fillId="0" borderId="12" xfId="0" applyFont="1" applyBorder="1"/>
    <xf numFmtId="0" fontId="2" fillId="0" borderId="23" xfId="0" applyFont="1" applyBorder="1"/>
    <xf numFmtId="0" fontId="3" fillId="4" borderId="56" xfId="0" applyFont="1" applyFill="1" applyBorder="1" applyAlignment="1">
      <alignment horizontal="center" vertical="center" wrapText="1"/>
    </xf>
    <xf numFmtId="0" fontId="2" fillId="0" borderId="63" xfId="0" applyFont="1" applyBorder="1"/>
    <xf numFmtId="0" fontId="2" fillId="0" borderId="67" xfId="0" applyFont="1" applyBorder="1"/>
    <xf numFmtId="0" fontId="2" fillId="0" borderId="17" xfId="0" applyFont="1" applyBorder="1"/>
    <xf numFmtId="0" fontId="4" fillId="4" borderId="5" xfId="0" applyFont="1" applyFill="1" applyBorder="1" applyAlignment="1">
      <alignment horizontal="center" vertical="center" wrapText="1"/>
    </xf>
    <xf numFmtId="0" fontId="12" fillId="0" borderId="35" xfId="0" applyFont="1" applyBorder="1" applyAlignment="1">
      <alignment horizontal="left" vertical="center" wrapText="1"/>
    </xf>
    <xf numFmtId="0" fontId="2" fillId="0" borderId="58" xfId="0" applyFont="1" applyBorder="1"/>
    <xf numFmtId="0" fontId="4" fillId="4" borderId="26" xfId="0" applyFont="1" applyFill="1" applyBorder="1" applyAlignment="1">
      <alignment horizontal="center" vertical="center" wrapText="1"/>
    </xf>
    <xf numFmtId="0" fontId="2" fillId="0" borderId="29" xfId="0" applyFont="1" applyBorder="1"/>
    <xf numFmtId="10" fontId="3" fillId="4" borderId="35" xfId="0" applyNumberFormat="1" applyFont="1" applyFill="1" applyBorder="1" applyAlignment="1">
      <alignment horizontal="center" vertical="center" wrapText="1"/>
    </xf>
    <xf numFmtId="0" fontId="3" fillId="4" borderId="5" xfId="0" applyFont="1" applyFill="1" applyBorder="1" applyAlignment="1">
      <alignment horizontal="center" vertical="center"/>
    </xf>
    <xf numFmtId="0" fontId="3" fillId="4" borderId="5" xfId="0" applyFont="1" applyFill="1" applyBorder="1" applyAlignment="1">
      <alignment horizontal="center" vertical="center" wrapText="1"/>
    </xf>
    <xf numFmtId="0" fontId="12" fillId="0" borderId="38" xfId="0" applyFont="1" applyFill="1" applyBorder="1" applyAlignment="1">
      <alignment horizontal="left" vertical="center" wrapText="1"/>
    </xf>
    <xf numFmtId="0" fontId="2" fillId="0" borderId="51" xfId="0" applyFont="1" applyFill="1" applyBorder="1"/>
    <xf numFmtId="0" fontId="2" fillId="0" borderId="59" xfId="0" applyFont="1" applyFill="1" applyBorder="1"/>
    <xf numFmtId="0" fontId="2" fillId="0" borderId="51" xfId="0" applyFont="1" applyBorder="1"/>
    <xf numFmtId="0" fontId="2" fillId="0" borderId="53" xfId="0" applyFont="1" applyBorder="1"/>
    <xf numFmtId="0" fontId="12" fillId="2" borderId="35" xfId="0" applyFont="1" applyFill="1" applyBorder="1" applyAlignment="1">
      <alignment horizontal="center" vertical="center" wrapText="1"/>
    </xf>
    <xf numFmtId="0" fontId="12" fillId="0" borderId="35" xfId="0" applyFont="1" applyBorder="1" applyAlignment="1">
      <alignment horizontal="center" vertical="center" wrapText="1"/>
    </xf>
    <xf numFmtId="0" fontId="12" fillId="0" borderId="35" xfId="0" applyFont="1" applyFill="1" applyBorder="1" applyAlignment="1">
      <alignment horizontal="center" vertical="center" wrapText="1"/>
    </xf>
    <xf numFmtId="0" fontId="2" fillId="0" borderId="58" xfId="0" applyFont="1" applyFill="1" applyBorder="1"/>
    <xf numFmtId="0" fontId="12" fillId="0" borderId="4" xfId="0" applyFont="1" applyFill="1" applyBorder="1" applyAlignment="1">
      <alignment horizontal="left" vertical="top" wrapText="1"/>
    </xf>
    <xf numFmtId="0" fontId="2" fillId="0" borderId="12" xfId="0" applyFont="1" applyFill="1" applyBorder="1" applyAlignment="1">
      <alignment horizontal="left" vertical="top"/>
    </xf>
    <xf numFmtId="0" fontId="2" fillId="0" borderId="23" xfId="0" applyFont="1" applyFill="1" applyBorder="1" applyAlignment="1">
      <alignment horizontal="left" vertical="top"/>
    </xf>
    <xf numFmtId="0" fontId="12" fillId="0" borderId="35" xfId="0" applyFont="1" applyFill="1" applyBorder="1" applyAlignment="1">
      <alignment horizontal="center" vertical="top" wrapText="1"/>
    </xf>
    <xf numFmtId="0" fontId="2" fillId="0" borderId="50" xfId="0" applyFont="1" applyFill="1" applyBorder="1" applyAlignment="1">
      <alignment vertical="top"/>
    </xf>
    <xf numFmtId="0" fontId="2" fillId="0" borderId="58" xfId="0" applyFont="1" applyFill="1" applyBorder="1" applyAlignment="1">
      <alignment vertical="top"/>
    </xf>
    <xf numFmtId="0" fontId="27" fillId="0" borderId="111" xfId="0" applyFont="1" applyFill="1" applyBorder="1" applyAlignment="1">
      <alignment horizontal="left" vertical="top" wrapText="1"/>
    </xf>
    <xf numFmtId="0" fontId="2" fillId="0" borderId="93" xfId="0" applyFont="1" applyFill="1" applyBorder="1" applyAlignment="1">
      <alignment horizontal="left" vertical="top"/>
    </xf>
    <xf numFmtId="0" fontId="2" fillId="0" borderId="114" xfId="0" applyFont="1" applyFill="1" applyBorder="1" applyAlignment="1">
      <alignment horizontal="left" vertical="top"/>
    </xf>
    <xf numFmtId="0" fontId="12" fillId="0" borderId="92" xfId="0" applyFont="1" applyFill="1" applyBorder="1" applyAlignment="1">
      <alignment horizontal="left" vertical="top" wrapText="1"/>
    </xf>
    <xf numFmtId="0" fontId="2" fillId="0" borderId="95" xfId="0" applyFont="1" applyFill="1" applyBorder="1" applyAlignment="1">
      <alignment horizontal="left" vertical="top"/>
    </xf>
    <xf numFmtId="0" fontId="12" fillId="0" borderId="38" xfId="0" applyFont="1" applyBorder="1" applyAlignment="1">
      <alignment horizontal="center" vertical="center" wrapText="1"/>
    </xf>
    <xf numFmtId="0" fontId="2" fillId="0" borderId="59" xfId="0" applyFont="1" applyBorder="1"/>
    <xf numFmtId="49" fontId="14" fillId="2" borderId="35" xfId="0" applyNumberFormat="1" applyFont="1" applyFill="1" applyBorder="1" applyAlignment="1">
      <alignment horizontal="left" vertical="center" wrapText="1"/>
    </xf>
    <xf numFmtId="0" fontId="12" fillId="0" borderId="51" xfId="0" applyFont="1" applyFill="1" applyBorder="1" applyAlignment="1">
      <alignment horizontal="center" vertical="center" wrapText="1"/>
    </xf>
    <xf numFmtId="0" fontId="2" fillId="0" borderId="69" xfId="0" applyFont="1" applyFill="1" applyBorder="1"/>
    <xf numFmtId="0" fontId="12" fillId="0" borderId="38" xfId="0" applyFont="1" applyFill="1" applyBorder="1" applyAlignment="1">
      <alignment horizontal="center" vertical="center" wrapText="1"/>
    </xf>
    <xf numFmtId="0" fontId="12" fillId="0" borderId="38" xfId="0" applyFont="1" applyBorder="1" applyAlignment="1">
      <alignment horizontal="left" vertical="center" wrapText="1"/>
    </xf>
    <xf numFmtId="0" fontId="0" fillId="2" borderId="35" xfId="0" applyFont="1" applyFill="1" applyBorder="1" applyAlignment="1">
      <alignment horizontal="left" vertical="center" wrapText="1"/>
    </xf>
    <xf numFmtId="0" fontId="14" fillId="0" borderId="70" xfId="0" applyFont="1" applyFill="1" applyBorder="1" applyAlignment="1">
      <alignment horizontal="left" vertical="top" wrapText="1"/>
    </xf>
    <xf numFmtId="0" fontId="2" fillId="0" borderId="51" xfId="0" applyFont="1" applyFill="1" applyBorder="1" applyAlignment="1">
      <alignment horizontal="left" vertical="top"/>
    </xf>
    <xf numFmtId="0" fontId="2" fillId="0" borderId="69" xfId="0" applyFont="1" applyFill="1" applyBorder="1" applyAlignment="1">
      <alignment horizontal="left" vertical="top"/>
    </xf>
    <xf numFmtId="49" fontId="5" fillId="0" borderId="92" xfId="0" applyNumberFormat="1" applyFont="1" applyFill="1" applyBorder="1" applyAlignment="1">
      <alignment horizontal="left" wrapText="1"/>
    </xf>
    <xf numFmtId="0" fontId="2" fillId="0" borderId="93" xfId="0" applyFont="1" applyFill="1" applyBorder="1" applyAlignment="1">
      <alignment horizontal="left"/>
    </xf>
    <xf numFmtId="0" fontId="2" fillId="0" borderId="95" xfId="0" applyFont="1" applyFill="1" applyBorder="1" applyAlignment="1">
      <alignment horizontal="left"/>
    </xf>
    <xf numFmtId="0" fontId="12" fillId="0" borderId="92" xfId="0" applyFont="1" applyFill="1" applyBorder="1" applyAlignment="1">
      <alignment horizontal="left" wrapText="1"/>
    </xf>
    <xf numFmtId="0" fontId="12" fillId="0" borderId="111" xfId="0" applyFont="1" applyFill="1" applyBorder="1" applyAlignment="1">
      <alignment horizontal="left" vertical="top" wrapText="1"/>
    </xf>
    <xf numFmtId="0" fontId="26" fillId="0" borderId="51" xfId="0" applyFont="1" applyFill="1" applyBorder="1" applyAlignment="1">
      <alignment horizontal="center" vertical="center" wrapText="1"/>
    </xf>
    <xf numFmtId="0" fontId="12" fillId="0" borderId="111" xfId="0" applyFont="1" applyFill="1" applyBorder="1" applyAlignment="1">
      <alignment horizontal="center" vertical="center" wrapText="1"/>
    </xf>
    <xf numFmtId="0" fontId="2" fillId="0" borderId="93" xfId="0" applyFont="1" applyFill="1" applyBorder="1"/>
    <xf numFmtId="0" fontId="2" fillId="0" borderId="114" xfId="0" applyFont="1" applyFill="1" applyBorder="1"/>
    <xf numFmtId="0" fontId="12" fillId="0" borderId="35" xfId="0" applyFont="1" applyFill="1" applyBorder="1" applyAlignment="1">
      <alignment horizontal="left" vertical="center" wrapText="1"/>
    </xf>
    <xf numFmtId="0" fontId="12" fillId="0" borderId="43" xfId="0" applyFont="1" applyFill="1" applyBorder="1" applyAlignment="1">
      <alignment horizontal="center" vertical="center" wrapText="1"/>
    </xf>
    <xf numFmtId="0" fontId="2" fillId="0" borderId="40" xfId="0" applyFont="1" applyFill="1" applyBorder="1"/>
    <xf numFmtId="0" fontId="12" fillId="0" borderId="92" xfId="0" applyFont="1" applyFill="1" applyBorder="1" applyAlignment="1">
      <alignment horizontal="center" vertical="center" wrapText="1"/>
    </xf>
    <xf numFmtId="0" fontId="2" fillId="0" borderId="95" xfId="0" applyFont="1" applyFill="1" applyBorder="1"/>
    <xf numFmtId="0" fontId="12" fillId="2" borderId="92" xfId="0" applyFont="1" applyFill="1" applyBorder="1" applyAlignment="1">
      <alignment horizontal="center" vertical="center" wrapText="1"/>
    </xf>
    <xf numFmtId="0" fontId="2" fillId="0" borderId="93" xfId="0" applyFont="1" applyBorder="1"/>
    <xf numFmtId="0" fontId="2" fillId="0" borderId="95" xfId="0" applyFont="1" applyBorder="1"/>
    <xf numFmtId="0" fontId="26" fillId="0" borderId="92" xfId="0" applyFont="1" applyFill="1" applyBorder="1" applyAlignment="1">
      <alignment horizontal="center" vertical="top" wrapText="1"/>
    </xf>
    <xf numFmtId="0" fontId="26" fillId="0" borderId="92" xfId="0" applyFont="1" applyFill="1" applyBorder="1" applyAlignment="1">
      <alignment horizontal="center" vertical="center" wrapText="1"/>
    </xf>
    <xf numFmtId="0" fontId="29" fillId="4" borderId="14" xfId="0" applyFont="1" applyFill="1" applyBorder="1" applyAlignment="1">
      <alignment horizontal="right" vertical="center"/>
    </xf>
    <xf numFmtId="0" fontId="14" fillId="14" borderId="54" xfId="0" applyFont="1" applyFill="1" applyBorder="1" applyAlignment="1">
      <alignment horizontal="center" vertical="center" wrapText="1"/>
    </xf>
    <xf numFmtId="0" fontId="2" fillId="15" borderId="108" xfId="0" applyFont="1" applyFill="1" applyBorder="1"/>
    <xf numFmtId="0" fontId="2" fillId="15" borderId="116" xfId="0" applyFont="1" applyFill="1" applyBorder="1"/>
    <xf numFmtId="0" fontId="2" fillId="15" borderId="10" xfId="0" applyFont="1" applyFill="1" applyBorder="1"/>
    <xf numFmtId="0" fontId="0" fillId="15" borderId="0" xfId="0" applyFont="1" applyFill="1" applyAlignment="1"/>
    <xf numFmtId="0" fontId="2" fillId="15" borderId="117" xfId="0" applyFont="1" applyFill="1" applyBorder="1"/>
    <xf numFmtId="0" fontId="2" fillId="15" borderId="118" xfId="0" applyFont="1" applyFill="1" applyBorder="1"/>
    <xf numFmtId="0" fontId="2" fillId="15" borderId="119" xfId="0" applyFont="1" applyFill="1" applyBorder="1"/>
    <xf numFmtId="0" fontId="2" fillId="15" borderId="77" xfId="0" applyFont="1" applyFill="1" applyBorder="1"/>
    <xf numFmtId="0" fontId="12" fillId="2" borderId="35" xfId="0" applyFont="1" applyFill="1" applyBorder="1" applyAlignment="1">
      <alignment horizontal="left" vertical="center" wrapText="1"/>
    </xf>
    <xf numFmtId="0" fontId="34" fillId="0" borderId="92" xfId="0" applyFont="1" applyFill="1" applyBorder="1" applyAlignment="1">
      <alignment horizontal="left" vertical="top" wrapText="1"/>
    </xf>
    <xf numFmtId="0" fontId="31" fillId="0" borderId="93" xfId="0" applyFont="1" applyFill="1" applyBorder="1" applyAlignment="1">
      <alignment horizontal="left" vertical="top"/>
    </xf>
    <xf numFmtId="0" fontId="31" fillId="0" borderId="95" xfId="0" applyFont="1" applyFill="1" applyBorder="1" applyAlignment="1">
      <alignment horizontal="left" vertical="top"/>
    </xf>
    <xf numFmtId="49" fontId="14" fillId="0" borderId="35" xfId="0" applyNumberFormat="1" applyFont="1" applyFill="1" applyBorder="1" applyAlignment="1">
      <alignment horizontal="left" vertical="center" wrapText="1"/>
    </xf>
    <xf numFmtId="49" fontId="14" fillId="0" borderId="92" xfId="0" applyNumberFormat="1" applyFont="1" applyFill="1" applyBorder="1" applyAlignment="1">
      <alignment horizontal="left" vertical="top" wrapText="1"/>
    </xf>
    <xf numFmtId="0" fontId="14" fillId="0" borderId="4" xfId="0" applyFont="1" applyFill="1" applyBorder="1" applyAlignment="1">
      <alignment horizontal="left" vertical="top" wrapText="1"/>
    </xf>
    <xf numFmtId="0" fontId="36" fillId="0" borderId="12" xfId="0" applyFont="1" applyFill="1" applyBorder="1" applyAlignment="1">
      <alignment horizontal="left" vertical="top"/>
    </xf>
    <xf numFmtId="0" fontId="36" fillId="0" borderId="23" xfId="0" applyFont="1" applyFill="1" applyBorder="1" applyAlignment="1">
      <alignment horizontal="left" vertical="top"/>
    </xf>
    <xf numFmtId="0" fontId="3" fillId="0" borderId="68" xfId="0" applyFont="1" applyFill="1" applyBorder="1" applyAlignment="1">
      <alignment horizontal="center" vertical="center" wrapText="1"/>
    </xf>
    <xf numFmtId="0" fontId="2" fillId="0" borderId="63" xfId="0" applyFont="1" applyFill="1" applyBorder="1"/>
    <xf numFmtId="0" fontId="2" fillId="0" borderId="115" xfId="0" applyFont="1" applyFill="1" applyBorder="1"/>
    <xf numFmtId="0" fontId="9" fillId="5" borderId="47" xfId="0" applyFont="1" applyFill="1" applyBorder="1" applyAlignment="1">
      <alignment horizontal="center" vertical="center" wrapText="1"/>
    </xf>
    <xf numFmtId="0" fontId="9" fillId="5" borderId="110" xfId="0" applyFont="1" applyFill="1" applyBorder="1" applyAlignment="1">
      <alignment horizontal="center" vertical="center" wrapText="1"/>
    </xf>
    <xf numFmtId="0" fontId="9" fillId="5" borderId="35" xfId="0" applyFont="1" applyFill="1" applyBorder="1" applyAlignment="1">
      <alignment horizontal="center" vertical="center" wrapText="1"/>
    </xf>
    <xf numFmtId="0" fontId="9" fillId="5" borderId="89" xfId="0" applyFont="1" applyFill="1" applyBorder="1" applyAlignment="1">
      <alignment horizontal="center" vertical="center" wrapText="1"/>
    </xf>
    <xf numFmtId="0" fontId="7" fillId="5" borderId="123" xfId="0" applyFont="1" applyFill="1" applyBorder="1" applyAlignment="1">
      <alignment horizontal="center" vertical="center" wrapText="1"/>
    </xf>
    <xf numFmtId="0" fontId="7" fillId="5" borderId="100" xfId="0" applyFont="1" applyFill="1" applyBorder="1" applyAlignment="1">
      <alignment horizontal="center" vertical="center" wrapText="1"/>
    </xf>
    <xf numFmtId="0" fontId="7" fillId="5" borderId="124" xfId="0" applyFont="1" applyFill="1" applyBorder="1" applyAlignment="1">
      <alignment horizontal="center" vertical="center" wrapText="1"/>
    </xf>
    <xf numFmtId="0" fontId="5" fillId="0" borderId="47" xfId="0" applyFont="1" applyFill="1" applyBorder="1" applyAlignment="1">
      <alignment horizontal="center" vertical="top" wrapText="1"/>
    </xf>
    <xf numFmtId="0" fontId="2" fillId="0" borderId="52" xfId="0" applyFont="1" applyFill="1" applyBorder="1" applyAlignment="1">
      <alignment vertical="top"/>
    </xf>
    <xf numFmtId="0" fontId="2" fillId="0" borderId="57" xfId="0" applyFont="1" applyFill="1" applyBorder="1" applyAlignment="1">
      <alignment vertical="top"/>
    </xf>
    <xf numFmtId="0" fontId="11" fillId="0" borderId="35" xfId="0" applyFont="1" applyFill="1" applyBorder="1" applyAlignment="1">
      <alignment horizontal="left" vertical="center" wrapText="1"/>
    </xf>
    <xf numFmtId="0" fontId="11" fillId="0" borderId="35" xfId="0" applyFont="1" applyFill="1" applyBorder="1" applyAlignment="1">
      <alignment horizontal="left" vertical="top" wrapText="1"/>
    </xf>
    <xf numFmtId="0" fontId="11" fillId="0" borderId="44" xfId="0" applyFont="1" applyFill="1" applyBorder="1" applyAlignment="1">
      <alignment horizontal="left" vertical="center" wrapText="1"/>
    </xf>
    <xf numFmtId="0" fontId="11" fillId="0" borderId="44" xfId="0" applyFont="1" applyFill="1" applyBorder="1" applyAlignment="1">
      <alignment horizontal="left" vertical="top" wrapText="1"/>
    </xf>
    <xf numFmtId="10" fontId="3" fillId="2" borderId="35" xfId="0" applyNumberFormat="1" applyFont="1" applyFill="1" applyBorder="1" applyAlignment="1">
      <alignment horizontal="center" vertical="center" wrapText="1"/>
    </xf>
    <xf numFmtId="0" fontId="0" fillId="0" borderId="44" xfId="0" applyFont="1" applyBorder="1" applyAlignment="1">
      <alignment horizontal="center" vertical="center" wrapText="1"/>
    </xf>
    <xf numFmtId="0" fontId="0" fillId="0" borderId="35" xfId="0" applyFont="1" applyBorder="1" applyAlignment="1">
      <alignment horizontal="center" vertical="center" wrapText="1"/>
    </xf>
    <xf numFmtId="10" fontId="16" fillId="2" borderId="35" xfId="0" applyNumberFormat="1" applyFont="1" applyFill="1" applyBorder="1" applyAlignment="1">
      <alignment horizontal="center" vertical="center" wrapText="1"/>
    </xf>
    <xf numFmtId="10" fontId="3" fillId="2" borderId="44" xfId="0" applyNumberFormat="1" applyFont="1" applyFill="1" applyBorder="1" applyAlignment="1">
      <alignment horizontal="center" vertical="center" wrapText="1"/>
    </xf>
    <xf numFmtId="10" fontId="3" fillId="0" borderId="44" xfId="0" applyNumberFormat="1" applyFont="1" applyBorder="1" applyAlignment="1">
      <alignment horizontal="center" vertical="center" wrapText="1"/>
    </xf>
    <xf numFmtId="0" fontId="6" fillId="5" borderId="5"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8" fillId="5" borderId="26"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44" xfId="0" applyFont="1" applyFill="1" applyBorder="1" applyAlignment="1">
      <alignment horizontal="center" vertical="center" wrapText="1"/>
    </xf>
    <xf numFmtId="0" fontId="7" fillId="5" borderId="89" xfId="0" applyFont="1" applyFill="1" applyBorder="1" applyAlignment="1">
      <alignment horizontal="center" vertical="center" wrapText="1"/>
    </xf>
    <xf numFmtId="0" fontId="5" fillId="0" borderId="38" xfId="0" applyFont="1" applyFill="1" applyBorder="1" applyAlignment="1">
      <alignment horizontal="left" vertical="top" wrapText="1"/>
    </xf>
    <xf numFmtId="0" fontId="12" fillId="0" borderId="59" xfId="0" applyFont="1" applyFill="1" applyBorder="1" applyAlignment="1">
      <alignment vertical="top"/>
    </xf>
    <xf numFmtId="0" fontId="8" fillId="5" borderId="14" xfId="0" applyFont="1" applyFill="1" applyBorder="1" applyAlignment="1">
      <alignment horizontal="center" vertical="center" wrapText="1"/>
    </xf>
    <xf numFmtId="0" fontId="6" fillId="5" borderId="14" xfId="0" applyFont="1" applyFill="1" applyBorder="1" applyAlignment="1">
      <alignment horizontal="center" vertical="center" wrapText="1"/>
    </xf>
    <xf numFmtId="10" fontId="16" fillId="0" borderId="35" xfId="0" applyNumberFormat="1" applyFont="1" applyBorder="1" applyAlignment="1">
      <alignment horizontal="center" vertical="center" wrapText="1"/>
    </xf>
    <xf numFmtId="10" fontId="3" fillId="0" borderId="35" xfId="0" applyNumberFormat="1" applyFont="1" applyBorder="1" applyAlignment="1">
      <alignment horizontal="center" vertical="center" wrapText="1"/>
    </xf>
    <xf numFmtId="0" fontId="5" fillId="0" borderId="2" xfId="0" applyFont="1" applyBorder="1"/>
    <xf numFmtId="0" fontId="10" fillId="0" borderId="54" xfId="0" applyFont="1" applyBorder="1" applyAlignment="1">
      <alignment horizontal="center" vertical="center" wrapText="1"/>
    </xf>
    <xf numFmtId="0" fontId="2" fillId="0" borderId="64" xfId="0" applyFont="1" applyBorder="1"/>
    <xf numFmtId="0" fontId="9" fillId="5" borderId="84" xfId="0" applyFont="1" applyFill="1" applyBorder="1" applyAlignment="1">
      <alignment horizontal="center" vertical="center" wrapText="1"/>
    </xf>
    <xf numFmtId="0" fontId="2" fillId="0" borderId="88" xfId="0" applyFont="1" applyBorder="1"/>
    <xf numFmtId="0" fontId="10" fillId="2" borderId="82" xfId="0" applyFont="1" applyFill="1" applyBorder="1" applyAlignment="1">
      <alignment horizontal="center" vertical="center" wrapText="1"/>
    </xf>
    <xf numFmtId="0" fontId="2" fillId="0" borderId="83" xfId="0" applyFont="1" applyBorder="1"/>
    <xf numFmtId="0" fontId="2" fillId="0" borderId="87" xfId="0" applyFont="1" applyBorder="1"/>
    <xf numFmtId="0" fontId="2" fillId="0" borderId="66" xfId="0" applyFont="1" applyFill="1" applyBorder="1" applyAlignment="1">
      <alignment vertical="top"/>
    </xf>
    <xf numFmtId="0" fontId="5" fillId="0" borderId="70" xfId="0" applyFont="1" applyFill="1" applyBorder="1" applyAlignment="1">
      <alignment horizontal="left" vertical="top" wrapText="1"/>
    </xf>
    <xf numFmtId="0" fontId="12" fillId="0" borderId="69" xfId="0" applyFont="1" applyFill="1" applyBorder="1" applyAlignment="1">
      <alignment vertical="top"/>
    </xf>
    <xf numFmtId="0" fontId="5" fillId="0" borderId="70" xfId="0" applyFont="1" applyFill="1" applyBorder="1" applyAlignment="1">
      <alignment horizontal="center" vertical="top" wrapText="1"/>
    </xf>
    <xf numFmtId="0" fontId="5" fillId="2" borderId="74" xfId="0" applyFont="1" applyFill="1" applyBorder="1" applyAlignment="1">
      <alignment horizontal="left" vertical="center" wrapText="1"/>
    </xf>
    <xf numFmtId="0" fontId="2" fillId="0" borderId="75" xfId="0" applyFont="1" applyBorder="1"/>
    <xf numFmtId="0" fontId="2" fillId="0" borderId="76" xfId="0" applyFont="1" applyBorder="1"/>
    <xf numFmtId="0" fontId="2" fillId="0" borderId="77" xfId="0" applyFont="1" applyBorder="1"/>
    <xf numFmtId="49" fontId="5" fillId="0" borderId="38" xfId="0" applyNumberFormat="1" applyFont="1" applyFill="1" applyBorder="1" applyAlignment="1">
      <alignment horizontal="left" vertical="top" wrapText="1"/>
    </xf>
    <xf numFmtId="0" fontId="5" fillId="0" borderId="38" xfId="0" applyFont="1" applyFill="1" applyBorder="1" applyAlignment="1">
      <alignment horizontal="center" vertical="top" wrapText="1"/>
    </xf>
    <xf numFmtId="0" fontId="22" fillId="0" borderId="70" xfId="0" applyFont="1" applyFill="1" applyBorder="1" applyAlignment="1">
      <alignment horizontal="center" vertical="top" wrapText="1"/>
    </xf>
    <xf numFmtId="1" fontId="10" fillId="0" borderId="126" xfId="0" applyNumberFormat="1" applyFont="1" applyFill="1" applyBorder="1" applyAlignment="1">
      <alignment horizontal="center" vertical="center" wrapText="1"/>
    </xf>
    <xf numFmtId="0" fontId="1" fillId="0" borderId="129" xfId="0" applyFont="1" applyFill="1" applyBorder="1"/>
    <xf numFmtId="0" fontId="1" fillId="0" borderId="132" xfId="0" applyFont="1" applyFill="1" applyBorder="1"/>
    <xf numFmtId="1" fontId="10" fillId="0" borderId="127" xfId="0" applyNumberFormat="1" applyFont="1" applyFill="1" applyBorder="1" applyAlignment="1">
      <alignment horizontal="center" vertical="center" wrapText="1"/>
    </xf>
    <xf numFmtId="0" fontId="1" fillId="0" borderId="130" xfId="0" applyFont="1" applyFill="1" applyBorder="1"/>
    <xf numFmtId="0" fontId="1" fillId="0" borderId="133" xfId="0" applyFont="1" applyFill="1" applyBorder="1"/>
    <xf numFmtId="0" fontId="7" fillId="0" borderId="129" xfId="0" applyFont="1" applyFill="1" applyBorder="1" applyAlignment="1">
      <alignment horizontal="center" vertical="center" wrapText="1"/>
    </xf>
    <xf numFmtId="0" fontId="7" fillId="4" borderId="134" xfId="0" applyFont="1" applyFill="1" applyBorder="1" applyAlignment="1">
      <alignment horizontal="center" vertical="center" wrapText="1"/>
    </xf>
    <xf numFmtId="0" fontId="1" fillId="0" borderId="122" xfId="0" applyFont="1" applyBorder="1"/>
    <xf numFmtId="0" fontId="1" fillId="0" borderId="134" xfId="0" applyFont="1" applyBorder="1"/>
    <xf numFmtId="0" fontId="0" fillId="0" borderId="122" xfId="0" applyFont="1" applyBorder="1" applyAlignment="1"/>
    <xf numFmtId="0" fontId="1" fillId="0" borderId="137" xfId="0" applyFont="1" applyBorder="1"/>
    <xf numFmtId="0" fontId="1" fillId="0" borderId="138" xfId="0" applyFont="1" applyBorder="1"/>
    <xf numFmtId="0" fontId="7" fillId="4" borderId="138" xfId="0" applyFont="1" applyFill="1" applyBorder="1" applyAlignment="1">
      <alignment horizontal="right"/>
    </xf>
    <xf numFmtId="0" fontId="1" fillId="0" borderId="139" xfId="0" applyFont="1" applyBorder="1"/>
    <xf numFmtId="0" fontId="10" fillId="0" borderId="126" xfId="0" applyFont="1" applyFill="1" applyBorder="1" applyAlignment="1">
      <alignment horizontal="center" vertical="center" wrapText="1"/>
    </xf>
    <xf numFmtId="0" fontId="1" fillId="0" borderId="126" xfId="0" applyFont="1" applyFill="1" applyBorder="1"/>
    <xf numFmtId="0" fontId="25" fillId="0" borderId="125" xfId="0" applyFont="1" applyFill="1" applyBorder="1" applyAlignment="1">
      <alignment horizontal="center" vertical="center" wrapText="1"/>
    </xf>
    <xf numFmtId="0" fontId="1" fillId="0" borderId="128" xfId="0" applyFont="1" applyFill="1" applyBorder="1"/>
    <xf numFmtId="0" fontId="1" fillId="0" borderId="131" xfId="0" applyFont="1" applyFill="1" applyBorder="1"/>
    <xf numFmtId="0" fontId="7" fillId="0" borderId="126" xfId="0" applyFont="1" applyFill="1" applyBorder="1" applyAlignment="1">
      <alignment horizontal="center" vertical="center" wrapText="1"/>
    </xf>
    <xf numFmtId="3" fontId="10" fillId="0" borderId="126" xfId="0" applyNumberFormat="1" applyFont="1" applyFill="1" applyBorder="1" applyAlignment="1">
      <alignment horizontal="center" vertical="center" wrapText="1"/>
    </xf>
    <xf numFmtId="3" fontId="10" fillId="0" borderId="130" xfId="0" applyNumberFormat="1" applyFont="1" applyFill="1" applyBorder="1" applyAlignment="1">
      <alignment horizontal="center" vertical="center" wrapText="1"/>
    </xf>
    <xf numFmtId="3" fontId="10" fillId="0" borderId="129" xfId="0" applyNumberFormat="1" applyFont="1" applyFill="1" applyBorder="1" applyAlignment="1">
      <alignment horizontal="center" vertical="center" wrapText="1"/>
    </xf>
    <xf numFmtId="0" fontId="0" fillId="0" borderId="129" xfId="0" applyFont="1" applyFill="1" applyBorder="1" applyAlignment="1"/>
    <xf numFmtId="1" fontId="10" fillId="0" borderId="129" xfId="0" applyNumberFormat="1" applyFont="1" applyFill="1" applyBorder="1" applyAlignment="1">
      <alignment horizontal="center" vertical="center" wrapText="1"/>
    </xf>
    <xf numFmtId="1" fontId="10" fillId="0" borderId="130" xfId="0" applyNumberFormat="1" applyFont="1" applyFill="1" applyBorder="1" applyAlignment="1">
      <alignment horizontal="center" vertical="center" wrapText="1"/>
    </xf>
    <xf numFmtId="0" fontId="10" fillId="0" borderId="129" xfId="0" applyFont="1" applyFill="1" applyBorder="1" applyAlignment="1">
      <alignment horizontal="center" vertical="center" wrapText="1"/>
    </xf>
    <xf numFmtId="3" fontId="30" fillId="0" borderId="129" xfId="0" applyNumberFormat="1" applyFont="1" applyFill="1" applyBorder="1" applyAlignment="1">
      <alignment horizontal="center" vertical="center" wrapText="1"/>
    </xf>
    <xf numFmtId="0" fontId="30" fillId="0" borderId="129" xfId="0" applyFont="1" applyFill="1" applyBorder="1" applyAlignment="1">
      <alignment horizontal="center" vertical="center" wrapText="1"/>
    </xf>
    <xf numFmtId="1" fontId="11" fillId="0" borderId="129" xfId="0" applyNumberFormat="1" applyFont="1" applyFill="1" applyBorder="1" applyAlignment="1">
      <alignment horizontal="center" vertical="center" wrapText="1"/>
    </xf>
    <xf numFmtId="1" fontId="11" fillId="0" borderId="130" xfId="0" applyNumberFormat="1" applyFont="1" applyFill="1" applyBorder="1" applyAlignment="1">
      <alignment horizontal="center" vertical="center" wrapText="1"/>
    </xf>
    <xf numFmtId="3" fontId="23" fillId="0" borderId="129" xfId="0" applyNumberFormat="1" applyFont="1" applyFill="1" applyBorder="1" applyAlignment="1">
      <alignment horizontal="center" vertical="center" wrapText="1"/>
    </xf>
    <xf numFmtId="0" fontId="23" fillId="0" borderId="129" xfId="0" applyFont="1" applyFill="1" applyBorder="1" applyAlignment="1">
      <alignment horizontal="center" vertical="center" wrapText="1"/>
    </xf>
    <xf numFmtId="3" fontId="10" fillId="0" borderId="127" xfId="0" applyNumberFormat="1" applyFont="1" applyFill="1" applyBorder="1" applyAlignment="1">
      <alignment horizontal="center" vertical="center" wrapText="1"/>
    </xf>
    <xf numFmtId="0" fontId="25" fillId="0" borderId="125" xfId="0" applyFont="1" applyFill="1" applyBorder="1" applyAlignment="1">
      <alignment horizontal="center" vertical="center"/>
    </xf>
    <xf numFmtId="0" fontId="10" fillId="0" borderId="126" xfId="0" applyFont="1" applyFill="1" applyBorder="1" applyAlignment="1">
      <alignment horizontal="center" vertical="top" wrapText="1"/>
    </xf>
    <xf numFmtId="0" fontId="1" fillId="0" borderId="129" xfId="0" applyFont="1" applyFill="1" applyBorder="1" applyAlignment="1">
      <alignment horizontal="center" vertical="center"/>
    </xf>
    <xf numFmtId="3" fontId="10" fillId="0" borderId="129" xfId="0" applyNumberFormat="1" applyFont="1" applyFill="1" applyBorder="1" applyAlignment="1">
      <alignment horizontal="center" vertical="center"/>
    </xf>
    <xf numFmtId="0" fontId="1" fillId="0" borderId="129" xfId="0" applyFont="1" applyFill="1" applyBorder="1" applyAlignment="1">
      <alignment horizontal="center"/>
    </xf>
    <xf numFmtId="0" fontId="28" fillId="0" borderId="125" xfId="0" applyFont="1" applyFill="1" applyBorder="1" applyAlignment="1">
      <alignment horizontal="center" vertical="center" wrapText="1"/>
    </xf>
    <xf numFmtId="1" fontId="1" fillId="0" borderId="126" xfId="0" applyNumberFormat="1" applyFont="1" applyFill="1" applyBorder="1" applyAlignment="1">
      <alignment horizontal="center" vertical="center" wrapText="1"/>
    </xf>
    <xf numFmtId="0" fontId="10" fillId="0" borderId="126" xfId="0" applyFont="1" applyFill="1" applyBorder="1" applyAlignment="1">
      <alignment horizontal="left" vertical="center" wrapText="1"/>
    </xf>
    <xf numFmtId="0" fontId="1" fillId="0" borderId="126"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1" fillId="0" borderId="120" xfId="0" applyFont="1" applyBorder="1"/>
    <xf numFmtId="0" fontId="1" fillId="0" borderId="37" xfId="0" applyFont="1" applyBorder="1"/>
    <xf numFmtId="0" fontId="7" fillId="4" borderId="100" xfId="0" applyFont="1" applyFill="1" applyBorder="1" applyAlignment="1">
      <alignment horizontal="center" vertical="center" wrapText="1"/>
    </xf>
    <xf numFmtId="0" fontId="1" fillId="0" borderId="100" xfId="0" applyFont="1" applyBorder="1"/>
    <xf numFmtId="0" fontId="1" fillId="0" borderId="99" xfId="0" applyFont="1" applyBorder="1"/>
    <xf numFmtId="0" fontId="7" fillId="4" borderId="47" xfId="0" applyFont="1" applyFill="1" applyBorder="1" applyAlignment="1">
      <alignment horizontal="center" vertical="center" wrapText="1"/>
    </xf>
    <xf numFmtId="0" fontId="1" fillId="0" borderId="103" xfId="0" applyFont="1" applyBorder="1"/>
    <xf numFmtId="0" fontId="7" fillId="4" borderId="96" xfId="0" applyFont="1" applyFill="1" applyBorder="1" applyAlignment="1">
      <alignment horizontal="center" vertical="center" wrapText="1"/>
    </xf>
    <xf numFmtId="0" fontId="1" fillId="0" borderId="101" xfId="0" applyFont="1" applyBorder="1"/>
    <xf numFmtId="0" fontId="7" fillId="4" borderId="97" xfId="0" applyFont="1" applyFill="1" applyBorder="1" applyAlignment="1">
      <alignment horizontal="center" vertical="center" wrapText="1"/>
    </xf>
    <xf numFmtId="0" fontId="1" fillId="0" borderId="102" xfId="0" applyFont="1" applyBorder="1"/>
    <xf numFmtId="0" fontId="7" fillId="4" borderId="98" xfId="0" applyFont="1" applyFill="1" applyBorder="1" applyAlignment="1">
      <alignment horizontal="center" vertical="center" wrapText="1"/>
    </xf>
    <xf numFmtId="0" fontId="1" fillId="0" borderId="118" xfId="0" applyFont="1" applyBorder="1"/>
    <xf numFmtId="4" fontId="7" fillId="4" borderId="35" xfId="0" applyNumberFormat="1" applyFont="1" applyFill="1" applyBorder="1" applyAlignment="1">
      <alignment horizontal="center" vertical="center" wrapText="1"/>
    </xf>
    <xf numFmtId="0" fontId="1" fillId="0" borderId="50" xfId="0" applyFont="1" applyBorder="1"/>
    <xf numFmtId="0" fontId="10" fillId="0" borderId="98" xfId="0" applyFont="1" applyBorder="1" applyAlignment="1">
      <alignment horizontal="center"/>
    </xf>
    <xf numFmtId="0" fontId="1" fillId="0" borderId="3" xfId="0" applyFont="1" applyBorder="1"/>
    <xf numFmtId="0" fontId="1" fillId="0" borderId="92" xfId="0" applyFont="1" applyBorder="1"/>
    <xf numFmtId="0" fontId="1" fillId="0" borderId="114" xfId="0" applyFont="1" applyBorder="1"/>
    <xf numFmtId="0" fontId="1" fillId="0" borderId="9" xfId="0" applyFont="1" applyBorder="1"/>
    <xf numFmtId="0" fontId="7" fillId="4" borderId="94" xfId="0" applyFont="1" applyFill="1" applyBorder="1" applyAlignment="1">
      <alignment horizontal="center" vertical="center" wrapText="1"/>
    </xf>
    <xf numFmtId="0" fontId="1" fillId="0" borderId="121" xfId="0" applyFont="1" applyBorder="1"/>
    <xf numFmtId="0" fontId="1" fillId="0" borderId="20" xfId="0" applyFont="1" applyBorder="1"/>
    <xf numFmtId="0" fontId="7" fillId="4" borderId="121" xfId="0" applyFont="1" applyFill="1" applyBorder="1" applyAlignment="1">
      <alignment horizontal="center" vertical="center" wrapText="1"/>
    </xf>
    <xf numFmtId="0" fontId="7" fillId="4" borderId="105" xfId="0" applyFont="1" applyFill="1" applyBorder="1" applyAlignment="1">
      <alignment horizontal="center" vertical="center" wrapText="1"/>
    </xf>
    <xf numFmtId="0" fontId="1" fillId="0" borderId="106" xfId="0" applyFont="1" applyBorder="1"/>
    <xf numFmtId="0" fontId="1" fillId="0" borderId="116" xfId="0" applyFont="1" applyBorder="1"/>
    <xf numFmtId="0" fontId="44" fillId="0" borderId="140"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134155</xdr:colOff>
      <xdr:row>1</xdr:row>
      <xdr:rowOff>281725</xdr:rowOff>
    </xdr:from>
    <xdr:to>
      <xdr:col>4</xdr:col>
      <xdr:colOff>1448873</xdr:colOff>
      <xdr:row>4</xdr:row>
      <xdr:rowOff>67078</xdr:rowOff>
    </xdr:to>
    <xdr:pic>
      <xdr:nvPicPr>
        <xdr:cNvPr id="5" name="Imagen 4">
          <a:extLst>
            <a:ext uri="{FF2B5EF4-FFF2-40B4-BE49-F238E27FC236}">
              <a16:creationId xmlns:a16="http://schemas.microsoft.com/office/drawing/2014/main" id="{D1F5CFA1-F52B-4B60-98E3-6176E65B504E}"/>
            </a:ext>
          </a:extLst>
        </xdr:cNvPr>
        <xdr:cNvPicPr>
          <a:picLocks noChangeAspect="1"/>
        </xdr:cNvPicPr>
      </xdr:nvPicPr>
      <xdr:blipFill>
        <a:blip xmlns:r="http://schemas.openxmlformats.org/officeDocument/2006/relationships" r:embed="rId1"/>
        <a:stretch>
          <a:fillRect/>
        </a:stretch>
      </xdr:blipFill>
      <xdr:spPr>
        <a:xfrm>
          <a:off x="134155" y="643943"/>
          <a:ext cx="2669683" cy="8720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390525</xdr:colOff>
      <xdr:row>0</xdr:row>
      <xdr:rowOff>476250</xdr:rowOff>
    </xdr:from>
    <xdr:ext cx="1720850" cy="1139825"/>
    <xdr:pic>
      <xdr:nvPicPr>
        <xdr:cNvPr id="2" name="image1.jp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390525" y="476250"/>
          <a:ext cx="1720850" cy="11398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180975</xdr:colOff>
      <xdr:row>0</xdr:row>
      <xdr:rowOff>190500</xdr:rowOff>
    </xdr:from>
    <xdr:ext cx="1457325" cy="1038225"/>
    <xdr:pic>
      <xdr:nvPicPr>
        <xdr:cNvPr id="2" name="image1.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twoCellAnchor editAs="oneCell">
    <xdr:from>
      <xdr:col>1</xdr:col>
      <xdr:colOff>88900</xdr:colOff>
      <xdr:row>0</xdr:row>
      <xdr:rowOff>101601</xdr:rowOff>
    </xdr:from>
    <xdr:to>
      <xdr:col>2</xdr:col>
      <xdr:colOff>2651002</xdr:colOff>
      <xdr:row>3</xdr:row>
      <xdr:rowOff>50801</xdr:rowOff>
    </xdr:to>
    <xdr:pic>
      <xdr:nvPicPr>
        <xdr:cNvPr id="2" name="Imagen 1">
          <a:extLst>
            <a:ext uri="{FF2B5EF4-FFF2-40B4-BE49-F238E27FC236}">
              <a16:creationId xmlns:a16="http://schemas.microsoft.com/office/drawing/2014/main" id="{46510B9E-8B11-4154-9EF2-A362A04F9442}"/>
            </a:ext>
          </a:extLst>
        </xdr:cNvPr>
        <xdr:cNvPicPr>
          <a:picLocks noChangeAspect="1"/>
        </xdr:cNvPicPr>
      </xdr:nvPicPr>
      <xdr:blipFill>
        <a:blip xmlns:r="http://schemas.openxmlformats.org/officeDocument/2006/relationships" r:embed="rId1"/>
        <a:stretch>
          <a:fillRect/>
        </a:stretch>
      </xdr:blipFill>
      <xdr:spPr>
        <a:xfrm>
          <a:off x="533400" y="101601"/>
          <a:ext cx="3400302" cy="711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ola.rodriguez/Documents/0097-2018/0097-2018/Noviembre/FormatosActSegTerri-3trim/1141_171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s>
    <sheetDataSet>
      <sheetData sheetId="0" refreshError="1"/>
      <sheetData sheetId="1" refreshError="1">
        <row r="9">
          <cell r="V9">
            <v>200</v>
          </cell>
          <cell r="AL9">
            <v>163</v>
          </cell>
        </row>
        <row r="10">
          <cell r="S10">
            <v>626832410</v>
          </cell>
          <cell r="V10">
            <v>630642000</v>
          </cell>
          <cell r="AL10">
            <v>500984624</v>
          </cell>
        </row>
        <row r="11">
          <cell r="S11">
            <v>0</v>
          </cell>
          <cell r="V11">
            <v>0</v>
          </cell>
          <cell r="AL11">
            <v>0</v>
          </cell>
        </row>
        <row r="12">
          <cell r="S12">
            <v>303067630</v>
          </cell>
          <cell r="T12">
            <v>174917866</v>
          </cell>
          <cell r="U12">
            <v>174917866</v>
          </cell>
          <cell r="V12">
            <v>174917866</v>
          </cell>
          <cell r="AJ12">
            <v>83651383</v>
          </cell>
          <cell r="AK12">
            <v>169161733</v>
          </cell>
          <cell r="AL12">
            <v>174917866</v>
          </cell>
        </row>
        <row r="15">
          <cell r="V15">
            <v>0.6</v>
          </cell>
          <cell r="AL15">
            <v>0.12</v>
          </cell>
        </row>
        <row r="16">
          <cell r="V16">
            <v>986508000</v>
          </cell>
          <cell r="AL16">
            <v>0</v>
          </cell>
        </row>
        <row r="17">
          <cell r="V17">
            <v>0</v>
          </cell>
          <cell r="AL17">
            <v>0</v>
          </cell>
        </row>
        <row r="18">
          <cell r="V18">
            <v>999763898</v>
          </cell>
          <cell r="AJ18">
            <v>999763898</v>
          </cell>
          <cell r="AK18">
            <v>999763898</v>
          </cell>
          <cell r="AL18">
            <v>999763898</v>
          </cell>
        </row>
        <row r="21">
          <cell r="V21">
            <v>4909</v>
          </cell>
          <cell r="AL21">
            <v>3711</v>
          </cell>
        </row>
        <row r="22">
          <cell r="V22">
            <v>198144000</v>
          </cell>
          <cell r="AL22">
            <v>74450000</v>
          </cell>
        </row>
        <row r="23">
          <cell r="V23">
            <v>0</v>
          </cell>
          <cell r="AL23">
            <v>0</v>
          </cell>
        </row>
        <row r="24">
          <cell r="S24">
            <v>118520100</v>
          </cell>
          <cell r="T24">
            <v>118520100</v>
          </cell>
          <cell r="U24">
            <v>118520100</v>
          </cell>
          <cell r="V24">
            <v>118520100</v>
          </cell>
          <cell r="AJ24">
            <v>6579333</v>
          </cell>
          <cell r="AK24">
            <v>6702600</v>
          </cell>
          <cell r="AL24">
            <v>6702600</v>
          </cell>
        </row>
        <row r="27">
          <cell r="V27">
            <v>130</v>
          </cell>
          <cell r="AL27">
            <v>54</v>
          </cell>
        </row>
        <row r="28">
          <cell r="V28">
            <v>1116781000</v>
          </cell>
          <cell r="AL28">
            <v>671344324</v>
          </cell>
        </row>
        <row r="29">
          <cell r="V29">
            <v>17</v>
          </cell>
          <cell r="AL29">
            <v>0</v>
          </cell>
        </row>
        <row r="30">
          <cell r="V30">
            <v>294014810</v>
          </cell>
          <cell r="AJ30">
            <v>165396503</v>
          </cell>
          <cell r="AK30">
            <v>235753620</v>
          </cell>
          <cell r="AL30">
            <v>292059044</v>
          </cell>
        </row>
        <row r="33">
          <cell r="V33">
            <v>60</v>
          </cell>
          <cell r="AL33">
            <v>40</v>
          </cell>
        </row>
        <row r="34">
          <cell r="V34">
            <v>844920788</v>
          </cell>
          <cell r="AL34">
            <v>503407100</v>
          </cell>
        </row>
        <row r="35">
          <cell r="V35">
            <v>0</v>
          </cell>
          <cell r="AL35">
            <v>0</v>
          </cell>
        </row>
        <row r="36">
          <cell r="V36">
            <v>26848540</v>
          </cell>
          <cell r="AJ36">
            <v>26848540</v>
          </cell>
          <cell r="AK36">
            <v>26848540</v>
          </cell>
          <cell r="AL36">
            <v>26848540</v>
          </cell>
        </row>
        <row r="39">
          <cell r="V39">
            <v>80</v>
          </cell>
          <cell r="AL39">
            <v>74</v>
          </cell>
        </row>
        <row r="40">
          <cell r="V40">
            <v>134322300</v>
          </cell>
          <cell r="AL40">
            <v>114448000</v>
          </cell>
        </row>
        <row r="41">
          <cell r="V41">
            <v>0</v>
          </cell>
        </row>
        <row r="42">
          <cell r="V42">
            <v>0</v>
          </cell>
          <cell r="AL42">
            <v>0</v>
          </cell>
        </row>
        <row r="45">
          <cell r="V45">
            <v>4500</v>
          </cell>
          <cell r="AL45">
            <v>2430.8999999999996</v>
          </cell>
        </row>
        <row r="46">
          <cell r="V46">
            <v>463445300</v>
          </cell>
          <cell r="AL46">
            <v>319062624</v>
          </cell>
        </row>
        <row r="47">
          <cell r="V47">
            <v>200</v>
          </cell>
          <cell r="AL47">
            <v>200</v>
          </cell>
        </row>
        <row r="48">
          <cell r="V48">
            <v>579357845</v>
          </cell>
          <cell r="AJ48">
            <v>136416027</v>
          </cell>
          <cell r="AK48">
            <v>150569377</v>
          </cell>
          <cell r="AL48">
            <v>389053045</v>
          </cell>
        </row>
        <row r="51">
          <cell r="V51">
            <v>6610</v>
          </cell>
          <cell r="AL51">
            <v>4836.5099999999993</v>
          </cell>
        </row>
        <row r="52">
          <cell r="V52">
            <v>456409950</v>
          </cell>
          <cell r="AL52">
            <v>436345000</v>
          </cell>
        </row>
        <row r="53">
          <cell r="V53">
            <v>0</v>
          </cell>
          <cell r="AL53">
            <v>0</v>
          </cell>
        </row>
        <row r="54">
          <cell r="V54">
            <v>83023500</v>
          </cell>
          <cell r="AJ54">
            <v>42165774</v>
          </cell>
          <cell r="AK54">
            <v>74091367</v>
          </cell>
          <cell r="AL54">
            <v>76828634</v>
          </cell>
        </row>
        <row r="57">
          <cell r="V57">
            <v>1941</v>
          </cell>
          <cell r="AL57">
            <v>1218</v>
          </cell>
        </row>
        <row r="58">
          <cell r="V58">
            <v>191581030</v>
          </cell>
          <cell r="AL58">
            <v>144263000</v>
          </cell>
        </row>
        <row r="59">
          <cell r="V59">
            <v>0</v>
          </cell>
          <cell r="AL59">
            <v>0</v>
          </cell>
        </row>
        <row r="60">
          <cell r="V60">
            <v>38648633</v>
          </cell>
          <cell r="AK60">
            <v>35464633</v>
          </cell>
          <cell r="AL60">
            <v>38648633</v>
          </cell>
        </row>
        <row r="63">
          <cell r="V63">
            <v>0.65</v>
          </cell>
          <cell r="AL63">
            <v>0.41599999999999998</v>
          </cell>
        </row>
        <row r="64">
          <cell r="V64">
            <v>150000000</v>
          </cell>
          <cell r="AL64">
            <v>15000000</v>
          </cell>
        </row>
        <row r="65">
          <cell r="V65">
            <v>0</v>
          </cell>
          <cell r="AL65">
            <v>0</v>
          </cell>
        </row>
        <row r="66">
          <cell r="V66">
            <v>0</v>
          </cell>
          <cell r="AL66">
            <v>0</v>
          </cell>
        </row>
        <row r="69">
          <cell r="V69">
            <v>9887278</v>
          </cell>
          <cell r="AL69">
            <v>9170121.9600000009</v>
          </cell>
        </row>
        <row r="70">
          <cell r="V70">
            <v>811131042</v>
          </cell>
          <cell r="AL70">
            <v>774276300</v>
          </cell>
        </row>
        <row r="71">
          <cell r="V71">
            <v>0</v>
          </cell>
          <cell r="AL71">
            <v>0</v>
          </cell>
        </row>
        <row r="72">
          <cell r="V72">
            <v>100922174</v>
          </cell>
          <cell r="AK72">
            <v>96600174</v>
          </cell>
          <cell r="AL72">
            <v>96600174</v>
          </cell>
        </row>
        <row r="75">
          <cell r="V75">
            <v>1</v>
          </cell>
          <cell r="AL75">
            <v>1</v>
          </cell>
        </row>
        <row r="76">
          <cell r="V76">
            <v>106072975</v>
          </cell>
          <cell r="AL76">
            <v>102504500</v>
          </cell>
        </row>
        <row r="77">
          <cell r="V77">
            <v>0</v>
          </cell>
          <cell r="AL77">
            <v>0</v>
          </cell>
        </row>
        <row r="78">
          <cell r="V78">
            <v>5274800</v>
          </cell>
          <cell r="AK78">
            <v>5274800</v>
          </cell>
          <cell r="AL78">
            <v>5274800</v>
          </cell>
        </row>
        <row r="81">
          <cell r="V81">
            <v>1</v>
          </cell>
          <cell r="AL81">
            <v>1</v>
          </cell>
        </row>
        <row r="82">
          <cell r="V82">
            <v>719270530</v>
          </cell>
          <cell r="AL82">
            <v>703924900</v>
          </cell>
        </row>
        <row r="83">
          <cell r="V83">
            <v>359635265</v>
          </cell>
        </row>
        <row r="84">
          <cell r="V84">
            <v>27632833</v>
          </cell>
          <cell r="AK84">
            <v>27632833</v>
          </cell>
          <cell r="AL84">
            <v>27632833</v>
          </cell>
        </row>
        <row r="87">
          <cell r="V87">
            <v>0.25</v>
          </cell>
          <cell r="AL87">
            <v>0.3034</v>
          </cell>
        </row>
        <row r="88">
          <cell r="V88">
            <v>639289845</v>
          </cell>
          <cell r="AL88">
            <v>604048233</v>
          </cell>
        </row>
        <row r="89">
          <cell r="V89">
            <v>0</v>
          </cell>
          <cell r="AL89">
            <v>0</v>
          </cell>
        </row>
        <row r="90">
          <cell r="V90">
            <v>141527133</v>
          </cell>
          <cell r="AK90">
            <v>121367100</v>
          </cell>
          <cell r="AL90">
            <v>141527133</v>
          </cell>
        </row>
        <row r="93">
          <cell r="V93">
            <v>0.7</v>
          </cell>
          <cell r="AL93">
            <v>0.309</v>
          </cell>
        </row>
        <row r="94">
          <cell r="V94">
            <v>127743000</v>
          </cell>
          <cell r="AL94">
            <v>15000000</v>
          </cell>
        </row>
        <row r="95">
          <cell r="V95">
            <v>0</v>
          </cell>
          <cell r="AL95">
            <v>0</v>
          </cell>
        </row>
        <row r="96">
          <cell r="V96">
            <v>0</v>
          </cell>
          <cell r="AL96">
            <v>0</v>
          </cell>
        </row>
        <row r="99">
          <cell r="V99">
            <v>7333</v>
          </cell>
          <cell r="AL99">
            <v>5396</v>
          </cell>
        </row>
        <row r="100">
          <cell r="V100">
            <v>525237755</v>
          </cell>
          <cell r="AL100">
            <v>454397291</v>
          </cell>
        </row>
        <row r="101">
          <cell r="V101">
            <v>0</v>
          </cell>
          <cell r="AL101">
            <v>0</v>
          </cell>
        </row>
        <row r="102">
          <cell r="V102">
            <v>61495493</v>
          </cell>
          <cell r="AL102">
            <v>61495493</v>
          </cell>
        </row>
        <row r="105">
          <cell r="V105">
            <v>0.6</v>
          </cell>
          <cell r="AL105">
            <v>0.4</v>
          </cell>
        </row>
        <row r="106">
          <cell r="V106">
            <v>200000000</v>
          </cell>
          <cell r="AL106">
            <v>0</v>
          </cell>
        </row>
        <row r="107">
          <cell r="V107">
            <v>0</v>
          </cell>
          <cell r="AL107">
            <v>0</v>
          </cell>
        </row>
        <row r="108">
          <cell r="V108">
            <v>187800001</v>
          </cell>
          <cell r="AL108">
            <v>150240000</v>
          </cell>
        </row>
        <row r="111">
          <cell r="V111">
            <v>1</v>
          </cell>
          <cell r="AL111">
            <v>0.8831</v>
          </cell>
        </row>
        <row r="112">
          <cell r="V112">
            <v>258611885</v>
          </cell>
          <cell r="AL112">
            <v>257727500</v>
          </cell>
        </row>
        <row r="113">
          <cell r="V113">
            <v>0</v>
          </cell>
          <cell r="AL113">
            <v>0</v>
          </cell>
        </row>
        <row r="114">
          <cell r="V114">
            <v>49563271</v>
          </cell>
          <cell r="AL114">
            <v>47114134</v>
          </cell>
        </row>
        <row r="117">
          <cell r="V117">
            <v>150000</v>
          </cell>
          <cell r="AL117">
            <v>145760.18</v>
          </cell>
        </row>
        <row r="118">
          <cell r="V118">
            <v>165000000</v>
          </cell>
          <cell r="AL118">
            <v>114433000</v>
          </cell>
        </row>
        <row r="119">
          <cell r="V119">
            <v>0</v>
          </cell>
          <cell r="AL119">
            <v>0</v>
          </cell>
        </row>
        <row r="120">
          <cell r="V120">
            <v>10070000</v>
          </cell>
          <cell r="AL120">
            <v>10070000</v>
          </cell>
        </row>
        <row r="123">
          <cell r="V123">
            <v>0.5</v>
          </cell>
          <cell r="AL123">
            <v>0.4375</v>
          </cell>
        </row>
        <row r="124">
          <cell r="V124">
            <v>30597600</v>
          </cell>
          <cell r="AL124">
            <v>17320000</v>
          </cell>
        </row>
        <row r="125">
          <cell r="V125">
            <v>0</v>
          </cell>
          <cell r="AL125">
            <v>0</v>
          </cell>
        </row>
        <row r="126">
          <cell r="V126">
            <v>21762533</v>
          </cell>
          <cell r="AL126">
            <v>21762533</v>
          </cell>
        </row>
      </sheetData>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232"/>
  <sheetViews>
    <sheetView zoomScale="75" zoomScaleNormal="75" workbookViewId="0">
      <pane xSplit="6" ySplit="4" topLeftCell="G5" activePane="bottomRight" state="frozen"/>
      <selection pane="topRight" activeCell="G1" sqref="G1"/>
      <selection pane="bottomLeft" activeCell="A5" sqref="A5"/>
      <selection pane="bottomRight" activeCell="A8" sqref="A8:R8"/>
    </sheetView>
  </sheetViews>
  <sheetFormatPr baseColWidth="10" defaultColWidth="14.42578125" defaultRowHeight="28.5" customHeight="1" x14ac:dyDescent="0.25"/>
  <cols>
    <col min="1" max="1" width="7.7109375" hidden="1" customWidth="1"/>
    <col min="2" max="2" width="5" customWidth="1"/>
    <col min="3" max="3" width="7.5703125" customWidth="1"/>
    <col min="4" max="4" width="7.7109375" customWidth="1"/>
    <col min="5" max="5" width="29.28515625" customWidth="1"/>
    <col min="6" max="6" width="6.5703125" hidden="1" customWidth="1"/>
    <col min="7" max="7" width="39.140625" hidden="1" customWidth="1"/>
    <col min="8" max="8" width="14.42578125" hidden="1" customWidth="1"/>
    <col min="9" max="9" width="9.5703125" customWidth="1"/>
    <col min="10" max="10" width="17.5703125" customWidth="1"/>
    <col min="11" max="11" width="25.28515625" hidden="1" customWidth="1"/>
    <col min="12" max="12" width="6" hidden="1" customWidth="1"/>
    <col min="13" max="13" width="7.5703125" hidden="1" customWidth="1"/>
    <col min="14" max="14" width="13" customWidth="1"/>
    <col min="15" max="15" width="16.5703125" hidden="1" customWidth="1"/>
    <col min="16" max="16" width="14.28515625" hidden="1" customWidth="1"/>
    <col min="17" max="17" width="17.140625" hidden="1" customWidth="1"/>
    <col min="18" max="18" width="13.28515625" hidden="1" customWidth="1"/>
    <col min="19" max="19" width="14.28515625" hidden="1" customWidth="1"/>
    <col min="20" max="20" width="16.140625" customWidth="1"/>
    <col min="21" max="21" width="16.28515625" hidden="1" customWidth="1"/>
    <col min="22" max="22" width="15.28515625" hidden="1" customWidth="1"/>
    <col min="23" max="23" width="18.5703125" hidden="1" customWidth="1"/>
    <col min="24" max="24" width="17.85546875" customWidth="1"/>
    <col min="25" max="25" width="18.28515625" hidden="1" customWidth="1"/>
    <col min="26" max="26" width="16.5703125" hidden="1" customWidth="1"/>
    <col min="27" max="27" width="14.7109375" hidden="1" customWidth="1"/>
    <col min="28" max="28" width="13.140625" hidden="1" customWidth="1"/>
    <col min="29" max="32" width="11.140625" hidden="1" customWidth="1"/>
    <col min="33" max="34" width="14.85546875" hidden="1" customWidth="1"/>
    <col min="35" max="37" width="11.140625" hidden="1" customWidth="1"/>
    <col min="38" max="38" width="4.28515625" hidden="1" customWidth="1"/>
    <col min="39" max="39" width="20" hidden="1" customWidth="1"/>
    <col min="40" max="40" width="22.7109375" hidden="1" customWidth="1"/>
    <col min="41" max="41" width="18.85546875" customWidth="1"/>
    <col min="42" max="42" width="15.28515625" hidden="1" customWidth="1"/>
    <col min="43" max="43" width="11.140625" customWidth="1"/>
    <col min="44" max="44" width="10.7109375" customWidth="1"/>
    <col min="45" max="45" width="80" customWidth="1"/>
    <col min="46" max="46" width="15.5703125" customWidth="1"/>
    <col min="47" max="47" width="17.85546875" customWidth="1"/>
    <col min="48" max="49" width="40.5703125" customWidth="1"/>
    <col min="50" max="50" width="13.5703125" customWidth="1"/>
    <col min="51" max="51" width="49.42578125" customWidth="1"/>
  </cols>
  <sheetData>
    <row r="1" spans="1:51" ht="28.5" customHeight="1" x14ac:dyDescent="0.25">
      <c r="A1" s="1"/>
      <c r="B1" s="1"/>
      <c r="C1" s="1"/>
      <c r="D1" s="1"/>
      <c r="E1" s="1"/>
      <c r="F1" s="1"/>
      <c r="G1" s="1"/>
      <c r="H1" s="1"/>
      <c r="I1" s="1"/>
      <c r="J1" s="2"/>
      <c r="K1" s="2"/>
      <c r="L1" s="2"/>
      <c r="M1" s="2"/>
      <c r="N1" s="2"/>
      <c r="O1" s="2"/>
      <c r="P1" s="2"/>
      <c r="Q1" s="2"/>
      <c r="R1" s="2"/>
      <c r="S1" s="3"/>
      <c r="T1" s="2"/>
      <c r="U1" s="2"/>
      <c r="V1" s="2"/>
      <c r="W1" s="2"/>
      <c r="X1" s="2"/>
      <c r="Y1" s="2"/>
      <c r="Z1" s="2"/>
      <c r="AA1" s="2"/>
      <c r="AB1" s="2"/>
      <c r="AC1" s="2"/>
      <c r="AD1" s="2"/>
      <c r="AE1" s="2"/>
      <c r="AF1" s="2"/>
      <c r="AG1" s="2"/>
      <c r="AH1" s="2"/>
      <c r="AI1" s="2"/>
      <c r="AJ1" s="2"/>
      <c r="AK1" s="2"/>
      <c r="AL1" s="2"/>
      <c r="AM1" s="1"/>
    </row>
    <row r="2" spans="1:51" ht="28.5" customHeight="1" x14ac:dyDescent="0.25">
      <c r="A2" s="496"/>
      <c r="B2" s="497"/>
      <c r="C2" s="497"/>
      <c r="D2" s="497"/>
      <c r="E2" s="497"/>
      <c r="F2" s="497"/>
      <c r="G2" s="498"/>
      <c r="H2" s="493" t="s">
        <v>0</v>
      </c>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c r="AN2" s="494"/>
      <c r="AO2" s="494"/>
      <c r="AP2" s="494"/>
      <c r="AQ2" s="494"/>
      <c r="AR2" s="494"/>
      <c r="AS2" s="494"/>
      <c r="AT2" s="494"/>
      <c r="AU2" s="494"/>
      <c r="AV2" s="494"/>
      <c r="AW2" s="495"/>
    </row>
    <row r="3" spans="1:51" ht="28.5" customHeight="1" x14ac:dyDescent="0.25">
      <c r="A3" s="499"/>
      <c r="B3" s="500"/>
      <c r="C3" s="500"/>
      <c r="D3" s="500"/>
      <c r="E3" s="500"/>
      <c r="F3" s="500"/>
      <c r="G3" s="501"/>
      <c r="H3" s="490" t="s">
        <v>2</v>
      </c>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c r="AV3" s="491"/>
      <c r="AW3" s="492"/>
    </row>
    <row r="4" spans="1:51" ht="28.5" customHeight="1" x14ac:dyDescent="0.25">
      <c r="A4" s="499"/>
      <c r="B4" s="500"/>
      <c r="C4" s="500"/>
      <c r="D4" s="500"/>
      <c r="E4" s="500"/>
      <c r="F4" s="500"/>
      <c r="G4" s="501"/>
      <c r="H4" s="490" t="s">
        <v>4</v>
      </c>
      <c r="I4" s="491"/>
      <c r="J4" s="491"/>
      <c r="K4" s="491"/>
      <c r="L4" s="491"/>
      <c r="M4" s="491"/>
      <c r="N4" s="491"/>
      <c r="O4" s="491"/>
      <c r="P4" s="491"/>
      <c r="Q4" s="491"/>
      <c r="R4" s="506"/>
      <c r="S4" s="505" t="s">
        <v>5</v>
      </c>
      <c r="T4" s="491"/>
      <c r="U4" s="491"/>
      <c r="V4" s="491"/>
      <c r="W4" s="491"/>
      <c r="X4" s="491"/>
      <c r="Y4" s="491"/>
      <c r="Z4" s="491"/>
      <c r="AA4" s="491"/>
      <c r="AB4" s="491"/>
      <c r="AC4" s="491"/>
      <c r="AD4" s="491"/>
      <c r="AE4" s="491"/>
      <c r="AF4" s="491"/>
      <c r="AG4" s="491"/>
      <c r="AH4" s="491"/>
      <c r="AI4" s="491"/>
      <c r="AJ4" s="491"/>
      <c r="AK4" s="491"/>
      <c r="AL4" s="491"/>
      <c r="AM4" s="491"/>
      <c r="AN4" s="491"/>
      <c r="AO4" s="491"/>
      <c r="AP4" s="491"/>
      <c r="AQ4" s="491"/>
      <c r="AR4" s="491"/>
      <c r="AS4" s="491"/>
      <c r="AT4" s="491"/>
      <c r="AU4" s="491"/>
      <c r="AV4" s="491"/>
      <c r="AW4" s="492"/>
    </row>
    <row r="5" spans="1:51" ht="28.5" customHeight="1" x14ac:dyDescent="0.25">
      <c r="A5" s="502"/>
      <c r="B5" s="503"/>
      <c r="C5" s="503"/>
      <c r="D5" s="503"/>
      <c r="E5" s="503"/>
      <c r="F5" s="503"/>
      <c r="G5" s="504"/>
      <c r="H5" s="490" t="s">
        <v>7</v>
      </c>
      <c r="I5" s="491"/>
      <c r="J5" s="491"/>
      <c r="K5" s="491"/>
      <c r="L5" s="491"/>
      <c r="M5" s="491"/>
      <c r="N5" s="491"/>
      <c r="O5" s="491"/>
      <c r="P5" s="491"/>
      <c r="Q5" s="491"/>
      <c r="R5" s="506"/>
      <c r="S5" s="505" t="s">
        <v>8</v>
      </c>
      <c r="T5" s="491"/>
      <c r="U5" s="491"/>
      <c r="V5" s="491"/>
      <c r="W5" s="491"/>
      <c r="X5" s="491"/>
      <c r="Y5" s="491"/>
      <c r="Z5" s="491"/>
      <c r="AA5" s="491"/>
      <c r="AB5" s="491"/>
      <c r="AC5" s="491"/>
      <c r="AD5" s="491"/>
      <c r="AE5" s="491"/>
      <c r="AF5" s="491"/>
      <c r="AG5" s="491"/>
      <c r="AH5" s="491"/>
      <c r="AI5" s="491"/>
      <c r="AJ5" s="491"/>
      <c r="AK5" s="491"/>
      <c r="AL5" s="491"/>
      <c r="AM5" s="491"/>
      <c r="AN5" s="491"/>
      <c r="AO5" s="491"/>
      <c r="AP5" s="491"/>
      <c r="AQ5" s="491"/>
      <c r="AR5" s="491"/>
      <c r="AS5" s="491"/>
      <c r="AT5" s="491"/>
      <c r="AU5" s="491"/>
      <c r="AV5" s="491"/>
      <c r="AW5" s="492"/>
    </row>
    <row r="6" spans="1:51" ht="28.5" customHeight="1" x14ac:dyDescent="0.25">
      <c r="A6" s="8"/>
      <c r="B6" s="9"/>
      <c r="C6" s="9"/>
      <c r="D6" s="9"/>
      <c r="E6" s="9"/>
      <c r="F6" s="9"/>
      <c r="G6" s="9"/>
      <c r="H6" s="9"/>
      <c r="I6" s="9"/>
      <c r="J6" s="10"/>
      <c r="K6" s="10"/>
      <c r="L6" s="10"/>
      <c r="M6" s="10"/>
      <c r="N6" s="10"/>
      <c r="O6" s="10"/>
      <c r="P6" s="10"/>
      <c r="Q6" s="10"/>
      <c r="R6" s="10"/>
      <c r="S6" s="11"/>
      <c r="T6" s="10"/>
      <c r="U6" s="10"/>
      <c r="V6" s="10"/>
      <c r="W6" s="10"/>
      <c r="X6" s="10"/>
      <c r="Y6" s="10"/>
      <c r="Z6" s="10"/>
      <c r="AA6" s="10"/>
      <c r="AB6" s="10"/>
      <c r="AC6" s="10"/>
      <c r="AD6" s="10"/>
      <c r="AE6" s="10"/>
      <c r="AF6" s="10"/>
      <c r="AG6" s="10"/>
      <c r="AH6" s="10"/>
      <c r="AI6" s="10"/>
      <c r="AJ6" s="10"/>
      <c r="AK6" s="10"/>
      <c r="AL6" s="10"/>
      <c r="AM6" s="9"/>
      <c r="AN6" s="9"/>
      <c r="AO6" s="9"/>
      <c r="AP6" s="328"/>
      <c r="AQ6" s="9"/>
      <c r="AR6" s="9"/>
      <c r="AS6" s="9"/>
      <c r="AT6" s="9"/>
      <c r="AU6" s="9"/>
      <c r="AV6" s="9"/>
      <c r="AW6" s="12"/>
      <c r="AX6" s="5"/>
      <c r="AY6" s="5"/>
    </row>
    <row r="7" spans="1:51" ht="28.5" customHeight="1" x14ac:dyDescent="0.25">
      <c r="A7" s="512" t="s">
        <v>10</v>
      </c>
      <c r="B7" s="494"/>
      <c r="C7" s="494"/>
      <c r="D7" s="494"/>
      <c r="E7" s="494"/>
      <c r="F7" s="494"/>
      <c r="G7" s="494"/>
      <c r="H7" s="494"/>
      <c r="I7" s="494"/>
      <c r="J7" s="494"/>
      <c r="K7" s="494"/>
      <c r="L7" s="494"/>
      <c r="M7" s="494"/>
      <c r="N7" s="494"/>
      <c r="O7" s="494"/>
      <c r="P7" s="494"/>
      <c r="Q7" s="494"/>
      <c r="R7" s="511"/>
      <c r="S7" s="510" t="s">
        <v>11</v>
      </c>
      <c r="T7" s="494"/>
      <c r="U7" s="494"/>
      <c r="V7" s="494"/>
      <c r="W7" s="494"/>
      <c r="X7" s="494"/>
      <c r="Y7" s="494"/>
      <c r="Z7" s="494"/>
      <c r="AA7" s="494"/>
      <c r="AB7" s="494"/>
      <c r="AC7" s="494"/>
      <c r="AD7" s="494"/>
      <c r="AE7" s="494"/>
      <c r="AF7" s="494"/>
      <c r="AG7" s="494"/>
      <c r="AH7" s="494"/>
      <c r="AI7" s="494"/>
      <c r="AJ7" s="494"/>
      <c r="AK7" s="494"/>
      <c r="AL7" s="494"/>
      <c r="AM7" s="494"/>
      <c r="AN7" s="494"/>
      <c r="AO7" s="494"/>
      <c r="AP7" s="494"/>
      <c r="AQ7" s="494"/>
      <c r="AR7" s="494"/>
      <c r="AS7" s="494"/>
      <c r="AT7" s="494"/>
      <c r="AU7" s="494"/>
      <c r="AV7" s="494"/>
      <c r="AW7" s="511"/>
      <c r="AX7" s="5"/>
      <c r="AY7" s="5"/>
    </row>
    <row r="8" spans="1:51" ht="28.5" customHeight="1" x14ac:dyDescent="0.25">
      <c r="A8" s="513" t="s">
        <v>12</v>
      </c>
      <c r="B8" s="508"/>
      <c r="C8" s="508"/>
      <c r="D8" s="508"/>
      <c r="E8" s="508"/>
      <c r="F8" s="508"/>
      <c r="G8" s="508"/>
      <c r="H8" s="508"/>
      <c r="I8" s="508"/>
      <c r="J8" s="508"/>
      <c r="K8" s="508"/>
      <c r="L8" s="508"/>
      <c r="M8" s="508"/>
      <c r="N8" s="508"/>
      <c r="O8" s="508"/>
      <c r="P8" s="508"/>
      <c r="Q8" s="508"/>
      <c r="R8" s="509"/>
      <c r="S8" s="507" t="s">
        <v>14</v>
      </c>
      <c r="T8" s="508"/>
      <c r="U8" s="508"/>
      <c r="V8" s="508"/>
      <c r="W8" s="508"/>
      <c r="X8" s="508"/>
      <c r="Y8" s="508"/>
      <c r="Z8" s="508"/>
      <c r="AA8" s="508"/>
      <c r="AB8" s="508"/>
      <c r="AC8" s="508"/>
      <c r="AD8" s="508"/>
      <c r="AE8" s="508"/>
      <c r="AF8" s="508"/>
      <c r="AG8" s="508"/>
      <c r="AH8" s="508"/>
      <c r="AI8" s="508"/>
      <c r="AJ8" s="508"/>
      <c r="AK8" s="508"/>
      <c r="AL8" s="508"/>
      <c r="AM8" s="508"/>
      <c r="AN8" s="508"/>
      <c r="AO8" s="508"/>
      <c r="AP8" s="508"/>
      <c r="AQ8" s="508"/>
      <c r="AR8" s="508"/>
      <c r="AS8" s="508"/>
      <c r="AT8" s="508"/>
      <c r="AU8" s="508"/>
      <c r="AV8" s="508"/>
      <c r="AW8" s="509"/>
      <c r="AX8" s="5"/>
      <c r="AY8" s="5"/>
    </row>
    <row r="9" spans="1:51" ht="28.5" customHeight="1" x14ac:dyDescent="0.25">
      <c r="A9" s="21"/>
      <c r="B9" s="23"/>
      <c r="C9" s="23"/>
      <c r="D9" s="23"/>
      <c r="E9" s="23"/>
      <c r="F9" s="24"/>
      <c r="G9" s="24"/>
      <c r="H9" s="24"/>
      <c r="I9" s="24"/>
      <c r="J9" s="24"/>
      <c r="K9" s="24"/>
      <c r="L9" s="24"/>
      <c r="M9" s="24"/>
      <c r="N9" s="24"/>
      <c r="O9" s="24"/>
      <c r="P9" s="24"/>
      <c r="Q9" s="24"/>
      <c r="R9" s="24"/>
      <c r="S9" s="25"/>
      <c r="T9" s="24"/>
      <c r="U9" s="24"/>
      <c r="V9" s="24"/>
      <c r="W9" s="24"/>
      <c r="X9" s="24"/>
      <c r="Y9" s="24"/>
      <c r="Z9" s="24"/>
      <c r="AA9" s="24"/>
      <c r="AB9" s="24"/>
      <c r="AC9" s="24"/>
      <c r="AD9" s="24"/>
      <c r="AE9" s="24"/>
      <c r="AF9" s="24"/>
      <c r="AG9" s="24"/>
      <c r="AH9" s="24"/>
      <c r="AI9" s="24"/>
      <c r="AJ9" s="24"/>
      <c r="AK9" s="24"/>
      <c r="AL9" s="24"/>
      <c r="AM9" s="9"/>
      <c r="AN9" s="9"/>
      <c r="AO9" s="9"/>
      <c r="AP9" s="328"/>
      <c r="AQ9" s="9"/>
      <c r="AR9" s="9"/>
      <c r="AS9" s="9"/>
      <c r="AT9" s="9"/>
      <c r="AU9" s="9"/>
      <c r="AV9" s="9"/>
      <c r="AW9" s="12"/>
      <c r="AX9" s="5"/>
      <c r="AY9" s="5"/>
    </row>
    <row r="10" spans="1:51" ht="28.5" customHeight="1" x14ac:dyDescent="0.25">
      <c r="A10" s="527" t="s">
        <v>19</v>
      </c>
      <c r="B10" s="491"/>
      <c r="C10" s="506"/>
      <c r="D10" s="527" t="s">
        <v>21</v>
      </c>
      <c r="E10" s="506"/>
      <c r="F10" s="537" t="s">
        <v>22</v>
      </c>
      <c r="G10" s="494"/>
      <c r="H10" s="494"/>
      <c r="I10" s="494"/>
      <c r="J10" s="494"/>
      <c r="K10" s="494"/>
      <c r="L10" s="494"/>
      <c r="M10" s="494"/>
      <c r="N10" s="494"/>
      <c r="O10" s="494"/>
      <c r="P10" s="494"/>
      <c r="Q10" s="494"/>
      <c r="R10" s="494"/>
      <c r="S10" s="494"/>
      <c r="T10" s="494"/>
      <c r="U10" s="494"/>
      <c r="V10" s="494"/>
      <c r="W10" s="494"/>
      <c r="X10" s="494"/>
      <c r="Y10" s="494"/>
      <c r="Z10" s="494"/>
      <c r="AA10" s="494"/>
      <c r="AB10" s="494"/>
      <c r="AC10" s="494"/>
      <c r="AD10" s="494"/>
      <c r="AE10" s="494"/>
      <c r="AF10" s="494"/>
      <c r="AG10" s="494"/>
      <c r="AH10" s="494"/>
      <c r="AI10" s="494"/>
      <c r="AJ10" s="494"/>
      <c r="AK10" s="494"/>
      <c r="AL10" s="494"/>
      <c r="AM10" s="494"/>
      <c r="AN10" s="494"/>
      <c r="AO10" s="494"/>
      <c r="AP10" s="538"/>
      <c r="AQ10" s="514" t="s">
        <v>23</v>
      </c>
      <c r="AR10" s="514" t="s">
        <v>24</v>
      </c>
      <c r="AS10" s="532" t="s">
        <v>25</v>
      </c>
      <c r="AT10" s="532" t="s">
        <v>26</v>
      </c>
      <c r="AU10" s="532" t="s">
        <v>27</v>
      </c>
      <c r="AV10" s="514" t="s">
        <v>28</v>
      </c>
      <c r="AW10" s="534" t="s">
        <v>29</v>
      </c>
      <c r="AX10" s="31"/>
      <c r="AY10" s="31"/>
    </row>
    <row r="11" spans="1:51" ht="28.5" customHeight="1" x14ac:dyDescent="0.25">
      <c r="A11" s="541" t="s">
        <v>33</v>
      </c>
      <c r="B11" s="541" t="s">
        <v>35</v>
      </c>
      <c r="C11" s="531" t="s">
        <v>36</v>
      </c>
      <c r="D11" s="531" t="s">
        <v>44</v>
      </c>
      <c r="E11" s="531" t="s">
        <v>45</v>
      </c>
      <c r="F11" s="521" t="s">
        <v>46</v>
      </c>
      <c r="G11" s="521" t="s">
        <v>48</v>
      </c>
      <c r="H11" s="521" t="s">
        <v>49</v>
      </c>
      <c r="I11" s="521" t="s">
        <v>50</v>
      </c>
      <c r="J11" s="521" t="s">
        <v>51</v>
      </c>
      <c r="K11" s="524" t="s">
        <v>52</v>
      </c>
      <c r="L11" s="525"/>
      <c r="M11" s="525"/>
      <c r="N11" s="525"/>
      <c r="O11" s="525"/>
      <c r="P11" s="525"/>
      <c r="Q11" s="525"/>
      <c r="R11" s="525"/>
      <c r="S11" s="525"/>
      <c r="T11" s="525"/>
      <c r="U11" s="525"/>
      <c r="V11" s="525"/>
      <c r="W11" s="525"/>
      <c r="X11" s="525"/>
      <c r="Y11" s="525"/>
      <c r="Z11" s="525"/>
      <c r="AA11" s="525"/>
      <c r="AB11" s="525"/>
      <c r="AC11" s="525"/>
      <c r="AD11" s="525"/>
      <c r="AE11" s="525"/>
      <c r="AF11" s="525"/>
      <c r="AG11" s="525"/>
      <c r="AH11" s="525"/>
      <c r="AI11" s="525"/>
      <c r="AJ11" s="525"/>
      <c r="AK11" s="525"/>
      <c r="AL11" s="526"/>
      <c r="AM11" s="527" t="s">
        <v>58</v>
      </c>
      <c r="AN11" s="491"/>
      <c r="AO11" s="491"/>
      <c r="AP11" s="506"/>
      <c r="AQ11" s="515"/>
      <c r="AR11" s="515"/>
      <c r="AS11" s="533"/>
      <c r="AT11" s="533"/>
      <c r="AU11" s="533"/>
      <c r="AV11" s="533"/>
      <c r="AW11" s="535"/>
      <c r="AX11" s="37"/>
      <c r="AY11" s="37"/>
    </row>
    <row r="12" spans="1:51" ht="28.5" customHeight="1" x14ac:dyDescent="0.25">
      <c r="A12" s="542"/>
      <c r="B12" s="542"/>
      <c r="C12" s="515"/>
      <c r="D12" s="515"/>
      <c r="E12" s="515"/>
      <c r="F12" s="515"/>
      <c r="G12" s="515"/>
      <c r="H12" s="515"/>
      <c r="I12" s="515"/>
      <c r="J12" s="515"/>
      <c r="K12" s="517">
        <v>2016</v>
      </c>
      <c r="L12" s="491"/>
      <c r="M12" s="491"/>
      <c r="N12" s="506"/>
      <c r="O12" s="520">
        <v>2017</v>
      </c>
      <c r="P12" s="491"/>
      <c r="Q12" s="491"/>
      <c r="R12" s="491"/>
      <c r="S12" s="491"/>
      <c r="T12" s="506"/>
      <c r="U12" s="517">
        <v>2018</v>
      </c>
      <c r="V12" s="518"/>
      <c r="W12" s="518"/>
      <c r="X12" s="518"/>
      <c r="Y12" s="518"/>
      <c r="Z12" s="519"/>
      <c r="AA12" s="517">
        <v>2019</v>
      </c>
      <c r="AB12" s="518"/>
      <c r="AC12" s="518"/>
      <c r="AD12" s="518"/>
      <c r="AE12" s="518"/>
      <c r="AF12" s="519"/>
      <c r="AG12" s="517">
        <v>2020</v>
      </c>
      <c r="AH12" s="518"/>
      <c r="AI12" s="518"/>
      <c r="AJ12" s="518"/>
      <c r="AK12" s="518"/>
      <c r="AL12" s="519"/>
      <c r="AM12" s="521" t="s">
        <v>67</v>
      </c>
      <c r="AN12" s="521" t="s">
        <v>68</v>
      </c>
      <c r="AO12" s="523" t="s">
        <v>69</v>
      </c>
      <c r="AP12" s="521" t="s">
        <v>71</v>
      </c>
      <c r="AQ12" s="515"/>
      <c r="AR12" s="515"/>
      <c r="AS12" s="533"/>
      <c r="AT12" s="533"/>
      <c r="AU12" s="533"/>
      <c r="AV12" s="533"/>
      <c r="AW12" s="535"/>
      <c r="AX12" s="37"/>
      <c r="AY12" s="37"/>
    </row>
    <row r="13" spans="1:51" ht="28.5" customHeight="1" x14ac:dyDescent="0.25">
      <c r="A13" s="543"/>
      <c r="B13" s="543"/>
      <c r="C13" s="516"/>
      <c r="D13" s="516"/>
      <c r="E13" s="516"/>
      <c r="F13" s="516"/>
      <c r="G13" s="516"/>
      <c r="H13" s="516"/>
      <c r="I13" s="516"/>
      <c r="J13" s="516"/>
      <c r="K13" s="39" t="s">
        <v>73</v>
      </c>
      <c r="L13" s="39" t="s">
        <v>75</v>
      </c>
      <c r="M13" s="39" t="s">
        <v>76</v>
      </c>
      <c r="N13" s="39" t="s">
        <v>77</v>
      </c>
      <c r="O13" s="39" t="s">
        <v>78</v>
      </c>
      <c r="P13" s="39" t="s">
        <v>79</v>
      </c>
      <c r="Q13" s="39" t="s">
        <v>80</v>
      </c>
      <c r="R13" s="39" t="s">
        <v>75</v>
      </c>
      <c r="S13" s="39" t="s">
        <v>76</v>
      </c>
      <c r="T13" s="39" t="s">
        <v>77</v>
      </c>
      <c r="U13" s="39" t="s">
        <v>78</v>
      </c>
      <c r="V13" s="39" t="s">
        <v>79</v>
      </c>
      <c r="W13" s="39" t="s">
        <v>80</v>
      </c>
      <c r="X13" s="327" t="s">
        <v>75</v>
      </c>
      <c r="Y13" s="39" t="s">
        <v>76</v>
      </c>
      <c r="Z13" s="39" t="s">
        <v>77</v>
      </c>
      <c r="AA13" s="39" t="s">
        <v>78</v>
      </c>
      <c r="AB13" s="39" t="s">
        <v>79</v>
      </c>
      <c r="AC13" s="39" t="s">
        <v>80</v>
      </c>
      <c r="AD13" s="39" t="s">
        <v>75</v>
      </c>
      <c r="AE13" s="39" t="s">
        <v>76</v>
      </c>
      <c r="AF13" s="39" t="s">
        <v>77</v>
      </c>
      <c r="AG13" s="39" t="s">
        <v>78</v>
      </c>
      <c r="AH13" s="39" t="s">
        <v>79</v>
      </c>
      <c r="AI13" s="39" t="s">
        <v>80</v>
      </c>
      <c r="AJ13" s="39" t="s">
        <v>75</v>
      </c>
      <c r="AK13" s="39" t="s">
        <v>76</v>
      </c>
      <c r="AL13" s="39" t="s">
        <v>77</v>
      </c>
      <c r="AM13" s="522"/>
      <c r="AN13" s="522"/>
      <c r="AO13" s="522"/>
      <c r="AP13" s="516"/>
      <c r="AQ13" s="516"/>
      <c r="AR13" s="516"/>
      <c r="AS13" s="522"/>
      <c r="AT13" s="522"/>
      <c r="AU13" s="522"/>
      <c r="AV13" s="522"/>
      <c r="AW13" s="536"/>
      <c r="AX13" s="37"/>
      <c r="AY13" s="37"/>
    </row>
    <row r="14" spans="1:51" ht="125.25" customHeight="1" x14ac:dyDescent="0.25">
      <c r="A14" s="539">
        <v>40</v>
      </c>
      <c r="B14" s="539">
        <v>181</v>
      </c>
      <c r="C14" s="544" t="s">
        <v>83</v>
      </c>
      <c r="D14" s="289">
        <v>429</v>
      </c>
      <c r="E14" s="290" t="s">
        <v>84</v>
      </c>
      <c r="F14" s="289">
        <v>366</v>
      </c>
      <c r="G14" s="291" t="s">
        <v>87</v>
      </c>
      <c r="H14" s="289" t="s">
        <v>89</v>
      </c>
      <c r="I14" s="289" t="s">
        <v>90</v>
      </c>
      <c r="J14" s="292">
        <f>N14+T14+X14</f>
        <v>1700</v>
      </c>
      <c r="K14" s="292">
        <v>255</v>
      </c>
      <c r="L14" s="292">
        <v>100</v>
      </c>
      <c r="M14" s="292">
        <v>394</v>
      </c>
      <c r="N14" s="292">
        <v>394</v>
      </c>
      <c r="O14" s="292">
        <v>340</v>
      </c>
      <c r="P14" s="292">
        <v>340</v>
      </c>
      <c r="Q14" s="292">
        <v>340</v>
      </c>
      <c r="R14" s="292">
        <v>340</v>
      </c>
      <c r="S14" s="292">
        <v>421</v>
      </c>
      <c r="T14" s="292">
        <v>421</v>
      </c>
      <c r="U14" s="292">
        <v>286</v>
      </c>
      <c r="V14" s="292">
        <v>286</v>
      </c>
      <c r="W14" s="292">
        <f>286+425+174</f>
        <v>885</v>
      </c>
      <c r="X14" s="292">
        <v>885</v>
      </c>
      <c r="Y14" s="292"/>
      <c r="Z14" s="292"/>
      <c r="AA14" s="292"/>
      <c r="AB14" s="292"/>
      <c r="AC14" s="292"/>
      <c r="AD14" s="292"/>
      <c r="AE14" s="292"/>
      <c r="AF14" s="292"/>
      <c r="AG14" s="292"/>
      <c r="AH14" s="292"/>
      <c r="AI14" s="292"/>
      <c r="AJ14" s="292"/>
      <c r="AK14" s="292"/>
      <c r="AL14" s="292"/>
      <c r="AM14" s="293">
        <f>65+41</f>
        <v>106</v>
      </c>
      <c r="AN14" s="293">
        <v>911</v>
      </c>
      <c r="AO14" s="293">
        <v>911</v>
      </c>
      <c r="AP14" s="292"/>
      <c r="AQ14" s="294">
        <f>AO14/X14</f>
        <v>1.0293785310734462</v>
      </c>
      <c r="AR14" s="294">
        <f>(N14+T14+AO14)/J14</f>
        <v>1.0152941176470589</v>
      </c>
      <c r="AS14" s="366" t="s">
        <v>555</v>
      </c>
      <c r="AT14" s="295" t="s">
        <v>101</v>
      </c>
      <c r="AU14" s="295" t="s">
        <v>104</v>
      </c>
      <c r="AV14" s="296" t="s">
        <v>105</v>
      </c>
      <c r="AW14" s="296" t="s">
        <v>106</v>
      </c>
      <c r="AX14" s="37"/>
      <c r="AY14" s="37"/>
    </row>
    <row r="15" spans="1:51" ht="110.25" customHeight="1" x14ac:dyDescent="0.25">
      <c r="A15" s="515"/>
      <c r="B15" s="515"/>
      <c r="C15" s="515"/>
      <c r="D15" s="289">
        <v>469</v>
      </c>
      <c r="E15" s="290" t="s">
        <v>107</v>
      </c>
      <c r="F15" s="289">
        <v>368</v>
      </c>
      <c r="G15" s="291" t="s">
        <v>108</v>
      </c>
      <c r="H15" s="289" t="s">
        <v>109</v>
      </c>
      <c r="I15" s="289" t="s">
        <v>110</v>
      </c>
      <c r="J15" s="297">
        <f t="shared" ref="J15" si="0">+N15+T15+V15+AA15+AG15</f>
        <v>24999.66</v>
      </c>
      <c r="K15" s="297">
        <v>1000</v>
      </c>
      <c r="L15" s="298">
        <v>1000</v>
      </c>
      <c r="M15" s="298">
        <v>1390</v>
      </c>
      <c r="N15" s="298">
        <v>1390</v>
      </c>
      <c r="O15" s="298">
        <v>7000</v>
      </c>
      <c r="P15" s="298">
        <v>7000</v>
      </c>
      <c r="Q15" s="298">
        <v>7000</v>
      </c>
      <c r="R15" s="298">
        <v>7000</v>
      </c>
      <c r="S15" s="298">
        <f>+INVERSIÓN!Q51</f>
        <v>7910.66</v>
      </c>
      <c r="T15" s="298">
        <f>+INVERSIÓN!R51</f>
        <v>7910.66</v>
      </c>
      <c r="U15" s="298">
        <v>6610</v>
      </c>
      <c r="V15" s="298">
        <f t="shared" ref="V15:W15" si="1">+U15</f>
        <v>6610</v>
      </c>
      <c r="W15" s="298">
        <f t="shared" si="1"/>
        <v>6610</v>
      </c>
      <c r="X15" s="298">
        <v>6610</v>
      </c>
      <c r="Y15" s="298"/>
      <c r="Z15" s="293"/>
      <c r="AA15" s="293">
        <v>6089</v>
      </c>
      <c r="AB15" s="293"/>
      <c r="AC15" s="293"/>
      <c r="AD15" s="293"/>
      <c r="AE15" s="293"/>
      <c r="AF15" s="293"/>
      <c r="AG15" s="293">
        <v>3000</v>
      </c>
      <c r="AH15" s="293"/>
      <c r="AI15" s="293"/>
      <c r="AJ15" s="293"/>
      <c r="AK15" s="293"/>
      <c r="AL15" s="293"/>
      <c r="AM15" s="293">
        <v>898.9</v>
      </c>
      <c r="AN15" s="293">
        <v>2702.89</v>
      </c>
      <c r="AO15" s="293">
        <f>+INVERSIÓN!AL51</f>
        <v>4836.5099999999993</v>
      </c>
      <c r="AP15" s="299"/>
      <c r="AQ15" s="294">
        <f>AO15/X15</f>
        <v>0.73169591527987887</v>
      </c>
      <c r="AR15" s="294">
        <f>(N15+T15+AO15)/J15</f>
        <v>0.56549449072507374</v>
      </c>
      <c r="AS15" s="367" t="s">
        <v>550</v>
      </c>
      <c r="AT15" s="295" t="s">
        <v>101</v>
      </c>
      <c r="AU15" s="295" t="s">
        <v>104</v>
      </c>
      <c r="AV15" s="295" t="s">
        <v>121</v>
      </c>
      <c r="AW15" s="295" t="s">
        <v>122</v>
      </c>
      <c r="AX15" s="37"/>
      <c r="AY15" s="37"/>
    </row>
    <row r="16" spans="1:51" ht="80.099999999999994" customHeight="1" x14ac:dyDescent="0.25">
      <c r="A16" s="515"/>
      <c r="B16" s="515"/>
      <c r="C16" s="515"/>
      <c r="D16" s="289">
        <v>470</v>
      </c>
      <c r="E16" s="290" t="s">
        <v>123</v>
      </c>
      <c r="F16" s="289">
        <v>546</v>
      </c>
      <c r="G16" s="290" t="s">
        <v>124</v>
      </c>
      <c r="H16" s="289" t="s">
        <v>89</v>
      </c>
      <c r="I16" s="291" t="s">
        <v>125</v>
      </c>
      <c r="J16" s="300">
        <v>0.25</v>
      </c>
      <c r="K16" s="297"/>
      <c r="L16" s="298"/>
      <c r="M16" s="298"/>
      <c r="N16" s="282"/>
      <c r="O16" s="282">
        <v>25</v>
      </c>
      <c r="P16" s="286">
        <v>0.25</v>
      </c>
      <c r="Q16" s="286">
        <v>0.25</v>
      </c>
      <c r="R16" s="286">
        <v>0.25</v>
      </c>
      <c r="S16" s="286">
        <v>0.25</v>
      </c>
      <c r="T16" s="286">
        <v>0.25</v>
      </c>
      <c r="U16" s="286">
        <v>0.25</v>
      </c>
      <c r="V16" s="286">
        <v>0.25</v>
      </c>
      <c r="W16" s="286">
        <v>0.25</v>
      </c>
      <c r="X16" s="286">
        <v>0.25</v>
      </c>
      <c r="Y16" s="286"/>
      <c r="Z16" s="301"/>
      <c r="AA16" s="301">
        <v>0.25</v>
      </c>
      <c r="AB16" s="301"/>
      <c r="AC16" s="301"/>
      <c r="AD16" s="301"/>
      <c r="AE16" s="301"/>
      <c r="AF16" s="301"/>
      <c r="AG16" s="301">
        <v>0.25</v>
      </c>
      <c r="AH16" s="301"/>
      <c r="AI16" s="301"/>
      <c r="AJ16" s="301"/>
      <c r="AK16" s="301"/>
      <c r="AL16" s="301"/>
      <c r="AM16" s="301">
        <v>0</v>
      </c>
      <c r="AN16" s="302">
        <v>0.25</v>
      </c>
      <c r="AO16" s="289" t="s">
        <v>132</v>
      </c>
      <c r="AP16" s="286"/>
      <c r="AQ16" s="294">
        <f>AO16/X16</f>
        <v>1.3892</v>
      </c>
      <c r="AR16" s="294">
        <f>9/16</f>
        <v>0.5625</v>
      </c>
      <c r="AS16" s="366" t="s">
        <v>552</v>
      </c>
      <c r="AT16" s="295" t="s">
        <v>101</v>
      </c>
      <c r="AU16" s="295" t="s">
        <v>104</v>
      </c>
      <c r="AV16" s="295" t="s">
        <v>140</v>
      </c>
      <c r="AW16" s="295" t="s">
        <v>141</v>
      </c>
      <c r="AX16" s="37"/>
      <c r="AY16" s="37"/>
    </row>
    <row r="17" spans="1:51" ht="80.099999999999994" customHeight="1" x14ac:dyDescent="0.25">
      <c r="A17" s="515"/>
      <c r="B17" s="515"/>
      <c r="C17" s="515"/>
      <c r="D17" s="289">
        <v>471</v>
      </c>
      <c r="E17" s="290" t="s">
        <v>142</v>
      </c>
      <c r="F17" s="289">
        <v>370</v>
      </c>
      <c r="G17" s="290" t="s">
        <v>144</v>
      </c>
      <c r="H17" s="291" t="s">
        <v>145</v>
      </c>
      <c r="I17" s="291" t="s">
        <v>146</v>
      </c>
      <c r="J17" s="300">
        <f>T17</f>
        <v>1</v>
      </c>
      <c r="K17" s="300">
        <v>0.04</v>
      </c>
      <c r="L17" s="300">
        <v>0.04</v>
      </c>
      <c r="M17" s="286">
        <v>0.1</v>
      </c>
      <c r="N17" s="286">
        <v>0.1</v>
      </c>
      <c r="O17" s="286">
        <v>0.3</v>
      </c>
      <c r="P17" s="286">
        <v>0.3</v>
      </c>
      <c r="Q17" s="286">
        <v>1</v>
      </c>
      <c r="R17" s="301">
        <v>1</v>
      </c>
      <c r="S17" s="301">
        <v>1</v>
      </c>
      <c r="T17" s="301">
        <v>1</v>
      </c>
      <c r="U17" s="298">
        <v>0</v>
      </c>
      <c r="V17" s="286">
        <v>0</v>
      </c>
      <c r="W17" s="286">
        <v>0</v>
      </c>
      <c r="X17" s="286">
        <v>0</v>
      </c>
      <c r="Y17" s="286"/>
      <c r="Z17" s="286"/>
      <c r="AA17" s="286">
        <v>0</v>
      </c>
      <c r="AB17" s="286"/>
      <c r="AC17" s="286"/>
      <c r="AD17" s="286"/>
      <c r="AE17" s="286"/>
      <c r="AF17" s="286"/>
      <c r="AG17" s="286">
        <v>0</v>
      </c>
      <c r="AH17" s="286"/>
      <c r="AI17" s="289"/>
      <c r="AJ17" s="289"/>
      <c r="AK17" s="289"/>
      <c r="AL17" s="289"/>
      <c r="AM17" s="286">
        <v>1</v>
      </c>
      <c r="AN17" s="286">
        <v>1</v>
      </c>
      <c r="AO17" s="286">
        <v>1</v>
      </c>
      <c r="AP17" s="286"/>
      <c r="AQ17" s="294" t="s">
        <v>148</v>
      </c>
      <c r="AR17" s="294">
        <v>1</v>
      </c>
      <c r="AS17" s="366" t="s">
        <v>149</v>
      </c>
      <c r="AT17" s="295" t="s">
        <v>101</v>
      </c>
      <c r="AU17" s="295" t="s">
        <v>104</v>
      </c>
      <c r="AV17" s="303" t="s">
        <v>150</v>
      </c>
      <c r="AW17" s="304" t="s">
        <v>151</v>
      </c>
      <c r="AX17" s="37"/>
      <c r="AY17" s="37"/>
    </row>
    <row r="18" spans="1:51" ht="80.099999999999994" customHeight="1" x14ac:dyDescent="0.25">
      <c r="A18" s="515"/>
      <c r="B18" s="515"/>
      <c r="C18" s="515"/>
      <c r="D18" s="289">
        <v>472</v>
      </c>
      <c r="E18" s="305" t="s">
        <v>152</v>
      </c>
      <c r="F18" s="289">
        <v>371</v>
      </c>
      <c r="G18" s="290" t="s">
        <v>154</v>
      </c>
      <c r="H18" s="291" t="s">
        <v>109</v>
      </c>
      <c r="I18" s="289" t="s">
        <v>110</v>
      </c>
      <c r="J18" s="297">
        <f t="shared" ref="J18:J19" si="2">+N18+T18+V18+AA18+AG18</f>
        <v>770000</v>
      </c>
      <c r="K18" s="297">
        <v>1000</v>
      </c>
      <c r="L18" s="289">
        <v>1000</v>
      </c>
      <c r="M18" s="306">
        <v>106549</v>
      </c>
      <c r="N18" s="282">
        <f>+INVERSIÓN!L117</f>
        <v>106549</v>
      </c>
      <c r="O18" s="282">
        <v>350000</v>
      </c>
      <c r="P18" s="282">
        <v>350000</v>
      </c>
      <c r="Q18" s="298">
        <v>350000</v>
      </c>
      <c r="R18" s="282">
        <v>350000</v>
      </c>
      <c r="S18" s="298">
        <f>+INVERSIÓN!Q117</f>
        <v>355398</v>
      </c>
      <c r="T18" s="298">
        <f>+INVERSIÓN!R117</f>
        <v>355398</v>
      </c>
      <c r="U18" s="298">
        <v>120000</v>
      </c>
      <c r="V18" s="298">
        <f t="shared" ref="V18:W18" si="3">+U18</f>
        <v>120000</v>
      </c>
      <c r="W18" s="298">
        <f t="shared" si="3"/>
        <v>120000</v>
      </c>
      <c r="X18" s="298">
        <v>150000</v>
      </c>
      <c r="Y18" s="298"/>
      <c r="Z18" s="293"/>
      <c r="AA18" s="298">
        <v>120000</v>
      </c>
      <c r="AB18" s="298"/>
      <c r="AC18" s="298"/>
      <c r="AD18" s="298"/>
      <c r="AE18" s="298"/>
      <c r="AF18" s="298"/>
      <c r="AG18" s="298">
        <f>98053-30000</f>
        <v>68053</v>
      </c>
      <c r="AH18" s="298"/>
      <c r="AI18" s="289"/>
      <c r="AJ18" s="289"/>
      <c r="AK18" s="289"/>
      <c r="AL18" s="289"/>
      <c r="AM18" s="293">
        <f>INVERSIÓN!AJ117</f>
        <v>57895.67</v>
      </c>
      <c r="AN18" s="307">
        <v>100955.68</v>
      </c>
      <c r="AO18" s="293">
        <v>145759.18</v>
      </c>
      <c r="AP18" s="306"/>
      <c r="AQ18" s="294">
        <f t="shared" ref="AQ18:AQ24" si="4">AO18/X18</f>
        <v>0.97172786666666666</v>
      </c>
      <c r="AR18" s="294">
        <f>(N18+T18+AO18)/J18</f>
        <v>0.78922880519480509</v>
      </c>
      <c r="AS18" s="366" t="s">
        <v>556</v>
      </c>
      <c r="AT18" s="295" t="s">
        <v>101</v>
      </c>
      <c r="AU18" s="295" t="s">
        <v>104</v>
      </c>
      <c r="AV18" s="308" t="s">
        <v>162</v>
      </c>
      <c r="AW18" s="309" t="s">
        <v>163</v>
      </c>
      <c r="AX18" s="37"/>
      <c r="AY18" s="37"/>
    </row>
    <row r="19" spans="1:51" ht="80.099999999999994" customHeight="1" x14ac:dyDescent="0.25">
      <c r="A19" s="515"/>
      <c r="B19" s="515"/>
      <c r="C19" s="515"/>
      <c r="D19" s="310">
        <v>473</v>
      </c>
      <c r="E19" s="305" t="s">
        <v>165</v>
      </c>
      <c r="F19" s="289">
        <v>372</v>
      </c>
      <c r="G19" s="291" t="s">
        <v>166</v>
      </c>
      <c r="H19" s="289" t="s">
        <v>89</v>
      </c>
      <c r="I19" s="289" t="s">
        <v>110</v>
      </c>
      <c r="J19" s="300">
        <f t="shared" si="2"/>
        <v>1</v>
      </c>
      <c r="K19" s="289">
        <v>0.1</v>
      </c>
      <c r="L19" s="289">
        <v>0.1</v>
      </c>
      <c r="M19" s="289">
        <v>13.3</v>
      </c>
      <c r="N19" s="302">
        <v>0.13300000000000001</v>
      </c>
      <c r="O19" s="302">
        <v>6.0999999999999999E-2</v>
      </c>
      <c r="P19" s="302">
        <v>6.0999999999999999E-2</v>
      </c>
      <c r="Q19" s="302">
        <v>6.0999999999999999E-2</v>
      </c>
      <c r="R19" s="302">
        <v>6.0999999999999999E-2</v>
      </c>
      <c r="S19" s="302">
        <v>6.0999999999999999E-2</v>
      </c>
      <c r="T19" s="302">
        <v>6.0999999999999999E-2</v>
      </c>
      <c r="U19" s="289">
        <v>37.5</v>
      </c>
      <c r="V19" s="302">
        <v>0.375</v>
      </c>
      <c r="W19" s="302">
        <v>0.375</v>
      </c>
      <c r="X19" s="302">
        <v>0.375</v>
      </c>
      <c r="Y19" s="289"/>
      <c r="Z19" s="311"/>
      <c r="AA19" s="302">
        <v>0.375</v>
      </c>
      <c r="AB19" s="302"/>
      <c r="AC19" s="302"/>
      <c r="AD19" s="302"/>
      <c r="AE19" s="302"/>
      <c r="AF19" s="302"/>
      <c r="AG19" s="302">
        <v>5.6000000000000001E-2</v>
      </c>
      <c r="AH19" s="311"/>
      <c r="AI19" s="311"/>
      <c r="AJ19" s="311"/>
      <c r="AK19" s="311"/>
      <c r="AL19" s="311"/>
      <c r="AM19" s="302">
        <v>9.3700000000000006E-2</v>
      </c>
      <c r="AN19" s="302">
        <f>9.37%+AM19</f>
        <v>0.18740000000000001</v>
      </c>
      <c r="AO19" s="312">
        <f t="shared" ref="AO19" si="5">9.37%+AN19</f>
        <v>0.28110000000000002</v>
      </c>
      <c r="AP19" s="302"/>
      <c r="AQ19" s="294">
        <f t="shared" si="4"/>
        <v>0.74960000000000004</v>
      </c>
      <c r="AR19" s="294">
        <f>(N19+T19+AO19)/J19</f>
        <v>0.47510000000000002</v>
      </c>
      <c r="AS19" s="366" t="s">
        <v>557</v>
      </c>
      <c r="AT19" s="295" t="s">
        <v>101</v>
      </c>
      <c r="AU19" s="295" t="s">
        <v>104</v>
      </c>
      <c r="AV19" s="308" t="s">
        <v>168</v>
      </c>
      <c r="AW19" s="309" t="s">
        <v>169</v>
      </c>
      <c r="AX19" s="37"/>
      <c r="AY19" s="37"/>
    </row>
    <row r="20" spans="1:51" ht="80.099999999999994" customHeight="1" x14ac:dyDescent="0.25">
      <c r="A20" s="515"/>
      <c r="B20" s="515"/>
      <c r="C20" s="515"/>
      <c r="D20" s="289">
        <v>474</v>
      </c>
      <c r="E20" s="290" t="s">
        <v>170</v>
      </c>
      <c r="F20" s="289">
        <v>373</v>
      </c>
      <c r="G20" s="290" t="s">
        <v>171</v>
      </c>
      <c r="H20" s="289" t="s">
        <v>89</v>
      </c>
      <c r="I20" s="289" t="s">
        <v>146</v>
      </c>
      <c r="J20" s="300">
        <v>1</v>
      </c>
      <c r="K20" s="313">
        <v>0.125</v>
      </c>
      <c r="L20" s="289">
        <v>10</v>
      </c>
      <c r="M20" s="286">
        <v>0.1</v>
      </c>
      <c r="N20" s="286">
        <v>0.1</v>
      </c>
      <c r="O20" s="286">
        <v>0.35</v>
      </c>
      <c r="P20" s="286">
        <v>0.35</v>
      </c>
      <c r="Q20" s="286">
        <v>0.35</v>
      </c>
      <c r="R20" s="302">
        <v>0.35</v>
      </c>
      <c r="S20" s="286">
        <v>0.35</v>
      </c>
      <c r="T20" s="286">
        <v>0.35</v>
      </c>
      <c r="U20" s="286">
        <v>0.57999999999999996</v>
      </c>
      <c r="V20" s="286">
        <v>0.57999999999999996</v>
      </c>
      <c r="W20" s="286">
        <v>0.57999999999999996</v>
      </c>
      <c r="X20" s="286">
        <v>0.57999999999999996</v>
      </c>
      <c r="Y20" s="286"/>
      <c r="Z20" s="302"/>
      <c r="AA20" s="286">
        <v>0.83</v>
      </c>
      <c r="AB20" s="286"/>
      <c r="AC20" s="289"/>
      <c r="AD20" s="289"/>
      <c r="AE20" s="289"/>
      <c r="AF20" s="289"/>
      <c r="AG20" s="289">
        <v>100</v>
      </c>
      <c r="AH20" s="286"/>
      <c r="AI20" s="289"/>
      <c r="AJ20" s="289"/>
      <c r="AK20" s="289"/>
      <c r="AL20" s="289"/>
      <c r="AM20" s="302">
        <v>0.42299999999999999</v>
      </c>
      <c r="AN20" s="302">
        <v>0.55069999999999997</v>
      </c>
      <c r="AO20" s="314">
        <v>0.56000000000000005</v>
      </c>
      <c r="AP20" s="302"/>
      <c r="AQ20" s="294">
        <f t="shared" si="4"/>
        <v>0.9655172413793105</v>
      </c>
      <c r="AR20" s="294">
        <f>AO20/J20</f>
        <v>0.56000000000000005</v>
      </c>
      <c r="AS20" s="366" t="s">
        <v>541</v>
      </c>
      <c r="AT20" s="295" t="s">
        <v>101</v>
      </c>
      <c r="AU20" s="295" t="s">
        <v>104</v>
      </c>
      <c r="AV20" s="295" t="s">
        <v>173</v>
      </c>
      <c r="AW20" s="295" t="s">
        <v>174</v>
      </c>
      <c r="AX20" s="37"/>
      <c r="AY20" s="37"/>
    </row>
    <row r="21" spans="1:51" ht="80.099999999999994" customHeight="1" x14ac:dyDescent="0.25">
      <c r="A21" s="515"/>
      <c r="B21" s="515"/>
      <c r="C21" s="515"/>
      <c r="D21" s="289">
        <v>475</v>
      </c>
      <c r="E21" s="290" t="s">
        <v>175</v>
      </c>
      <c r="F21" s="289">
        <v>374</v>
      </c>
      <c r="G21" s="291" t="s">
        <v>176</v>
      </c>
      <c r="H21" s="291" t="s">
        <v>177</v>
      </c>
      <c r="I21" s="289" t="s">
        <v>110</v>
      </c>
      <c r="J21" s="300">
        <f>+N21+T21+V21+AA21+AG21</f>
        <v>1</v>
      </c>
      <c r="K21" s="297"/>
      <c r="L21" s="315"/>
      <c r="M21" s="297"/>
      <c r="N21" s="300">
        <v>0</v>
      </c>
      <c r="O21" s="315">
        <v>25</v>
      </c>
      <c r="P21" s="315">
        <v>25</v>
      </c>
      <c r="Q21" s="315">
        <v>25</v>
      </c>
      <c r="R21" s="315">
        <v>25</v>
      </c>
      <c r="S21" s="297">
        <v>25</v>
      </c>
      <c r="T21" s="300">
        <v>0.25</v>
      </c>
      <c r="U21" s="315">
        <v>25</v>
      </c>
      <c r="V21" s="300">
        <v>0.25</v>
      </c>
      <c r="W21" s="300">
        <v>0.25</v>
      </c>
      <c r="X21" s="286">
        <v>0.25</v>
      </c>
      <c r="Y21" s="297"/>
      <c r="Z21" s="316"/>
      <c r="AA21" s="300">
        <v>0.25</v>
      </c>
      <c r="AB21" s="315"/>
      <c r="AC21" s="315"/>
      <c r="AD21" s="315"/>
      <c r="AE21" s="297"/>
      <c r="AF21" s="297"/>
      <c r="AG21" s="300">
        <v>0.25</v>
      </c>
      <c r="AH21" s="315"/>
      <c r="AI21" s="315"/>
      <c r="AJ21" s="315"/>
      <c r="AK21" s="297"/>
      <c r="AL21" s="297"/>
      <c r="AM21" s="294">
        <v>6.25E-2</v>
      </c>
      <c r="AN21" s="294">
        <v>0.125</v>
      </c>
      <c r="AO21" s="294">
        <v>0.1875</v>
      </c>
      <c r="AP21" s="297"/>
      <c r="AQ21" s="294">
        <f t="shared" si="4"/>
        <v>0.75</v>
      </c>
      <c r="AR21" s="294">
        <f>(N21+T21+AO21)/J21</f>
        <v>0.4375</v>
      </c>
      <c r="AS21" s="366" t="s">
        <v>183</v>
      </c>
      <c r="AT21" s="295" t="s">
        <v>101</v>
      </c>
      <c r="AU21" s="295" t="s">
        <v>104</v>
      </c>
      <c r="AV21" s="295" t="s">
        <v>184</v>
      </c>
      <c r="AW21" s="295" t="s">
        <v>185</v>
      </c>
      <c r="AX21" s="37"/>
      <c r="AY21" s="37"/>
    </row>
    <row r="22" spans="1:51" ht="80.099999999999994" customHeight="1" x14ac:dyDescent="0.25">
      <c r="A22" s="515"/>
      <c r="B22" s="515"/>
      <c r="C22" s="515"/>
      <c r="D22" s="289">
        <v>476</v>
      </c>
      <c r="E22" s="290" t="s">
        <v>186</v>
      </c>
      <c r="F22" s="289">
        <v>375</v>
      </c>
      <c r="G22" s="290" t="s">
        <v>187</v>
      </c>
      <c r="H22" s="291" t="s">
        <v>188</v>
      </c>
      <c r="I22" s="289" t="s">
        <v>146</v>
      </c>
      <c r="J22" s="297">
        <v>1</v>
      </c>
      <c r="K22" s="297"/>
      <c r="L22" s="315"/>
      <c r="M22" s="297"/>
      <c r="N22" s="297">
        <v>0</v>
      </c>
      <c r="O22" s="316">
        <v>0.2</v>
      </c>
      <c r="P22" s="317">
        <v>0.2</v>
      </c>
      <c r="Q22" s="317">
        <v>0.2</v>
      </c>
      <c r="R22" s="317">
        <v>0.2</v>
      </c>
      <c r="S22" s="316">
        <f>+INVERSIÓN!Q15</f>
        <v>0.2</v>
      </c>
      <c r="T22" s="318">
        <f>+INVERSIÓN!R15</f>
        <v>0.12</v>
      </c>
      <c r="U22" s="316">
        <v>1</v>
      </c>
      <c r="V22" s="319">
        <f t="shared" ref="V22:V26" si="6">+U22</f>
        <v>1</v>
      </c>
      <c r="W22" s="319">
        <v>1</v>
      </c>
      <c r="X22" s="320">
        <v>1</v>
      </c>
      <c r="Y22" s="316"/>
      <c r="Z22" s="316"/>
      <c r="AA22" s="316">
        <v>0</v>
      </c>
      <c r="AB22" s="317"/>
      <c r="AC22" s="315"/>
      <c r="AD22" s="315"/>
      <c r="AE22" s="297"/>
      <c r="AF22" s="297"/>
      <c r="AG22" s="297">
        <v>0</v>
      </c>
      <c r="AH22" s="315"/>
      <c r="AI22" s="315"/>
      <c r="AJ22" s="315"/>
      <c r="AK22" s="297"/>
      <c r="AL22" s="297"/>
      <c r="AM22" s="318">
        <v>0.12</v>
      </c>
      <c r="AN22" s="318">
        <v>0.12</v>
      </c>
      <c r="AO22" s="318" t="s">
        <v>201</v>
      </c>
      <c r="AP22" s="318"/>
      <c r="AQ22" s="294">
        <f t="shared" si="4"/>
        <v>0.12</v>
      </c>
      <c r="AR22" s="294">
        <f>AO22/J22</f>
        <v>0.12</v>
      </c>
      <c r="AS22" s="366" t="s">
        <v>553</v>
      </c>
      <c r="AT22" s="296" t="s">
        <v>104</v>
      </c>
      <c r="AU22" s="296" t="s">
        <v>104</v>
      </c>
      <c r="AV22" s="295" t="s">
        <v>204</v>
      </c>
      <c r="AW22" s="295" t="s">
        <v>205</v>
      </c>
      <c r="AX22" s="37"/>
      <c r="AY22" s="37"/>
    </row>
    <row r="23" spans="1:51" ht="80.099999999999994" customHeight="1" x14ac:dyDescent="0.25">
      <c r="A23" s="515"/>
      <c r="B23" s="515"/>
      <c r="C23" s="515"/>
      <c r="D23" s="289">
        <v>477</v>
      </c>
      <c r="E23" s="290" t="s">
        <v>206</v>
      </c>
      <c r="F23" s="289">
        <v>376</v>
      </c>
      <c r="G23" s="291" t="s">
        <v>207</v>
      </c>
      <c r="H23" s="291" t="s">
        <v>208</v>
      </c>
      <c r="I23" s="289" t="s">
        <v>110</v>
      </c>
      <c r="J23" s="297">
        <f t="shared" ref="J23:J24" si="7">+N23+T23+V23+AA23+AG23</f>
        <v>20000</v>
      </c>
      <c r="K23" s="297">
        <v>2500</v>
      </c>
      <c r="L23" s="289">
        <v>2500</v>
      </c>
      <c r="M23" s="289">
        <v>2500</v>
      </c>
      <c r="N23" s="289">
        <v>2591</v>
      </c>
      <c r="O23" s="289">
        <v>5000</v>
      </c>
      <c r="P23" s="289">
        <v>5000</v>
      </c>
      <c r="Q23" s="289">
        <v>5000</v>
      </c>
      <c r="R23" s="289">
        <v>5000</v>
      </c>
      <c r="S23" s="282">
        <f>+INVERSIÓN!Q21</f>
        <v>5000</v>
      </c>
      <c r="T23" s="282">
        <f>+INVERSIÓN!R21</f>
        <v>5000</v>
      </c>
      <c r="U23" s="289">
        <v>4909</v>
      </c>
      <c r="V23" s="289">
        <f t="shared" si="6"/>
        <v>4909</v>
      </c>
      <c r="W23" s="289">
        <v>4909</v>
      </c>
      <c r="X23" s="289">
        <v>4909</v>
      </c>
      <c r="Y23" s="289"/>
      <c r="Z23" s="298"/>
      <c r="AA23" s="289">
        <v>5000</v>
      </c>
      <c r="AB23" s="289"/>
      <c r="AC23" s="289"/>
      <c r="AD23" s="289"/>
      <c r="AE23" s="289"/>
      <c r="AF23" s="289"/>
      <c r="AG23" s="289">
        <v>2500</v>
      </c>
      <c r="AH23" s="289"/>
      <c r="AI23" s="289"/>
      <c r="AJ23" s="289"/>
      <c r="AK23" s="289"/>
      <c r="AL23" s="289"/>
      <c r="AM23" s="298">
        <f>INVERSIÓN!AJ21</f>
        <v>1308</v>
      </c>
      <c r="AN23" s="298">
        <v>2511</v>
      </c>
      <c r="AO23" s="321">
        <v>3711</v>
      </c>
      <c r="AP23" s="289"/>
      <c r="AQ23" s="294">
        <f t="shared" si="4"/>
        <v>0.75595844367488285</v>
      </c>
      <c r="AR23" s="294">
        <f>(N23+T23+AO23)/J23</f>
        <v>0.56510000000000005</v>
      </c>
      <c r="AS23" s="366" t="s">
        <v>558</v>
      </c>
      <c r="AT23" s="295" t="s">
        <v>101</v>
      </c>
      <c r="AU23" s="295" t="s">
        <v>104</v>
      </c>
      <c r="AV23" s="295" t="s">
        <v>214</v>
      </c>
      <c r="AW23" s="295" t="s">
        <v>215</v>
      </c>
      <c r="AX23" s="37"/>
      <c r="AY23" s="37"/>
    </row>
    <row r="24" spans="1:51" ht="80.099999999999994" customHeight="1" x14ac:dyDescent="0.25">
      <c r="A24" s="515"/>
      <c r="B24" s="515"/>
      <c r="C24" s="515"/>
      <c r="D24" s="289">
        <v>478</v>
      </c>
      <c r="E24" s="290" t="s">
        <v>216</v>
      </c>
      <c r="F24" s="289">
        <v>377</v>
      </c>
      <c r="G24" s="291" t="s">
        <v>217</v>
      </c>
      <c r="H24" s="291" t="s">
        <v>218</v>
      </c>
      <c r="I24" s="289" t="s">
        <v>110</v>
      </c>
      <c r="J24" s="297">
        <f t="shared" si="7"/>
        <v>500</v>
      </c>
      <c r="K24" s="297">
        <v>60</v>
      </c>
      <c r="L24" s="297">
        <v>60</v>
      </c>
      <c r="M24" s="289">
        <v>60</v>
      </c>
      <c r="N24" s="289">
        <v>13</v>
      </c>
      <c r="O24" s="289">
        <v>167</v>
      </c>
      <c r="P24" s="289">
        <v>167</v>
      </c>
      <c r="Q24" s="289">
        <v>167</v>
      </c>
      <c r="R24" s="289">
        <v>167</v>
      </c>
      <c r="S24" s="322">
        <f>+INVERSIÓN!Q31</f>
        <v>167</v>
      </c>
      <c r="T24" s="322">
        <v>150</v>
      </c>
      <c r="U24" s="322">
        <f>+INVERSIÓN!S27</f>
        <v>130</v>
      </c>
      <c r="V24" s="322">
        <f t="shared" si="6"/>
        <v>130</v>
      </c>
      <c r="W24" s="322">
        <v>130</v>
      </c>
      <c r="X24" s="322">
        <v>130</v>
      </c>
      <c r="Y24" s="322"/>
      <c r="Z24" s="298">
        <v>147</v>
      </c>
      <c r="AA24" s="289">
        <v>130</v>
      </c>
      <c r="AB24" s="289"/>
      <c r="AC24" s="289"/>
      <c r="AD24" s="289"/>
      <c r="AE24" s="289"/>
      <c r="AF24" s="289"/>
      <c r="AG24" s="289">
        <v>77</v>
      </c>
      <c r="AH24" s="289"/>
      <c r="AI24" s="289"/>
      <c r="AJ24" s="289"/>
      <c r="AK24" s="289"/>
      <c r="AL24" s="289"/>
      <c r="AM24" s="298">
        <v>0</v>
      </c>
      <c r="AN24" s="293">
        <v>30</v>
      </c>
      <c r="AO24" s="293">
        <v>54</v>
      </c>
      <c r="AP24" s="289"/>
      <c r="AQ24" s="294">
        <f t="shared" si="4"/>
        <v>0.41538461538461541</v>
      </c>
      <c r="AR24" s="294">
        <f>(N24+T24+AO24)/J24</f>
        <v>0.434</v>
      </c>
      <c r="AS24" s="368" t="s">
        <v>559</v>
      </c>
      <c r="AT24" s="295" t="s">
        <v>224</v>
      </c>
      <c r="AU24" s="295" t="s">
        <v>225</v>
      </c>
      <c r="AV24" s="296" t="str">
        <f>INVERSIÓN!AS27</f>
        <v xml:space="preserve">A través del IDAE, se podrá visualizar el mejoramiento ambiental de las organizaciones a partir de estrategias de prevención, que permitan minimizar el impacto ambiental generado en la ciudad. </v>
      </c>
      <c r="AW24" s="323" t="str">
        <f>INVERSIÓN!AT27</f>
        <v>Archivo de Gestión SEGAE</v>
      </c>
      <c r="AX24" s="37"/>
      <c r="AY24" s="37"/>
    </row>
    <row r="25" spans="1:51" ht="80.099999999999994" customHeight="1" x14ac:dyDescent="0.25">
      <c r="A25" s="515"/>
      <c r="B25" s="515"/>
      <c r="C25" s="515"/>
      <c r="D25" s="289">
        <v>479</v>
      </c>
      <c r="E25" s="290" t="s">
        <v>228</v>
      </c>
      <c r="F25" s="289">
        <v>378</v>
      </c>
      <c r="G25" s="291" t="s">
        <v>229</v>
      </c>
      <c r="H25" s="291" t="s">
        <v>230</v>
      </c>
      <c r="I25" s="289" t="s">
        <v>231</v>
      </c>
      <c r="J25" s="292">
        <v>1</v>
      </c>
      <c r="K25" s="284">
        <v>0.1</v>
      </c>
      <c r="L25" s="284">
        <v>0.1</v>
      </c>
      <c r="M25" s="284">
        <v>0.1</v>
      </c>
      <c r="N25" s="284">
        <v>0.1</v>
      </c>
      <c r="O25" s="284">
        <v>0.25</v>
      </c>
      <c r="P25" s="284">
        <v>0.25</v>
      </c>
      <c r="Q25" s="289">
        <v>0.25</v>
      </c>
      <c r="R25" s="284">
        <v>0.25</v>
      </c>
      <c r="S25" s="284">
        <v>0.25</v>
      </c>
      <c r="T25" s="284">
        <v>0.25</v>
      </c>
      <c r="U25" s="284">
        <v>0.5</v>
      </c>
      <c r="V25" s="284">
        <f t="shared" si="6"/>
        <v>0.5</v>
      </c>
      <c r="W25" s="284">
        <v>0.5</v>
      </c>
      <c r="X25" s="289" t="s">
        <v>233</v>
      </c>
      <c r="Y25" s="289"/>
      <c r="Z25" s="284"/>
      <c r="AA25" s="289">
        <v>0.75</v>
      </c>
      <c r="AB25" s="284"/>
      <c r="AC25" s="289"/>
      <c r="AD25" s="289"/>
      <c r="AE25" s="289"/>
      <c r="AF25" s="289"/>
      <c r="AG25" s="289">
        <v>1</v>
      </c>
      <c r="AH25" s="324"/>
      <c r="AI25" s="289"/>
      <c r="AJ25" s="289"/>
      <c r="AK25" s="289"/>
      <c r="AL25" s="289"/>
      <c r="AM25" s="293">
        <v>0.3</v>
      </c>
      <c r="AN25" s="293">
        <v>0.35</v>
      </c>
      <c r="AO25" s="293" t="s">
        <v>239</v>
      </c>
      <c r="AP25" s="284"/>
      <c r="AQ25" s="294">
        <f t="shared" ref="AQ25" si="8">AN25/W25</f>
        <v>0.7</v>
      </c>
      <c r="AR25" s="294">
        <f>AN25/J25</f>
        <v>0.35</v>
      </c>
      <c r="AS25" s="366" t="s">
        <v>241</v>
      </c>
      <c r="AT25" s="295" t="s">
        <v>101</v>
      </c>
      <c r="AU25" s="295" t="s">
        <v>104</v>
      </c>
      <c r="AV25" s="295" t="s">
        <v>242</v>
      </c>
      <c r="AW25" s="295"/>
      <c r="AX25" s="37"/>
      <c r="AY25" s="37"/>
    </row>
    <row r="26" spans="1:51" ht="80.099999999999994" customHeight="1" x14ac:dyDescent="0.25">
      <c r="A26" s="515"/>
      <c r="B26" s="515"/>
      <c r="C26" s="515"/>
      <c r="D26" s="289">
        <v>480</v>
      </c>
      <c r="E26" s="290" t="s">
        <v>243</v>
      </c>
      <c r="F26" s="289">
        <v>379</v>
      </c>
      <c r="G26" s="290" t="s">
        <v>245</v>
      </c>
      <c r="H26" s="289" t="s">
        <v>109</v>
      </c>
      <c r="I26" s="289" t="s">
        <v>110</v>
      </c>
      <c r="J26" s="297">
        <f>+N26+T26+V26+AA26+AG26</f>
        <v>29999999.609999999</v>
      </c>
      <c r="K26" s="298">
        <v>4000000</v>
      </c>
      <c r="L26" s="298">
        <v>4000000</v>
      </c>
      <c r="M26" s="298">
        <v>4112722</v>
      </c>
      <c r="N26" s="282">
        <f>+INVERSIÓN!L69</f>
        <v>4112722</v>
      </c>
      <c r="O26" s="282">
        <v>8000000</v>
      </c>
      <c r="P26" s="282">
        <v>8000000</v>
      </c>
      <c r="Q26" s="289">
        <v>8000000</v>
      </c>
      <c r="R26" s="282">
        <v>8000000</v>
      </c>
      <c r="S26" s="322">
        <f>+INVERSIÓN!Q69</f>
        <v>11375079.609999999</v>
      </c>
      <c r="T26" s="322">
        <f>+INVERSIÓN!R69</f>
        <v>11375079.609999999</v>
      </c>
      <c r="U26" s="322">
        <v>7887278</v>
      </c>
      <c r="V26" s="322">
        <f t="shared" si="6"/>
        <v>7887278</v>
      </c>
      <c r="W26" s="322">
        <v>7887278</v>
      </c>
      <c r="X26" s="322">
        <f>7887278+2000000</f>
        <v>9887278</v>
      </c>
      <c r="Y26" s="322"/>
      <c r="Z26" s="293"/>
      <c r="AA26" s="322">
        <v>5655000</v>
      </c>
      <c r="AB26" s="322"/>
      <c r="AC26" s="322"/>
      <c r="AD26" s="322"/>
      <c r="AE26" s="322"/>
      <c r="AF26" s="322"/>
      <c r="AG26" s="322">
        <f>2969920-2000000</f>
        <v>969920</v>
      </c>
      <c r="AH26" s="282"/>
      <c r="AI26" s="289"/>
      <c r="AJ26" s="289"/>
      <c r="AK26" s="289"/>
      <c r="AL26" s="289"/>
      <c r="AM26" s="293">
        <v>1745135.6</v>
      </c>
      <c r="AN26" s="293">
        <v>4580764</v>
      </c>
      <c r="AO26" s="293">
        <v>9170122</v>
      </c>
      <c r="AP26" s="282"/>
      <c r="AQ26" s="294">
        <f>AO26/X26</f>
        <v>0.92746679116335151</v>
      </c>
      <c r="AR26" s="294">
        <f>(N26+T26+AO26)/J26</f>
        <v>0.82193079768510036</v>
      </c>
      <c r="AS26" s="366" t="s">
        <v>560</v>
      </c>
      <c r="AT26" s="295" t="s">
        <v>101</v>
      </c>
      <c r="AU26" s="295" t="s">
        <v>104</v>
      </c>
      <c r="AV26" s="295" t="s">
        <v>252</v>
      </c>
      <c r="AW26" s="295" t="s">
        <v>253</v>
      </c>
      <c r="AX26" s="37"/>
      <c r="AY26" s="37"/>
    </row>
    <row r="27" spans="1:51" ht="80.099999999999994" customHeight="1" x14ac:dyDescent="0.25">
      <c r="A27" s="515"/>
      <c r="B27" s="515"/>
      <c r="C27" s="515"/>
      <c r="D27" s="289">
        <v>481</v>
      </c>
      <c r="E27" s="290" t="s">
        <v>254</v>
      </c>
      <c r="F27" s="289">
        <v>481</v>
      </c>
      <c r="G27" s="290" t="s">
        <v>255</v>
      </c>
      <c r="H27" s="289" t="s">
        <v>89</v>
      </c>
      <c r="I27" s="289" t="s">
        <v>231</v>
      </c>
      <c r="J27" s="300">
        <v>0.25</v>
      </c>
      <c r="K27" s="297">
        <v>15</v>
      </c>
      <c r="L27" s="298">
        <v>15</v>
      </c>
      <c r="M27" s="289">
        <v>15.13</v>
      </c>
      <c r="N27" s="302">
        <v>0.15129999999999999</v>
      </c>
      <c r="O27" s="289">
        <v>20</v>
      </c>
      <c r="P27" s="286">
        <v>0.2</v>
      </c>
      <c r="Q27" s="286">
        <v>0.2</v>
      </c>
      <c r="R27" s="286">
        <v>0.2</v>
      </c>
      <c r="S27" s="286">
        <f>+INVERSIÓN!Q87</f>
        <v>0.25</v>
      </c>
      <c r="T27" s="302">
        <v>0.3034</v>
      </c>
      <c r="U27" s="286">
        <v>0.25</v>
      </c>
      <c r="V27" s="286">
        <v>0.25</v>
      </c>
      <c r="W27" s="286">
        <v>0.25</v>
      </c>
      <c r="X27" s="289">
        <v>25</v>
      </c>
      <c r="Y27" s="289"/>
      <c r="Z27" s="302"/>
      <c r="AA27" s="286">
        <v>0.25</v>
      </c>
      <c r="AB27" s="282"/>
      <c r="AC27" s="289"/>
      <c r="AD27" s="289"/>
      <c r="AE27" s="289"/>
      <c r="AF27" s="289"/>
      <c r="AG27" s="286">
        <v>0.25</v>
      </c>
      <c r="AH27" s="282"/>
      <c r="AI27" s="289"/>
      <c r="AJ27" s="289"/>
      <c r="AK27" s="289"/>
      <c r="AL27" s="289"/>
      <c r="AM27" s="302">
        <f>INVERSIÓN!AJ87</f>
        <v>0.3034</v>
      </c>
      <c r="AN27" s="302">
        <v>0.3034</v>
      </c>
      <c r="AO27" s="302">
        <v>0.3034</v>
      </c>
      <c r="AP27" s="302"/>
      <c r="AQ27" s="294">
        <v>1.2136</v>
      </c>
      <c r="AR27" s="294">
        <f>AO27/J27</f>
        <v>1.2136</v>
      </c>
      <c r="AS27" s="366" t="s">
        <v>257</v>
      </c>
      <c r="AT27" s="295" t="s">
        <v>101</v>
      </c>
      <c r="AU27" s="295" t="s">
        <v>104</v>
      </c>
      <c r="AV27" s="295" t="s">
        <v>259</v>
      </c>
      <c r="AW27" s="295" t="s">
        <v>260</v>
      </c>
      <c r="AX27" s="37"/>
      <c r="AY27" s="37"/>
    </row>
    <row r="28" spans="1:51" ht="80.099999999999994" customHeight="1" x14ac:dyDescent="0.25">
      <c r="A28" s="515"/>
      <c r="B28" s="515"/>
      <c r="C28" s="515"/>
      <c r="D28" s="289">
        <v>520</v>
      </c>
      <c r="E28" s="290" t="s">
        <v>261</v>
      </c>
      <c r="F28" s="289">
        <v>527</v>
      </c>
      <c r="G28" s="291" t="s">
        <v>262</v>
      </c>
      <c r="H28" s="289" t="s">
        <v>109</v>
      </c>
      <c r="I28" s="289" t="s">
        <v>110</v>
      </c>
      <c r="J28" s="297">
        <f t="shared" ref="J28:J30" si="9">+N28+T28+V28+AA28+AG28</f>
        <v>15000</v>
      </c>
      <c r="K28" s="297">
        <v>1028</v>
      </c>
      <c r="L28" s="298">
        <v>1000</v>
      </c>
      <c r="M28" s="298">
        <v>1028</v>
      </c>
      <c r="N28" s="324">
        <v>1028</v>
      </c>
      <c r="O28" s="324">
        <v>2250</v>
      </c>
      <c r="P28" s="298">
        <v>2250</v>
      </c>
      <c r="Q28" s="298">
        <v>2250</v>
      </c>
      <c r="R28" s="298">
        <v>2250</v>
      </c>
      <c r="S28" s="298">
        <f>+INVERSIÓN!Q45</f>
        <v>2627</v>
      </c>
      <c r="T28" s="298">
        <f>+INVERSIÓN!R45</f>
        <v>2427</v>
      </c>
      <c r="U28" s="298">
        <v>4700</v>
      </c>
      <c r="V28" s="298">
        <f>+U28</f>
        <v>4700</v>
      </c>
      <c r="W28" s="298">
        <v>4700</v>
      </c>
      <c r="X28" s="298">
        <v>4700</v>
      </c>
      <c r="Y28" s="298"/>
      <c r="Z28" s="298"/>
      <c r="AA28" s="298">
        <v>4595</v>
      </c>
      <c r="AB28" s="298"/>
      <c r="AC28" s="298"/>
      <c r="AD28" s="298"/>
      <c r="AE28" s="298"/>
      <c r="AF28" s="298"/>
      <c r="AG28" s="298">
        <v>2250</v>
      </c>
      <c r="AH28" s="322"/>
      <c r="AI28" s="289"/>
      <c r="AJ28" s="289"/>
      <c r="AK28" s="289"/>
      <c r="AL28" s="289"/>
      <c r="AM28" s="293">
        <f>+INVERSIÓN!AJ49</f>
        <v>442.62289999999996</v>
      </c>
      <c r="AN28" s="293">
        <v>1027.8</v>
      </c>
      <c r="AO28" s="293">
        <f>1603.087+AN28</f>
        <v>2630.8869999999997</v>
      </c>
      <c r="AP28" s="289"/>
      <c r="AQ28" s="294">
        <f>AO28/X28</f>
        <v>0.5597631914893616</v>
      </c>
      <c r="AR28" s="294">
        <f>(N28+T28+AO28)/J28</f>
        <v>0.40572579999999997</v>
      </c>
      <c r="AS28" s="366" t="s">
        <v>561</v>
      </c>
      <c r="AT28" s="325" t="s">
        <v>266</v>
      </c>
      <c r="AU28" s="326" t="s">
        <v>267</v>
      </c>
      <c r="AV28" s="326" t="s">
        <v>269</v>
      </c>
      <c r="AW28" s="326" t="s">
        <v>270</v>
      </c>
      <c r="AX28" s="37"/>
      <c r="AY28" s="37"/>
    </row>
    <row r="29" spans="1:51" ht="80.099999999999994" customHeight="1" x14ac:dyDescent="0.25">
      <c r="A29" s="515"/>
      <c r="B29" s="515"/>
      <c r="C29" s="515"/>
      <c r="D29" s="289">
        <v>521</v>
      </c>
      <c r="E29" s="290" t="s">
        <v>272</v>
      </c>
      <c r="F29" s="289">
        <v>528</v>
      </c>
      <c r="G29" s="290" t="s">
        <v>273</v>
      </c>
      <c r="H29" s="291" t="s">
        <v>109</v>
      </c>
      <c r="I29" s="291" t="s">
        <v>110</v>
      </c>
      <c r="J29" s="297">
        <f t="shared" si="9"/>
        <v>32000</v>
      </c>
      <c r="K29" s="297">
        <v>4000</v>
      </c>
      <c r="L29" s="298">
        <v>4000</v>
      </c>
      <c r="M29" s="298">
        <v>4667</v>
      </c>
      <c r="N29" s="282">
        <f>+INVERSIÓN!L99</f>
        <v>4667</v>
      </c>
      <c r="O29" s="298">
        <v>8000</v>
      </c>
      <c r="P29" s="298">
        <v>8000</v>
      </c>
      <c r="Q29" s="298">
        <v>8000</v>
      </c>
      <c r="R29" s="298">
        <v>8000</v>
      </c>
      <c r="S29" s="298">
        <f>+INVERSIÓN!Q99</f>
        <v>8028</v>
      </c>
      <c r="T29" s="298">
        <f>+INVERSIÓN!R99</f>
        <v>8028</v>
      </c>
      <c r="U29" s="298">
        <v>7333</v>
      </c>
      <c r="V29" s="298">
        <f>+INVERSIÓN!T99</f>
        <v>7333</v>
      </c>
      <c r="W29" s="298">
        <v>7333</v>
      </c>
      <c r="X29" s="298">
        <v>7333</v>
      </c>
      <c r="Y29" s="298"/>
      <c r="Z29" s="298"/>
      <c r="AA29" s="298">
        <v>8000</v>
      </c>
      <c r="AB29" s="298"/>
      <c r="AC29" s="298"/>
      <c r="AD29" s="298"/>
      <c r="AE29" s="298"/>
      <c r="AF29" s="298"/>
      <c r="AG29" s="298">
        <v>3972</v>
      </c>
      <c r="AH29" s="298"/>
      <c r="AI29" s="289"/>
      <c r="AJ29" s="289"/>
      <c r="AK29" s="289"/>
      <c r="AL29" s="289"/>
      <c r="AM29" s="298">
        <v>1625</v>
      </c>
      <c r="AN29" s="293">
        <v>5208</v>
      </c>
      <c r="AO29" s="293">
        <v>5396</v>
      </c>
      <c r="AP29" s="306"/>
      <c r="AQ29" s="294">
        <f t="shared" ref="AQ29:AQ31" si="10">AO29/X29</f>
        <v>0.73585162961952821</v>
      </c>
      <c r="AR29" s="294">
        <f t="shared" ref="AR29:AR30" si="11">(N29+T29+AO29)/J29</f>
        <v>0.56534375000000003</v>
      </c>
      <c r="AS29" s="366" t="s">
        <v>562</v>
      </c>
      <c r="AT29" s="295" t="s">
        <v>101</v>
      </c>
      <c r="AU29" s="295" t="s">
        <v>104</v>
      </c>
      <c r="AV29" s="295" t="s">
        <v>276</v>
      </c>
      <c r="AW29" s="295" t="s">
        <v>174</v>
      </c>
      <c r="AX29" s="37"/>
      <c r="AY29" s="37"/>
    </row>
    <row r="30" spans="1:51" ht="80.099999999999994" customHeight="1" x14ac:dyDescent="0.25">
      <c r="A30" s="515"/>
      <c r="B30" s="515"/>
      <c r="C30" s="515"/>
      <c r="D30" s="289">
        <v>522</v>
      </c>
      <c r="E30" s="290" t="s">
        <v>278</v>
      </c>
      <c r="F30" s="289">
        <v>529</v>
      </c>
      <c r="G30" s="291" t="s">
        <v>279</v>
      </c>
      <c r="H30" s="291" t="s">
        <v>188</v>
      </c>
      <c r="I30" s="289" t="s">
        <v>110</v>
      </c>
      <c r="J30" s="297">
        <f t="shared" si="9"/>
        <v>800</v>
      </c>
      <c r="K30" s="297">
        <v>100</v>
      </c>
      <c r="L30" s="315">
        <v>100</v>
      </c>
      <c r="M30" s="297">
        <v>100</v>
      </c>
      <c r="N30" s="297">
        <v>100</v>
      </c>
      <c r="O30" s="297">
        <v>200</v>
      </c>
      <c r="P30" s="315">
        <v>200</v>
      </c>
      <c r="Q30" s="315">
        <v>200</v>
      </c>
      <c r="R30" s="315">
        <v>200</v>
      </c>
      <c r="S30" s="297">
        <f>+INVERSIÓN!Q9</f>
        <v>211</v>
      </c>
      <c r="T30" s="297">
        <f>+INVERSIÓN!R9</f>
        <v>211</v>
      </c>
      <c r="U30" s="315">
        <v>200</v>
      </c>
      <c r="V30" s="315">
        <f t="shared" ref="V30:V31" si="12">+U30</f>
        <v>200</v>
      </c>
      <c r="W30" s="315">
        <v>200</v>
      </c>
      <c r="X30" s="298">
        <v>200</v>
      </c>
      <c r="Y30" s="297"/>
      <c r="Z30" s="298"/>
      <c r="AA30" s="322">
        <v>200</v>
      </c>
      <c r="AB30" s="322"/>
      <c r="AC30" s="322"/>
      <c r="AD30" s="322"/>
      <c r="AE30" s="322"/>
      <c r="AF30" s="322"/>
      <c r="AG30" s="322">
        <v>89</v>
      </c>
      <c r="AH30" s="322"/>
      <c r="AI30" s="322"/>
      <c r="AJ30" s="322"/>
      <c r="AK30" s="322"/>
      <c r="AL30" s="322"/>
      <c r="AM30" s="298">
        <f>INVERSIÓN!AJ9</f>
        <v>38</v>
      </c>
      <c r="AN30" s="297">
        <f>61+AM30</f>
        <v>99</v>
      </c>
      <c r="AO30" s="318">
        <v>163</v>
      </c>
      <c r="AP30" s="297"/>
      <c r="AQ30" s="294">
        <f t="shared" si="10"/>
        <v>0.81499999999999995</v>
      </c>
      <c r="AR30" s="294">
        <f t="shared" si="11"/>
        <v>0.59250000000000003</v>
      </c>
      <c r="AS30" s="366" t="s">
        <v>281</v>
      </c>
      <c r="AT30" s="295" t="s">
        <v>101</v>
      </c>
      <c r="AU30" s="295" t="s">
        <v>104</v>
      </c>
      <c r="AV30" s="295" t="s">
        <v>282</v>
      </c>
      <c r="AW30" s="295" t="s">
        <v>147</v>
      </c>
      <c r="AX30" s="37"/>
      <c r="AY30" s="37"/>
    </row>
    <row r="31" spans="1:51" ht="80.099999999999994" customHeight="1" x14ac:dyDescent="0.25">
      <c r="A31" s="540"/>
      <c r="B31" s="540"/>
      <c r="C31" s="540"/>
      <c r="D31" s="289">
        <v>523</v>
      </c>
      <c r="E31" s="290" t="s">
        <v>284</v>
      </c>
      <c r="F31" s="289">
        <v>530</v>
      </c>
      <c r="G31" s="291" t="s">
        <v>285</v>
      </c>
      <c r="H31" s="291" t="s">
        <v>188</v>
      </c>
      <c r="I31" s="289" t="s">
        <v>146</v>
      </c>
      <c r="J31" s="297">
        <v>1</v>
      </c>
      <c r="K31" s="297"/>
      <c r="L31" s="315"/>
      <c r="M31" s="297"/>
      <c r="N31" s="297">
        <v>0</v>
      </c>
      <c r="O31" s="297"/>
      <c r="P31" s="317"/>
      <c r="Q31" s="317"/>
      <c r="R31" s="317"/>
      <c r="S31" s="316"/>
      <c r="T31" s="316">
        <v>0</v>
      </c>
      <c r="U31" s="316">
        <v>0.2</v>
      </c>
      <c r="V31" s="317">
        <f t="shared" si="12"/>
        <v>0.2</v>
      </c>
      <c r="W31" s="317">
        <v>0.2</v>
      </c>
      <c r="X31" s="320" t="s">
        <v>286</v>
      </c>
      <c r="Y31" s="316"/>
      <c r="Z31" s="316"/>
      <c r="AA31" s="316">
        <v>0.6</v>
      </c>
      <c r="AB31" s="317"/>
      <c r="AC31" s="315"/>
      <c r="AD31" s="315"/>
      <c r="AE31" s="297"/>
      <c r="AF31" s="297"/>
      <c r="AG31" s="297">
        <v>1</v>
      </c>
      <c r="AH31" s="317"/>
      <c r="AI31" s="315"/>
      <c r="AJ31" s="315"/>
      <c r="AK31" s="297"/>
      <c r="AL31" s="297"/>
      <c r="AM31" s="318">
        <v>0</v>
      </c>
      <c r="AN31" s="318">
        <v>0</v>
      </c>
      <c r="AO31" s="318">
        <v>0</v>
      </c>
      <c r="AP31" s="318"/>
      <c r="AQ31" s="294">
        <f t="shared" si="10"/>
        <v>0</v>
      </c>
      <c r="AR31" s="294">
        <f>AO31/J31</f>
        <v>0</v>
      </c>
      <c r="AS31" s="366" t="s">
        <v>554</v>
      </c>
      <c r="AT31" s="295" t="s">
        <v>101</v>
      </c>
      <c r="AU31" s="295" t="s">
        <v>104</v>
      </c>
      <c r="AV31" s="296" t="s">
        <v>204</v>
      </c>
      <c r="AW31" s="295" t="s">
        <v>205</v>
      </c>
      <c r="AX31" s="37"/>
      <c r="AY31" s="132"/>
    </row>
    <row r="32" spans="1:51" ht="28.5" customHeight="1" x14ac:dyDescent="0.3">
      <c r="A32" s="528" t="s">
        <v>290</v>
      </c>
      <c r="B32" s="529"/>
      <c r="C32" s="529"/>
      <c r="D32" s="529"/>
      <c r="E32" s="529"/>
      <c r="F32" s="529"/>
      <c r="G32" s="529"/>
      <c r="H32" s="529"/>
      <c r="I32" s="529"/>
      <c r="J32" s="529"/>
      <c r="K32" s="529"/>
      <c r="L32" s="529"/>
      <c r="M32" s="529"/>
      <c r="N32" s="529"/>
      <c r="O32" s="529"/>
      <c r="P32" s="529"/>
      <c r="Q32" s="529"/>
      <c r="R32" s="529"/>
      <c r="S32" s="529"/>
      <c r="T32" s="529"/>
      <c r="U32" s="529"/>
      <c r="V32" s="529"/>
      <c r="W32" s="529"/>
      <c r="X32" s="529"/>
      <c r="Y32" s="529"/>
      <c r="Z32" s="529"/>
      <c r="AA32" s="529"/>
      <c r="AB32" s="529"/>
      <c r="AC32" s="529"/>
      <c r="AD32" s="529"/>
      <c r="AE32" s="529"/>
      <c r="AF32" s="529"/>
      <c r="AG32" s="529"/>
      <c r="AH32" s="529"/>
      <c r="AI32" s="529"/>
      <c r="AJ32" s="529"/>
      <c r="AK32" s="529"/>
      <c r="AL32" s="529"/>
      <c r="AM32" s="529"/>
      <c r="AN32" s="529"/>
      <c r="AO32" s="529"/>
      <c r="AP32" s="529"/>
      <c r="AQ32" s="529"/>
      <c r="AR32" s="529"/>
      <c r="AS32" s="529"/>
      <c r="AT32" s="529"/>
      <c r="AU32" s="529"/>
      <c r="AV32" s="529"/>
      <c r="AW32" s="530"/>
      <c r="AX32" s="5"/>
      <c r="AY32" s="5"/>
    </row>
    <row r="33" spans="1:51" ht="28.5" customHeight="1" x14ac:dyDescent="0.25">
      <c r="A33" s="5"/>
      <c r="B33" s="5"/>
      <c r="C33" s="5"/>
      <c r="D33" s="5"/>
      <c r="E33" s="5"/>
      <c r="F33" s="5"/>
      <c r="G33" s="5"/>
      <c r="H33" s="5"/>
      <c r="I33" s="5"/>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5"/>
      <c r="AN33" s="5"/>
      <c r="AO33" s="5"/>
      <c r="AP33" s="5"/>
      <c r="AQ33" s="5"/>
      <c r="AR33" s="5"/>
      <c r="AS33" s="5"/>
      <c r="AT33" s="5"/>
      <c r="AU33" s="5"/>
      <c r="AV33" s="5"/>
      <c r="AW33" s="5"/>
      <c r="AX33" s="5"/>
      <c r="AY33" s="5"/>
    </row>
    <row r="34" spans="1:51" ht="28.5" customHeight="1" x14ac:dyDescent="0.25">
      <c r="A34" s="5"/>
      <c r="B34" s="5"/>
      <c r="C34" s="5"/>
      <c r="D34" s="5"/>
      <c r="E34" s="5"/>
      <c r="F34" s="5"/>
      <c r="G34" s="5"/>
      <c r="H34" s="5"/>
      <c r="I34" s="5"/>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5"/>
      <c r="AN34" s="5"/>
      <c r="AO34" s="5"/>
      <c r="AP34" s="5"/>
      <c r="AQ34" s="5"/>
      <c r="AR34" s="5"/>
      <c r="AS34" s="5"/>
      <c r="AT34" s="5"/>
      <c r="AU34" s="5"/>
      <c r="AV34" s="5"/>
      <c r="AW34" s="5"/>
      <c r="AX34" s="5"/>
      <c r="AY34" s="5"/>
    </row>
    <row r="35" spans="1:51" ht="28.5" customHeight="1" x14ac:dyDescent="0.25">
      <c r="A35" s="5"/>
      <c r="B35" s="5"/>
      <c r="C35" s="5"/>
      <c r="D35" s="5"/>
      <c r="E35" s="5"/>
      <c r="F35" s="5"/>
      <c r="G35" s="5"/>
      <c r="H35" s="5"/>
      <c r="I35" s="5"/>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5"/>
      <c r="AN35" s="5"/>
      <c r="AO35" s="5"/>
      <c r="AP35" s="5"/>
      <c r="AQ35" s="5"/>
      <c r="AR35" s="5"/>
      <c r="AS35" s="5"/>
      <c r="AT35" s="5"/>
      <c r="AU35" s="5"/>
      <c r="AV35" s="5"/>
      <c r="AW35" s="5"/>
      <c r="AX35" s="5"/>
      <c r="AY35" s="5"/>
    </row>
    <row r="36" spans="1:51" ht="28.5" customHeight="1" x14ac:dyDescent="0.25">
      <c r="A36" s="5"/>
      <c r="B36" s="5"/>
      <c r="C36" s="5"/>
      <c r="D36" s="5"/>
      <c r="E36" s="5"/>
      <c r="F36" s="5"/>
      <c r="G36" s="5"/>
      <c r="H36" s="5"/>
      <c r="I36" s="5"/>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5"/>
      <c r="AN36" s="5"/>
      <c r="AO36" s="5"/>
      <c r="AP36" s="5"/>
      <c r="AQ36" s="5"/>
      <c r="AR36" s="5"/>
      <c r="AS36" s="5"/>
      <c r="AT36" s="5"/>
      <c r="AU36" s="5"/>
      <c r="AV36" s="5"/>
      <c r="AW36" s="5"/>
      <c r="AX36" s="5"/>
      <c r="AY36" s="5"/>
    </row>
    <row r="37" spans="1:51" ht="28.5" customHeight="1" x14ac:dyDescent="0.25">
      <c r="A37" s="5"/>
      <c r="B37" s="5"/>
      <c r="C37" s="5"/>
      <c r="D37" s="5"/>
      <c r="E37" s="5"/>
      <c r="F37" s="5"/>
      <c r="G37" s="5"/>
      <c r="H37" s="5"/>
      <c r="I37" s="5"/>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5"/>
      <c r="AN37" s="5"/>
      <c r="AO37" s="5"/>
      <c r="AP37" s="5"/>
      <c r="AQ37" s="5"/>
      <c r="AR37" s="5"/>
      <c r="AS37" s="5"/>
      <c r="AT37" s="5"/>
      <c r="AU37" s="5"/>
      <c r="AV37" s="5"/>
      <c r="AW37" s="5"/>
      <c r="AX37" s="5"/>
      <c r="AY37" s="5"/>
    </row>
    <row r="38" spans="1:51" ht="28.5" customHeight="1" x14ac:dyDescent="0.25">
      <c r="A38" s="5"/>
      <c r="B38" s="5"/>
      <c r="C38" s="5"/>
      <c r="D38" s="5"/>
      <c r="E38" s="5"/>
      <c r="F38" s="5"/>
      <c r="G38" s="5"/>
      <c r="H38" s="5"/>
      <c r="I38" s="5"/>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5"/>
      <c r="AN38" s="5"/>
      <c r="AO38" s="5"/>
      <c r="AP38" s="5"/>
      <c r="AQ38" s="5"/>
      <c r="AR38" s="5"/>
      <c r="AS38" s="5"/>
      <c r="AT38" s="5"/>
      <c r="AU38" s="5"/>
      <c r="AV38" s="5"/>
      <c r="AW38" s="5"/>
      <c r="AX38" s="5"/>
      <c r="AY38" s="5"/>
    </row>
    <row r="39" spans="1:51" ht="28.5" customHeight="1" x14ac:dyDescent="0.25">
      <c r="A39" s="5"/>
      <c r="B39" s="5"/>
      <c r="C39" s="5"/>
      <c r="D39" s="5"/>
      <c r="E39" s="5"/>
      <c r="F39" s="5"/>
      <c r="G39" s="5"/>
      <c r="H39" s="5"/>
      <c r="I39" s="5"/>
      <c r="J39" s="26"/>
      <c r="K39" s="26"/>
      <c r="L39" s="26"/>
      <c r="M39" s="26"/>
      <c r="N39" s="26"/>
      <c r="O39" s="26"/>
      <c r="P39" s="26"/>
      <c r="Q39" s="26"/>
      <c r="R39" s="26"/>
      <c r="S39" s="26"/>
      <c r="T39" s="26"/>
      <c r="U39" s="26"/>
      <c r="V39" s="137"/>
      <c r="W39" s="26"/>
      <c r="X39" s="26"/>
      <c r="Y39" s="26"/>
      <c r="Z39" s="26"/>
      <c r="AA39" s="26"/>
      <c r="AB39" s="26"/>
      <c r="AC39" s="26"/>
      <c r="AD39" s="26"/>
      <c r="AE39" s="26"/>
      <c r="AF39" s="26"/>
      <c r="AG39" s="26"/>
      <c r="AH39" s="26"/>
      <c r="AI39" s="26"/>
      <c r="AJ39" s="26"/>
      <c r="AK39" s="26"/>
      <c r="AL39" s="26"/>
      <c r="AM39" s="5"/>
      <c r="AN39" s="5"/>
      <c r="AO39" s="5"/>
      <c r="AP39" s="5"/>
      <c r="AQ39" s="5"/>
      <c r="AR39" s="5"/>
      <c r="AS39" s="5"/>
      <c r="AT39" s="5"/>
      <c r="AU39" s="5"/>
      <c r="AV39" s="5"/>
      <c r="AW39" s="5"/>
      <c r="AX39" s="5"/>
      <c r="AY39" s="5"/>
    </row>
    <row r="40" spans="1:51" ht="28.5" customHeight="1" x14ac:dyDescent="0.25">
      <c r="A40" s="5"/>
      <c r="B40" s="5"/>
      <c r="C40" s="5"/>
      <c r="D40" s="5"/>
      <c r="E40" s="5"/>
      <c r="F40" s="5"/>
      <c r="G40" s="5"/>
      <c r="H40" s="5"/>
      <c r="I40" s="5"/>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5"/>
      <c r="AN40" s="5"/>
      <c r="AO40" s="5"/>
      <c r="AP40" s="5"/>
      <c r="AQ40" s="5"/>
      <c r="AR40" s="5"/>
      <c r="AS40" s="5"/>
      <c r="AT40" s="5"/>
      <c r="AU40" s="5"/>
      <c r="AV40" s="5"/>
      <c r="AW40" s="5"/>
      <c r="AX40" s="5"/>
      <c r="AY40" s="5"/>
    </row>
    <row r="41" spans="1:51" ht="28.5" customHeight="1" x14ac:dyDescent="0.25">
      <c r="A41" s="5"/>
      <c r="B41" s="5"/>
      <c r="C41" s="5"/>
      <c r="D41" s="5"/>
      <c r="E41" s="5"/>
      <c r="F41" s="5"/>
      <c r="G41" s="5"/>
      <c r="H41" s="5"/>
      <c r="I41" s="5"/>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5"/>
      <c r="AN41" s="5"/>
      <c r="AO41" s="5"/>
      <c r="AP41" s="5"/>
      <c r="AQ41" s="5"/>
      <c r="AR41" s="5"/>
      <c r="AS41" s="5"/>
      <c r="AT41" s="5"/>
      <c r="AU41" s="5"/>
      <c r="AV41" s="5"/>
      <c r="AW41" s="5"/>
      <c r="AX41" s="5"/>
      <c r="AY41" s="5"/>
    </row>
    <row r="42" spans="1:51" ht="28.5" customHeight="1" x14ac:dyDescent="0.25">
      <c r="A42" s="5"/>
      <c r="B42" s="5"/>
      <c r="C42" s="5"/>
      <c r="D42" s="5"/>
      <c r="E42" s="5"/>
      <c r="F42" s="5"/>
      <c r="G42" s="5"/>
      <c r="H42" s="5"/>
      <c r="I42" s="5"/>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5"/>
      <c r="AN42" s="5"/>
      <c r="AO42" s="5"/>
      <c r="AP42" s="5"/>
      <c r="AQ42" s="5"/>
      <c r="AR42" s="5"/>
      <c r="AS42" s="5"/>
      <c r="AT42" s="5"/>
      <c r="AU42" s="5"/>
      <c r="AV42" s="5"/>
      <c r="AW42" s="5"/>
      <c r="AX42" s="5"/>
      <c r="AY42" s="5"/>
    </row>
    <row r="43" spans="1:51" ht="28.5" customHeight="1" x14ac:dyDescent="0.25">
      <c r="A43" s="5"/>
      <c r="B43" s="5"/>
      <c r="C43" s="5"/>
      <c r="D43" s="5"/>
      <c r="E43" s="5"/>
      <c r="F43" s="5"/>
      <c r="G43" s="5"/>
      <c r="H43" s="5"/>
      <c r="I43" s="5"/>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5"/>
      <c r="AN43" s="5"/>
      <c r="AO43" s="5"/>
      <c r="AP43" s="5"/>
      <c r="AQ43" s="5"/>
      <c r="AR43" s="5"/>
      <c r="AS43" s="5"/>
      <c r="AT43" s="5"/>
      <c r="AU43" s="5"/>
      <c r="AV43" s="5"/>
      <c r="AW43" s="5"/>
      <c r="AX43" s="5"/>
      <c r="AY43" s="5"/>
    </row>
    <row r="44" spans="1:51" ht="28.5" customHeight="1" x14ac:dyDescent="0.25">
      <c r="A44" s="5"/>
      <c r="B44" s="5"/>
      <c r="C44" s="5"/>
      <c r="D44" s="5"/>
      <c r="E44" s="5"/>
      <c r="F44" s="5"/>
      <c r="G44" s="5"/>
      <c r="H44" s="5"/>
      <c r="I44" s="5"/>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5"/>
      <c r="AN44" s="5"/>
      <c r="AO44" s="5"/>
      <c r="AP44" s="5"/>
      <c r="AQ44" s="5"/>
      <c r="AR44" s="5"/>
      <c r="AS44" s="5"/>
      <c r="AT44" s="5"/>
      <c r="AU44" s="5"/>
      <c r="AV44" s="5"/>
      <c r="AW44" s="5"/>
      <c r="AX44" s="5"/>
      <c r="AY44" s="5"/>
    </row>
    <row r="45" spans="1:51" ht="28.5" customHeight="1" x14ac:dyDescent="0.25">
      <c r="A45" s="5"/>
      <c r="B45" s="5"/>
      <c r="C45" s="5"/>
      <c r="D45" s="5"/>
      <c r="E45" s="5"/>
      <c r="F45" s="5"/>
      <c r="G45" s="5"/>
      <c r="H45" s="5"/>
      <c r="I45" s="5"/>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5"/>
      <c r="AN45" s="5"/>
      <c r="AO45" s="5"/>
      <c r="AP45" s="5"/>
      <c r="AQ45" s="5"/>
      <c r="AR45" s="5"/>
      <c r="AS45" s="5"/>
      <c r="AT45" s="5"/>
      <c r="AU45" s="5"/>
      <c r="AV45" s="5"/>
      <c r="AW45" s="5"/>
      <c r="AX45" s="5"/>
      <c r="AY45" s="5"/>
    </row>
    <row r="46" spans="1:51" ht="28.5" customHeight="1" x14ac:dyDescent="0.25">
      <c r="A46" s="5"/>
      <c r="B46" s="5"/>
      <c r="C46" s="5"/>
      <c r="D46" s="5"/>
      <c r="E46" s="5"/>
      <c r="F46" s="5"/>
      <c r="G46" s="5"/>
      <c r="H46" s="5"/>
      <c r="I46" s="5"/>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5"/>
      <c r="AN46" s="5"/>
      <c r="AO46" s="5"/>
      <c r="AP46" s="5"/>
      <c r="AQ46" s="5"/>
      <c r="AR46" s="5"/>
      <c r="AS46" s="5"/>
      <c r="AT46" s="5"/>
      <c r="AU46" s="5"/>
      <c r="AV46" s="5"/>
      <c r="AW46" s="5"/>
      <c r="AX46" s="5"/>
      <c r="AY46" s="5"/>
    </row>
    <row r="47" spans="1:51" ht="28.5" customHeight="1" x14ac:dyDescent="0.25">
      <c r="A47" s="5"/>
      <c r="B47" s="5"/>
      <c r="C47" s="5"/>
      <c r="D47" s="5"/>
      <c r="E47" s="5"/>
      <c r="F47" s="5"/>
      <c r="G47" s="5"/>
      <c r="H47" s="5"/>
      <c r="I47" s="5"/>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5"/>
      <c r="AN47" s="5"/>
      <c r="AO47" s="5"/>
      <c r="AP47" s="5"/>
      <c r="AQ47" s="5"/>
      <c r="AR47" s="5"/>
      <c r="AS47" s="5"/>
      <c r="AT47" s="5"/>
      <c r="AU47" s="5"/>
      <c r="AV47" s="5"/>
      <c r="AW47" s="5"/>
      <c r="AX47" s="5"/>
      <c r="AY47" s="5"/>
    </row>
    <row r="48" spans="1:51" ht="28.5" customHeight="1" x14ac:dyDescent="0.25">
      <c r="A48" s="5"/>
      <c r="B48" s="5"/>
      <c r="C48" s="5"/>
      <c r="D48" s="5"/>
      <c r="E48" s="5"/>
      <c r="F48" s="5"/>
      <c r="G48" s="5"/>
      <c r="H48" s="5"/>
      <c r="I48" s="5"/>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5"/>
      <c r="AN48" s="5"/>
      <c r="AO48" s="5"/>
      <c r="AP48" s="5"/>
      <c r="AQ48" s="5"/>
      <c r="AR48" s="5"/>
      <c r="AS48" s="5"/>
      <c r="AT48" s="5"/>
      <c r="AU48" s="5"/>
      <c r="AV48" s="5"/>
      <c r="AW48" s="5"/>
      <c r="AX48" s="5"/>
      <c r="AY48" s="5"/>
    </row>
    <row r="49" spans="1:51" ht="28.5" customHeight="1" x14ac:dyDescent="0.25">
      <c r="A49" s="5"/>
      <c r="B49" s="5"/>
      <c r="C49" s="5"/>
      <c r="D49" s="5"/>
      <c r="E49" s="5"/>
      <c r="F49" s="5"/>
      <c r="G49" s="5"/>
      <c r="H49" s="5"/>
      <c r="I49" s="5"/>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5"/>
      <c r="AN49" s="5"/>
      <c r="AO49" s="5"/>
      <c r="AP49" s="5"/>
      <c r="AQ49" s="5"/>
      <c r="AR49" s="5"/>
      <c r="AS49" s="5"/>
      <c r="AT49" s="5"/>
      <c r="AU49" s="5"/>
      <c r="AV49" s="5"/>
      <c r="AW49" s="5"/>
      <c r="AX49" s="5"/>
      <c r="AY49" s="5"/>
    </row>
    <row r="50" spans="1:51" ht="28.5" customHeight="1" x14ac:dyDescent="0.25">
      <c r="A50" s="5"/>
      <c r="B50" s="5"/>
      <c r="C50" s="5"/>
      <c r="D50" s="5"/>
      <c r="E50" s="5"/>
      <c r="F50" s="5"/>
      <c r="G50" s="5"/>
      <c r="H50" s="5"/>
      <c r="I50" s="5"/>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5"/>
      <c r="AN50" s="5"/>
      <c r="AO50" s="5"/>
      <c r="AP50" s="5"/>
      <c r="AQ50" s="5"/>
      <c r="AR50" s="5"/>
      <c r="AS50" s="5"/>
      <c r="AT50" s="5"/>
      <c r="AU50" s="5"/>
      <c r="AV50" s="5"/>
      <c r="AW50" s="5"/>
      <c r="AX50" s="5"/>
      <c r="AY50" s="5"/>
    </row>
    <row r="51" spans="1:51" ht="28.5" customHeight="1" x14ac:dyDescent="0.25">
      <c r="A51" s="5"/>
      <c r="B51" s="5"/>
      <c r="C51" s="5"/>
      <c r="D51" s="5"/>
      <c r="E51" s="5"/>
      <c r="F51" s="5"/>
      <c r="G51" s="5"/>
      <c r="H51" s="5"/>
      <c r="I51" s="5"/>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5"/>
      <c r="AN51" s="5"/>
      <c r="AO51" s="5"/>
      <c r="AP51" s="5"/>
      <c r="AQ51" s="5"/>
      <c r="AR51" s="5"/>
      <c r="AS51" s="5"/>
      <c r="AT51" s="5"/>
      <c r="AU51" s="5"/>
      <c r="AV51" s="5"/>
      <c r="AW51" s="5"/>
      <c r="AX51" s="5"/>
      <c r="AY51" s="5"/>
    </row>
    <row r="52" spans="1:51" ht="28.5" customHeight="1" x14ac:dyDescent="0.25">
      <c r="A52" s="5"/>
      <c r="B52" s="5"/>
      <c r="C52" s="5"/>
      <c r="D52" s="5"/>
      <c r="E52" s="5"/>
      <c r="F52" s="5"/>
      <c r="G52" s="5"/>
      <c r="H52" s="5"/>
      <c r="I52" s="5"/>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5"/>
      <c r="AN52" s="5"/>
      <c r="AO52" s="5"/>
      <c r="AP52" s="5"/>
      <c r="AQ52" s="5"/>
      <c r="AR52" s="5"/>
      <c r="AS52" s="5"/>
      <c r="AT52" s="5"/>
      <c r="AU52" s="5"/>
      <c r="AV52" s="5"/>
      <c r="AW52" s="5"/>
      <c r="AX52" s="5"/>
      <c r="AY52" s="5"/>
    </row>
    <row r="53" spans="1:51" ht="28.5" customHeight="1" x14ac:dyDescent="0.25">
      <c r="A53" s="5"/>
      <c r="B53" s="5"/>
      <c r="C53" s="5"/>
      <c r="D53" s="5"/>
      <c r="E53" s="5"/>
      <c r="F53" s="5"/>
      <c r="G53" s="5"/>
      <c r="H53" s="5"/>
      <c r="I53" s="5"/>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5"/>
      <c r="AN53" s="5"/>
      <c r="AO53" s="5"/>
      <c r="AP53" s="5"/>
      <c r="AQ53" s="5"/>
      <c r="AR53" s="5"/>
      <c r="AS53" s="5"/>
      <c r="AT53" s="5"/>
      <c r="AU53" s="5"/>
      <c r="AV53" s="5"/>
      <c r="AW53" s="5"/>
      <c r="AX53" s="5"/>
      <c r="AY53" s="5"/>
    </row>
    <row r="54" spans="1:51" ht="28.5" customHeight="1" x14ac:dyDescent="0.25">
      <c r="A54" s="5"/>
      <c r="B54" s="5"/>
      <c r="C54" s="5"/>
      <c r="D54" s="5"/>
      <c r="E54" s="5"/>
      <c r="F54" s="5"/>
      <c r="G54" s="5"/>
      <c r="H54" s="5"/>
      <c r="I54" s="5"/>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5"/>
      <c r="AN54" s="5"/>
      <c r="AO54" s="5"/>
      <c r="AP54" s="5"/>
      <c r="AQ54" s="5"/>
      <c r="AR54" s="5"/>
      <c r="AS54" s="5"/>
      <c r="AT54" s="5"/>
      <c r="AU54" s="5"/>
      <c r="AV54" s="5"/>
      <c r="AW54" s="5"/>
      <c r="AX54" s="5"/>
      <c r="AY54" s="5"/>
    </row>
    <row r="55" spans="1:51" ht="28.5" customHeight="1" x14ac:dyDescent="0.25">
      <c r="A55" s="5"/>
      <c r="B55" s="5"/>
      <c r="C55" s="5"/>
      <c r="D55" s="5"/>
      <c r="E55" s="5"/>
      <c r="F55" s="5"/>
      <c r="G55" s="5"/>
      <c r="H55" s="5"/>
      <c r="I55" s="5"/>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5"/>
      <c r="AN55" s="5"/>
      <c r="AO55" s="5"/>
      <c r="AP55" s="5"/>
      <c r="AQ55" s="5"/>
      <c r="AR55" s="5"/>
      <c r="AS55" s="5"/>
      <c r="AT55" s="5"/>
      <c r="AU55" s="5"/>
      <c r="AV55" s="5"/>
      <c r="AW55" s="5"/>
      <c r="AX55" s="5"/>
      <c r="AY55" s="5"/>
    </row>
    <row r="56" spans="1:51" ht="28.5" customHeight="1" x14ac:dyDescent="0.25">
      <c r="A56" s="5"/>
      <c r="B56" s="5"/>
      <c r="C56" s="5"/>
      <c r="D56" s="5"/>
      <c r="E56" s="5"/>
      <c r="F56" s="5"/>
      <c r="G56" s="5"/>
      <c r="H56" s="5"/>
      <c r="I56" s="5"/>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5"/>
      <c r="AN56" s="5"/>
      <c r="AO56" s="5"/>
      <c r="AP56" s="5"/>
      <c r="AQ56" s="5"/>
      <c r="AR56" s="5"/>
      <c r="AS56" s="5"/>
      <c r="AT56" s="5"/>
      <c r="AU56" s="5"/>
      <c r="AV56" s="5"/>
      <c r="AW56" s="5"/>
      <c r="AX56" s="5"/>
      <c r="AY56" s="5"/>
    </row>
    <row r="57" spans="1:51" ht="28.5" customHeight="1" x14ac:dyDescent="0.25">
      <c r="A57" s="5"/>
      <c r="B57" s="5"/>
      <c r="C57" s="5"/>
      <c r="D57" s="5"/>
      <c r="E57" s="5"/>
      <c r="F57" s="5"/>
      <c r="G57" s="5"/>
      <c r="H57" s="5"/>
      <c r="I57" s="5"/>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5"/>
      <c r="AN57" s="5"/>
      <c r="AO57" s="5"/>
      <c r="AP57" s="5"/>
      <c r="AQ57" s="5"/>
      <c r="AR57" s="5"/>
      <c r="AS57" s="5"/>
      <c r="AT57" s="5"/>
      <c r="AU57" s="5"/>
      <c r="AV57" s="5"/>
      <c r="AW57" s="5"/>
      <c r="AX57" s="5"/>
      <c r="AY57" s="5"/>
    </row>
    <row r="58" spans="1:51" ht="28.5" customHeight="1" x14ac:dyDescent="0.25">
      <c r="A58" s="5"/>
      <c r="B58" s="5"/>
      <c r="C58" s="5"/>
      <c r="D58" s="5"/>
      <c r="E58" s="5"/>
      <c r="F58" s="5"/>
      <c r="G58" s="5"/>
      <c r="H58" s="5"/>
      <c r="I58" s="5"/>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5"/>
      <c r="AN58" s="5"/>
      <c r="AO58" s="5"/>
      <c r="AP58" s="5"/>
      <c r="AQ58" s="5"/>
      <c r="AR58" s="5"/>
      <c r="AS58" s="5"/>
      <c r="AT58" s="5"/>
      <c r="AU58" s="5"/>
      <c r="AV58" s="5"/>
      <c r="AW58" s="5"/>
      <c r="AX58" s="5"/>
      <c r="AY58" s="5"/>
    </row>
    <row r="59" spans="1:51" ht="28.5" customHeight="1" x14ac:dyDescent="0.25">
      <c r="A59" s="5"/>
      <c r="B59" s="5"/>
      <c r="C59" s="5"/>
      <c r="D59" s="5"/>
      <c r="E59" s="5"/>
      <c r="F59" s="5"/>
      <c r="G59" s="5"/>
      <c r="H59" s="5"/>
      <c r="I59" s="5"/>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5"/>
      <c r="AN59" s="5"/>
      <c r="AO59" s="5"/>
      <c r="AP59" s="5"/>
      <c r="AQ59" s="5"/>
      <c r="AR59" s="5"/>
      <c r="AS59" s="5"/>
      <c r="AT59" s="5"/>
      <c r="AU59" s="5"/>
      <c r="AV59" s="5"/>
      <c r="AW59" s="5"/>
      <c r="AX59" s="5"/>
      <c r="AY59" s="5"/>
    </row>
    <row r="60" spans="1:51" ht="28.5" customHeight="1" x14ac:dyDescent="0.25">
      <c r="A60" s="5"/>
      <c r="B60" s="5"/>
      <c r="C60" s="5"/>
      <c r="D60" s="5"/>
      <c r="E60" s="5"/>
      <c r="F60" s="5"/>
      <c r="G60" s="5"/>
      <c r="H60" s="5"/>
      <c r="I60" s="5"/>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5"/>
      <c r="AN60" s="5"/>
      <c r="AO60" s="5"/>
      <c r="AP60" s="5"/>
      <c r="AQ60" s="5"/>
      <c r="AR60" s="5"/>
      <c r="AS60" s="5"/>
      <c r="AT60" s="5"/>
      <c r="AU60" s="5"/>
      <c r="AV60" s="5"/>
      <c r="AW60" s="5"/>
      <c r="AX60" s="5"/>
      <c r="AY60" s="5"/>
    </row>
    <row r="61" spans="1:51" ht="28.5" customHeight="1" x14ac:dyDescent="0.25">
      <c r="A61" s="5"/>
      <c r="B61" s="5"/>
      <c r="C61" s="5"/>
      <c r="D61" s="5"/>
      <c r="E61" s="5"/>
      <c r="F61" s="5"/>
      <c r="G61" s="5"/>
      <c r="H61" s="5"/>
      <c r="I61" s="5"/>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5"/>
      <c r="AN61" s="5"/>
      <c r="AO61" s="5"/>
      <c r="AP61" s="5"/>
      <c r="AQ61" s="5"/>
      <c r="AR61" s="5"/>
      <c r="AS61" s="5"/>
      <c r="AT61" s="5"/>
      <c r="AU61" s="5"/>
      <c r="AV61" s="5"/>
      <c r="AW61" s="5"/>
      <c r="AX61" s="5"/>
      <c r="AY61" s="5"/>
    </row>
    <row r="62" spans="1:51" ht="28.5" customHeight="1" x14ac:dyDescent="0.25">
      <c r="A62" s="5"/>
      <c r="B62" s="5"/>
      <c r="C62" s="5"/>
      <c r="D62" s="5"/>
      <c r="E62" s="5"/>
      <c r="F62" s="5"/>
      <c r="G62" s="5"/>
      <c r="H62" s="5"/>
      <c r="I62" s="5"/>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5"/>
      <c r="AN62" s="5"/>
      <c r="AO62" s="5"/>
      <c r="AP62" s="5"/>
      <c r="AQ62" s="5"/>
      <c r="AR62" s="5"/>
      <c r="AS62" s="5"/>
      <c r="AT62" s="5"/>
      <c r="AU62" s="5"/>
      <c r="AV62" s="5"/>
      <c r="AW62" s="5"/>
      <c r="AX62" s="5"/>
      <c r="AY62" s="5"/>
    </row>
    <row r="63" spans="1:51" ht="28.5" customHeight="1" x14ac:dyDescent="0.25">
      <c r="A63" s="5"/>
      <c r="B63" s="5"/>
      <c r="C63" s="5"/>
      <c r="D63" s="5"/>
      <c r="E63" s="5"/>
      <c r="F63" s="5"/>
      <c r="G63" s="5"/>
      <c r="H63" s="5"/>
      <c r="I63" s="5"/>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5"/>
      <c r="AN63" s="5"/>
      <c r="AO63" s="5"/>
      <c r="AP63" s="5"/>
      <c r="AQ63" s="5"/>
      <c r="AR63" s="5"/>
      <c r="AS63" s="5"/>
      <c r="AT63" s="5"/>
      <c r="AU63" s="5"/>
      <c r="AV63" s="5"/>
      <c r="AW63" s="5"/>
      <c r="AX63" s="5"/>
      <c r="AY63" s="5"/>
    </row>
    <row r="64" spans="1:51" ht="28.5" customHeight="1" x14ac:dyDescent="0.25">
      <c r="A64" s="5"/>
      <c r="B64" s="5"/>
      <c r="C64" s="5"/>
      <c r="D64" s="5"/>
      <c r="E64" s="5"/>
      <c r="F64" s="5"/>
      <c r="G64" s="5"/>
      <c r="H64" s="5"/>
      <c r="I64" s="5"/>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5"/>
      <c r="AN64" s="5"/>
      <c r="AO64" s="5"/>
      <c r="AP64" s="5"/>
      <c r="AQ64" s="5"/>
      <c r="AR64" s="5"/>
      <c r="AS64" s="5"/>
      <c r="AT64" s="5"/>
      <c r="AU64" s="5"/>
      <c r="AV64" s="5"/>
      <c r="AW64" s="5"/>
      <c r="AX64" s="5"/>
      <c r="AY64" s="5"/>
    </row>
    <row r="65" spans="1:51" ht="28.5" customHeight="1" x14ac:dyDescent="0.25">
      <c r="A65" s="5"/>
      <c r="B65" s="5"/>
      <c r="C65" s="5"/>
      <c r="D65" s="5"/>
      <c r="E65" s="5"/>
      <c r="F65" s="5"/>
      <c r="G65" s="5"/>
      <c r="H65" s="5"/>
      <c r="I65" s="5"/>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5"/>
      <c r="AN65" s="5"/>
      <c r="AO65" s="5"/>
      <c r="AP65" s="5"/>
      <c r="AQ65" s="5"/>
      <c r="AR65" s="5"/>
      <c r="AS65" s="5"/>
      <c r="AT65" s="5"/>
      <c r="AU65" s="5"/>
      <c r="AV65" s="5"/>
      <c r="AW65" s="5"/>
      <c r="AX65" s="5"/>
      <c r="AY65" s="5"/>
    </row>
    <row r="66" spans="1:51" ht="28.5" customHeight="1" x14ac:dyDescent="0.25">
      <c r="A66" s="5"/>
      <c r="B66" s="5"/>
      <c r="C66" s="5"/>
      <c r="D66" s="5"/>
      <c r="E66" s="5"/>
      <c r="F66" s="5"/>
      <c r="G66" s="5"/>
      <c r="H66" s="5"/>
      <c r="I66" s="5"/>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5"/>
      <c r="AN66" s="5"/>
      <c r="AO66" s="5"/>
      <c r="AP66" s="5"/>
      <c r="AQ66" s="5"/>
      <c r="AR66" s="5"/>
      <c r="AS66" s="5"/>
      <c r="AT66" s="5"/>
      <c r="AU66" s="5"/>
      <c r="AV66" s="5"/>
      <c r="AW66" s="5"/>
      <c r="AX66" s="5"/>
      <c r="AY66" s="5"/>
    </row>
    <row r="67" spans="1:51" ht="28.5" customHeight="1" x14ac:dyDescent="0.25">
      <c r="A67" s="5"/>
      <c r="B67" s="5"/>
      <c r="C67" s="5"/>
      <c r="D67" s="5"/>
      <c r="E67" s="5"/>
      <c r="F67" s="5"/>
      <c r="G67" s="5"/>
      <c r="H67" s="5"/>
      <c r="I67" s="5"/>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5"/>
      <c r="AN67" s="5"/>
      <c r="AO67" s="5"/>
      <c r="AP67" s="5"/>
      <c r="AQ67" s="5"/>
      <c r="AR67" s="5"/>
      <c r="AS67" s="5"/>
      <c r="AT67" s="5"/>
      <c r="AU67" s="5"/>
      <c r="AV67" s="5"/>
      <c r="AW67" s="5"/>
      <c r="AX67" s="5"/>
      <c r="AY67" s="5"/>
    </row>
    <row r="68" spans="1:51" ht="28.5" customHeight="1" x14ac:dyDescent="0.25">
      <c r="A68" s="5"/>
      <c r="B68" s="5"/>
      <c r="C68" s="5"/>
      <c r="D68" s="5"/>
      <c r="E68" s="5"/>
      <c r="F68" s="5"/>
      <c r="G68" s="5"/>
      <c r="H68" s="5"/>
      <c r="I68" s="5"/>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5"/>
      <c r="AN68" s="5"/>
      <c r="AO68" s="5"/>
      <c r="AP68" s="5"/>
      <c r="AQ68" s="5"/>
      <c r="AR68" s="5"/>
      <c r="AS68" s="5"/>
      <c r="AT68" s="5"/>
      <c r="AU68" s="5"/>
      <c r="AV68" s="5"/>
      <c r="AW68" s="5"/>
      <c r="AX68" s="5"/>
      <c r="AY68" s="5"/>
    </row>
    <row r="69" spans="1:51" ht="28.5" customHeight="1" x14ac:dyDescent="0.25">
      <c r="A69" s="5"/>
      <c r="B69" s="5"/>
      <c r="C69" s="5"/>
      <c r="D69" s="5"/>
      <c r="E69" s="5"/>
      <c r="F69" s="5"/>
      <c r="G69" s="5"/>
      <c r="H69" s="5"/>
      <c r="I69" s="5"/>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5"/>
      <c r="AN69" s="5"/>
      <c r="AO69" s="5"/>
      <c r="AP69" s="5"/>
      <c r="AQ69" s="5"/>
      <c r="AR69" s="5"/>
      <c r="AS69" s="5"/>
      <c r="AT69" s="5"/>
      <c r="AU69" s="5"/>
      <c r="AV69" s="5"/>
      <c r="AW69" s="5"/>
      <c r="AX69" s="5"/>
      <c r="AY69" s="5"/>
    </row>
    <row r="70" spans="1:51" ht="28.5" customHeight="1" x14ac:dyDescent="0.25">
      <c r="A70" s="5"/>
      <c r="B70" s="5"/>
      <c r="C70" s="5"/>
      <c r="D70" s="5"/>
      <c r="E70" s="5"/>
      <c r="F70" s="5"/>
      <c r="G70" s="5"/>
      <c r="H70" s="5"/>
      <c r="I70" s="5"/>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5"/>
      <c r="AN70" s="5"/>
      <c r="AO70" s="5"/>
      <c r="AP70" s="5"/>
      <c r="AQ70" s="5"/>
      <c r="AR70" s="5"/>
      <c r="AS70" s="5"/>
      <c r="AT70" s="5"/>
      <c r="AU70" s="5"/>
      <c r="AV70" s="5"/>
      <c r="AW70" s="5"/>
      <c r="AX70" s="5"/>
      <c r="AY70" s="5"/>
    </row>
    <row r="71" spans="1:51" ht="28.5" customHeight="1" x14ac:dyDescent="0.25">
      <c r="A71" s="5"/>
      <c r="B71" s="5"/>
      <c r="C71" s="5"/>
      <c r="D71" s="5"/>
      <c r="E71" s="5"/>
      <c r="F71" s="5"/>
      <c r="G71" s="5"/>
      <c r="H71" s="5"/>
      <c r="I71" s="5"/>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5"/>
      <c r="AN71" s="5"/>
      <c r="AO71" s="5"/>
      <c r="AP71" s="5"/>
      <c r="AQ71" s="5"/>
      <c r="AR71" s="5"/>
      <c r="AS71" s="5"/>
      <c r="AT71" s="5"/>
      <c r="AU71" s="5"/>
      <c r="AV71" s="5"/>
      <c r="AW71" s="5"/>
      <c r="AX71" s="5"/>
      <c r="AY71" s="5"/>
    </row>
    <row r="72" spans="1:51" ht="28.5" customHeight="1" x14ac:dyDescent="0.25">
      <c r="A72" s="5"/>
      <c r="B72" s="5"/>
      <c r="C72" s="5"/>
      <c r="D72" s="5"/>
      <c r="E72" s="5"/>
      <c r="F72" s="5"/>
      <c r="G72" s="5"/>
      <c r="H72" s="5"/>
      <c r="I72" s="5"/>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5"/>
      <c r="AN72" s="5"/>
      <c r="AO72" s="5"/>
      <c r="AP72" s="5"/>
      <c r="AQ72" s="5"/>
      <c r="AR72" s="5"/>
      <c r="AS72" s="5"/>
      <c r="AT72" s="5"/>
      <c r="AU72" s="5"/>
      <c r="AV72" s="5"/>
      <c r="AW72" s="5"/>
      <c r="AX72" s="5"/>
      <c r="AY72" s="5"/>
    </row>
    <row r="73" spans="1:51" ht="28.5" customHeight="1" x14ac:dyDescent="0.25">
      <c r="A73" s="5"/>
      <c r="B73" s="5"/>
      <c r="C73" s="5"/>
      <c r="D73" s="5"/>
      <c r="E73" s="5"/>
      <c r="F73" s="5"/>
      <c r="G73" s="5"/>
      <c r="H73" s="5"/>
      <c r="I73" s="5"/>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5"/>
      <c r="AN73" s="5"/>
      <c r="AO73" s="5"/>
      <c r="AP73" s="5"/>
      <c r="AQ73" s="5"/>
      <c r="AR73" s="5"/>
      <c r="AS73" s="5"/>
      <c r="AT73" s="5"/>
      <c r="AU73" s="5"/>
      <c r="AV73" s="5"/>
      <c r="AW73" s="5"/>
      <c r="AX73" s="5"/>
      <c r="AY73" s="5"/>
    </row>
    <row r="74" spans="1:51" ht="28.5" customHeight="1" x14ac:dyDescent="0.25">
      <c r="A74" s="5"/>
      <c r="B74" s="5"/>
      <c r="C74" s="5"/>
      <c r="D74" s="5"/>
      <c r="E74" s="5"/>
      <c r="F74" s="5"/>
      <c r="G74" s="5"/>
      <c r="H74" s="5"/>
      <c r="I74" s="5"/>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5"/>
      <c r="AN74" s="5"/>
      <c r="AO74" s="5"/>
      <c r="AP74" s="5"/>
      <c r="AQ74" s="5"/>
      <c r="AR74" s="5"/>
      <c r="AS74" s="5"/>
      <c r="AT74" s="5"/>
      <c r="AU74" s="5"/>
      <c r="AV74" s="5"/>
      <c r="AW74" s="5"/>
      <c r="AX74" s="5"/>
      <c r="AY74" s="5"/>
    </row>
    <row r="75" spans="1:51" ht="28.5" customHeight="1" x14ac:dyDescent="0.25">
      <c r="A75" s="5"/>
      <c r="B75" s="5"/>
      <c r="C75" s="5"/>
      <c r="D75" s="5"/>
      <c r="E75" s="5"/>
      <c r="F75" s="5"/>
      <c r="G75" s="5"/>
      <c r="H75" s="5"/>
      <c r="I75" s="5"/>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5"/>
      <c r="AN75" s="5"/>
      <c r="AO75" s="5"/>
      <c r="AP75" s="5"/>
      <c r="AQ75" s="5"/>
      <c r="AR75" s="5"/>
      <c r="AS75" s="5"/>
      <c r="AT75" s="5"/>
      <c r="AU75" s="5"/>
      <c r="AV75" s="5"/>
      <c r="AW75" s="5"/>
      <c r="AX75" s="5"/>
      <c r="AY75" s="5"/>
    </row>
    <row r="76" spans="1:51" ht="28.5" customHeight="1" x14ac:dyDescent="0.25">
      <c r="A76" s="5"/>
      <c r="B76" s="5"/>
      <c r="C76" s="5"/>
      <c r="D76" s="5"/>
      <c r="E76" s="5"/>
      <c r="F76" s="5"/>
      <c r="G76" s="5"/>
      <c r="H76" s="5"/>
      <c r="I76" s="5"/>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5"/>
      <c r="AN76" s="5"/>
      <c r="AO76" s="5"/>
      <c r="AP76" s="5"/>
      <c r="AQ76" s="5"/>
      <c r="AR76" s="5"/>
      <c r="AS76" s="5"/>
      <c r="AT76" s="5"/>
      <c r="AU76" s="5"/>
      <c r="AV76" s="5"/>
      <c r="AW76" s="5"/>
      <c r="AX76" s="5"/>
      <c r="AY76" s="5"/>
    </row>
    <row r="77" spans="1:51" ht="28.5" customHeight="1" x14ac:dyDescent="0.25">
      <c r="A77" s="5"/>
      <c r="B77" s="5"/>
      <c r="C77" s="5"/>
      <c r="D77" s="5"/>
      <c r="E77" s="5"/>
      <c r="F77" s="5"/>
      <c r="G77" s="5"/>
      <c r="H77" s="5"/>
      <c r="I77" s="5"/>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5"/>
      <c r="AN77" s="5"/>
      <c r="AO77" s="5"/>
      <c r="AP77" s="5"/>
      <c r="AQ77" s="5"/>
      <c r="AR77" s="5"/>
      <c r="AS77" s="5"/>
      <c r="AT77" s="5"/>
      <c r="AU77" s="5"/>
      <c r="AV77" s="5"/>
      <c r="AW77" s="5"/>
      <c r="AX77" s="5"/>
      <c r="AY77" s="5"/>
    </row>
    <row r="78" spans="1:51" ht="28.5" customHeight="1" x14ac:dyDescent="0.25">
      <c r="A78" s="5"/>
      <c r="B78" s="5"/>
      <c r="C78" s="5"/>
      <c r="D78" s="5"/>
      <c r="E78" s="5"/>
      <c r="F78" s="5"/>
      <c r="G78" s="5"/>
      <c r="H78" s="5"/>
      <c r="I78" s="5"/>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5"/>
      <c r="AN78" s="5"/>
      <c r="AO78" s="5"/>
      <c r="AP78" s="5"/>
      <c r="AQ78" s="5"/>
      <c r="AR78" s="5"/>
      <c r="AS78" s="5"/>
      <c r="AT78" s="5"/>
      <c r="AU78" s="5"/>
      <c r="AV78" s="5"/>
      <c r="AW78" s="5"/>
      <c r="AX78" s="5"/>
      <c r="AY78" s="5"/>
    </row>
    <row r="79" spans="1:51" ht="28.5" customHeight="1" x14ac:dyDescent="0.25">
      <c r="A79" s="5"/>
      <c r="B79" s="5"/>
      <c r="C79" s="5"/>
      <c r="D79" s="5"/>
      <c r="E79" s="5"/>
      <c r="F79" s="5"/>
      <c r="G79" s="5"/>
      <c r="H79" s="5"/>
      <c r="I79" s="5"/>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5"/>
      <c r="AN79" s="5"/>
      <c r="AO79" s="5"/>
      <c r="AP79" s="5"/>
      <c r="AQ79" s="5"/>
      <c r="AR79" s="5"/>
      <c r="AS79" s="5"/>
      <c r="AT79" s="5"/>
      <c r="AU79" s="5"/>
      <c r="AV79" s="5"/>
      <c r="AW79" s="5"/>
      <c r="AX79" s="5"/>
      <c r="AY79" s="5"/>
    </row>
    <row r="80" spans="1:51" ht="28.5" customHeight="1" x14ac:dyDescent="0.25">
      <c r="A80" s="5"/>
      <c r="B80" s="5"/>
      <c r="C80" s="5"/>
      <c r="D80" s="5"/>
      <c r="E80" s="5"/>
      <c r="F80" s="5"/>
      <c r="G80" s="5"/>
      <c r="H80" s="5"/>
      <c r="I80" s="5"/>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5"/>
      <c r="AN80" s="5"/>
      <c r="AO80" s="5"/>
      <c r="AP80" s="5"/>
      <c r="AQ80" s="5"/>
      <c r="AR80" s="5"/>
      <c r="AS80" s="5"/>
      <c r="AT80" s="5"/>
      <c r="AU80" s="5"/>
      <c r="AV80" s="5"/>
      <c r="AW80" s="5"/>
      <c r="AX80" s="5"/>
      <c r="AY80" s="5"/>
    </row>
    <row r="81" spans="1:51" ht="28.5" customHeight="1" x14ac:dyDescent="0.25">
      <c r="A81" s="5"/>
      <c r="B81" s="5"/>
      <c r="C81" s="5"/>
      <c r="D81" s="5"/>
      <c r="E81" s="5"/>
      <c r="F81" s="5"/>
      <c r="G81" s="5"/>
      <c r="H81" s="5"/>
      <c r="I81" s="5"/>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5"/>
      <c r="AN81" s="5"/>
      <c r="AO81" s="5"/>
      <c r="AP81" s="5"/>
      <c r="AQ81" s="5"/>
      <c r="AR81" s="5"/>
      <c r="AS81" s="5"/>
      <c r="AT81" s="5"/>
      <c r="AU81" s="5"/>
      <c r="AV81" s="5"/>
      <c r="AW81" s="5"/>
      <c r="AX81" s="5"/>
      <c r="AY81" s="5"/>
    </row>
    <row r="82" spans="1:51" ht="28.5" customHeight="1" x14ac:dyDescent="0.25">
      <c r="A82" s="5"/>
      <c r="B82" s="5"/>
      <c r="C82" s="5"/>
      <c r="D82" s="5"/>
      <c r="E82" s="5"/>
      <c r="F82" s="5"/>
      <c r="G82" s="5"/>
      <c r="H82" s="5"/>
      <c r="I82" s="5"/>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5"/>
      <c r="AN82" s="5"/>
      <c r="AO82" s="5"/>
      <c r="AP82" s="5"/>
      <c r="AQ82" s="5"/>
      <c r="AR82" s="5"/>
      <c r="AS82" s="5"/>
      <c r="AT82" s="5"/>
      <c r="AU82" s="5"/>
      <c r="AV82" s="5"/>
      <c r="AW82" s="5"/>
      <c r="AX82" s="5"/>
      <c r="AY82" s="5"/>
    </row>
    <row r="83" spans="1:51" ht="28.5" customHeight="1" x14ac:dyDescent="0.25">
      <c r="A83" s="5"/>
      <c r="B83" s="5"/>
      <c r="C83" s="5"/>
      <c r="D83" s="5"/>
      <c r="E83" s="5"/>
      <c r="F83" s="5"/>
      <c r="G83" s="5"/>
      <c r="H83" s="5"/>
      <c r="I83" s="5"/>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5"/>
      <c r="AN83" s="5"/>
      <c r="AO83" s="5"/>
      <c r="AP83" s="5"/>
      <c r="AQ83" s="5"/>
      <c r="AR83" s="5"/>
      <c r="AS83" s="5"/>
      <c r="AT83" s="5"/>
      <c r="AU83" s="5"/>
      <c r="AV83" s="5"/>
      <c r="AW83" s="5"/>
      <c r="AX83" s="5"/>
      <c r="AY83" s="5"/>
    </row>
    <row r="84" spans="1:51" ht="28.5" customHeight="1" x14ac:dyDescent="0.25">
      <c r="A84" s="5"/>
      <c r="B84" s="5"/>
      <c r="C84" s="5"/>
      <c r="D84" s="5"/>
      <c r="E84" s="5"/>
      <c r="F84" s="5"/>
      <c r="G84" s="5"/>
      <c r="H84" s="5"/>
      <c r="I84" s="5"/>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5"/>
      <c r="AN84" s="5"/>
      <c r="AO84" s="5"/>
      <c r="AP84" s="5"/>
      <c r="AQ84" s="5"/>
      <c r="AR84" s="5"/>
      <c r="AS84" s="5"/>
      <c r="AT84" s="5"/>
      <c r="AU84" s="5"/>
      <c r="AV84" s="5"/>
      <c r="AW84" s="5"/>
      <c r="AX84" s="5"/>
      <c r="AY84" s="5"/>
    </row>
    <row r="85" spans="1:51" ht="28.5" customHeight="1" x14ac:dyDescent="0.25">
      <c r="A85" s="5"/>
      <c r="B85" s="5"/>
      <c r="C85" s="5"/>
      <c r="D85" s="5"/>
      <c r="E85" s="5"/>
      <c r="F85" s="5"/>
      <c r="G85" s="5"/>
      <c r="H85" s="5"/>
      <c r="I85" s="5"/>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5"/>
      <c r="AN85" s="5"/>
      <c r="AO85" s="5"/>
      <c r="AP85" s="5"/>
      <c r="AQ85" s="5"/>
      <c r="AR85" s="5"/>
      <c r="AS85" s="5"/>
      <c r="AT85" s="5"/>
      <c r="AU85" s="5"/>
      <c r="AV85" s="5"/>
      <c r="AW85" s="5"/>
      <c r="AX85" s="5"/>
      <c r="AY85" s="5"/>
    </row>
    <row r="86" spans="1:51" ht="28.5" customHeight="1" x14ac:dyDescent="0.25">
      <c r="A86" s="5"/>
      <c r="B86" s="5"/>
      <c r="C86" s="5"/>
      <c r="D86" s="5"/>
      <c r="E86" s="5"/>
      <c r="F86" s="5"/>
      <c r="G86" s="5"/>
      <c r="H86" s="5"/>
      <c r="I86" s="5"/>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5"/>
      <c r="AN86" s="5"/>
      <c r="AO86" s="5"/>
      <c r="AP86" s="5"/>
      <c r="AQ86" s="5"/>
      <c r="AR86" s="5"/>
      <c r="AS86" s="5"/>
      <c r="AT86" s="5"/>
      <c r="AU86" s="5"/>
      <c r="AV86" s="5"/>
      <c r="AW86" s="5"/>
      <c r="AX86" s="5"/>
      <c r="AY86" s="5"/>
    </row>
    <row r="87" spans="1:51" ht="28.5" customHeight="1" x14ac:dyDescent="0.25">
      <c r="A87" s="5"/>
      <c r="B87" s="5"/>
      <c r="C87" s="5"/>
      <c r="D87" s="5"/>
      <c r="E87" s="5"/>
      <c r="F87" s="5"/>
      <c r="G87" s="5"/>
      <c r="H87" s="5"/>
      <c r="I87" s="5"/>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5"/>
      <c r="AN87" s="5"/>
      <c r="AO87" s="5"/>
      <c r="AP87" s="5"/>
      <c r="AQ87" s="5"/>
      <c r="AR87" s="5"/>
      <c r="AS87" s="5"/>
      <c r="AT87" s="5"/>
      <c r="AU87" s="5"/>
      <c r="AV87" s="5"/>
      <c r="AW87" s="5"/>
      <c r="AX87" s="5"/>
      <c r="AY87" s="5"/>
    </row>
    <row r="88" spans="1:51" ht="28.5" customHeight="1" x14ac:dyDescent="0.25">
      <c r="A88" s="5"/>
      <c r="B88" s="5"/>
      <c r="C88" s="5"/>
      <c r="D88" s="5"/>
      <c r="E88" s="5"/>
      <c r="F88" s="5"/>
      <c r="G88" s="5"/>
      <c r="H88" s="5"/>
      <c r="I88" s="5"/>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5"/>
      <c r="AN88" s="5"/>
      <c r="AO88" s="5"/>
      <c r="AP88" s="5"/>
      <c r="AQ88" s="5"/>
      <c r="AR88" s="5"/>
      <c r="AS88" s="5"/>
      <c r="AT88" s="5"/>
      <c r="AU88" s="5"/>
      <c r="AV88" s="5"/>
      <c r="AW88" s="5"/>
      <c r="AX88" s="5"/>
      <c r="AY88" s="5"/>
    </row>
    <row r="89" spans="1:51" ht="28.5" customHeight="1" x14ac:dyDescent="0.25">
      <c r="A89" s="5"/>
      <c r="B89" s="5"/>
      <c r="C89" s="5"/>
      <c r="D89" s="5"/>
      <c r="E89" s="5"/>
      <c r="F89" s="5"/>
      <c r="G89" s="5"/>
      <c r="H89" s="5"/>
      <c r="I89" s="5"/>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5"/>
      <c r="AN89" s="5"/>
      <c r="AO89" s="5"/>
      <c r="AP89" s="5"/>
      <c r="AQ89" s="5"/>
      <c r="AR89" s="5"/>
      <c r="AS89" s="5"/>
      <c r="AT89" s="5"/>
      <c r="AU89" s="5"/>
      <c r="AV89" s="5"/>
      <c r="AW89" s="5"/>
      <c r="AX89" s="5"/>
      <c r="AY89" s="5"/>
    </row>
    <row r="90" spans="1:51" ht="28.5" customHeight="1" x14ac:dyDescent="0.25">
      <c r="A90" s="5"/>
      <c r="B90" s="5"/>
      <c r="C90" s="5"/>
      <c r="D90" s="5"/>
      <c r="E90" s="5"/>
      <c r="F90" s="5"/>
      <c r="G90" s="5"/>
      <c r="H90" s="5"/>
      <c r="I90" s="5"/>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5"/>
      <c r="AN90" s="5"/>
      <c r="AO90" s="5"/>
      <c r="AP90" s="5"/>
      <c r="AQ90" s="5"/>
      <c r="AR90" s="5"/>
      <c r="AS90" s="5"/>
      <c r="AT90" s="5"/>
      <c r="AU90" s="5"/>
      <c r="AV90" s="5"/>
      <c r="AW90" s="5"/>
      <c r="AX90" s="5"/>
      <c r="AY90" s="5"/>
    </row>
    <row r="91" spans="1:51" ht="28.5" customHeight="1" x14ac:dyDescent="0.25">
      <c r="A91" s="5"/>
      <c r="B91" s="5"/>
      <c r="C91" s="5"/>
      <c r="D91" s="5"/>
      <c r="E91" s="5"/>
      <c r="F91" s="5"/>
      <c r="G91" s="5"/>
      <c r="H91" s="5"/>
      <c r="I91" s="5"/>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5"/>
      <c r="AN91" s="5"/>
      <c r="AO91" s="5"/>
      <c r="AP91" s="5"/>
      <c r="AQ91" s="5"/>
      <c r="AR91" s="5"/>
      <c r="AS91" s="5"/>
      <c r="AT91" s="5"/>
      <c r="AU91" s="5"/>
      <c r="AV91" s="5"/>
      <c r="AW91" s="5"/>
      <c r="AX91" s="5"/>
      <c r="AY91" s="5"/>
    </row>
    <row r="92" spans="1:51" ht="28.5" customHeight="1" x14ac:dyDescent="0.25">
      <c r="A92" s="5"/>
      <c r="B92" s="5"/>
      <c r="C92" s="5"/>
      <c r="D92" s="5"/>
      <c r="E92" s="5"/>
      <c r="F92" s="5"/>
      <c r="G92" s="5"/>
      <c r="H92" s="5"/>
      <c r="I92" s="5"/>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5"/>
      <c r="AN92" s="5"/>
      <c r="AO92" s="5"/>
      <c r="AP92" s="5"/>
      <c r="AQ92" s="5"/>
      <c r="AR92" s="5"/>
      <c r="AS92" s="5"/>
      <c r="AT92" s="5"/>
      <c r="AU92" s="5"/>
      <c r="AV92" s="5"/>
      <c r="AW92" s="5"/>
      <c r="AX92" s="5"/>
      <c r="AY92" s="5"/>
    </row>
    <row r="93" spans="1:51" ht="28.5" customHeight="1" x14ac:dyDescent="0.25">
      <c r="A93" s="5"/>
      <c r="B93" s="5"/>
      <c r="C93" s="5"/>
      <c r="D93" s="5"/>
      <c r="E93" s="5"/>
      <c r="F93" s="5"/>
      <c r="G93" s="5"/>
      <c r="H93" s="5"/>
      <c r="I93" s="5"/>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5"/>
      <c r="AN93" s="5"/>
      <c r="AO93" s="5"/>
      <c r="AP93" s="5"/>
      <c r="AQ93" s="5"/>
      <c r="AR93" s="5"/>
      <c r="AS93" s="5"/>
      <c r="AT93" s="5"/>
      <c r="AU93" s="5"/>
      <c r="AV93" s="5"/>
      <c r="AW93" s="5"/>
      <c r="AX93" s="5"/>
      <c r="AY93" s="5"/>
    </row>
    <row r="94" spans="1:51" ht="28.5" customHeight="1" x14ac:dyDescent="0.25">
      <c r="A94" s="5"/>
      <c r="B94" s="5"/>
      <c r="C94" s="5"/>
      <c r="D94" s="5"/>
      <c r="E94" s="5"/>
      <c r="F94" s="5"/>
      <c r="G94" s="5"/>
      <c r="H94" s="5"/>
      <c r="I94" s="5"/>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5"/>
      <c r="AN94" s="5"/>
      <c r="AO94" s="5"/>
      <c r="AP94" s="5"/>
      <c r="AQ94" s="5"/>
      <c r="AR94" s="5"/>
      <c r="AS94" s="5"/>
      <c r="AT94" s="5"/>
      <c r="AU94" s="5"/>
      <c r="AV94" s="5"/>
      <c r="AW94" s="5"/>
      <c r="AX94" s="5"/>
      <c r="AY94" s="5"/>
    </row>
    <row r="95" spans="1:51" ht="28.5" customHeight="1" x14ac:dyDescent="0.25">
      <c r="A95" s="5"/>
      <c r="B95" s="5"/>
      <c r="C95" s="5"/>
      <c r="D95" s="5"/>
      <c r="E95" s="5"/>
      <c r="F95" s="5"/>
      <c r="G95" s="5"/>
      <c r="H95" s="5"/>
      <c r="I95" s="5"/>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5"/>
      <c r="AN95" s="5"/>
      <c r="AO95" s="5"/>
      <c r="AP95" s="5"/>
      <c r="AQ95" s="5"/>
      <c r="AR95" s="5"/>
      <c r="AS95" s="5"/>
      <c r="AT95" s="5"/>
      <c r="AU95" s="5"/>
      <c r="AV95" s="5"/>
      <c r="AW95" s="5"/>
      <c r="AX95" s="5"/>
      <c r="AY95" s="5"/>
    </row>
    <row r="96" spans="1:51" ht="28.5" customHeight="1" x14ac:dyDescent="0.25">
      <c r="A96" s="5"/>
      <c r="B96" s="5"/>
      <c r="C96" s="5"/>
      <c r="D96" s="5"/>
      <c r="E96" s="5"/>
      <c r="F96" s="5"/>
      <c r="G96" s="5"/>
      <c r="H96" s="5"/>
      <c r="I96" s="5"/>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5"/>
      <c r="AN96" s="5"/>
      <c r="AO96" s="5"/>
      <c r="AP96" s="5"/>
      <c r="AQ96" s="5"/>
      <c r="AR96" s="5"/>
      <c r="AS96" s="5"/>
      <c r="AT96" s="5"/>
      <c r="AU96" s="5"/>
      <c r="AV96" s="5"/>
      <c r="AW96" s="5"/>
      <c r="AX96" s="5"/>
      <c r="AY96" s="5"/>
    </row>
    <row r="97" spans="1:51" ht="28.5" customHeight="1" x14ac:dyDescent="0.25">
      <c r="A97" s="5"/>
      <c r="B97" s="5"/>
      <c r="C97" s="5"/>
      <c r="D97" s="5"/>
      <c r="E97" s="5"/>
      <c r="F97" s="5"/>
      <c r="G97" s="5"/>
      <c r="H97" s="5"/>
      <c r="I97" s="5"/>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5"/>
      <c r="AN97" s="5"/>
      <c r="AO97" s="5"/>
      <c r="AP97" s="5"/>
      <c r="AQ97" s="5"/>
      <c r="AR97" s="5"/>
      <c r="AS97" s="5"/>
      <c r="AT97" s="5"/>
      <c r="AU97" s="5"/>
      <c r="AV97" s="5"/>
      <c r="AW97" s="5"/>
      <c r="AX97" s="5"/>
      <c r="AY97" s="5"/>
    </row>
    <row r="98" spans="1:51" ht="28.5" customHeight="1" x14ac:dyDescent="0.25">
      <c r="A98" s="5"/>
      <c r="B98" s="5"/>
      <c r="C98" s="5"/>
      <c r="D98" s="5"/>
      <c r="E98" s="5"/>
      <c r="F98" s="5"/>
      <c r="G98" s="5"/>
      <c r="H98" s="5"/>
      <c r="I98" s="5"/>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5"/>
      <c r="AN98" s="5"/>
      <c r="AO98" s="5"/>
      <c r="AP98" s="5"/>
      <c r="AQ98" s="5"/>
      <c r="AR98" s="5"/>
      <c r="AS98" s="5"/>
      <c r="AT98" s="5"/>
      <c r="AU98" s="5"/>
      <c r="AV98" s="5"/>
      <c r="AW98" s="5"/>
      <c r="AX98" s="5"/>
      <c r="AY98" s="5"/>
    </row>
    <row r="99" spans="1:51" ht="28.5" customHeight="1" x14ac:dyDescent="0.25">
      <c r="A99" s="5"/>
      <c r="B99" s="5"/>
      <c r="C99" s="5"/>
      <c r="D99" s="5"/>
      <c r="E99" s="5"/>
      <c r="F99" s="5"/>
      <c r="G99" s="5"/>
      <c r="H99" s="5"/>
      <c r="I99" s="5"/>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5"/>
      <c r="AN99" s="5"/>
      <c r="AO99" s="5"/>
      <c r="AP99" s="5"/>
      <c r="AQ99" s="5"/>
      <c r="AR99" s="5"/>
      <c r="AS99" s="5"/>
      <c r="AT99" s="5"/>
      <c r="AU99" s="5"/>
      <c r="AV99" s="5"/>
      <c r="AW99" s="5"/>
      <c r="AX99" s="5"/>
      <c r="AY99" s="5"/>
    </row>
    <row r="100" spans="1:51" ht="28.5" customHeight="1" x14ac:dyDescent="0.25">
      <c r="A100" s="5"/>
      <c r="B100" s="5"/>
      <c r="C100" s="5"/>
      <c r="D100" s="5"/>
      <c r="E100" s="5"/>
      <c r="F100" s="5"/>
      <c r="G100" s="5"/>
      <c r="H100" s="5"/>
      <c r="I100" s="5"/>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5"/>
      <c r="AN100" s="5"/>
      <c r="AO100" s="5"/>
      <c r="AP100" s="5"/>
      <c r="AQ100" s="5"/>
      <c r="AR100" s="5"/>
      <c r="AS100" s="5"/>
      <c r="AT100" s="5"/>
      <c r="AU100" s="5"/>
      <c r="AV100" s="5"/>
      <c r="AW100" s="5"/>
      <c r="AX100" s="5"/>
      <c r="AY100" s="5"/>
    </row>
    <row r="101" spans="1:51" ht="28.5" customHeight="1" x14ac:dyDescent="0.25">
      <c r="A101" s="5"/>
      <c r="B101" s="5"/>
      <c r="C101" s="5"/>
      <c r="D101" s="5"/>
      <c r="E101" s="5"/>
      <c r="F101" s="5"/>
      <c r="G101" s="5"/>
      <c r="H101" s="5"/>
      <c r="I101" s="5"/>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5"/>
      <c r="AN101" s="5"/>
      <c r="AO101" s="5"/>
      <c r="AP101" s="5"/>
      <c r="AQ101" s="5"/>
      <c r="AR101" s="5"/>
      <c r="AS101" s="5"/>
      <c r="AT101" s="5"/>
      <c r="AU101" s="5"/>
      <c r="AV101" s="5"/>
      <c r="AW101" s="5"/>
      <c r="AX101" s="5"/>
      <c r="AY101" s="5"/>
    </row>
    <row r="102" spans="1:51" ht="28.5" customHeight="1" x14ac:dyDescent="0.25">
      <c r="A102" s="5"/>
      <c r="B102" s="5"/>
      <c r="C102" s="5"/>
      <c r="D102" s="5"/>
      <c r="E102" s="5"/>
      <c r="F102" s="5"/>
      <c r="G102" s="5"/>
      <c r="H102" s="5"/>
      <c r="I102" s="5"/>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5"/>
      <c r="AN102" s="5"/>
      <c r="AO102" s="5"/>
      <c r="AP102" s="5"/>
      <c r="AQ102" s="5"/>
      <c r="AR102" s="5"/>
      <c r="AS102" s="5"/>
      <c r="AT102" s="5"/>
      <c r="AU102" s="5"/>
      <c r="AV102" s="5"/>
      <c r="AW102" s="5"/>
      <c r="AX102" s="5"/>
      <c r="AY102" s="5"/>
    </row>
    <row r="103" spans="1:51" ht="28.5" customHeight="1" x14ac:dyDescent="0.25">
      <c r="A103" s="5"/>
      <c r="B103" s="5"/>
      <c r="C103" s="5"/>
      <c r="D103" s="5"/>
      <c r="E103" s="5"/>
      <c r="F103" s="5"/>
      <c r="G103" s="5"/>
      <c r="H103" s="5"/>
      <c r="I103" s="5"/>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5"/>
      <c r="AN103" s="5"/>
      <c r="AO103" s="5"/>
      <c r="AP103" s="5"/>
      <c r="AQ103" s="5"/>
      <c r="AR103" s="5"/>
      <c r="AS103" s="5"/>
      <c r="AT103" s="5"/>
      <c r="AU103" s="5"/>
      <c r="AV103" s="5"/>
      <c r="AW103" s="5"/>
      <c r="AX103" s="5"/>
      <c r="AY103" s="5"/>
    </row>
    <row r="104" spans="1:51" ht="28.5" customHeight="1" x14ac:dyDescent="0.25">
      <c r="A104" s="5"/>
      <c r="B104" s="5"/>
      <c r="C104" s="5"/>
      <c r="D104" s="5"/>
      <c r="E104" s="5"/>
      <c r="F104" s="5"/>
      <c r="G104" s="5"/>
      <c r="H104" s="5"/>
      <c r="I104" s="5"/>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5"/>
      <c r="AN104" s="5"/>
      <c r="AO104" s="5"/>
      <c r="AP104" s="5"/>
      <c r="AQ104" s="5"/>
      <c r="AR104" s="5"/>
      <c r="AS104" s="5"/>
      <c r="AT104" s="5"/>
      <c r="AU104" s="5"/>
      <c r="AV104" s="5"/>
      <c r="AW104" s="5"/>
      <c r="AX104" s="5"/>
      <c r="AY104" s="5"/>
    </row>
    <row r="105" spans="1:51" ht="28.5" customHeight="1" x14ac:dyDescent="0.25">
      <c r="A105" s="5"/>
      <c r="B105" s="5"/>
      <c r="C105" s="5"/>
      <c r="D105" s="5"/>
      <c r="E105" s="5"/>
      <c r="F105" s="5"/>
      <c r="G105" s="5"/>
      <c r="H105" s="5"/>
      <c r="I105" s="5"/>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5"/>
      <c r="AN105" s="5"/>
      <c r="AO105" s="5"/>
      <c r="AP105" s="5"/>
      <c r="AQ105" s="5"/>
      <c r="AR105" s="5"/>
      <c r="AS105" s="5"/>
      <c r="AT105" s="5"/>
      <c r="AU105" s="5"/>
      <c r="AV105" s="5"/>
      <c r="AW105" s="5"/>
      <c r="AX105" s="5"/>
      <c r="AY105" s="5"/>
    </row>
    <row r="106" spans="1:51" ht="28.5" customHeight="1" x14ac:dyDescent="0.25">
      <c r="A106" s="5"/>
      <c r="B106" s="5"/>
      <c r="C106" s="5"/>
      <c r="D106" s="5"/>
      <c r="E106" s="5"/>
      <c r="F106" s="5"/>
      <c r="G106" s="5"/>
      <c r="H106" s="5"/>
      <c r="I106" s="5"/>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5"/>
      <c r="AN106" s="5"/>
      <c r="AO106" s="5"/>
      <c r="AP106" s="5"/>
      <c r="AQ106" s="5"/>
      <c r="AR106" s="5"/>
      <c r="AS106" s="5"/>
      <c r="AT106" s="5"/>
      <c r="AU106" s="5"/>
      <c r="AV106" s="5"/>
      <c r="AW106" s="5"/>
      <c r="AX106" s="5"/>
      <c r="AY106" s="5"/>
    </row>
    <row r="107" spans="1:51" ht="28.5" customHeight="1" x14ac:dyDescent="0.25">
      <c r="A107" s="5"/>
      <c r="B107" s="5"/>
      <c r="C107" s="5"/>
      <c r="D107" s="5"/>
      <c r="E107" s="5"/>
      <c r="F107" s="5"/>
      <c r="G107" s="5"/>
      <c r="H107" s="5"/>
      <c r="I107" s="5"/>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5"/>
      <c r="AN107" s="5"/>
      <c r="AO107" s="5"/>
      <c r="AP107" s="5"/>
      <c r="AQ107" s="5"/>
      <c r="AR107" s="5"/>
      <c r="AS107" s="5"/>
      <c r="AT107" s="5"/>
      <c r="AU107" s="5"/>
      <c r="AV107" s="5"/>
      <c r="AW107" s="5"/>
      <c r="AX107" s="5"/>
      <c r="AY107" s="5"/>
    </row>
    <row r="108" spans="1:51" ht="28.5" customHeight="1" x14ac:dyDescent="0.25">
      <c r="A108" s="5"/>
      <c r="B108" s="5"/>
      <c r="C108" s="5"/>
      <c r="D108" s="5"/>
      <c r="E108" s="5"/>
      <c r="F108" s="5"/>
      <c r="G108" s="5"/>
      <c r="H108" s="5"/>
      <c r="I108" s="5"/>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5"/>
      <c r="AN108" s="5"/>
      <c r="AO108" s="5"/>
      <c r="AP108" s="5"/>
      <c r="AQ108" s="5"/>
      <c r="AR108" s="5"/>
      <c r="AS108" s="5"/>
      <c r="AT108" s="5"/>
      <c r="AU108" s="5"/>
      <c r="AV108" s="5"/>
      <c r="AW108" s="5"/>
      <c r="AX108" s="5"/>
      <c r="AY108" s="5"/>
    </row>
    <row r="109" spans="1:51" ht="28.5" customHeight="1" x14ac:dyDescent="0.25">
      <c r="A109" s="5"/>
      <c r="B109" s="5"/>
      <c r="C109" s="5"/>
      <c r="D109" s="5"/>
      <c r="E109" s="5"/>
      <c r="F109" s="5"/>
      <c r="G109" s="5"/>
      <c r="H109" s="5"/>
      <c r="I109" s="5"/>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5"/>
      <c r="AN109" s="5"/>
      <c r="AO109" s="5"/>
      <c r="AP109" s="5"/>
      <c r="AQ109" s="5"/>
      <c r="AR109" s="5"/>
      <c r="AS109" s="5"/>
      <c r="AT109" s="5"/>
      <c r="AU109" s="5"/>
      <c r="AV109" s="5"/>
      <c r="AW109" s="5"/>
      <c r="AX109" s="5"/>
      <c r="AY109" s="5"/>
    </row>
    <row r="110" spans="1:51" ht="28.5" customHeight="1" x14ac:dyDescent="0.25">
      <c r="A110" s="5"/>
      <c r="B110" s="5"/>
      <c r="C110" s="5"/>
      <c r="D110" s="5"/>
      <c r="E110" s="5"/>
      <c r="F110" s="5"/>
      <c r="G110" s="5"/>
      <c r="H110" s="5"/>
      <c r="I110" s="5"/>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5"/>
      <c r="AN110" s="5"/>
      <c r="AO110" s="5"/>
      <c r="AP110" s="5"/>
      <c r="AQ110" s="5"/>
      <c r="AR110" s="5"/>
      <c r="AS110" s="5"/>
      <c r="AT110" s="5"/>
      <c r="AU110" s="5"/>
      <c r="AV110" s="5"/>
      <c r="AW110" s="5"/>
      <c r="AX110" s="5"/>
      <c r="AY110" s="5"/>
    </row>
    <row r="111" spans="1:51" ht="28.5" customHeight="1" x14ac:dyDescent="0.25">
      <c r="A111" s="5"/>
      <c r="B111" s="5"/>
      <c r="C111" s="5"/>
      <c r="D111" s="5"/>
      <c r="E111" s="5"/>
      <c r="F111" s="5"/>
      <c r="G111" s="5"/>
      <c r="H111" s="5"/>
      <c r="I111" s="5"/>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5"/>
      <c r="AN111" s="5"/>
      <c r="AO111" s="5"/>
      <c r="AP111" s="5"/>
      <c r="AQ111" s="5"/>
      <c r="AR111" s="5"/>
      <c r="AS111" s="5"/>
      <c r="AT111" s="5"/>
      <c r="AU111" s="5"/>
      <c r="AV111" s="5"/>
      <c r="AW111" s="5"/>
      <c r="AX111" s="5"/>
      <c r="AY111" s="5"/>
    </row>
    <row r="112" spans="1:51" ht="28.5" customHeight="1" x14ac:dyDescent="0.25">
      <c r="A112" s="5"/>
      <c r="B112" s="5"/>
      <c r="C112" s="5"/>
      <c r="D112" s="5"/>
      <c r="E112" s="5"/>
      <c r="F112" s="5"/>
      <c r="G112" s="5"/>
      <c r="H112" s="5"/>
      <c r="I112" s="5"/>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5"/>
      <c r="AN112" s="5"/>
      <c r="AO112" s="5"/>
      <c r="AP112" s="5"/>
      <c r="AQ112" s="5"/>
      <c r="AR112" s="5"/>
      <c r="AS112" s="5"/>
      <c r="AT112" s="5"/>
      <c r="AU112" s="5"/>
      <c r="AV112" s="5"/>
      <c r="AW112" s="5"/>
      <c r="AX112" s="5"/>
      <c r="AY112" s="5"/>
    </row>
    <row r="113" spans="1:51" ht="28.5" customHeight="1" x14ac:dyDescent="0.25">
      <c r="A113" s="5"/>
      <c r="B113" s="5"/>
      <c r="C113" s="5"/>
      <c r="D113" s="5"/>
      <c r="E113" s="5"/>
      <c r="F113" s="5"/>
      <c r="G113" s="5"/>
      <c r="H113" s="5"/>
      <c r="I113" s="5"/>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5"/>
      <c r="AN113" s="5"/>
      <c r="AO113" s="5"/>
      <c r="AP113" s="5"/>
      <c r="AQ113" s="5"/>
      <c r="AR113" s="5"/>
      <c r="AS113" s="5"/>
      <c r="AT113" s="5"/>
      <c r="AU113" s="5"/>
      <c r="AV113" s="5"/>
      <c r="AW113" s="5"/>
      <c r="AX113" s="5"/>
      <c r="AY113" s="5"/>
    </row>
    <row r="114" spans="1:51" ht="28.5" customHeight="1" x14ac:dyDescent="0.25">
      <c r="A114" s="5"/>
      <c r="B114" s="5"/>
      <c r="C114" s="5"/>
      <c r="D114" s="5"/>
      <c r="E114" s="5"/>
      <c r="F114" s="5"/>
      <c r="G114" s="5"/>
      <c r="H114" s="5"/>
      <c r="I114" s="5"/>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5"/>
      <c r="AN114" s="5"/>
      <c r="AO114" s="5"/>
      <c r="AP114" s="5"/>
      <c r="AQ114" s="5"/>
      <c r="AR114" s="5"/>
      <c r="AS114" s="5"/>
      <c r="AT114" s="5"/>
      <c r="AU114" s="5"/>
      <c r="AV114" s="5"/>
      <c r="AW114" s="5"/>
      <c r="AX114" s="5"/>
      <c r="AY114" s="5"/>
    </row>
    <row r="115" spans="1:51" ht="28.5" customHeight="1" x14ac:dyDescent="0.25">
      <c r="A115" s="5"/>
      <c r="B115" s="5"/>
      <c r="C115" s="5"/>
      <c r="D115" s="5"/>
      <c r="E115" s="5"/>
      <c r="F115" s="5"/>
      <c r="G115" s="5"/>
      <c r="H115" s="5"/>
      <c r="I115" s="5"/>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5"/>
      <c r="AN115" s="5"/>
      <c r="AO115" s="5"/>
      <c r="AP115" s="5"/>
      <c r="AQ115" s="5"/>
      <c r="AR115" s="5"/>
      <c r="AS115" s="5"/>
      <c r="AT115" s="5"/>
      <c r="AU115" s="5"/>
      <c r="AV115" s="5"/>
      <c r="AW115" s="5"/>
      <c r="AX115" s="5"/>
      <c r="AY115" s="5"/>
    </row>
    <row r="116" spans="1:51" ht="28.5" customHeight="1" x14ac:dyDescent="0.25">
      <c r="A116" s="5"/>
      <c r="B116" s="5"/>
      <c r="C116" s="5"/>
      <c r="D116" s="5"/>
      <c r="E116" s="5"/>
      <c r="F116" s="5"/>
      <c r="G116" s="5"/>
      <c r="H116" s="5"/>
      <c r="I116" s="5"/>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5"/>
      <c r="AN116" s="5"/>
      <c r="AO116" s="5"/>
      <c r="AP116" s="5"/>
      <c r="AQ116" s="5"/>
      <c r="AR116" s="5"/>
      <c r="AS116" s="5"/>
      <c r="AT116" s="5"/>
      <c r="AU116" s="5"/>
      <c r="AV116" s="5"/>
      <c r="AW116" s="5"/>
      <c r="AX116" s="5"/>
      <c r="AY116" s="5"/>
    </row>
    <row r="117" spans="1:51" ht="28.5" customHeight="1" x14ac:dyDescent="0.25">
      <c r="A117" s="5"/>
      <c r="B117" s="5"/>
      <c r="C117" s="5"/>
      <c r="D117" s="5"/>
      <c r="E117" s="5"/>
      <c r="F117" s="5"/>
      <c r="G117" s="5"/>
      <c r="H117" s="5"/>
      <c r="I117" s="5"/>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5"/>
      <c r="AN117" s="5"/>
      <c r="AO117" s="5"/>
      <c r="AP117" s="5"/>
      <c r="AQ117" s="5"/>
      <c r="AR117" s="5"/>
      <c r="AS117" s="5"/>
      <c r="AT117" s="5"/>
      <c r="AU117" s="5"/>
      <c r="AV117" s="5"/>
      <c r="AW117" s="5"/>
      <c r="AX117" s="5"/>
      <c r="AY117" s="5"/>
    </row>
    <row r="118" spans="1:51" ht="28.5" customHeight="1" x14ac:dyDescent="0.25">
      <c r="A118" s="5"/>
      <c r="B118" s="5"/>
      <c r="C118" s="5"/>
      <c r="D118" s="5"/>
      <c r="E118" s="5"/>
      <c r="F118" s="5"/>
      <c r="G118" s="5"/>
      <c r="H118" s="5"/>
      <c r="I118" s="5"/>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5"/>
      <c r="AN118" s="5"/>
      <c r="AO118" s="5"/>
      <c r="AP118" s="5"/>
      <c r="AQ118" s="5"/>
      <c r="AR118" s="5"/>
      <c r="AS118" s="5"/>
      <c r="AT118" s="5"/>
      <c r="AU118" s="5"/>
      <c r="AV118" s="5"/>
      <c r="AW118" s="5"/>
      <c r="AX118" s="5"/>
      <c r="AY118" s="5"/>
    </row>
    <row r="119" spans="1:51" ht="28.5" customHeight="1" x14ac:dyDescent="0.25">
      <c r="A119" s="5"/>
      <c r="B119" s="5"/>
      <c r="C119" s="5"/>
      <c r="D119" s="5"/>
      <c r="E119" s="5"/>
      <c r="F119" s="5"/>
      <c r="G119" s="5"/>
      <c r="H119" s="5"/>
      <c r="I119" s="5"/>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5"/>
      <c r="AN119" s="5"/>
      <c r="AO119" s="5"/>
      <c r="AP119" s="5"/>
      <c r="AQ119" s="5"/>
      <c r="AR119" s="5"/>
      <c r="AS119" s="5"/>
      <c r="AT119" s="5"/>
      <c r="AU119" s="5"/>
      <c r="AV119" s="5"/>
      <c r="AW119" s="5"/>
      <c r="AX119" s="5"/>
      <c r="AY119" s="5"/>
    </row>
    <row r="120" spans="1:51" ht="28.5" customHeight="1" x14ac:dyDescent="0.25">
      <c r="A120" s="5"/>
      <c r="B120" s="5"/>
      <c r="C120" s="5"/>
      <c r="D120" s="5"/>
      <c r="E120" s="5"/>
      <c r="F120" s="5"/>
      <c r="G120" s="5"/>
      <c r="H120" s="5"/>
      <c r="I120" s="5"/>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5"/>
      <c r="AN120" s="5"/>
      <c r="AO120" s="5"/>
      <c r="AP120" s="5"/>
      <c r="AQ120" s="5"/>
      <c r="AR120" s="5"/>
      <c r="AS120" s="5"/>
      <c r="AT120" s="5"/>
      <c r="AU120" s="5"/>
      <c r="AV120" s="5"/>
      <c r="AW120" s="5"/>
      <c r="AX120" s="5"/>
      <c r="AY120" s="5"/>
    </row>
    <row r="121" spans="1:51" ht="28.5" customHeight="1" x14ac:dyDescent="0.25">
      <c r="A121" s="5"/>
      <c r="B121" s="5"/>
      <c r="C121" s="5"/>
      <c r="D121" s="5"/>
      <c r="E121" s="5"/>
      <c r="F121" s="5"/>
      <c r="G121" s="5"/>
      <c r="H121" s="5"/>
      <c r="I121" s="5"/>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5"/>
      <c r="AN121" s="5"/>
      <c r="AO121" s="5"/>
      <c r="AP121" s="5"/>
      <c r="AQ121" s="5"/>
      <c r="AR121" s="5"/>
      <c r="AS121" s="5"/>
      <c r="AT121" s="5"/>
      <c r="AU121" s="5"/>
      <c r="AV121" s="5"/>
      <c r="AW121" s="5"/>
      <c r="AX121" s="5"/>
      <c r="AY121" s="5"/>
    </row>
    <row r="122" spans="1:51" ht="28.5" customHeight="1" x14ac:dyDescent="0.25">
      <c r="A122" s="5"/>
      <c r="B122" s="5"/>
      <c r="C122" s="5"/>
      <c r="D122" s="5"/>
      <c r="E122" s="5"/>
      <c r="F122" s="5"/>
      <c r="G122" s="5"/>
      <c r="H122" s="5"/>
      <c r="I122" s="5"/>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5"/>
      <c r="AN122" s="5"/>
      <c r="AO122" s="5"/>
      <c r="AP122" s="5"/>
      <c r="AQ122" s="5"/>
      <c r="AR122" s="5"/>
      <c r="AS122" s="5"/>
      <c r="AT122" s="5"/>
      <c r="AU122" s="5"/>
      <c r="AV122" s="5"/>
      <c r="AW122" s="5"/>
      <c r="AX122" s="5"/>
      <c r="AY122" s="5"/>
    </row>
    <row r="123" spans="1:51" ht="28.5" customHeight="1" x14ac:dyDescent="0.25">
      <c r="A123" s="5"/>
      <c r="B123" s="5"/>
      <c r="C123" s="5"/>
      <c r="D123" s="5"/>
      <c r="E123" s="5"/>
      <c r="F123" s="5"/>
      <c r="G123" s="5"/>
      <c r="H123" s="5"/>
      <c r="I123" s="5"/>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5"/>
      <c r="AN123" s="5"/>
      <c r="AO123" s="5"/>
      <c r="AP123" s="5"/>
      <c r="AQ123" s="5"/>
      <c r="AR123" s="5"/>
      <c r="AS123" s="5"/>
      <c r="AT123" s="5"/>
      <c r="AU123" s="5"/>
      <c r="AV123" s="5"/>
      <c r="AW123" s="5"/>
      <c r="AX123" s="5"/>
      <c r="AY123" s="5"/>
    </row>
    <row r="124" spans="1:51" ht="28.5" customHeight="1" x14ac:dyDescent="0.25">
      <c r="A124" s="5"/>
      <c r="B124" s="5"/>
      <c r="C124" s="5"/>
      <c r="D124" s="5"/>
      <c r="E124" s="5"/>
      <c r="F124" s="5"/>
      <c r="G124" s="5"/>
      <c r="H124" s="5"/>
      <c r="I124" s="5"/>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6"/>
      <c r="AM124" s="5"/>
      <c r="AN124" s="5"/>
      <c r="AO124" s="5"/>
      <c r="AP124" s="5"/>
      <c r="AQ124" s="5"/>
      <c r="AR124" s="5"/>
      <c r="AS124" s="5"/>
      <c r="AT124" s="5"/>
      <c r="AU124" s="5"/>
      <c r="AV124" s="5"/>
      <c r="AW124" s="5"/>
      <c r="AX124" s="5"/>
      <c r="AY124" s="5"/>
    </row>
    <row r="125" spans="1:51" ht="28.5" customHeight="1" x14ac:dyDescent="0.25">
      <c r="A125" s="5"/>
      <c r="B125" s="5"/>
      <c r="C125" s="5"/>
      <c r="D125" s="5"/>
      <c r="E125" s="5"/>
      <c r="F125" s="5"/>
      <c r="G125" s="5"/>
      <c r="H125" s="5"/>
      <c r="I125" s="5"/>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5"/>
      <c r="AN125" s="5"/>
      <c r="AO125" s="5"/>
      <c r="AP125" s="5"/>
      <c r="AQ125" s="5"/>
      <c r="AR125" s="5"/>
      <c r="AS125" s="5"/>
      <c r="AT125" s="5"/>
      <c r="AU125" s="5"/>
      <c r="AV125" s="5"/>
      <c r="AW125" s="5"/>
      <c r="AX125" s="5"/>
      <c r="AY125" s="5"/>
    </row>
    <row r="126" spans="1:51" ht="28.5" customHeight="1" x14ac:dyDescent="0.25">
      <c r="A126" s="5"/>
      <c r="B126" s="5"/>
      <c r="C126" s="5"/>
      <c r="D126" s="5"/>
      <c r="E126" s="5"/>
      <c r="F126" s="5"/>
      <c r="G126" s="5"/>
      <c r="H126" s="5"/>
      <c r="I126" s="5"/>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5"/>
      <c r="AN126" s="5"/>
      <c r="AO126" s="5"/>
      <c r="AP126" s="5"/>
      <c r="AQ126" s="5"/>
      <c r="AR126" s="5"/>
      <c r="AS126" s="5"/>
      <c r="AT126" s="5"/>
      <c r="AU126" s="5"/>
      <c r="AV126" s="5"/>
      <c r="AW126" s="5"/>
      <c r="AX126" s="5"/>
      <c r="AY126" s="5"/>
    </row>
    <row r="127" spans="1:51" ht="28.5" customHeight="1" x14ac:dyDescent="0.25">
      <c r="A127" s="5"/>
      <c r="B127" s="5"/>
      <c r="C127" s="5"/>
      <c r="D127" s="5"/>
      <c r="E127" s="5"/>
      <c r="F127" s="5"/>
      <c r="G127" s="5"/>
      <c r="H127" s="5"/>
      <c r="I127" s="5"/>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c r="AK127" s="26"/>
      <c r="AL127" s="26"/>
      <c r="AM127" s="5"/>
      <c r="AN127" s="5"/>
      <c r="AO127" s="5"/>
      <c r="AP127" s="5"/>
      <c r="AQ127" s="5"/>
      <c r="AR127" s="5"/>
      <c r="AS127" s="5"/>
      <c r="AT127" s="5"/>
      <c r="AU127" s="5"/>
      <c r="AV127" s="5"/>
      <c r="AW127" s="5"/>
      <c r="AX127" s="5"/>
      <c r="AY127" s="5"/>
    </row>
    <row r="128" spans="1:51" ht="28.5" customHeight="1" x14ac:dyDescent="0.25">
      <c r="A128" s="5"/>
      <c r="B128" s="5"/>
      <c r="C128" s="5"/>
      <c r="D128" s="5"/>
      <c r="E128" s="5"/>
      <c r="F128" s="5"/>
      <c r="G128" s="5"/>
      <c r="H128" s="5"/>
      <c r="I128" s="5"/>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c r="AL128" s="26"/>
      <c r="AM128" s="5"/>
      <c r="AN128" s="5"/>
      <c r="AO128" s="5"/>
      <c r="AP128" s="5"/>
      <c r="AQ128" s="5"/>
      <c r="AR128" s="5"/>
      <c r="AS128" s="5"/>
      <c r="AT128" s="5"/>
      <c r="AU128" s="5"/>
      <c r="AV128" s="5"/>
      <c r="AW128" s="5"/>
      <c r="AX128" s="5"/>
      <c r="AY128" s="5"/>
    </row>
    <row r="129" spans="1:51" ht="28.5" customHeight="1" x14ac:dyDescent="0.25">
      <c r="A129" s="5"/>
      <c r="B129" s="5"/>
      <c r="C129" s="5"/>
      <c r="D129" s="5"/>
      <c r="E129" s="5"/>
      <c r="F129" s="5"/>
      <c r="G129" s="5"/>
      <c r="H129" s="5"/>
      <c r="I129" s="5"/>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c r="AM129" s="5"/>
      <c r="AN129" s="5"/>
      <c r="AO129" s="5"/>
      <c r="AP129" s="5"/>
      <c r="AQ129" s="5"/>
      <c r="AR129" s="5"/>
      <c r="AS129" s="5"/>
      <c r="AT129" s="5"/>
      <c r="AU129" s="5"/>
      <c r="AV129" s="5"/>
      <c r="AW129" s="5"/>
      <c r="AX129" s="5"/>
      <c r="AY129" s="5"/>
    </row>
    <row r="130" spans="1:51" ht="28.5" customHeight="1" x14ac:dyDescent="0.25">
      <c r="A130" s="5"/>
      <c r="B130" s="5"/>
      <c r="C130" s="5"/>
      <c r="D130" s="5"/>
      <c r="E130" s="5"/>
      <c r="F130" s="5"/>
      <c r="G130" s="5"/>
      <c r="H130" s="5"/>
      <c r="I130" s="5"/>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c r="AL130" s="26"/>
      <c r="AM130" s="5"/>
      <c r="AN130" s="5"/>
      <c r="AO130" s="5"/>
      <c r="AP130" s="5"/>
      <c r="AQ130" s="5"/>
      <c r="AR130" s="5"/>
      <c r="AS130" s="5"/>
      <c r="AT130" s="5"/>
      <c r="AU130" s="5"/>
      <c r="AV130" s="5"/>
      <c r="AW130" s="5"/>
      <c r="AX130" s="5"/>
      <c r="AY130" s="5"/>
    </row>
    <row r="131" spans="1:51" ht="28.5" customHeight="1" x14ac:dyDescent="0.25">
      <c r="A131" s="5"/>
      <c r="B131" s="5"/>
      <c r="C131" s="5"/>
      <c r="D131" s="5"/>
      <c r="E131" s="5"/>
      <c r="F131" s="5"/>
      <c r="G131" s="5"/>
      <c r="H131" s="5"/>
      <c r="I131" s="5"/>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6"/>
      <c r="AL131" s="26"/>
      <c r="AM131" s="5"/>
      <c r="AN131" s="5"/>
      <c r="AO131" s="5"/>
      <c r="AP131" s="5"/>
      <c r="AQ131" s="5"/>
      <c r="AR131" s="5"/>
      <c r="AS131" s="5"/>
      <c r="AT131" s="5"/>
      <c r="AU131" s="5"/>
      <c r="AV131" s="5"/>
      <c r="AW131" s="5"/>
      <c r="AX131" s="5"/>
      <c r="AY131" s="5"/>
    </row>
    <row r="132" spans="1:51" ht="28.5" customHeight="1" x14ac:dyDescent="0.25">
      <c r="A132" s="5"/>
      <c r="B132" s="5"/>
      <c r="C132" s="5"/>
      <c r="D132" s="5"/>
      <c r="E132" s="5"/>
      <c r="F132" s="5"/>
      <c r="G132" s="5"/>
      <c r="H132" s="5"/>
      <c r="I132" s="5"/>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c r="AK132" s="26"/>
      <c r="AL132" s="26"/>
      <c r="AM132" s="5"/>
      <c r="AN132" s="5"/>
      <c r="AO132" s="5"/>
      <c r="AP132" s="5"/>
      <c r="AQ132" s="5"/>
      <c r="AR132" s="5"/>
      <c r="AS132" s="5"/>
      <c r="AT132" s="5"/>
      <c r="AU132" s="5"/>
      <c r="AV132" s="5"/>
      <c r="AW132" s="5"/>
      <c r="AX132" s="5"/>
      <c r="AY132" s="5"/>
    </row>
    <row r="133" spans="1:51" ht="28.5" customHeight="1" x14ac:dyDescent="0.25">
      <c r="A133" s="5"/>
      <c r="B133" s="5"/>
      <c r="C133" s="5"/>
      <c r="D133" s="5"/>
      <c r="E133" s="5"/>
      <c r="F133" s="5"/>
      <c r="G133" s="5"/>
      <c r="H133" s="5"/>
      <c r="I133" s="5"/>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5"/>
      <c r="AN133" s="5"/>
      <c r="AO133" s="5"/>
      <c r="AP133" s="5"/>
      <c r="AQ133" s="5"/>
      <c r="AR133" s="5"/>
      <c r="AS133" s="5"/>
      <c r="AT133" s="5"/>
      <c r="AU133" s="5"/>
      <c r="AV133" s="5"/>
      <c r="AW133" s="5"/>
      <c r="AX133" s="5"/>
      <c r="AY133" s="5"/>
    </row>
    <row r="134" spans="1:51" ht="28.5" customHeight="1" x14ac:dyDescent="0.25">
      <c r="A134" s="5"/>
      <c r="B134" s="5"/>
      <c r="C134" s="5"/>
      <c r="D134" s="5"/>
      <c r="E134" s="5"/>
      <c r="F134" s="5"/>
      <c r="G134" s="5"/>
      <c r="H134" s="5"/>
      <c r="I134" s="5"/>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c r="AL134" s="26"/>
      <c r="AM134" s="5"/>
      <c r="AN134" s="5"/>
      <c r="AO134" s="5"/>
      <c r="AP134" s="5"/>
      <c r="AQ134" s="5"/>
      <c r="AR134" s="5"/>
      <c r="AS134" s="5"/>
      <c r="AT134" s="5"/>
      <c r="AU134" s="5"/>
      <c r="AV134" s="5"/>
      <c r="AW134" s="5"/>
      <c r="AX134" s="5"/>
      <c r="AY134" s="5"/>
    </row>
    <row r="135" spans="1:51" ht="28.5" customHeight="1" x14ac:dyDescent="0.25">
      <c r="A135" s="5"/>
      <c r="B135" s="5"/>
      <c r="C135" s="5"/>
      <c r="D135" s="5"/>
      <c r="E135" s="5"/>
      <c r="F135" s="5"/>
      <c r="G135" s="5"/>
      <c r="H135" s="5"/>
      <c r="I135" s="5"/>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AK135" s="26"/>
      <c r="AL135" s="26"/>
      <c r="AM135" s="5"/>
      <c r="AN135" s="5"/>
      <c r="AO135" s="5"/>
      <c r="AP135" s="5"/>
      <c r="AQ135" s="5"/>
      <c r="AR135" s="5"/>
      <c r="AS135" s="5"/>
      <c r="AT135" s="5"/>
      <c r="AU135" s="5"/>
      <c r="AV135" s="5"/>
      <c r="AW135" s="5"/>
      <c r="AX135" s="5"/>
      <c r="AY135" s="5"/>
    </row>
    <row r="136" spans="1:51" ht="28.5" customHeight="1" x14ac:dyDescent="0.25">
      <c r="A136" s="5"/>
      <c r="B136" s="5"/>
      <c r="C136" s="5"/>
      <c r="D136" s="5"/>
      <c r="E136" s="5"/>
      <c r="F136" s="5"/>
      <c r="G136" s="5"/>
      <c r="H136" s="5"/>
      <c r="I136" s="5"/>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5"/>
      <c r="AN136" s="5"/>
      <c r="AO136" s="5"/>
      <c r="AP136" s="5"/>
      <c r="AQ136" s="5"/>
      <c r="AR136" s="5"/>
      <c r="AS136" s="5"/>
      <c r="AT136" s="5"/>
      <c r="AU136" s="5"/>
      <c r="AV136" s="5"/>
      <c r="AW136" s="5"/>
      <c r="AX136" s="5"/>
      <c r="AY136" s="5"/>
    </row>
    <row r="137" spans="1:51" ht="28.5" customHeight="1" x14ac:dyDescent="0.25">
      <c r="A137" s="5"/>
      <c r="B137" s="5"/>
      <c r="C137" s="5"/>
      <c r="D137" s="5"/>
      <c r="E137" s="5"/>
      <c r="F137" s="5"/>
      <c r="G137" s="5"/>
      <c r="H137" s="5"/>
      <c r="I137" s="5"/>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5"/>
      <c r="AN137" s="5"/>
      <c r="AO137" s="5"/>
      <c r="AP137" s="5"/>
      <c r="AQ137" s="5"/>
      <c r="AR137" s="5"/>
      <c r="AS137" s="5"/>
      <c r="AT137" s="5"/>
      <c r="AU137" s="5"/>
      <c r="AV137" s="5"/>
      <c r="AW137" s="5"/>
      <c r="AX137" s="5"/>
      <c r="AY137" s="5"/>
    </row>
    <row r="138" spans="1:51" ht="28.5" customHeight="1" x14ac:dyDescent="0.25">
      <c r="A138" s="5"/>
      <c r="B138" s="5"/>
      <c r="C138" s="5"/>
      <c r="D138" s="5"/>
      <c r="E138" s="5"/>
      <c r="F138" s="5"/>
      <c r="G138" s="5"/>
      <c r="H138" s="5"/>
      <c r="I138" s="5"/>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5"/>
      <c r="AN138" s="5"/>
      <c r="AO138" s="5"/>
      <c r="AP138" s="5"/>
      <c r="AQ138" s="5"/>
      <c r="AR138" s="5"/>
      <c r="AS138" s="5"/>
      <c r="AT138" s="5"/>
      <c r="AU138" s="5"/>
      <c r="AV138" s="5"/>
      <c r="AW138" s="5"/>
      <c r="AX138" s="5"/>
      <c r="AY138" s="5"/>
    </row>
    <row r="139" spans="1:51" ht="28.5" customHeight="1" x14ac:dyDescent="0.25">
      <c r="A139" s="5"/>
      <c r="B139" s="5"/>
      <c r="C139" s="5"/>
      <c r="D139" s="5"/>
      <c r="E139" s="5"/>
      <c r="F139" s="5"/>
      <c r="G139" s="5"/>
      <c r="H139" s="5"/>
      <c r="I139" s="5"/>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5"/>
      <c r="AN139" s="5"/>
      <c r="AO139" s="5"/>
      <c r="AP139" s="5"/>
      <c r="AQ139" s="5"/>
      <c r="AR139" s="5"/>
      <c r="AS139" s="5"/>
      <c r="AT139" s="5"/>
      <c r="AU139" s="5"/>
      <c r="AV139" s="5"/>
      <c r="AW139" s="5"/>
      <c r="AX139" s="5"/>
      <c r="AY139" s="5"/>
    </row>
    <row r="140" spans="1:51" ht="28.5" customHeight="1" x14ac:dyDescent="0.25">
      <c r="A140" s="5"/>
      <c r="B140" s="5"/>
      <c r="C140" s="5"/>
      <c r="D140" s="5"/>
      <c r="E140" s="5"/>
      <c r="F140" s="5"/>
      <c r="G140" s="5"/>
      <c r="H140" s="5"/>
      <c r="I140" s="5"/>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6"/>
      <c r="AL140" s="26"/>
      <c r="AM140" s="5"/>
      <c r="AN140" s="5"/>
      <c r="AO140" s="5"/>
      <c r="AP140" s="5"/>
      <c r="AQ140" s="5"/>
      <c r="AR140" s="5"/>
      <c r="AS140" s="5"/>
      <c r="AT140" s="5"/>
      <c r="AU140" s="5"/>
      <c r="AV140" s="5"/>
      <c r="AW140" s="5"/>
      <c r="AX140" s="5"/>
      <c r="AY140" s="5"/>
    </row>
    <row r="141" spans="1:51" ht="28.5" customHeight="1" x14ac:dyDescent="0.25">
      <c r="A141" s="5"/>
      <c r="B141" s="5"/>
      <c r="C141" s="5"/>
      <c r="D141" s="5"/>
      <c r="E141" s="5"/>
      <c r="F141" s="5"/>
      <c r="G141" s="5"/>
      <c r="H141" s="5"/>
      <c r="I141" s="5"/>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5"/>
      <c r="AN141" s="5"/>
      <c r="AO141" s="5"/>
      <c r="AP141" s="5"/>
      <c r="AQ141" s="5"/>
      <c r="AR141" s="5"/>
      <c r="AS141" s="5"/>
      <c r="AT141" s="5"/>
      <c r="AU141" s="5"/>
      <c r="AV141" s="5"/>
      <c r="AW141" s="5"/>
      <c r="AX141" s="5"/>
      <c r="AY141" s="5"/>
    </row>
    <row r="142" spans="1:51" ht="28.5" customHeight="1" x14ac:dyDescent="0.25">
      <c r="A142" s="5"/>
      <c r="B142" s="5"/>
      <c r="C142" s="5"/>
      <c r="D142" s="5"/>
      <c r="E142" s="5"/>
      <c r="F142" s="5"/>
      <c r="G142" s="5"/>
      <c r="H142" s="5"/>
      <c r="I142" s="5"/>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6"/>
      <c r="AL142" s="26"/>
      <c r="AM142" s="5"/>
      <c r="AN142" s="5"/>
      <c r="AO142" s="5"/>
      <c r="AP142" s="5"/>
      <c r="AQ142" s="5"/>
      <c r="AR142" s="5"/>
      <c r="AS142" s="5"/>
      <c r="AT142" s="5"/>
      <c r="AU142" s="5"/>
      <c r="AV142" s="5"/>
      <c r="AW142" s="5"/>
      <c r="AX142" s="5"/>
      <c r="AY142" s="5"/>
    </row>
    <row r="143" spans="1:51" ht="28.5" customHeight="1" x14ac:dyDescent="0.25">
      <c r="A143" s="5"/>
      <c r="B143" s="5"/>
      <c r="C143" s="5"/>
      <c r="D143" s="5"/>
      <c r="E143" s="5"/>
      <c r="F143" s="5"/>
      <c r="G143" s="5"/>
      <c r="H143" s="5"/>
      <c r="I143" s="5"/>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5"/>
      <c r="AN143" s="5"/>
      <c r="AO143" s="5"/>
      <c r="AP143" s="5"/>
      <c r="AQ143" s="5"/>
      <c r="AR143" s="5"/>
      <c r="AS143" s="5"/>
      <c r="AT143" s="5"/>
      <c r="AU143" s="5"/>
      <c r="AV143" s="5"/>
      <c r="AW143" s="5"/>
      <c r="AX143" s="5"/>
      <c r="AY143" s="5"/>
    </row>
    <row r="144" spans="1:51" ht="28.5" customHeight="1" x14ac:dyDescent="0.25">
      <c r="A144" s="5"/>
      <c r="B144" s="5"/>
      <c r="C144" s="5"/>
      <c r="D144" s="5"/>
      <c r="E144" s="5"/>
      <c r="F144" s="5"/>
      <c r="G144" s="5"/>
      <c r="H144" s="5"/>
      <c r="I144" s="5"/>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5"/>
      <c r="AN144" s="5"/>
      <c r="AO144" s="5"/>
      <c r="AP144" s="5"/>
      <c r="AQ144" s="5"/>
      <c r="AR144" s="5"/>
      <c r="AS144" s="5"/>
      <c r="AT144" s="5"/>
      <c r="AU144" s="5"/>
      <c r="AV144" s="5"/>
      <c r="AW144" s="5"/>
      <c r="AX144" s="5"/>
      <c r="AY144" s="5"/>
    </row>
    <row r="145" spans="1:51" ht="28.5" customHeight="1" x14ac:dyDescent="0.25">
      <c r="A145" s="5"/>
      <c r="B145" s="5"/>
      <c r="C145" s="5"/>
      <c r="D145" s="5"/>
      <c r="E145" s="5"/>
      <c r="F145" s="5"/>
      <c r="G145" s="5"/>
      <c r="H145" s="5"/>
      <c r="I145" s="5"/>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c r="AM145" s="5"/>
      <c r="AN145" s="5"/>
      <c r="AO145" s="5"/>
      <c r="AP145" s="5"/>
      <c r="AQ145" s="5"/>
      <c r="AR145" s="5"/>
      <c r="AS145" s="5"/>
      <c r="AT145" s="5"/>
      <c r="AU145" s="5"/>
      <c r="AV145" s="5"/>
      <c r="AW145" s="5"/>
      <c r="AX145" s="5"/>
      <c r="AY145" s="5"/>
    </row>
    <row r="146" spans="1:51" ht="28.5" customHeight="1" x14ac:dyDescent="0.25">
      <c r="A146" s="5"/>
      <c r="B146" s="5"/>
      <c r="C146" s="5"/>
      <c r="D146" s="5"/>
      <c r="E146" s="5"/>
      <c r="F146" s="5"/>
      <c r="G146" s="5"/>
      <c r="H146" s="5"/>
      <c r="I146" s="5"/>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5"/>
      <c r="AN146" s="5"/>
      <c r="AO146" s="5"/>
      <c r="AP146" s="5"/>
      <c r="AQ146" s="5"/>
      <c r="AR146" s="5"/>
      <c r="AS146" s="5"/>
      <c r="AT146" s="5"/>
      <c r="AU146" s="5"/>
      <c r="AV146" s="5"/>
      <c r="AW146" s="5"/>
      <c r="AX146" s="5"/>
      <c r="AY146" s="5"/>
    </row>
    <row r="147" spans="1:51" ht="28.5" customHeight="1" x14ac:dyDescent="0.25">
      <c r="A147" s="5"/>
      <c r="B147" s="5"/>
      <c r="C147" s="5"/>
      <c r="D147" s="5"/>
      <c r="E147" s="5"/>
      <c r="F147" s="5"/>
      <c r="G147" s="5"/>
      <c r="H147" s="5"/>
      <c r="I147" s="5"/>
      <c r="J147" s="26"/>
      <c r="K147" s="26"/>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c r="AK147" s="26"/>
      <c r="AL147" s="26"/>
      <c r="AM147" s="5"/>
      <c r="AN147" s="5"/>
      <c r="AO147" s="5"/>
      <c r="AP147" s="5"/>
      <c r="AQ147" s="5"/>
      <c r="AR147" s="5"/>
      <c r="AS147" s="5"/>
      <c r="AT147" s="5"/>
      <c r="AU147" s="5"/>
      <c r="AV147" s="5"/>
      <c r="AW147" s="5"/>
      <c r="AX147" s="5"/>
      <c r="AY147" s="5"/>
    </row>
    <row r="148" spans="1:51" ht="28.5" customHeight="1" x14ac:dyDescent="0.25">
      <c r="A148" s="5"/>
      <c r="B148" s="5"/>
      <c r="C148" s="5"/>
      <c r="D148" s="5"/>
      <c r="E148" s="5"/>
      <c r="F148" s="5"/>
      <c r="G148" s="5"/>
      <c r="H148" s="5"/>
      <c r="I148" s="5"/>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5"/>
      <c r="AN148" s="5"/>
      <c r="AO148" s="5"/>
      <c r="AP148" s="5"/>
      <c r="AQ148" s="5"/>
      <c r="AR148" s="5"/>
      <c r="AS148" s="5"/>
      <c r="AT148" s="5"/>
      <c r="AU148" s="5"/>
      <c r="AV148" s="5"/>
      <c r="AW148" s="5"/>
      <c r="AX148" s="5"/>
      <c r="AY148" s="5"/>
    </row>
    <row r="149" spans="1:51" ht="28.5" customHeight="1" x14ac:dyDescent="0.25">
      <c r="A149" s="5"/>
      <c r="B149" s="5"/>
      <c r="C149" s="5"/>
      <c r="D149" s="5"/>
      <c r="E149" s="5"/>
      <c r="F149" s="5"/>
      <c r="G149" s="5"/>
      <c r="H149" s="5"/>
      <c r="I149" s="5"/>
      <c r="J149" s="26"/>
      <c r="K149" s="26"/>
      <c r="L149" s="26"/>
      <c r="M149" s="26"/>
      <c r="N149" s="26"/>
      <c r="O149" s="26"/>
      <c r="P149" s="26"/>
      <c r="Q149" s="26"/>
      <c r="R149" s="26"/>
      <c r="S149" s="26"/>
      <c r="T149" s="26"/>
      <c r="U149" s="26"/>
      <c r="V149" s="26"/>
      <c r="W149" s="26"/>
      <c r="X149" s="26"/>
      <c r="Y149" s="26"/>
      <c r="Z149" s="26"/>
      <c r="AA149" s="26"/>
      <c r="AB149" s="26"/>
      <c r="AC149" s="26"/>
      <c r="AD149" s="26"/>
      <c r="AE149" s="26"/>
      <c r="AF149" s="26"/>
      <c r="AG149" s="26"/>
      <c r="AH149" s="26"/>
      <c r="AI149" s="26"/>
      <c r="AJ149" s="26"/>
      <c r="AK149" s="26"/>
      <c r="AL149" s="26"/>
      <c r="AM149" s="5"/>
      <c r="AN149" s="5"/>
      <c r="AO149" s="5"/>
      <c r="AP149" s="5"/>
      <c r="AQ149" s="5"/>
      <c r="AR149" s="5"/>
      <c r="AS149" s="5"/>
      <c r="AT149" s="5"/>
      <c r="AU149" s="5"/>
      <c r="AV149" s="5"/>
      <c r="AW149" s="5"/>
      <c r="AX149" s="5"/>
      <c r="AY149" s="5"/>
    </row>
    <row r="150" spans="1:51" ht="28.5" customHeight="1" x14ac:dyDescent="0.25">
      <c r="A150" s="5"/>
      <c r="B150" s="5"/>
      <c r="C150" s="5"/>
      <c r="D150" s="5"/>
      <c r="E150" s="5"/>
      <c r="F150" s="5"/>
      <c r="G150" s="5"/>
      <c r="H150" s="5"/>
      <c r="I150" s="5"/>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6"/>
      <c r="AL150" s="26"/>
      <c r="AM150" s="5"/>
      <c r="AN150" s="5"/>
      <c r="AO150" s="5"/>
      <c r="AP150" s="5"/>
      <c r="AQ150" s="5"/>
      <c r="AR150" s="5"/>
      <c r="AS150" s="5"/>
      <c r="AT150" s="5"/>
      <c r="AU150" s="5"/>
      <c r="AV150" s="5"/>
      <c r="AW150" s="5"/>
      <c r="AX150" s="5"/>
      <c r="AY150" s="5"/>
    </row>
    <row r="151" spans="1:51" ht="28.5" customHeight="1" x14ac:dyDescent="0.25">
      <c r="A151" s="5"/>
      <c r="B151" s="5"/>
      <c r="C151" s="5"/>
      <c r="D151" s="5"/>
      <c r="E151" s="5"/>
      <c r="F151" s="5"/>
      <c r="G151" s="5"/>
      <c r="H151" s="5"/>
      <c r="I151" s="5"/>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6"/>
      <c r="AL151" s="26"/>
      <c r="AM151" s="5"/>
      <c r="AN151" s="5"/>
      <c r="AO151" s="5"/>
      <c r="AP151" s="5"/>
      <c r="AQ151" s="5"/>
      <c r="AR151" s="5"/>
      <c r="AS151" s="5"/>
      <c r="AT151" s="5"/>
      <c r="AU151" s="5"/>
      <c r="AV151" s="5"/>
      <c r="AW151" s="5"/>
      <c r="AX151" s="5"/>
      <c r="AY151" s="5"/>
    </row>
    <row r="152" spans="1:51" ht="28.5" customHeight="1" x14ac:dyDescent="0.25">
      <c r="A152" s="5"/>
      <c r="B152" s="5"/>
      <c r="C152" s="5"/>
      <c r="D152" s="5"/>
      <c r="E152" s="5"/>
      <c r="F152" s="5"/>
      <c r="G152" s="5"/>
      <c r="H152" s="5"/>
      <c r="I152" s="5"/>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c r="AL152" s="26"/>
      <c r="AM152" s="5"/>
      <c r="AN152" s="5"/>
      <c r="AO152" s="5"/>
      <c r="AP152" s="5"/>
      <c r="AQ152" s="5"/>
      <c r="AR152" s="5"/>
      <c r="AS152" s="5"/>
      <c r="AT152" s="5"/>
      <c r="AU152" s="5"/>
      <c r="AV152" s="5"/>
      <c r="AW152" s="5"/>
      <c r="AX152" s="5"/>
      <c r="AY152" s="5"/>
    </row>
    <row r="153" spans="1:51" ht="28.5" customHeight="1" x14ac:dyDescent="0.25">
      <c r="A153" s="5"/>
      <c r="B153" s="5"/>
      <c r="C153" s="5"/>
      <c r="D153" s="5"/>
      <c r="E153" s="5"/>
      <c r="F153" s="5"/>
      <c r="G153" s="5"/>
      <c r="H153" s="5"/>
      <c r="I153" s="5"/>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c r="AL153" s="26"/>
      <c r="AM153" s="5"/>
      <c r="AN153" s="5"/>
      <c r="AO153" s="5"/>
      <c r="AP153" s="5"/>
      <c r="AQ153" s="5"/>
      <c r="AR153" s="5"/>
      <c r="AS153" s="5"/>
      <c r="AT153" s="5"/>
      <c r="AU153" s="5"/>
      <c r="AV153" s="5"/>
      <c r="AW153" s="5"/>
      <c r="AX153" s="5"/>
      <c r="AY153" s="5"/>
    </row>
    <row r="154" spans="1:51" ht="28.5" customHeight="1" x14ac:dyDescent="0.25">
      <c r="A154" s="5"/>
      <c r="B154" s="5"/>
      <c r="C154" s="5"/>
      <c r="D154" s="5"/>
      <c r="E154" s="5"/>
      <c r="F154" s="5"/>
      <c r="G154" s="5"/>
      <c r="H154" s="5"/>
      <c r="I154" s="5"/>
      <c r="J154" s="26"/>
      <c r="K154" s="26"/>
      <c r="L154" s="26"/>
      <c r="M154" s="26"/>
      <c r="N154" s="26"/>
      <c r="O154" s="26"/>
      <c r="P154" s="26"/>
      <c r="Q154" s="26"/>
      <c r="R154" s="26"/>
      <c r="S154" s="26"/>
      <c r="T154" s="26"/>
      <c r="U154" s="26"/>
      <c r="V154" s="26"/>
      <c r="W154" s="26"/>
      <c r="X154" s="26"/>
      <c r="Y154" s="26"/>
      <c r="Z154" s="26"/>
      <c r="AA154" s="26"/>
      <c r="AB154" s="26"/>
      <c r="AC154" s="26"/>
      <c r="AD154" s="26"/>
      <c r="AE154" s="26"/>
      <c r="AF154" s="26"/>
      <c r="AG154" s="26"/>
      <c r="AH154" s="26"/>
      <c r="AI154" s="26"/>
      <c r="AJ154" s="26"/>
      <c r="AK154" s="26"/>
      <c r="AL154" s="26"/>
      <c r="AM154" s="5"/>
      <c r="AN154" s="5"/>
      <c r="AO154" s="5"/>
      <c r="AP154" s="5"/>
      <c r="AQ154" s="5"/>
      <c r="AR154" s="5"/>
      <c r="AS154" s="5"/>
      <c r="AT154" s="5"/>
      <c r="AU154" s="5"/>
      <c r="AV154" s="5"/>
      <c r="AW154" s="5"/>
      <c r="AX154" s="5"/>
      <c r="AY154" s="5"/>
    </row>
    <row r="155" spans="1:51" ht="28.5" customHeight="1" x14ac:dyDescent="0.25">
      <c r="A155" s="5"/>
      <c r="B155" s="5"/>
      <c r="C155" s="5"/>
      <c r="D155" s="5"/>
      <c r="E155" s="5"/>
      <c r="F155" s="5"/>
      <c r="G155" s="5"/>
      <c r="H155" s="5"/>
      <c r="I155" s="5"/>
      <c r="J155" s="26"/>
      <c r="K155" s="26"/>
      <c r="L155" s="26"/>
      <c r="M155" s="26"/>
      <c r="N155" s="26"/>
      <c r="O155" s="26"/>
      <c r="P155" s="26"/>
      <c r="Q155" s="26"/>
      <c r="R155" s="26"/>
      <c r="S155" s="26"/>
      <c r="T155" s="26"/>
      <c r="U155" s="26"/>
      <c r="V155" s="26"/>
      <c r="W155" s="26"/>
      <c r="X155" s="26"/>
      <c r="Y155" s="26"/>
      <c r="Z155" s="26"/>
      <c r="AA155" s="26"/>
      <c r="AB155" s="26"/>
      <c r="AC155" s="26"/>
      <c r="AD155" s="26"/>
      <c r="AE155" s="26"/>
      <c r="AF155" s="26"/>
      <c r="AG155" s="26"/>
      <c r="AH155" s="26"/>
      <c r="AI155" s="26"/>
      <c r="AJ155" s="26"/>
      <c r="AK155" s="26"/>
      <c r="AL155" s="26"/>
      <c r="AM155" s="5"/>
      <c r="AN155" s="5"/>
      <c r="AO155" s="5"/>
      <c r="AP155" s="5"/>
      <c r="AQ155" s="5"/>
      <c r="AR155" s="5"/>
      <c r="AS155" s="5"/>
      <c r="AT155" s="5"/>
      <c r="AU155" s="5"/>
      <c r="AV155" s="5"/>
      <c r="AW155" s="5"/>
      <c r="AX155" s="5"/>
      <c r="AY155" s="5"/>
    </row>
    <row r="156" spans="1:51" ht="28.5" customHeight="1" x14ac:dyDescent="0.25">
      <c r="A156" s="5"/>
      <c r="B156" s="5"/>
      <c r="C156" s="5"/>
      <c r="D156" s="5"/>
      <c r="E156" s="5"/>
      <c r="F156" s="5"/>
      <c r="G156" s="5"/>
      <c r="H156" s="5"/>
      <c r="I156" s="5"/>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5"/>
      <c r="AN156" s="5"/>
      <c r="AO156" s="5"/>
      <c r="AP156" s="5"/>
      <c r="AQ156" s="5"/>
      <c r="AR156" s="5"/>
      <c r="AS156" s="5"/>
      <c r="AT156" s="5"/>
      <c r="AU156" s="5"/>
      <c r="AV156" s="5"/>
      <c r="AW156" s="5"/>
      <c r="AX156" s="5"/>
      <c r="AY156" s="5"/>
    </row>
    <row r="157" spans="1:51" ht="28.5" customHeight="1" x14ac:dyDescent="0.25">
      <c r="A157" s="5"/>
      <c r="B157" s="5"/>
      <c r="C157" s="5"/>
      <c r="D157" s="5"/>
      <c r="E157" s="5"/>
      <c r="F157" s="5"/>
      <c r="G157" s="5"/>
      <c r="H157" s="5"/>
      <c r="I157" s="5"/>
      <c r="J157" s="26"/>
      <c r="K157" s="26"/>
      <c r="L157" s="26"/>
      <c r="M157" s="26"/>
      <c r="N157" s="26"/>
      <c r="O157" s="26"/>
      <c r="P157" s="26"/>
      <c r="Q157" s="26"/>
      <c r="R157" s="26"/>
      <c r="S157" s="26"/>
      <c r="T157" s="26"/>
      <c r="U157" s="26"/>
      <c r="V157" s="26"/>
      <c r="W157" s="26"/>
      <c r="X157" s="26"/>
      <c r="Y157" s="26"/>
      <c r="Z157" s="26"/>
      <c r="AA157" s="26"/>
      <c r="AB157" s="26"/>
      <c r="AC157" s="26"/>
      <c r="AD157" s="26"/>
      <c r="AE157" s="26"/>
      <c r="AF157" s="26"/>
      <c r="AG157" s="26"/>
      <c r="AH157" s="26"/>
      <c r="AI157" s="26"/>
      <c r="AJ157" s="26"/>
      <c r="AK157" s="26"/>
      <c r="AL157" s="26"/>
      <c r="AM157" s="5"/>
      <c r="AN157" s="5"/>
      <c r="AO157" s="5"/>
      <c r="AP157" s="5"/>
      <c r="AQ157" s="5"/>
      <c r="AR157" s="5"/>
      <c r="AS157" s="5"/>
      <c r="AT157" s="5"/>
      <c r="AU157" s="5"/>
      <c r="AV157" s="5"/>
      <c r="AW157" s="5"/>
      <c r="AX157" s="5"/>
      <c r="AY157" s="5"/>
    </row>
    <row r="158" spans="1:51" ht="28.5" customHeight="1" x14ac:dyDescent="0.25">
      <c r="A158" s="5"/>
      <c r="B158" s="5"/>
      <c r="C158" s="5"/>
      <c r="D158" s="5"/>
      <c r="E158" s="5"/>
      <c r="F158" s="5"/>
      <c r="G158" s="5"/>
      <c r="H158" s="5"/>
      <c r="I158" s="5"/>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c r="AK158" s="26"/>
      <c r="AL158" s="26"/>
      <c r="AM158" s="5"/>
      <c r="AN158" s="5"/>
      <c r="AO158" s="5"/>
      <c r="AP158" s="5"/>
      <c r="AQ158" s="5"/>
      <c r="AR158" s="5"/>
      <c r="AS158" s="5"/>
      <c r="AT158" s="5"/>
      <c r="AU158" s="5"/>
      <c r="AV158" s="5"/>
      <c r="AW158" s="5"/>
      <c r="AX158" s="5"/>
      <c r="AY158" s="5"/>
    </row>
    <row r="159" spans="1:51" ht="28.5" customHeight="1" x14ac:dyDescent="0.25">
      <c r="A159" s="5"/>
      <c r="B159" s="5"/>
      <c r="C159" s="5"/>
      <c r="D159" s="5"/>
      <c r="E159" s="5"/>
      <c r="F159" s="5"/>
      <c r="G159" s="5"/>
      <c r="H159" s="5"/>
      <c r="I159" s="5"/>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c r="AM159" s="5"/>
      <c r="AN159" s="5"/>
      <c r="AO159" s="5"/>
      <c r="AP159" s="5"/>
      <c r="AQ159" s="5"/>
      <c r="AR159" s="5"/>
      <c r="AS159" s="5"/>
      <c r="AT159" s="5"/>
      <c r="AU159" s="5"/>
      <c r="AV159" s="5"/>
      <c r="AW159" s="5"/>
      <c r="AX159" s="5"/>
      <c r="AY159" s="5"/>
    </row>
    <row r="160" spans="1:51" ht="28.5" customHeight="1" x14ac:dyDescent="0.25">
      <c r="A160" s="5"/>
      <c r="B160" s="5"/>
      <c r="C160" s="5"/>
      <c r="D160" s="5"/>
      <c r="E160" s="5"/>
      <c r="F160" s="5"/>
      <c r="G160" s="5"/>
      <c r="H160" s="5"/>
      <c r="I160" s="5"/>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c r="AK160" s="26"/>
      <c r="AL160" s="26"/>
      <c r="AM160" s="5"/>
      <c r="AN160" s="5"/>
      <c r="AO160" s="5"/>
      <c r="AP160" s="5"/>
      <c r="AQ160" s="5"/>
      <c r="AR160" s="5"/>
      <c r="AS160" s="5"/>
      <c r="AT160" s="5"/>
      <c r="AU160" s="5"/>
      <c r="AV160" s="5"/>
      <c r="AW160" s="5"/>
      <c r="AX160" s="5"/>
      <c r="AY160" s="5"/>
    </row>
    <row r="161" spans="1:51" ht="28.5" customHeight="1" x14ac:dyDescent="0.25">
      <c r="A161" s="5"/>
      <c r="B161" s="5"/>
      <c r="C161" s="5"/>
      <c r="D161" s="5"/>
      <c r="E161" s="5"/>
      <c r="F161" s="5"/>
      <c r="G161" s="5"/>
      <c r="H161" s="5"/>
      <c r="I161" s="5"/>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5"/>
      <c r="AN161" s="5"/>
      <c r="AO161" s="5"/>
      <c r="AP161" s="5"/>
      <c r="AQ161" s="5"/>
      <c r="AR161" s="5"/>
      <c r="AS161" s="5"/>
      <c r="AT161" s="5"/>
      <c r="AU161" s="5"/>
      <c r="AV161" s="5"/>
      <c r="AW161" s="5"/>
      <c r="AX161" s="5"/>
      <c r="AY161" s="5"/>
    </row>
    <row r="162" spans="1:51" ht="28.5" customHeight="1" x14ac:dyDescent="0.25">
      <c r="A162" s="5"/>
      <c r="B162" s="5"/>
      <c r="C162" s="5"/>
      <c r="D162" s="5"/>
      <c r="E162" s="5"/>
      <c r="F162" s="5"/>
      <c r="G162" s="5"/>
      <c r="H162" s="5"/>
      <c r="I162" s="5"/>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c r="AL162" s="26"/>
      <c r="AM162" s="5"/>
      <c r="AN162" s="5"/>
      <c r="AO162" s="5"/>
      <c r="AP162" s="5"/>
      <c r="AQ162" s="5"/>
      <c r="AR162" s="5"/>
      <c r="AS162" s="5"/>
      <c r="AT162" s="5"/>
      <c r="AU162" s="5"/>
      <c r="AV162" s="5"/>
      <c r="AW162" s="5"/>
      <c r="AX162" s="5"/>
      <c r="AY162" s="5"/>
    </row>
    <row r="163" spans="1:51" ht="28.5" customHeight="1" x14ac:dyDescent="0.25">
      <c r="A163" s="5"/>
      <c r="B163" s="5"/>
      <c r="C163" s="5"/>
      <c r="D163" s="5"/>
      <c r="E163" s="5"/>
      <c r="F163" s="5"/>
      <c r="G163" s="5"/>
      <c r="H163" s="5"/>
      <c r="I163" s="5"/>
      <c r="J163" s="26"/>
      <c r="K163" s="26"/>
      <c r="L163" s="26"/>
      <c r="M163" s="26"/>
      <c r="N163" s="26"/>
      <c r="O163" s="26"/>
      <c r="P163" s="26"/>
      <c r="Q163" s="26"/>
      <c r="R163" s="26"/>
      <c r="S163" s="26"/>
      <c r="T163" s="26"/>
      <c r="U163" s="26"/>
      <c r="V163" s="26"/>
      <c r="W163" s="26"/>
      <c r="X163" s="26"/>
      <c r="Y163" s="26"/>
      <c r="Z163" s="26"/>
      <c r="AA163" s="26"/>
      <c r="AB163" s="26"/>
      <c r="AC163" s="26"/>
      <c r="AD163" s="26"/>
      <c r="AE163" s="26"/>
      <c r="AF163" s="26"/>
      <c r="AG163" s="26"/>
      <c r="AH163" s="26"/>
      <c r="AI163" s="26"/>
      <c r="AJ163" s="26"/>
      <c r="AK163" s="26"/>
      <c r="AL163" s="26"/>
      <c r="AM163" s="5"/>
      <c r="AN163" s="5"/>
      <c r="AO163" s="5"/>
      <c r="AP163" s="5"/>
      <c r="AQ163" s="5"/>
      <c r="AR163" s="5"/>
      <c r="AS163" s="5"/>
      <c r="AT163" s="5"/>
      <c r="AU163" s="5"/>
      <c r="AV163" s="5"/>
      <c r="AW163" s="5"/>
      <c r="AX163" s="5"/>
      <c r="AY163" s="5"/>
    </row>
    <row r="164" spans="1:51" ht="28.5" customHeight="1" x14ac:dyDescent="0.25">
      <c r="A164" s="5"/>
      <c r="B164" s="5"/>
      <c r="C164" s="5"/>
      <c r="D164" s="5"/>
      <c r="E164" s="5"/>
      <c r="F164" s="5"/>
      <c r="G164" s="5"/>
      <c r="H164" s="5"/>
      <c r="I164" s="5"/>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26"/>
      <c r="AL164" s="26"/>
      <c r="AM164" s="5"/>
      <c r="AN164" s="5"/>
      <c r="AO164" s="5"/>
      <c r="AP164" s="5"/>
      <c r="AQ164" s="5"/>
      <c r="AR164" s="5"/>
      <c r="AS164" s="5"/>
      <c r="AT164" s="5"/>
      <c r="AU164" s="5"/>
      <c r="AV164" s="5"/>
      <c r="AW164" s="5"/>
      <c r="AX164" s="5"/>
      <c r="AY164" s="5"/>
    </row>
    <row r="165" spans="1:51" ht="28.5" customHeight="1" x14ac:dyDescent="0.25">
      <c r="A165" s="5"/>
      <c r="B165" s="5"/>
      <c r="C165" s="5"/>
      <c r="D165" s="5"/>
      <c r="E165" s="5"/>
      <c r="F165" s="5"/>
      <c r="G165" s="5"/>
      <c r="H165" s="5"/>
      <c r="I165" s="5"/>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c r="AK165" s="26"/>
      <c r="AL165" s="26"/>
      <c r="AM165" s="5"/>
      <c r="AN165" s="5"/>
      <c r="AO165" s="5"/>
      <c r="AP165" s="5"/>
      <c r="AQ165" s="5"/>
      <c r="AR165" s="5"/>
      <c r="AS165" s="5"/>
      <c r="AT165" s="5"/>
      <c r="AU165" s="5"/>
      <c r="AV165" s="5"/>
      <c r="AW165" s="5"/>
      <c r="AX165" s="5"/>
      <c r="AY165" s="5"/>
    </row>
    <row r="166" spans="1:51" ht="28.5" customHeight="1" x14ac:dyDescent="0.25">
      <c r="A166" s="5"/>
      <c r="B166" s="5"/>
      <c r="C166" s="5"/>
      <c r="D166" s="5"/>
      <c r="E166" s="5"/>
      <c r="F166" s="5"/>
      <c r="G166" s="5"/>
      <c r="H166" s="5"/>
      <c r="I166" s="5"/>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5"/>
      <c r="AN166" s="5"/>
      <c r="AO166" s="5"/>
      <c r="AP166" s="5"/>
      <c r="AQ166" s="5"/>
      <c r="AR166" s="5"/>
      <c r="AS166" s="5"/>
      <c r="AT166" s="5"/>
      <c r="AU166" s="5"/>
      <c r="AV166" s="5"/>
      <c r="AW166" s="5"/>
      <c r="AX166" s="5"/>
      <c r="AY166" s="5"/>
    </row>
    <row r="167" spans="1:51" ht="28.5" customHeight="1" x14ac:dyDescent="0.25">
      <c r="A167" s="5"/>
      <c r="B167" s="5"/>
      <c r="C167" s="5"/>
      <c r="D167" s="5"/>
      <c r="E167" s="5"/>
      <c r="F167" s="5"/>
      <c r="G167" s="5"/>
      <c r="H167" s="5"/>
      <c r="I167" s="5"/>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c r="AM167" s="5"/>
      <c r="AN167" s="5"/>
      <c r="AO167" s="5"/>
      <c r="AP167" s="5"/>
      <c r="AQ167" s="5"/>
      <c r="AR167" s="5"/>
      <c r="AS167" s="5"/>
      <c r="AT167" s="5"/>
      <c r="AU167" s="5"/>
      <c r="AV167" s="5"/>
      <c r="AW167" s="5"/>
      <c r="AX167" s="5"/>
      <c r="AY167" s="5"/>
    </row>
    <row r="168" spans="1:51" ht="28.5" customHeight="1" x14ac:dyDescent="0.25">
      <c r="A168" s="5"/>
      <c r="B168" s="5"/>
      <c r="C168" s="5"/>
      <c r="D168" s="5"/>
      <c r="E168" s="5"/>
      <c r="F168" s="5"/>
      <c r="G168" s="5"/>
      <c r="H168" s="5"/>
      <c r="I168" s="5"/>
      <c r="J168" s="26"/>
      <c r="K168" s="26"/>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c r="AL168" s="26"/>
      <c r="AM168" s="5"/>
      <c r="AN168" s="5"/>
      <c r="AO168" s="5"/>
      <c r="AP168" s="5"/>
      <c r="AQ168" s="5"/>
      <c r="AR168" s="5"/>
      <c r="AS168" s="5"/>
      <c r="AT168" s="5"/>
      <c r="AU168" s="5"/>
      <c r="AV168" s="5"/>
      <c r="AW168" s="5"/>
      <c r="AX168" s="5"/>
      <c r="AY168" s="5"/>
    </row>
    <row r="169" spans="1:51" ht="28.5" customHeight="1" x14ac:dyDescent="0.25">
      <c r="A169" s="5"/>
      <c r="B169" s="5"/>
      <c r="C169" s="5"/>
      <c r="D169" s="5"/>
      <c r="E169" s="5"/>
      <c r="F169" s="5"/>
      <c r="G169" s="5"/>
      <c r="H169" s="5"/>
      <c r="I169" s="5"/>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c r="AM169" s="5"/>
      <c r="AN169" s="5"/>
      <c r="AO169" s="5"/>
      <c r="AP169" s="5"/>
      <c r="AQ169" s="5"/>
      <c r="AR169" s="5"/>
      <c r="AS169" s="5"/>
      <c r="AT169" s="5"/>
      <c r="AU169" s="5"/>
      <c r="AV169" s="5"/>
      <c r="AW169" s="5"/>
      <c r="AX169" s="5"/>
      <c r="AY169" s="5"/>
    </row>
    <row r="170" spans="1:51" ht="28.5" customHeight="1" x14ac:dyDescent="0.25">
      <c r="A170" s="5"/>
      <c r="B170" s="5"/>
      <c r="C170" s="5"/>
      <c r="D170" s="5"/>
      <c r="E170" s="5"/>
      <c r="F170" s="5"/>
      <c r="G170" s="5"/>
      <c r="H170" s="5"/>
      <c r="I170" s="5"/>
      <c r="J170" s="26"/>
      <c r="K170" s="26"/>
      <c r="L170" s="26"/>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c r="AM170" s="5"/>
      <c r="AN170" s="5"/>
      <c r="AO170" s="5"/>
      <c r="AP170" s="5"/>
      <c r="AQ170" s="5"/>
      <c r="AR170" s="5"/>
      <c r="AS170" s="5"/>
      <c r="AT170" s="5"/>
      <c r="AU170" s="5"/>
      <c r="AV170" s="5"/>
      <c r="AW170" s="5"/>
      <c r="AX170" s="5"/>
      <c r="AY170" s="5"/>
    </row>
    <row r="171" spans="1:51" ht="28.5" customHeight="1" x14ac:dyDescent="0.25">
      <c r="A171" s="5"/>
      <c r="B171" s="5"/>
      <c r="C171" s="5"/>
      <c r="D171" s="5"/>
      <c r="E171" s="5"/>
      <c r="F171" s="5"/>
      <c r="G171" s="5"/>
      <c r="H171" s="5"/>
      <c r="I171" s="5"/>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c r="AL171" s="26"/>
      <c r="AM171" s="5"/>
      <c r="AN171" s="5"/>
      <c r="AO171" s="5"/>
      <c r="AP171" s="5"/>
      <c r="AQ171" s="5"/>
      <c r="AR171" s="5"/>
      <c r="AS171" s="5"/>
      <c r="AT171" s="5"/>
      <c r="AU171" s="5"/>
      <c r="AV171" s="5"/>
      <c r="AW171" s="5"/>
      <c r="AX171" s="5"/>
      <c r="AY171" s="5"/>
    </row>
    <row r="172" spans="1:51" ht="28.5" customHeight="1" x14ac:dyDescent="0.25">
      <c r="A172" s="5"/>
      <c r="B172" s="5"/>
      <c r="C172" s="5"/>
      <c r="D172" s="5"/>
      <c r="E172" s="5"/>
      <c r="F172" s="5"/>
      <c r="G172" s="5"/>
      <c r="H172" s="5"/>
      <c r="I172" s="5"/>
      <c r="J172" s="26"/>
      <c r="K172" s="26"/>
      <c r="L172" s="26"/>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c r="AK172" s="26"/>
      <c r="AL172" s="26"/>
      <c r="AM172" s="5"/>
      <c r="AN172" s="5"/>
      <c r="AO172" s="5"/>
      <c r="AP172" s="5"/>
      <c r="AQ172" s="5"/>
      <c r="AR172" s="5"/>
      <c r="AS172" s="5"/>
      <c r="AT172" s="5"/>
      <c r="AU172" s="5"/>
      <c r="AV172" s="5"/>
      <c r="AW172" s="5"/>
      <c r="AX172" s="5"/>
      <c r="AY172" s="5"/>
    </row>
    <row r="173" spans="1:51" ht="28.5" customHeight="1" x14ac:dyDescent="0.25">
      <c r="A173" s="5"/>
      <c r="B173" s="5"/>
      <c r="C173" s="5"/>
      <c r="D173" s="5"/>
      <c r="E173" s="5"/>
      <c r="F173" s="5"/>
      <c r="G173" s="5"/>
      <c r="H173" s="5"/>
      <c r="I173" s="5"/>
      <c r="J173" s="26"/>
      <c r="K173" s="26"/>
      <c r="L173" s="26"/>
      <c r="M173" s="26"/>
      <c r="N173" s="26"/>
      <c r="O173" s="26"/>
      <c r="P173" s="26"/>
      <c r="Q173" s="26"/>
      <c r="R173" s="26"/>
      <c r="S173" s="26"/>
      <c r="T173" s="26"/>
      <c r="U173" s="26"/>
      <c r="V173" s="26"/>
      <c r="W173" s="26"/>
      <c r="X173" s="26"/>
      <c r="Y173" s="26"/>
      <c r="Z173" s="26"/>
      <c r="AA173" s="26"/>
      <c r="AB173" s="26"/>
      <c r="AC173" s="26"/>
      <c r="AD173" s="26"/>
      <c r="AE173" s="26"/>
      <c r="AF173" s="26"/>
      <c r="AG173" s="26"/>
      <c r="AH173" s="26"/>
      <c r="AI173" s="26"/>
      <c r="AJ173" s="26"/>
      <c r="AK173" s="26"/>
      <c r="AL173" s="26"/>
      <c r="AM173" s="5"/>
      <c r="AN173" s="5"/>
      <c r="AO173" s="5"/>
      <c r="AP173" s="5"/>
      <c r="AQ173" s="5"/>
      <c r="AR173" s="5"/>
      <c r="AS173" s="5"/>
      <c r="AT173" s="5"/>
      <c r="AU173" s="5"/>
      <c r="AV173" s="5"/>
      <c r="AW173" s="5"/>
      <c r="AX173" s="5"/>
      <c r="AY173" s="5"/>
    </row>
    <row r="174" spans="1:51" ht="28.5" customHeight="1" x14ac:dyDescent="0.25">
      <c r="A174" s="5"/>
      <c r="B174" s="5"/>
      <c r="C174" s="5"/>
      <c r="D174" s="5"/>
      <c r="E174" s="5"/>
      <c r="F174" s="5"/>
      <c r="G174" s="5"/>
      <c r="H174" s="5"/>
      <c r="I174" s="5"/>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c r="AL174" s="26"/>
      <c r="AM174" s="5"/>
      <c r="AN174" s="5"/>
      <c r="AO174" s="5"/>
      <c r="AP174" s="5"/>
      <c r="AQ174" s="5"/>
      <c r="AR174" s="5"/>
      <c r="AS174" s="5"/>
      <c r="AT174" s="5"/>
      <c r="AU174" s="5"/>
      <c r="AV174" s="5"/>
      <c r="AW174" s="5"/>
      <c r="AX174" s="5"/>
      <c r="AY174" s="5"/>
    </row>
    <row r="175" spans="1:51" ht="28.5" customHeight="1" x14ac:dyDescent="0.25">
      <c r="A175" s="5"/>
      <c r="B175" s="5"/>
      <c r="C175" s="5"/>
      <c r="D175" s="5"/>
      <c r="E175" s="5"/>
      <c r="F175" s="5"/>
      <c r="G175" s="5"/>
      <c r="H175" s="5"/>
      <c r="I175" s="5"/>
      <c r="J175" s="26"/>
      <c r="K175" s="26"/>
      <c r="L175" s="26"/>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c r="AK175" s="26"/>
      <c r="AL175" s="26"/>
      <c r="AM175" s="5"/>
      <c r="AN175" s="5"/>
      <c r="AO175" s="5"/>
      <c r="AP175" s="5"/>
      <c r="AQ175" s="5"/>
      <c r="AR175" s="5"/>
      <c r="AS175" s="5"/>
      <c r="AT175" s="5"/>
      <c r="AU175" s="5"/>
      <c r="AV175" s="5"/>
      <c r="AW175" s="5"/>
      <c r="AX175" s="5"/>
      <c r="AY175" s="5"/>
    </row>
    <row r="176" spans="1:51" ht="28.5" customHeight="1" x14ac:dyDescent="0.25">
      <c r="A176" s="5"/>
      <c r="B176" s="5"/>
      <c r="C176" s="5"/>
      <c r="D176" s="5"/>
      <c r="E176" s="5"/>
      <c r="F176" s="5"/>
      <c r="G176" s="5"/>
      <c r="H176" s="5"/>
      <c r="I176" s="5"/>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5"/>
      <c r="AN176" s="5"/>
      <c r="AO176" s="5"/>
      <c r="AP176" s="5"/>
      <c r="AQ176" s="5"/>
      <c r="AR176" s="5"/>
      <c r="AS176" s="5"/>
      <c r="AT176" s="5"/>
      <c r="AU176" s="5"/>
      <c r="AV176" s="5"/>
      <c r="AW176" s="5"/>
      <c r="AX176" s="5"/>
      <c r="AY176" s="5"/>
    </row>
    <row r="177" spans="1:51" ht="28.5" customHeight="1" x14ac:dyDescent="0.25">
      <c r="A177" s="5"/>
      <c r="B177" s="5"/>
      <c r="C177" s="5"/>
      <c r="D177" s="5"/>
      <c r="E177" s="5"/>
      <c r="F177" s="5"/>
      <c r="G177" s="5"/>
      <c r="H177" s="5"/>
      <c r="I177" s="5"/>
      <c r="J177" s="26"/>
      <c r="K177" s="26"/>
      <c r="L177" s="26"/>
      <c r="M177" s="26"/>
      <c r="N177" s="26"/>
      <c r="O177" s="26"/>
      <c r="P177" s="26"/>
      <c r="Q177" s="26"/>
      <c r="R177" s="26"/>
      <c r="S177" s="26"/>
      <c r="T177" s="26"/>
      <c r="U177" s="26"/>
      <c r="V177" s="26"/>
      <c r="W177" s="26"/>
      <c r="X177" s="26"/>
      <c r="Y177" s="26"/>
      <c r="Z177" s="26"/>
      <c r="AA177" s="26"/>
      <c r="AB177" s="26"/>
      <c r="AC177" s="26"/>
      <c r="AD177" s="26"/>
      <c r="AE177" s="26"/>
      <c r="AF177" s="26"/>
      <c r="AG177" s="26"/>
      <c r="AH177" s="26"/>
      <c r="AI177" s="26"/>
      <c r="AJ177" s="26"/>
      <c r="AK177" s="26"/>
      <c r="AL177" s="26"/>
      <c r="AM177" s="5"/>
      <c r="AN177" s="5"/>
      <c r="AO177" s="5"/>
      <c r="AP177" s="5"/>
      <c r="AQ177" s="5"/>
      <c r="AR177" s="5"/>
      <c r="AS177" s="5"/>
      <c r="AT177" s="5"/>
      <c r="AU177" s="5"/>
      <c r="AV177" s="5"/>
      <c r="AW177" s="5"/>
      <c r="AX177" s="5"/>
      <c r="AY177" s="5"/>
    </row>
    <row r="178" spans="1:51" ht="28.5" customHeight="1" x14ac:dyDescent="0.25">
      <c r="A178" s="5"/>
      <c r="B178" s="5"/>
      <c r="C178" s="5"/>
      <c r="D178" s="5"/>
      <c r="E178" s="5"/>
      <c r="F178" s="5"/>
      <c r="G178" s="5"/>
      <c r="H178" s="5"/>
      <c r="I178" s="5"/>
      <c r="J178" s="26"/>
      <c r="K178" s="26"/>
      <c r="L178" s="26"/>
      <c r="M178" s="26"/>
      <c r="N178" s="26"/>
      <c r="O178" s="26"/>
      <c r="P178" s="26"/>
      <c r="Q178" s="26"/>
      <c r="R178" s="26"/>
      <c r="S178" s="26"/>
      <c r="T178" s="26"/>
      <c r="U178" s="26"/>
      <c r="V178" s="26"/>
      <c r="W178" s="26"/>
      <c r="X178" s="26"/>
      <c r="Y178" s="26"/>
      <c r="Z178" s="26"/>
      <c r="AA178" s="26"/>
      <c r="AB178" s="26"/>
      <c r="AC178" s="26"/>
      <c r="AD178" s="26"/>
      <c r="AE178" s="26"/>
      <c r="AF178" s="26"/>
      <c r="AG178" s="26"/>
      <c r="AH178" s="26"/>
      <c r="AI178" s="26"/>
      <c r="AJ178" s="26"/>
      <c r="AK178" s="26"/>
      <c r="AL178" s="26"/>
      <c r="AM178" s="5"/>
      <c r="AN178" s="5"/>
      <c r="AO178" s="5"/>
      <c r="AP178" s="5"/>
      <c r="AQ178" s="5"/>
      <c r="AR178" s="5"/>
      <c r="AS178" s="5"/>
      <c r="AT178" s="5"/>
      <c r="AU178" s="5"/>
      <c r="AV178" s="5"/>
      <c r="AW178" s="5"/>
      <c r="AX178" s="5"/>
      <c r="AY178" s="5"/>
    </row>
    <row r="179" spans="1:51" ht="28.5" customHeight="1" x14ac:dyDescent="0.25">
      <c r="A179" s="5"/>
      <c r="B179" s="5"/>
      <c r="C179" s="5"/>
      <c r="D179" s="5"/>
      <c r="E179" s="5"/>
      <c r="F179" s="5"/>
      <c r="G179" s="5"/>
      <c r="H179" s="5"/>
      <c r="I179" s="5"/>
      <c r="J179" s="26"/>
      <c r="K179" s="26"/>
      <c r="L179" s="26"/>
      <c r="M179" s="26"/>
      <c r="N179" s="26"/>
      <c r="O179" s="26"/>
      <c r="P179" s="26"/>
      <c r="Q179" s="26"/>
      <c r="R179" s="26"/>
      <c r="S179" s="26"/>
      <c r="T179" s="26"/>
      <c r="U179" s="26"/>
      <c r="V179" s="26"/>
      <c r="W179" s="26"/>
      <c r="X179" s="26"/>
      <c r="Y179" s="26"/>
      <c r="Z179" s="26"/>
      <c r="AA179" s="26"/>
      <c r="AB179" s="26"/>
      <c r="AC179" s="26"/>
      <c r="AD179" s="26"/>
      <c r="AE179" s="26"/>
      <c r="AF179" s="26"/>
      <c r="AG179" s="26"/>
      <c r="AH179" s="26"/>
      <c r="AI179" s="26"/>
      <c r="AJ179" s="26"/>
      <c r="AK179" s="26"/>
      <c r="AL179" s="26"/>
      <c r="AM179" s="5"/>
      <c r="AN179" s="5"/>
      <c r="AO179" s="5"/>
      <c r="AP179" s="5"/>
      <c r="AQ179" s="5"/>
      <c r="AR179" s="5"/>
      <c r="AS179" s="5"/>
      <c r="AT179" s="5"/>
      <c r="AU179" s="5"/>
      <c r="AV179" s="5"/>
      <c r="AW179" s="5"/>
      <c r="AX179" s="5"/>
      <c r="AY179" s="5"/>
    </row>
    <row r="180" spans="1:51" ht="28.5" customHeight="1" x14ac:dyDescent="0.25">
      <c r="A180" s="5"/>
      <c r="B180" s="5"/>
      <c r="C180" s="5"/>
      <c r="D180" s="5"/>
      <c r="E180" s="5"/>
      <c r="F180" s="5"/>
      <c r="G180" s="5"/>
      <c r="H180" s="5"/>
      <c r="I180" s="5"/>
      <c r="J180" s="26"/>
      <c r="K180" s="26"/>
      <c r="L180" s="26"/>
      <c r="M180" s="26"/>
      <c r="N180" s="26"/>
      <c r="O180" s="26"/>
      <c r="P180" s="26"/>
      <c r="Q180" s="26"/>
      <c r="R180" s="26"/>
      <c r="S180" s="26"/>
      <c r="T180" s="26"/>
      <c r="U180" s="26"/>
      <c r="V180" s="26"/>
      <c r="W180" s="26"/>
      <c r="X180" s="26"/>
      <c r="Y180" s="26"/>
      <c r="Z180" s="26"/>
      <c r="AA180" s="26"/>
      <c r="AB180" s="26"/>
      <c r="AC180" s="26"/>
      <c r="AD180" s="26"/>
      <c r="AE180" s="26"/>
      <c r="AF180" s="26"/>
      <c r="AG180" s="26"/>
      <c r="AH180" s="26"/>
      <c r="AI180" s="26"/>
      <c r="AJ180" s="26"/>
      <c r="AK180" s="26"/>
      <c r="AL180" s="26"/>
      <c r="AM180" s="5"/>
      <c r="AN180" s="5"/>
      <c r="AO180" s="5"/>
      <c r="AP180" s="5"/>
      <c r="AQ180" s="5"/>
      <c r="AR180" s="5"/>
      <c r="AS180" s="5"/>
      <c r="AT180" s="5"/>
      <c r="AU180" s="5"/>
      <c r="AV180" s="5"/>
      <c r="AW180" s="5"/>
      <c r="AX180" s="5"/>
      <c r="AY180" s="5"/>
    </row>
    <row r="181" spans="1:51" ht="28.5" customHeight="1" x14ac:dyDescent="0.25">
      <c r="A181" s="5"/>
      <c r="B181" s="5"/>
      <c r="C181" s="5"/>
      <c r="D181" s="5"/>
      <c r="E181" s="5"/>
      <c r="F181" s="5"/>
      <c r="G181" s="5"/>
      <c r="H181" s="5"/>
      <c r="I181" s="5"/>
      <c r="J181" s="26"/>
      <c r="K181" s="26"/>
      <c r="L181" s="26"/>
      <c r="M181" s="26"/>
      <c r="N181" s="26"/>
      <c r="O181" s="26"/>
      <c r="P181" s="26"/>
      <c r="Q181" s="26"/>
      <c r="R181" s="26"/>
      <c r="S181" s="26"/>
      <c r="T181" s="26"/>
      <c r="U181" s="26"/>
      <c r="V181" s="26"/>
      <c r="W181" s="26"/>
      <c r="X181" s="26"/>
      <c r="Y181" s="26"/>
      <c r="Z181" s="26"/>
      <c r="AA181" s="26"/>
      <c r="AB181" s="26"/>
      <c r="AC181" s="26"/>
      <c r="AD181" s="26"/>
      <c r="AE181" s="26"/>
      <c r="AF181" s="26"/>
      <c r="AG181" s="26"/>
      <c r="AH181" s="26"/>
      <c r="AI181" s="26"/>
      <c r="AJ181" s="26"/>
      <c r="AK181" s="26"/>
      <c r="AL181" s="26"/>
      <c r="AM181" s="5"/>
      <c r="AN181" s="5"/>
      <c r="AO181" s="5"/>
      <c r="AP181" s="5"/>
      <c r="AQ181" s="5"/>
      <c r="AR181" s="5"/>
      <c r="AS181" s="5"/>
      <c r="AT181" s="5"/>
      <c r="AU181" s="5"/>
      <c r="AV181" s="5"/>
      <c r="AW181" s="5"/>
      <c r="AX181" s="5"/>
      <c r="AY181" s="5"/>
    </row>
    <row r="182" spans="1:51" ht="28.5" customHeight="1" x14ac:dyDescent="0.25">
      <c r="A182" s="5"/>
      <c r="B182" s="5"/>
      <c r="C182" s="5"/>
      <c r="D182" s="5"/>
      <c r="E182" s="5"/>
      <c r="F182" s="5"/>
      <c r="G182" s="5"/>
      <c r="H182" s="5"/>
      <c r="I182" s="5"/>
      <c r="J182" s="26"/>
      <c r="K182" s="26"/>
      <c r="L182" s="26"/>
      <c r="M182" s="26"/>
      <c r="N182" s="26"/>
      <c r="O182" s="26"/>
      <c r="P182" s="26"/>
      <c r="Q182" s="26"/>
      <c r="R182" s="26"/>
      <c r="S182" s="26"/>
      <c r="T182" s="26"/>
      <c r="U182" s="26"/>
      <c r="V182" s="26"/>
      <c r="W182" s="26"/>
      <c r="X182" s="26"/>
      <c r="Y182" s="26"/>
      <c r="Z182" s="26"/>
      <c r="AA182" s="26"/>
      <c r="AB182" s="26"/>
      <c r="AC182" s="26"/>
      <c r="AD182" s="26"/>
      <c r="AE182" s="26"/>
      <c r="AF182" s="26"/>
      <c r="AG182" s="26"/>
      <c r="AH182" s="26"/>
      <c r="AI182" s="26"/>
      <c r="AJ182" s="26"/>
      <c r="AK182" s="26"/>
      <c r="AL182" s="26"/>
      <c r="AM182" s="5"/>
      <c r="AN182" s="5"/>
      <c r="AO182" s="5"/>
      <c r="AP182" s="5"/>
      <c r="AQ182" s="5"/>
      <c r="AR182" s="5"/>
      <c r="AS182" s="5"/>
      <c r="AT182" s="5"/>
      <c r="AU182" s="5"/>
      <c r="AV182" s="5"/>
      <c r="AW182" s="5"/>
      <c r="AX182" s="5"/>
      <c r="AY182" s="5"/>
    </row>
    <row r="183" spans="1:51" ht="28.5" customHeight="1" x14ac:dyDescent="0.25">
      <c r="A183" s="5"/>
      <c r="B183" s="5"/>
      <c r="C183" s="5"/>
      <c r="D183" s="5"/>
      <c r="E183" s="5"/>
      <c r="F183" s="5"/>
      <c r="G183" s="5"/>
      <c r="H183" s="5"/>
      <c r="I183" s="5"/>
      <c r="J183" s="26"/>
      <c r="K183" s="26"/>
      <c r="L183" s="26"/>
      <c r="M183" s="26"/>
      <c r="N183" s="26"/>
      <c r="O183" s="26"/>
      <c r="P183" s="26"/>
      <c r="Q183" s="26"/>
      <c r="R183" s="26"/>
      <c r="S183" s="26"/>
      <c r="T183" s="26"/>
      <c r="U183" s="26"/>
      <c r="V183" s="26"/>
      <c r="W183" s="26"/>
      <c r="X183" s="26"/>
      <c r="Y183" s="26"/>
      <c r="Z183" s="26"/>
      <c r="AA183" s="26"/>
      <c r="AB183" s="26"/>
      <c r="AC183" s="26"/>
      <c r="AD183" s="26"/>
      <c r="AE183" s="26"/>
      <c r="AF183" s="26"/>
      <c r="AG183" s="26"/>
      <c r="AH183" s="26"/>
      <c r="AI183" s="26"/>
      <c r="AJ183" s="26"/>
      <c r="AK183" s="26"/>
      <c r="AL183" s="26"/>
      <c r="AM183" s="5"/>
      <c r="AN183" s="5"/>
      <c r="AO183" s="5"/>
      <c r="AP183" s="5"/>
      <c r="AQ183" s="5"/>
      <c r="AR183" s="5"/>
      <c r="AS183" s="5"/>
      <c r="AT183" s="5"/>
      <c r="AU183" s="5"/>
      <c r="AV183" s="5"/>
      <c r="AW183" s="5"/>
      <c r="AX183" s="5"/>
      <c r="AY183" s="5"/>
    </row>
    <row r="184" spans="1:51" ht="28.5" customHeight="1" x14ac:dyDescent="0.25">
      <c r="A184" s="5"/>
      <c r="B184" s="5"/>
      <c r="C184" s="5"/>
      <c r="D184" s="5"/>
      <c r="E184" s="5"/>
      <c r="F184" s="5"/>
      <c r="G184" s="5"/>
      <c r="H184" s="5"/>
      <c r="I184" s="5"/>
      <c r="J184" s="26"/>
      <c r="K184" s="26"/>
      <c r="L184" s="26"/>
      <c r="M184" s="26"/>
      <c r="N184" s="26"/>
      <c r="O184" s="26"/>
      <c r="P184" s="26"/>
      <c r="Q184" s="26"/>
      <c r="R184" s="26"/>
      <c r="S184" s="26"/>
      <c r="T184" s="26"/>
      <c r="U184" s="26"/>
      <c r="V184" s="26"/>
      <c r="W184" s="26"/>
      <c r="X184" s="26"/>
      <c r="Y184" s="26"/>
      <c r="Z184" s="26"/>
      <c r="AA184" s="26"/>
      <c r="AB184" s="26"/>
      <c r="AC184" s="26"/>
      <c r="AD184" s="26"/>
      <c r="AE184" s="26"/>
      <c r="AF184" s="26"/>
      <c r="AG184" s="26"/>
      <c r="AH184" s="26"/>
      <c r="AI184" s="26"/>
      <c r="AJ184" s="26"/>
      <c r="AK184" s="26"/>
      <c r="AL184" s="26"/>
      <c r="AM184" s="5"/>
      <c r="AN184" s="5"/>
      <c r="AO184" s="5"/>
      <c r="AP184" s="5"/>
      <c r="AQ184" s="5"/>
      <c r="AR184" s="5"/>
      <c r="AS184" s="5"/>
      <c r="AT184" s="5"/>
      <c r="AU184" s="5"/>
      <c r="AV184" s="5"/>
      <c r="AW184" s="5"/>
      <c r="AX184" s="5"/>
      <c r="AY184" s="5"/>
    </row>
    <row r="185" spans="1:51" ht="28.5" customHeight="1" x14ac:dyDescent="0.25">
      <c r="A185" s="5"/>
      <c r="B185" s="5"/>
      <c r="C185" s="5"/>
      <c r="D185" s="5"/>
      <c r="E185" s="5"/>
      <c r="F185" s="5"/>
      <c r="G185" s="5"/>
      <c r="H185" s="5"/>
      <c r="I185" s="5"/>
      <c r="J185" s="26"/>
      <c r="K185" s="26"/>
      <c r="L185" s="26"/>
      <c r="M185" s="26"/>
      <c r="N185" s="26"/>
      <c r="O185" s="26"/>
      <c r="P185" s="26"/>
      <c r="Q185" s="26"/>
      <c r="R185" s="26"/>
      <c r="S185" s="26"/>
      <c r="T185" s="26"/>
      <c r="U185" s="26"/>
      <c r="V185" s="26"/>
      <c r="W185" s="26"/>
      <c r="X185" s="26"/>
      <c r="Y185" s="26"/>
      <c r="Z185" s="26"/>
      <c r="AA185" s="26"/>
      <c r="AB185" s="26"/>
      <c r="AC185" s="26"/>
      <c r="AD185" s="26"/>
      <c r="AE185" s="26"/>
      <c r="AF185" s="26"/>
      <c r="AG185" s="26"/>
      <c r="AH185" s="26"/>
      <c r="AI185" s="26"/>
      <c r="AJ185" s="26"/>
      <c r="AK185" s="26"/>
      <c r="AL185" s="26"/>
      <c r="AM185" s="5"/>
      <c r="AN185" s="5"/>
      <c r="AO185" s="5"/>
      <c r="AP185" s="5"/>
      <c r="AQ185" s="5"/>
      <c r="AR185" s="5"/>
      <c r="AS185" s="5"/>
      <c r="AT185" s="5"/>
      <c r="AU185" s="5"/>
      <c r="AV185" s="5"/>
      <c r="AW185" s="5"/>
      <c r="AX185" s="5"/>
      <c r="AY185" s="5"/>
    </row>
    <row r="186" spans="1:51" ht="28.5" customHeight="1" x14ac:dyDescent="0.25">
      <c r="A186" s="5"/>
      <c r="B186" s="5"/>
      <c r="C186" s="5"/>
      <c r="D186" s="5"/>
      <c r="E186" s="5"/>
      <c r="F186" s="5"/>
      <c r="G186" s="5"/>
      <c r="H186" s="5"/>
      <c r="I186" s="5"/>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c r="AL186" s="26"/>
      <c r="AM186" s="5"/>
      <c r="AN186" s="5"/>
      <c r="AO186" s="5"/>
      <c r="AP186" s="5"/>
      <c r="AQ186" s="5"/>
      <c r="AR186" s="5"/>
      <c r="AS186" s="5"/>
      <c r="AT186" s="5"/>
      <c r="AU186" s="5"/>
      <c r="AV186" s="5"/>
      <c r="AW186" s="5"/>
      <c r="AX186" s="5"/>
      <c r="AY186" s="5"/>
    </row>
    <row r="187" spans="1:51" ht="28.5" customHeight="1" x14ac:dyDescent="0.25">
      <c r="A187" s="5"/>
      <c r="B187" s="5"/>
      <c r="C187" s="5"/>
      <c r="D187" s="5"/>
      <c r="E187" s="5"/>
      <c r="F187" s="5"/>
      <c r="G187" s="5"/>
      <c r="H187" s="5"/>
      <c r="I187" s="5"/>
      <c r="J187" s="26"/>
      <c r="K187" s="26"/>
      <c r="L187" s="26"/>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6"/>
      <c r="AK187" s="26"/>
      <c r="AL187" s="26"/>
      <c r="AM187" s="5"/>
      <c r="AN187" s="5"/>
      <c r="AO187" s="5"/>
      <c r="AP187" s="5"/>
      <c r="AQ187" s="5"/>
      <c r="AR187" s="5"/>
      <c r="AS187" s="5"/>
      <c r="AT187" s="5"/>
      <c r="AU187" s="5"/>
      <c r="AV187" s="5"/>
      <c r="AW187" s="5"/>
      <c r="AX187" s="5"/>
      <c r="AY187" s="5"/>
    </row>
    <row r="188" spans="1:51" ht="28.5" customHeight="1" x14ac:dyDescent="0.25">
      <c r="A188" s="5"/>
      <c r="B188" s="5"/>
      <c r="C188" s="5"/>
      <c r="D188" s="5"/>
      <c r="E188" s="5"/>
      <c r="F188" s="5"/>
      <c r="G188" s="5"/>
      <c r="H188" s="5"/>
      <c r="I188" s="5"/>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6"/>
      <c r="AI188" s="26"/>
      <c r="AJ188" s="26"/>
      <c r="AK188" s="26"/>
      <c r="AL188" s="26"/>
      <c r="AM188" s="5"/>
      <c r="AN188" s="5"/>
      <c r="AO188" s="5"/>
      <c r="AP188" s="5"/>
      <c r="AQ188" s="5"/>
      <c r="AR188" s="5"/>
      <c r="AS188" s="5"/>
      <c r="AT188" s="5"/>
      <c r="AU188" s="5"/>
      <c r="AV188" s="5"/>
      <c r="AW188" s="5"/>
      <c r="AX188" s="5"/>
      <c r="AY188" s="5"/>
    </row>
    <row r="189" spans="1:51" ht="28.5" customHeight="1" x14ac:dyDescent="0.25">
      <c r="A189" s="5"/>
      <c r="B189" s="5"/>
      <c r="C189" s="5"/>
      <c r="D189" s="5"/>
      <c r="E189" s="5"/>
      <c r="F189" s="5"/>
      <c r="G189" s="5"/>
      <c r="H189" s="5"/>
      <c r="I189" s="5"/>
      <c r="J189" s="26"/>
      <c r="K189" s="26"/>
      <c r="L189" s="26"/>
      <c r="M189" s="26"/>
      <c r="N189" s="26"/>
      <c r="O189" s="26"/>
      <c r="P189" s="26"/>
      <c r="Q189" s="26"/>
      <c r="R189" s="26"/>
      <c r="S189" s="26"/>
      <c r="T189" s="26"/>
      <c r="U189" s="26"/>
      <c r="V189" s="26"/>
      <c r="W189" s="26"/>
      <c r="X189" s="26"/>
      <c r="Y189" s="26"/>
      <c r="Z189" s="26"/>
      <c r="AA189" s="26"/>
      <c r="AB189" s="26"/>
      <c r="AC189" s="26"/>
      <c r="AD189" s="26"/>
      <c r="AE189" s="26"/>
      <c r="AF189" s="26"/>
      <c r="AG189" s="26"/>
      <c r="AH189" s="26"/>
      <c r="AI189" s="26"/>
      <c r="AJ189" s="26"/>
      <c r="AK189" s="26"/>
      <c r="AL189" s="26"/>
      <c r="AM189" s="5"/>
      <c r="AN189" s="5"/>
      <c r="AO189" s="5"/>
      <c r="AP189" s="5"/>
      <c r="AQ189" s="5"/>
      <c r="AR189" s="5"/>
      <c r="AS189" s="5"/>
      <c r="AT189" s="5"/>
      <c r="AU189" s="5"/>
      <c r="AV189" s="5"/>
      <c r="AW189" s="5"/>
      <c r="AX189" s="5"/>
      <c r="AY189" s="5"/>
    </row>
    <row r="190" spans="1:51" ht="28.5" customHeight="1" x14ac:dyDescent="0.25">
      <c r="A190" s="5"/>
      <c r="B190" s="5"/>
      <c r="C190" s="5"/>
      <c r="D190" s="5"/>
      <c r="E190" s="5"/>
      <c r="F190" s="5"/>
      <c r="G190" s="5"/>
      <c r="H190" s="5"/>
      <c r="I190" s="5"/>
      <c r="J190" s="26"/>
      <c r="K190" s="26"/>
      <c r="L190" s="26"/>
      <c r="M190" s="26"/>
      <c r="N190" s="26"/>
      <c r="O190" s="26"/>
      <c r="P190" s="26"/>
      <c r="Q190" s="26"/>
      <c r="R190" s="26"/>
      <c r="S190" s="26"/>
      <c r="T190" s="26"/>
      <c r="U190" s="26"/>
      <c r="V190" s="26"/>
      <c r="W190" s="26"/>
      <c r="X190" s="26"/>
      <c r="Y190" s="26"/>
      <c r="Z190" s="26"/>
      <c r="AA190" s="26"/>
      <c r="AB190" s="26"/>
      <c r="AC190" s="26"/>
      <c r="AD190" s="26"/>
      <c r="AE190" s="26"/>
      <c r="AF190" s="26"/>
      <c r="AG190" s="26"/>
      <c r="AH190" s="26"/>
      <c r="AI190" s="26"/>
      <c r="AJ190" s="26"/>
      <c r="AK190" s="26"/>
      <c r="AL190" s="26"/>
      <c r="AM190" s="5"/>
      <c r="AN190" s="5"/>
      <c r="AO190" s="5"/>
      <c r="AP190" s="5"/>
      <c r="AQ190" s="5"/>
      <c r="AR190" s="5"/>
      <c r="AS190" s="5"/>
      <c r="AT190" s="5"/>
      <c r="AU190" s="5"/>
      <c r="AV190" s="5"/>
      <c r="AW190" s="5"/>
      <c r="AX190" s="5"/>
      <c r="AY190" s="5"/>
    </row>
    <row r="191" spans="1:51" ht="28.5" customHeight="1" x14ac:dyDescent="0.25">
      <c r="A191" s="5"/>
      <c r="B191" s="5"/>
      <c r="C191" s="5"/>
      <c r="D191" s="5"/>
      <c r="E191" s="5"/>
      <c r="F191" s="5"/>
      <c r="G191" s="5"/>
      <c r="H191" s="5"/>
      <c r="I191" s="5"/>
      <c r="J191" s="26"/>
      <c r="K191" s="26"/>
      <c r="L191" s="26"/>
      <c r="M191" s="26"/>
      <c r="N191" s="26"/>
      <c r="O191" s="26"/>
      <c r="P191" s="26"/>
      <c r="Q191" s="26"/>
      <c r="R191" s="26"/>
      <c r="S191" s="26"/>
      <c r="T191" s="26"/>
      <c r="U191" s="26"/>
      <c r="V191" s="26"/>
      <c r="W191" s="26"/>
      <c r="X191" s="26"/>
      <c r="Y191" s="26"/>
      <c r="Z191" s="26"/>
      <c r="AA191" s="26"/>
      <c r="AB191" s="26"/>
      <c r="AC191" s="26"/>
      <c r="AD191" s="26"/>
      <c r="AE191" s="26"/>
      <c r="AF191" s="26"/>
      <c r="AG191" s="26"/>
      <c r="AH191" s="26"/>
      <c r="AI191" s="26"/>
      <c r="AJ191" s="26"/>
      <c r="AK191" s="26"/>
      <c r="AL191" s="26"/>
      <c r="AM191" s="5"/>
      <c r="AN191" s="5"/>
      <c r="AO191" s="5"/>
      <c r="AP191" s="5"/>
      <c r="AQ191" s="5"/>
      <c r="AR191" s="5"/>
      <c r="AS191" s="5"/>
      <c r="AT191" s="5"/>
      <c r="AU191" s="5"/>
      <c r="AV191" s="5"/>
      <c r="AW191" s="5"/>
      <c r="AX191" s="5"/>
      <c r="AY191" s="5"/>
    </row>
    <row r="192" spans="1:51" ht="28.5" customHeight="1" x14ac:dyDescent="0.25">
      <c r="A192" s="5"/>
      <c r="B192" s="5"/>
      <c r="C192" s="5"/>
      <c r="D192" s="5"/>
      <c r="E192" s="5"/>
      <c r="F192" s="5"/>
      <c r="G192" s="5"/>
      <c r="H192" s="5"/>
      <c r="I192" s="5"/>
      <c r="J192" s="26"/>
      <c r="K192" s="26"/>
      <c r="L192" s="26"/>
      <c r="M192" s="26"/>
      <c r="N192" s="26"/>
      <c r="O192" s="26"/>
      <c r="P192" s="26"/>
      <c r="Q192" s="26"/>
      <c r="R192" s="26"/>
      <c r="S192" s="26"/>
      <c r="T192" s="26"/>
      <c r="U192" s="26"/>
      <c r="V192" s="26"/>
      <c r="W192" s="26"/>
      <c r="X192" s="26"/>
      <c r="Y192" s="26"/>
      <c r="Z192" s="26"/>
      <c r="AA192" s="26"/>
      <c r="AB192" s="26"/>
      <c r="AC192" s="26"/>
      <c r="AD192" s="26"/>
      <c r="AE192" s="26"/>
      <c r="AF192" s="26"/>
      <c r="AG192" s="26"/>
      <c r="AH192" s="26"/>
      <c r="AI192" s="26"/>
      <c r="AJ192" s="26"/>
      <c r="AK192" s="26"/>
      <c r="AL192" s="26"/>
      <c r="AM192" s="5"/>
      <c r="AN192" s="5"/>
      <c r="AO192" s="5"/>
      <c r="AP192" s="5"/>
      <c r="AQ192" s="5"/>
      <c r="AR192" s="5"/>
      <c r="AS192" s="5"/>
      <c r="AT192" s="5"/>
      <c r="AU192" s="5"/>
      <c r="AV192" s="5"/>
      <c r="AW192" s="5"/>
      <c r="AX192" s="5"/>
      <c r="AY192" s="5"/>
    </row>
    <row r="193" spans="1:51" ht="28.5" customHeight="1" x14ac:dyDescent="0.25">
      <c r="A193" s="5"/>
      <c r="B193" s="5"/>
      <c r="C193" s="5"/>
      <c r="D193" s="5"/>
      <c r="E193" s="5"/>
      <c r="F193" s="5"/>
      <c r="G193" s="5"/>
      <c r="H193" s="5"/>
      <c r="I193" s="5"/>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c r="AM193" s="5"/>
      <c r="AN193" s="5"/>
      <c r="AO193" s="5"/>
      <c r="AP193" s="5"/>
      <c r="AQ193" s="5"/>
      <c r="AR193" s="5"/>
      <c r="AS193" s="5"/>
      <c r="AT193" s="5"/>
      <c r="AU193" s="5"/>
      <c r="AV193" s="5"/>
      <c r="AW193" s="5"/>
      <c r="AX193" s="5"/>
      <c r="AY193" s="5"/>
    </row>
    <row r="194" spans="1:51" ht="28.5" customHeight="1" x14ac:dyDescent="0.25">
      <c r="A194" s="5"/>
      <c r="B194" s="5"/>
      <c r="C194" s="5"/>
      <c r="D194" s="5"/>
      <c r="E194" s="5"/>
      <c r="F194" s="5"/>
      <c r="G194" s="5"/>
      <c r="H194" s="5"/>
      <c r="I194" s="5"/>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c r="AM194" s="5"/>
      <c r="AN194" s="5"/>
      <c r="AO194" s="5"/>
      <c r="AP194" s="5"/>
      <c r="AQ194" s="5"/>
      <c r="AR194" s="5"/>
      <c r="AS194" s="5"/>
      <c r="AT194" s="5"/>
      <c r="AU194" s="5"/>
      <c r="AV194" s="5"/>
      <c r="AW194" s="5"/>
      <c r="AX194" s="5"/>
      <c r="AY194" s="5"/>
    </row>
    <row r="195" spans="1:51" ht="28.5" customHeight="1" x14ac:dyDescent="0.25">
      <c r="A195" s="5"/>
      <c r="B195" s="5"/>
      <c r="C195" s="5"/>
      <c r="D195" s="5"/>
      <c r="E195" s="5"/>
      <c r="F195" s="5"/>
      <c r="G195" s="5"/>
      <c r="H195" s="5"/>
      <c r="I195" s="5"/>
      <c r="J195" s="26"/>
      <c r="K195" s="26"/>
      <c r="L195" s="26"/>
      <c r="M195" s="26"/>
      <c r="N195" s="26"/>
      <c r="O195" s="26"/>
      <c r="P195" s="26"/>
      <c r="Q195" s="26"/>
      <c r="R195" s="26"/>
      <c r="S195" s="26"/>
      <c r="T195" s="26"/>
      <c r="U195" s="26"/>
      <c r="V195" s="26"/>
      <c r="W195" s="26"/>
      <c r="X195" s="26"/>
      <c r="Y195" s="26"/>
      <c r="Z195" s="26"/>
      <c r="AA195" s="26"/>
      <c r="AB195" s="26"/>
      <c r="AC195" s="26"/>
      <c r="AD195" s="26"/>
      <c r="AE195" s="26"/>
      <c r="AF195" s="26"/>
      <c r="AG195" s="26"/>
      <c r="AH195" s="26"/>
      <c r="AI195" s="26"/>
      <c r="AJ195" s="26"/>
      <c r="AK195" s="26"/>
      <c r="AL195" s="26"/>
      <c r="AM195" s="5"/>
      <c r="AN195" s="5"/>
      <c r="AO195" s="5"/>
      <c r="AP195" s="5"/>
      <c r="AQ195" s="5"/>
      <c r="AR195" s="5"/>
      <c r="AS195" s="5"/>
      <c r="AT195" s="5"/>
      <c r="AU195" s="5"/>
      <c r="AV195" s="5"/>
      <c r="AW195" s="5"/>
      <c r="AX195" s="5"/>
      <c r="AY195" s="5"/>
    </row>
    <row r="196" spans="1:51" ht="28.5" customHeight="1" x14ac:dyDescent="0.25">
      <c r="A196" s="5"/>
      <c r="B196" s="5"/>
      <c r="C196" s="5"/>
      <c r="D196" s="5"/>
      <c r="E196" s="5"/>
      <c r="F196" s="5"/>
      <c r="G196" s="5"/>
      <c r="H196" s="5"/>
      <c r="I196" s="5"/>
      <c r="J196" s="26"/>
      <c r="K196" s="26"/>
      <c r="L196" s="26"/>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26"/>
      <c r="AJ196" s="26"/>
      <c r="AK196" s="26"/>
      <c r="AL196" s="26"/>
      <c r="AM196" s="5"/>
      <c r="AN196" s="5"/>
      <c r="AO196" s="5"/>
      <c r="AP196" s="5"/>
      <c r="AQ196" s="5"/>
      <c r="AR196" s="5"/>
      <c r="AS196" s="5"/>
      <c r="AT196" s="5"/>
      <c r="AU196" s="5"/>
      <c r="AV196" s="5"/>
      <c r="AW196" s="5"/>
      <c r="AX196" s="5"/>
      <c r="AY196" s="5"/>
    </row>
    <row r="197" spans="1:51" ht="28.5" customHeight="1" x14ac:dyDescent="0.25">
      <c r="A197" s="5"/>
      <c r="B197" s="5"/>
      <c r="C197" s="5"/>
      <c r="D197" s="5"/>
      <c r="E197" s="5"/>
      <c r="F197" s="5"/>
      <c r="G197" s="5"/>
      <c r="H197" s="5"/>
      <c r="I197" s="5"/>
      <c r="J197" s="26"/>
      <c r="K197" s="26"/>
      <c r="L197" s="26"/>
      <c r="M197" s="26"/>
      <c r="N197" s="26"/>
      <c r="O197" s="26"/>
      <c r="P197" s="26"/>
      <c r="Q197" s="26"/>
      <c r="R197" s="26"/>
      <c r="S197" s="26"/>
      <c r="T197" s="26"/>
      <c r="U197" s="26"/>
      <c r="V197" s="26"/>
      <c r="W197" s="26"/>
      <c r="X197" s="26"/>
      <c r="Y197" s="26"/>
      <c r="Z197" s="26"/>
      <c r="AA197" s="26"/>
      <c r="AB197" s="26"/>
      <c r="AC197" s="26"/>
      <c r="AD197" s="26"/>
      <c r="AE197" s="26"/>
      <c r="AF197" s="26"/>
      <c r="AG197" s="26"/>
      <c r="AH197" s="26"/>
      <c r="AI197" s="26"/>
      <c r="AJ197" s="26"/>
      <c r="AK197" s="26"/>
      <c r="AL197" s="26"/>
      <c r="AM197" s="5"/>
      <c r="AN197" s="5"/>
      <c r="AO197" s="5"/>
      <c r="AP197" s="5"/>
      <c r="AQ197" s="5"/>
      <c r="AR197" s="5"/>
      <c r="AS197" s="5"/>
      <c r="AT197" s="5"/>
      <c r="AU197" s="5"/>
      <c r="AV197" s="5"/>
      <c r="AW197" s="5"/>
      <c r="AX197" s="5"/>
      <c r="AY197" s="5"/>
    </row>
    <row r="198" spans="1:51" ht="28.5" customHeight="1" x14ac:dyDescent="0.25">
      <c r="A198" s="5"/>
      <c r="B198" s="5"/>
      <c r="C198" s="5"/>
      <c r="D198" s="5"/>
      <c r="E198" s="5"/>
      <c r="F198" s="5"/>
      <c r="G198" s="5"/>
      <c r="H198" s="5"/>
      <c r="I198" s="5"/>
      <c r="J198" s="26"/>
      <c r="K198" s="26"/>
      <c r="L198" s="26"/>
      <c r="M198" s="26"/>
      <c r="N198" s="26"/>
      <c r="O198" s="26"/>
      <c r="P198" s="26"/>
      <c r="Q198" s="26"/>
      <c r="R198" s="26"/>
      <c r="S198" s="26"/>
      <c r="T198" s="26"/>
      <c r="U198" s="26"/>
      <c r="V198" s="26"/>
      <c r="W198" s="26"/>
      <c r="X198" s="26"/>
      <c r="Y198" s="26"/>
      <c r="Z198" s="26"/>
      <c r="AA198" s="26"/>
      <c r="AB198" s="26"/>
      <c r="AC198" s="26"/>
      <c r="AD198" s="26"/>
      <c r="AE198" s="26"/>
      <c r="AF198" s="26"/>
      <c r="AG198" s="26"/>
      <c r="AH198" s="26"/>
      <c r="AI198" s="26"/>
      <c r="AJ198" s="26"/>
      <c r="AK198" s="26"/>
      <c r="AL198" s="26"/>
      <c r="AM198" s="5"/>
      <c r="AN198" s="5"/>
      <c r="AO198" s="5"/>
      <c r="AP198" s="5"/>
      <c r="AQ198" s="5"/>
      <c r="AR198" s="5"/>
      <c r="AS198" s="5"/>
      <c r="AT198" s="5"/>
      <c r="AU198" s="5"/>
      <c r="AV198" s="5"/>
      <c r="AW198" s="5"/>
      <c r="AX198" s="5"/>
      <c r="AY198" s="5"/>
    </row>
    <row r="199" spans="1:51" ht="28.5" customHeight="1" x14ac:dyDescent="0.25">
      <c r="A199" s="5"/>
      <c r="B199" s="5"/>
      <c r="C199" s="5"/>
      <c r="D199" s="5"/>
      <c r="E199" s="5"/>
      <c r="F199" s="5"/>
      <c r="G199" s="5"/>
      <c r="H199" s="5"/>
      <c r="I199" s="5"/>
      <c r="J199" s="26"/>
      <c r="K199" s="26"/>
      <c r="L199" s="26"/>
      <c r="M199" s="26"/>
      <c r="N199" s="26"/>
      <c r="O199" s="26"/>
      <c r="P199" s="26"/>
      <c r="Q199" s="26"/>
      <c r="R199" s="26"/>
      <c r="S199" s="26"/>
      <c r="T199" s="26"/>
      <c r="U199" s="26"/>
      <c r="V199" s="26"/>
      <c r="W199" s="26"/>
      <c r="X199" s="26"/>
      <c r="Y199" s="26"/>
      <c r="Z199" s="26"/>
      <c r="AA199" s="26"/>
      <c r="AB199" s="26"/>
      <c r="AC199" s="26"/>
      <c r="AD199" s="26"/>
      <c r="AE199" s="26"/>
      <c r="AF199" s="26"/>
      <c r="AG199" s="26"/>
      <c r="AH199" s="26"/>
      <c r="AI199" s="26"/>
      <c r="AJ199" s="26"/>
      <c r="AK199" s="26"/>
      <c r="AL199" s="26"/>
      <c r="AM199" s="5"/>
      <c r="AN199" s="5"/>
      <c r="AO199" s="5"/>
      <c r="AP199" s="5"/>
      <c r="AQ199" s="5"/>
      <c r="AR199" s="5"/>
      <c r="AS199" s="5"/>
      <c r="AT199" s="5"/>
      <c r="AU199" s="5"/>
      <c r="AV199" s="5"/>
      <c r="AW199" s="5"/>
      <c r="AX199" s="5"/>
      <c r="AY199" s="5"/>
    </row>
    <row r="200" spans="1:51" ht="28.5" customHeight="1" x14ac:dyDescent="0.25">
      <c r="A200" s="5"/>
      <c r="B200" s="5"/>
      <c r="C200" s="5"/>
      <c r="D200" s="5"/>
      <c r="E200" s="5"/>
      <c r="F200" s="5"/>
      <c r="G200" s="5"/>
      <c r="H200" s="5"/>
      <c r="I200" s="5"/>
      <c r="J200" s="26"/>
      <c r="K200" s="26"/>
      <c r="L200" s="26"/>
      <c r="M200" s="26"/>
      <c r="N200" s="26"/>
      <c r="O200" s="26"/>
      <c r="P200" s="26"/>
      <c r="Q200" s="26"/>
      <c r="R200" s="26"/>
      <c r="S200" s="26"/>
      <c r="T200" s="26"/>
      <c r="U200" s="26"/>
      <c r="V200" s="26"/>
      <c r="W200" s="26"/>
      <c r="X200" s="26"/>
      <c r="Y200" s="26"/>
      <c r="Z200" s="26"/>
      <c r="AA200" s="26"/>
      <c r="AB200" s="26"/>
      <c r="AC200" s="26"/>
      <c r="AD200" s="26"/>
      <c r="AE200" s="26"/>
      <c r="AF200" s="26"/>
      <c r="AG200" s="26"/>
      <c r="AH200" s="26"/>
      <c r="AI200" s="26"/>
      <c r="AJ200" s="26"/>
      <c r="AK200" s="26"/>
      <c r="AL200" s="26"/>
      <c r="AM200" s="5"/>
      <c r="AN200" s="5"/>
      <c r="AO200" s="5"/>
      <c r="AP200" s="5"/>
      <c r="AQ200" s="5"/>
      <c r="AR200" s="5"/>
      <c r="AS200" s="5"/>
      <c r="AT200" s="5"/>
      <c r="AU200" s="5"/>
      <c r="AV200" s="5"/>
      <c r="AW200" s="5"/>
      <c r="AX200" s="5"/>
      <c r="AY200" s="5"/>
    </row>
    <row r="201" spans="1:51" ht="28.5" customHeight="1" x14ac:dyDescent="0.25">
      <c r="A201" s="5"/>
      <c r="B201" s="5"/>
      <c r="C201" s="5"/>
      <c r="D201" s="5"/>
      <c r="E201" s="5"/>
      <c r="F201" s="5"/>
      <c r="G201" s="5"/>
      <c r="H201" s="5"/>
      <c r="I201" s="5"/>
      <c r="J201" s="26"/>
      <c r="K201" s="26"/>
      <c r="L201" s="26"/>
      <c r="M201" s="26"/>
      <c r="N201" s="26"/>
      <c r="O201" s="26"/>
      <c r="P201" s="26"/>
      <c r="Q201" s="26"/>
      <c r="R201" s="26"/>
      <c r="S201" s="26"/>
      <c r="T201" s="26"/>
      <c r="U201" s="26"/>
      <c r="V201" s="26"/>
      <c r="W201" s="26"/>
      <c r="X201" s="26"/>
      <c r="Y201" s="26"/>
      <c r="Z201" s="26"/>
      <c r="AA201" s="26"/>
      <c r="AB201" s="26"/>
      <c r="AC201" s="26"/>
      <c r="AD201" s="26"/>
      <c r="AE201" s="26"/>
      <c r="AF201" s="26"/>
      <c r="AG201" s="26"/>
      <c r="AH201" s="26"/>
      <c r="AI201" s="26"/>
      <c r="AJ201" s="26"/>
      <c r="AK201" s="26"/>
      <c r="AL201" s="26"/>
      <c r="AM201" s="5"/>
      <c r="AN201" s="5"/>
      <c r="AO201" s="5"/>
      <c r="AP201" s="5"/>
      <c r="AQ201" s="5"/>
      <c r="AR201" s="5"/>
      <c r="AS201" s="5"/>
      <c r="AT201" s="5"/>
      <c r="AU201" s="5"/>
      <c r="AV201" s="5"/>
      <c r="AW201" s="5"/>
      <c r="AX201" s="5"/>
      <c r="AY201" s="5"/>
    </row>
    <row r="202" spans="1:51" ht="28.5" customHeight="1" x14ac:dyDescent="0.25">
      <c r="A202" s="5"/>
      <c r="B202" s="5"/>
      <c r="C202" s="5"/>
      <c r="D202" s="5"/>
      <c r="E202" s="5"/>
      <c r="F202" s="5"/>
      <c r="G202" s="5"/>
      <c r="H202" s="5"/>
      <c r="I202" s="5"/>
      <c r="J202" s="26"/>
      <c r="K202" s="26"/>
      <c r="L202" s="26"/>
      <c r="M202" s="26"/>
      <c r="N202" s="26"/>
      <c r="O202" s="26"/>
      <c r="P202" s="26"/>
      <c r="Q202" s="26"/>
      <c r="R202" s="26"/>
      <c r="S202" s="26"/>
      <c r="T202" s="26"/>
      <c r="U202" s="26"/>
      <c r="V202" s="26"/>
      <c r="W202" s="26"/>
      <c r="X202" s="26"/>
      <c r="Y202" s="26"/>
      <c r="Z202" s="26"/>
      <c r="AA202" s="26"/>
      <c r="AB202" s="26"/>
      <c r="AC202" s="26"/>
      <c r="AD202" s="26"/>
      <c r="AE202" s="26"/>
      <c r="AF202" s="26"/>
      <c r="AG202" s="26"/>
      <c r="AH202" s="26"/>
      <c r="AI202" s="26"/>
      <c r="AJ202" s="26"/>
      <c r="AK202" s="26"/>
      <c r="AL202" s="26"/>
      <c r="AM202" s="5"/>
      <c r="AN202" s="5"/>
      <c r="AO202" s="5"/>
      <c r="AP202" s="5"/>
      <c r="AQ202" s="5"/>
      <c r="AR202" s="5"/>
      <c r="AS202" s="5"/>
      <c r="AT202" s="5"/>
      <c r="AU202" s="5"/>
      <c r="AV202" s="5"/>
      <c r="AW202" s="5"/>
      <c r="AX202" s="5"/>
      <c r="AY202" s="5"/>
    </row>
    <row r="203" spans="1:51" ht="28.5" customHeight="1" x14ac:dyDescent="0.25">
      <c r="A203" s="5"/>
      <c r="B203" s="5"/>
      <c r="C203" s="5"/>
      <c r="D203" s="5"/>
      <c r="E203" s="5"/>
      <c r="F203" s="5"/>
      <c r="G203" s="5"/>
      <c r="H203" s="5"/>
      <c r="I203" s="5"/>
      <c r="J203" s="26"/>
      <c r="K203" s="26"/>
      <c r="L203" s="26"/>
      <c r="M203" s="26"/>
      <c r="N203" s="26"/>
      <c r="O203" s="26"/>
      <c r="P203" s="26"/>
      <c r="Q203" s="26"/>
      <c r="R203" s="26"/>
      <c r="S203" s="26"/>
      <c r="T203" s="26"/>
      <c r="U203" s="26"/>
      <c r="V203" s="26"/>
      <c r="W203" s="26"/>
      <c r="X203" s="26"/>
      <c r="Y203" s="26"/>
      <c r="Z203" s="26"/>
      <c r="AA203" s="26"/>
      <c r="AB203" s="26"/>
      <c r="AC203" s="26"/>
      <c r="AD203" s="26"/>
      <c r="AE203" s="26"/>
      <c r="AF203" s="26"/>
      <c r="AG203" s="26"/>
      <c r="AH203" s="26"/>
      <c r="AI203" s="26"/>
      <c r="AJ203" s="26"/>
      <c r="AK203" s="26"/>
      <c r="AL203" s="26"/>
      <c r="AM203" s="5"/>
      <c r="AN203" s="5"/>
      <c r="AO203" s="5"/>
      <c r="AP203" s="5"/>
      <c r="AQ203" s="5"/>
      <c r="AR203" s="5"/>
      <c r="AS203" s="5"/>
      <c r="AT203" s="5"/>
      <c r="AU203" s="5"/>
      <c r="AV203" s="5"/>
      <c r="AW203" s="5"/>
      <c r="AX203" s="5"/>
      <c r="AY203" s="5"/>
    </row>
    <row r="204" spans="1:51" ht="28.5" customHeight="1" x14ac:dyDescent="0.25">
      <c r="A204" s="5"/>
      <c r="B204" s="5"/>
      <c r="C204" s="5"/>
      <c r="D204" s="5"/>
      <c r="E204" s="5"/>
      <c r="F204" s="5"/>
      <c r="G204" s="5"/>
      <c r="H204" s="5"/>
      <c r="I204" s="5"/>
      <c r="J204" s="26"/>
      <c r="K204" s="26"/>
      <c r="L204" s="26"/>
      <c r="M204" s="26"/>
      <c r="N204" s="26"/>
      <c r="O204" s="26"/>
      <c r="P204" s="26"/>
      <c r="Q204" s="26"/>
      <c r="R204" s="26"/>
      <c r="S204" s="26"/>
      <c r="T204" s="26"/>
      <c r="U204" s="26"/>
      <c r="V204" s="26"/>
      <c r="W204" s="26"/>
      <c r="X204" s="26"/>
      <c r="Y204" s="26"/>
      <c r="Z204" s="26"/>
      <c r="AA204" s="26"/>
      <c r="AB204" s="26"/>
      <c r="AC204" s="26"/>
      <c r="AD204" s="26"/>
      <c r="AE204" s="26"/>
      <c r="AF204" s="26"/>
      <c r="AG204" s="26"/>
      <c r="AH204" s="26"/>
      <c r="AI204" s="26"/>
      <c r="AJ204" s="26"/>
      <c r="AK204" s="26"/>
      <c r="AL204" s="26"/>
      <c r="AM204" s="5"/>
      <c r="AN204" s="5"/>
      <c r="AO204" s="5"/>
      <c r="AP204" s="5"/>
      <c r="AQ204" s="5"/>
      <c r="AR204" s="5"/>
      <c r="AS204" s="5"/>
      <c r="AT204" s="5"/>
      <c r="AU204" s="5"/>
      <c r="AV204" s="5"/>
      <c r="AW204" s="5"/>
      <c r="AX204" s="5"/>
      <c r="AY204" s="5"/>
    </row>
    <row r="205" spans="1:51" ht="28.5" customHeight="1" x14ac:dyDescent="0.25">
      <c r="A205" s="5"/>
      <c r="B205" s="5"/>
      <c r="C205" s="5"/>
      <c r="D205" s="5"/>
      <c r="E205" s="5"/>
      <c r="F205" s="5"/>
      <c r="G205" s="5"/>
      <c r="H205" s="5"/>
      <c r="I205" s="5"/>
      <c r="J205" s="26"/>
      <c r="K205" s="26"/>
      <c r="L205" s="26"/>
      <c r="M205" s="26"/>
      <c r="N205" s="26"/>
      <c r="O205" s="26"/>
      <c r="P205" s="26"/>
      <c r="Q205" s="26"/>
      <c r="R205" s="26"/>
      <c r="S205" s="26"/>
      <c r="T205" s="26"/>
      <c r="U205" s="26"/>
      <c r="V205" s="26"/>
      <c r="W205" s="26"/>
      <c r="X205" s="26"/>
      <c r="Y205" s="26"/>
      <c r="Z205" s="26"/>
      <c r="AA205" s="26"/>
      <c r="AB205" s="26"/>
      <c r="AC205" s="26"/>
      <c r="AD205" s="26"/>
      <c r="AE205" s="26"/>
      <c r="AF205" s="26"/>
      <c r="AG205" s="26"/>
      <c r="AH205" s="26"/>
      <c r="AI205" s="26"/>
      <c r="AJ205" s="26"/>
      <c r="AK205" s="26"/>
      <c r="AL205" s="26"/>
      <c r="AM205" s="5"/>
      <c r="AN205" s="5"/>
      <c r="AO205" s="5"/>
      <c r="AP205" s="5"/>
      <c r="AQ205" s="5"/>
      <c r="AR205" s="5"/>
      <c r="AS205" s="5"/>
      <c r="AT205" s="5"/>
      <c r="AU205" s="5"/>
      <c r="AV205" s="5"/>
      <c r="AW205" s="5"/>
      <c r="AX205" s="5"/>
      <c r="AY205" s="5"/>
    </row>
    <row r="206" spans="1:51" ht="28.5" customHeight="1" x14ac:dyDescent="0.25">
      <c r="A206" s="5"/>
      <c r="B206" s="5"/>
      <c r="C206" s="5"/>
      <c r="D206" s="5"/>
      <c r="E206" s="5"/>
      <c r="F206" s="5"/>
      <c r="G206" s="5"/>
      <c r="H206" s="5"/>
      <c r="I206" s="5"/>
      <c r="J206" s="26"/>
      <c r="K206" s="26"/>
      <c r="L206" s="26"/>
      <c r="M206" s="26"/>
      <c r="N206" s="26"/>
      <c r="O206" s="26"/>
      <c r="P206" s="26"/>
      <c r="Q206" s="26"/>
      <c r="R206" s="26"/>
      <c r="S206" s="26"/>
      <c r="T206" s="26"/>
      <c r="U206" s="26"/>
      <c r="V206" s="26"/>
      <c r="W206" s="26"/>
      <c r="X206" s="26"/>
      <c r="Y206" s="26"/>
      <c r="Z206" s="26"/>
      <c r="AA206" s="26"/>
      <c r="AB206" s="26"/>
      <c r="AC206" s="26"/>
      <c r="AD206" s="26"/>
      <c r="AE206" s="26"/>
      <c r="AF206" s="26"/>
      <c r="AG206" s="26"/>
      <c r="AH206" s="26"/>
      <c r="AI206" s="26"/>
      <c r="AJ206" s="26"/>
      <c r="AK206" s="26"/>
      <c r="AL206" s="26"/>
      <c r="AM206" s="5"/>
      <c r="AN206" s="5"/>
      <c r="AO206" s="5"/>
      <c r="AP206" s="5"/>
      <c r="AQ206" s="5"/>
      <c r="AR206" s="5"/>
      <c r="AS206" s="5"/>
      <c r="AT206" s="5"/>
      <c r="AU206" s="5"/>
      <c r="AV206" s="5"/>
      <c r="AW206" s="5"/>
      <c r="AX206" s="5"/>
      <c r="AY206" s="5"/>
    </row>
    <row r="207" spans="1:51" ht="28.5" customHeight="1" x14ac:dyDescent="0.25">
      <c r="A207" s="5"/>
      <c r="B207" s="5"/>
      <c r="C207" s="5"/>
      <c r="D207" s="5"/>
      <c r="E207" s="5"/>
      <c r="F207" s="5"/>
      <c r="G207" s="5"/>
      <c r="H207" s="5"/>
      <c r="I207" s="5"/>
      <c r="J207" s="26"/>
      <c r="K207" s="26"/>
      <c r="L207" s="26"/>
      <c r="M207" s="26"/>
      <c r="N207" s="26"/>
      <c r="O207" s="26"/>
      <c r="P207" s="26"/>
      <c r="Q207" s="26"/>
      <c r="R207" s="26"/>
      <c r="S207" s="26"/>
      <c r="T207" s="26"/>
      <c r="U207" s="26"/>
      <c r="V207" s="26"/>
      <c r="W207" s="26"/>
      <c r="X207" s="26"/>
      <c r="Y207" s="26"/>
      <c r="Z207" s="26"/>
      <c r="AA207" s="26"/>
      <c r="AB207" s="26"/>
      <c r="AC207" s="26"/>
      <c r="AD207" s="26"/>
      <c r="AE207" s="26"/>
      <c r="AF207" s="26"/>
      <c r="AG207" s="26"/>
      <c r="AH207" s="26"/>
      <c r="AI207" s="26"/>
      <c r="AJ207" s="26"/>
      <c r="AK207" s="26"/>
      <c r="AL207" s="26"/>
      <c r="AM207" s="5"/>
      <c r="AN207" s="5"/>
      <c r="AO207" s="5"/>
      <c r="AP207" s="5"/>
      <c r="AQ207" s="5"/>
      <c r="AR207" s="5"/>
      <c r="AS207" s="5"/>
      <c r="AT207" s="5"/>
      <c r="AU207" s="5"/>
      <c r="AV207" s="5"/>
      <c r="AW207" s="5"/>
      <c r="AX207" s="5"/>
      <c r="AY207" s="5"/>
    </row>
    <row r="208" spans="1:51" ht="28.5" customHeight="1" x14ac:dyDescent="0.25">
      <c r="A208" s="5"/>
      <c r="B208" s="5"/>
      <c r="C208" s="5"/>
      <c r="D208" s="5"/>
      <c r="E208" s="5"/>
      <c r="F208" s="5"/>
      <c r="G208" s="5"/>
      <c r="H208" s="5"/>
      <c r="I208" s="5"/>
      <c r="J208" s="26"/>
      <c r="K208" s="26"/>
      <c r="L208" s="26"/>
      <c r="M208" s="26"/>
      <c r="N208" s="26"/>
      <c r="O208" s="26"/>
      <c r="P208" s="26"/>
      <c r="Q208" s="26"/>
      <c r="R208" s="26"/>
      <c r="S208" s="26"/>
      <c r="T208" s="26"/>
      <c r="U208" s="26"/>
      <c r="V208" s="26"/>
      <c r="W208" s="26"/>
      <c r="X208" s="26"/>
      <c r="Y208" s="26"/>
      <c r="Z208" s="26"/>
      <c r="AA208" s="26"/>
      <c r="AB208" s="26"/>
      <c r="AC208" s="26"/>
      <c r="AD208" s="26"/>
      <c r="AE208" s="26"/>
      <c r="AF208" s="26"/>
      <c r="AG208" s="26"/>
      <c r="AH208" s="26"/>
      <c r="AI208" s="26"/>
      <c r="AJ208" s="26"/>
      <c r="AK208" s="26"/>
      <c r="AL208" s="26"/>
      <c r="AM208" s="5"/>
      <c r="AN208" s="5"/>
      <c r="AO208" s="5"/>
      <c r="AP208" s="5"/>
      <c r="AQ208" s="5"/>
      <c r="AR208" s="5"/>
      <c r="AS208" s="5"/>
      <c r="AT208" s="5"/>
      <c r="AU208" s="5"/>
      <c r="AV208" s="5"/>
      <c r="AW208" s="5"/>
      <c r="AX208" s="5"/>
      <c r="AY208" s="5"/>
    </row>
    <row r="209" spans="1:51" ht="28.5" customHeight="1" x14ac:dyDescent="0.25">
      <c r="A209" s="5"/>
      <c r="B209" s="5"/>
      <c r="C209" s="5"/>
      <c r="D209" s="5"/>
      <c r="E209" s="5"/>
      <c r="F209" s="5"/>
      <c r="G209" s="5"/>
      <c r="H209" s="5"/>
      <c r="I209" s="5"/>
      <c r="J209" s="26"/>
      <c r="K209" s="26"/>
      <c r="L209" s="26"/>
      <c r="M209" s="26"/>
      <c r="N209" s="26"/>
      <c r="O209" s="26"/>
      <c r="P209" s="26"/>
      <c r="Q209" s="26"/>
      <c r="R209" s="26"/>
      <c r="S209" s="26"/>
      <c r="T209" s="26"/>
      <c r="U209" s="26"/>
      <c r="V209" s="26"/>
      <c r="W209" s="26"/>
      <c r="X209" s="26"/>
      <c r="Y209" s="26"/>
      <c r="Z209" s="26"/>
      <c r="AA209" s="26"/>
      <c r="AB209" s="26"/>
      <c r="AC209" s="26"/>
      <c r="AD209" s="26"/>
      <c r="AE209" s="26"/>
      <c r="AF209" s="26"/>
      <c r="AG209" s="26"/>
      <c r="AH209" s="26"/>
      <c r="AI209" s="26"/>
      <c r="AJ209" s="26"/>
      <c r="AK209" s="26"/>
      <c r="AL209" s="26"/>
      <c r="AM209" s="5"/>
      <c r="AN209" s="5"/>
      <c r="AO209" s="5"/>
      <c r="AP209" s="5"/>
      <c r="AQ209" s="5"/>
      <c r="AR209" s="5"/>
      <c r="AS209" s="5"/>
      <c r="AT209" s="5"/>
      <c r="AU209" s="5"/>
      <c r="AV209" s="5"/>
      <c r="AW209" s="5"/>
      <c r="AX209" s="5"/>
      <c r="AY209" s="5"/>
    </row>
    <row r="210" spans="1:51" ht="28.5" customHeight="1" x14ac:dyDescent="0.25">
      <c r="A210" s="5"/>
      <c r="B210" s="5"/>
      <c r="C210" s="5"/>
      <c r="D210" s="5"/>
      <c r="E210" s="5"/>
      <c r="F210" s="5"/>
      <c r="G210" s="5"/>
      <c r="H210" s="5"/>
      <c r="I210" s="5"/>
      <c r="J210" s="26"/>
      <c r="K210" s="26"/>
      <c r="L210" s="26"/>
      <c r="M210" s="26"/>
      <c r="N210" s="26"/>
      <c r="O210" s="26"/>
      <c r="P210" s="26"/>
      <c r="Q210" s="26"/>
      <c r="R210" s="26"/>
      <c r="S210" s="26"/>
      <c r="T210" s="26"/>
      <c r="U210" s="26"/>
      <c r="V210" s="26"/>
      <c r="W210" s="26"/>
      <c r="X210" s="26"/>
      <c r="Y210" s="26"/>
      <c r="Z210" s="26"/>
      <c r="AA210" s="26"/>
      <c r="AB210" s="26"/>
      <c r="AC210" s="26"/>
      <c r="AD210" s="26"/>
      <c r="AE210" s="26"/>
      <c r="AF210" s="26"/>
      <c r="AG210" s="26"/>
      <c r="AH210" s="26"/>
      <c r="AI210" s="26"/>
      <c r="AJ210" s="26"/>
      <c r="AK210" s="26"/>
      <c r="AL210" s="26"/>
      <c r="AM210" s="5"/>
      <c r="AN210" s="5"/>
      <c r="AO210" s="5"/>
      <c r="AP210" s="5"/>
      <c r="AQ210" s="5"/>
      <c r="AR210" s="5"/>
      <c r="AS210" s="5"/>
      <c r="AT210" s="5"/>
      <c r="AU210" s="5"/>
      <c r="AV210" s="5"/>
      <c r="AW210" s="5"/>
      <c r="AX210" s="5"/>
      <c r="AY210" s="5"/>
    </row>
    <row r="211" spans="1:51" ht="28.5" customHeight="1" x14ac:dyDescent="0.25">
      <c r="A211" s="5"/>
      <c r="B211" s="5"/>
      <c r="C211" s="5"/>
      <c r="D211" s="5"/>
      <c r="E211" s="5"/>
      <c r="F211" s="5"/>
      <c r="G211" s="5"/>
      <c r="H211" s="5"/>
      <c r="I211" s="5"/>
      <c r="J211" s="26"/>
      <c r="K211" s="26"/>
      <c r="L211" s="26"/>
      <c r="M211" s="26"/>
      <c r="N211" s="26"/>
      <c r="O211" s="26"/>
      <c r="P211" s="26"/>
      <c r="Q211" s="26"/>
      <c r="R211" s="26"/>
      <c r="S211" s="26"/>
      <c r="T211" s="26"/>
      <c r="U211" s="26"/>
      <c r="V211" s="26"/>
      <c r="W211" s="26"/>
      <c r="X211" s="26"/>
      <c r="Y211" s="26"/>
      <c r="Z211" s="26"/>
      <c r="AA211" s="26"/>
      <c r="AB211" s="26"/>
      <c r="AC211" s="26"/>
      <c r="AD211" s="26"/>
      <c r="AE211" s="26"/>
      <c r="AF211" s="26"/>
      <c r="AG211" s="26"/>
      <c r="AH211" s="26"/>
      <c r="AI211" s="26"/>
      <c r="AJ211" s="26"/>
      <c r="AK211" s="26"/>
      <c r="AL211" s="26"/>
      <c r="AM211" s="5"/>
      <c r="AN211" s="5"/>
      <c r="AO211" s="5"/>
      <c r="AP211" s="5"/>
      <c r="AQ211" s="5"/>
      <c r="AR211" s="5"/>
      <c r="AS211" s="5"/>
      <c r="AT211" s="5"/>
      <c r="AU211" s="5"/>
      <c r="AV211" s="5"/>
      <c r="AW211" s="5"/>
      <c r="AX211" s="5"/>
      <c r="AY211" s="5"/>
    </row>
    <row r="212" spans="1:51" ht="28.5" customHeight="1" x14ac:dyDescent="0.25">
      <c r="A212" s="5"/>
      <c r="B212" s="5"/>
      <c r="C212" s="5"/>
      <c r="D212" s="5"/>
      <c r="E212" s="5"/>
      <c r="F212" s="5"/>
      <c r="G212" s="5"/>
      <c r="H212" s="5"/>
      <c r="I212" s="5"/>
      <c r="J212" s="26"/>
      <c r="K212" s="26"/>
      <c r="L212" s="26"/>
      <c r="M212" s="26"/>
      <c r="N212" s="26"/>
      <c r="O212" s="26"/>
      <c r="P212" s="26"/>
      <c r="Q212" s="26"/>
      <c r="R212" s="26"/>
      <c r="S212" s="26"/>
      <c r="T212" s="26"/>
      <c r="U212" s="26"/>
      <c r="V212" s="26"/>
      <c r="W212" s="26"/>
      <c r="X212" s="26"/>
      <c r="Y212" s="26"/>
      <c r="Z212" s="26"/>
      <c r="AA212" s="26"/>
      <c r="AB212" s="26"/>
      <c r="AC212" s="26"/>
      <c r="AD212" s="26"/>
      <c r="AE212" s="26"/>
      <c r="AF212" s="26"/>
      <c r="AG212" s="26"/>
      <c r="AH212" s="26"/>
      <c r="AI212" s="26"/>
      <c r="AJ212" s="26"/>
      <c r="AK212" s="26"/>
      <c r="AL212" s="26"/>
      <c r="AM212" s="5"/>
      <c r="AN212" s="5"/>
      <c r="AO212" s="5"/>
      <c r="AP212" s="5"/>
      <c r="AQ212" s="5"/>
      <c r="AR212" s="5"/>
      <c r="AS212" s="5"/>
      <c r="AT212" s="5"/>
      <c r="AU212" s="5"/>
      <c r="AV212" s="5"/>
      <c r="AW212" s="5"/>
      <c r="AX212" s="5"/>
      <c r="AY212" s="5"/>
    </row>
    <row r="213" spans="1:51" ht="28.5" customHeight="1" x14ac:dyDescent="0.25">
      <c r="A213" s="5"/>
      <c r="B213" s="5"/>
      <c r="C213" s="5"/>
      <c r="D213" s="5"/>
      <c r="E213" s="5"/>
      <c r="F213" s="5"/>
      <c r="G213" s="5"/>
      <c r="H213" s="5"/>
      <c r="I213" s="5"/>
      <c r="J213" s="26"/>
      <c r="K213" s="26"/>
      <c r="L213" s="26"/>
      <c r="M213" s="26"/>
      <c r="N213" s="26"/>
      <c r="O213" s="26"/>
      <c r="P213" s="26"/>
      <c r="Q213" s="26"/>
      <c r="R213" s="26"/>
      <c r="S213" s="26"/>
      <c r="T213" s="26"/>
      <c r="U213" s="26"/>
      <c r="V213" s="26"/>
      <c r="W213" s="26"/>
      <c r="X213" s="26"/>
      <c r="Y213" s="26"/>
      <c r="Z213" s="26"/>
      <c r="AA213" s="26"/>
      <c r="AB213" s="26"/>
      <c r="AC213" s="26"/>
      <c r="AD213" s="26"/>
      <c r="AE213" s="26"/>
      <c r="AF213" s="26"/>
      <c r="AG213" s="26"/>
      <c r="AH213" s="26"/>
      <c r="AI213" s="26"/>
      <c r="AJ213" s="26"/>
      <c r="AK213" s="26"/>
      <c r="AL213" s="26"/>
      <c r="AM213" s="5"/>
      <c r="AN213" s="5"/>
      <c r="AO213" s="5"/>
      <c r="AP213" s="5"/>
      <c r="AQ213" s="5"/>
      <c r="AR213" s="5"/>
      <c r="AS213" s="5"/>
      <c r="AT213" s="5"/>
      <c r="AU213" s="5"/>
      <c r="AV213" s="5"/>
      <c r="AW213" s="5"/>
      <c r="AX213" s="5"/>
      <c r="AY213" s="5"/>
    </row>
    <row r="214" spans="1:51" ht="28.5" customHeight="1" x14ac:dyDescent="0.25">
      <c r="A214" s="5"/>
      <c r="B214" s="5"/>
      <c r="C214" s="5"/>
      <c r="D214" s="5"/>
      <c r="E214" s="5"/>
      <c r="F214" s="5"/>
      <c r="G214" s="5"/>
      <c r="H214" s="5"/>
      <c r="I214" s="5"/>
      <c r="J214" s="26"/>
      <c r="K214" s="26"/>
      <c r="L214" s="26"/>
      <c r="M214" s="26"/>
      <c r="N214" s="26"/>
      <c r="O214" s="26"/>
      <c r="P214" s="26"/>
      <c r="Q214" s="26"/>
      <c r="R214" s="26"/>
      <c r="S214" s="26"/>
      <c r="T214" s="26"/>
      <c r="U214" s="26"/>
      <c r="V214" s="26"/>
      <c r="W214" s="26"/>
      <c r="X214" s="26"/>
      <c r="Y214" s="26"/>
      <c r="Z214" s="26"/>
      <c r="AA214" s="26"/>
      <c r="AB214" s="26"/>
      <c r="AC214" s="26"/>
      <c r="AD214" s="26"/>
      <c r="AE214" s="26"/>
      <c r="AF214" s="26"/>
      <c r="AG214" s="26"/>
      <c r="AH214" s="26"/>
      <c r="AI214" s="26"/>
      <c r="AJ214" s="26"/>
      <c r="AK214" s="26"/>
      <c r="AL214" s="26"/>
      <c r="AM214" s="5"/>
      <c r="AN214" s="5"/>
      <c r="AO214" s="5"/>
      <c r="AP214" s="5"/>
      <c r="AQ214" s="5"/>
      <c r="AR214" s="5"/>
      <c r="AS214" s="5"/>
      <c r="AT214" s="5"/>
      <c r="AU214" s="5"/>
      <c r="AV214" s="5"/>
      <c r="AW214" s="5"/>
      <c r="AX214" s="5"/>
      <c r="AY214" s="5"/>
    </row>
    <row r="215" spans="1:51" ht="28.5" customHeight="1" x14ac:dyDescent="0.25">
      <c r="A215" s="5"/>
      <c r="B215" s="5"/>
      <c r="C215" s="5"/>
      <c r="D215" s="5"/>
      <c r="E215" s="5"/>
      <c r="F215" s="5"/>
      <c r="G215" s="5"/>
      <c r="H215" s="5"/>
      <c r="I215" s="5"/>
      <c r="J215" s="26"/>
      <c r="K215" s="26"/>
      <c r="L215" s="26"/>
      <c r="M215" s="26"/>
      <c r="N215" s="26"/>
      <c r="O215" s="26"/>
      <c r="P215" s="26"/>
      <c r="Q215" s="26"/>
      <c r="R215" s="26"/>
      <c r="S215" s="26"/>
      <c r="T215" s="26"/>
      <c r="U215" s="26"/>
      <c r="V215" s="26"/>
      <c r="W215" s="26"/>
      <c r="X215" s="26"/>
      <c r="Y215" s="26"/>
      <c r="Z215" s="26"/>
      <c r="AA215" s="26"/>
      <c r="AB215" s="26"/>
      <c r="AC215" s="26"/>
      <c r="AD215" s="26"/>
      <c r="AE215" s="26"/>
      <c r="AF215" s="26"/>
      <c r="AG215" s="26"/>
      <c r="AH215" s="26"/>
      <c r="AI215" s="26"/>
      <c r="AJ215" s="26"/>
      <c r="AK215" s="26"/>
      <c r="AL215" s="26"/>
      <c r="AM215" s="5"/>
      <c r="AN215" s="5"/>
      <c r="AO215" s="5"/>
      <c r="AP215" s="5"/>
      <c r="AQ215" s="5"/>
      <c r="AR215" s="5"/>
      <c r="AS215" s="5"/>
      <c r="AT215" s="5"/>
      <c r="AU215" s="5"/>
      <c r="AV215" s="5"/>
      <c r="AW215" s="5"/>
      <c r="AX215" s="5"/>
      <c r="AY215" s="5"/>
    </row>
    <row r="216" spans="1:51" ht="28.5" customHeight="1" x14ac:dyDescent="0.25">
      <c r="A216" s="5"/>
      <c r="B216" s="5"/>
      <c r="C216" s="5"/>
      <c r="D216" s="5"/>
      <c r="E216" s="5"/>
      <c r="F216" s="5"/>
      <c r="G216" s="5"/>
      <c r="H216" s="5"/>
      <c r="I216" s="5"/>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6"/>
      <c r="AI216" s="26"/>
      <c r="AJ216" s="26"/>
      <c r="AK216" s="26"/>
      <c r="AL216" s="26"/>
      <c r="AM216" s="5"/>
      <c r="AN216" s="5"/>
      <c r="AO216" s="5"/>
      <c r="AP216" s="5"/>
      <c r="AQ216" s="5"/>
      <c r="AR216" s="5"/>
      <c r="AS216" s="5"/>
      <c r="AT216" s="5"/>
      <c r="AU216" s="5"/>
      <c r="AV216" s="5"/>
      <c r="AW216" s="5"/>
      <c r="AX216" s="5"/>
      <c r="AY216" s="5"/>
    </row>
    <row r="217" spans="1:51" ht="28.5" customHeight="1" x14ac:dyDescent="0.25">
      <c r="A217" s="5"/>
      <c r="B217" s="5"/>
      <c r="C217" s="5"/>
      <c r="D217" s="5"/>
      <c r="E217" s="5"/>
      <c r="F217" s="5"/>
      <c r="G217" s="5"/>
      <c r="H217" s="5"/>
      <c r="I217" s="5"/>
      <c r="J217" s="26"/>
      <c r="K217" s="26"/>
      <c r="L217" s="26"/>
      <c r="M217" s="26"/>
      <c r="N217" s="26"/>
      <c r="O217" s="26"/>
      <c r="P217" s="26"/>
      <c r="Q217" s="26"/>
      <c r="R217" s="26"/>
      <c r="S217" s="26"/>
      <c r="T217" s="26"/>
      <c r="U217" s="26"/>
      <c r="V217" s="26"/>
      <c r="W217" s="26"/>
      <c r="X217" s="26"/>
      <c r="Y217" s="26"/>
      <c r="Z217" s="26"/>
      <c r="AA217" s="26"/>
      <c r="AB217" s="26"/>
      <c r="AC217" s="26"/>
      <c r="AD217" s="26"/>
      <c r="AE217" s="26"/>
      <c r="AF217" s="26"/>
      <c r="AG217" s="26"/>
      <c r="AH217" s="26"/>
      <c r="AI217" s="26"/>
      <c r="AJ217" s="26"/>
      <c r="AK217" s="26"/>
      <c r="AL217" s="26"/>
      <c r="AM217" s="5"/>
      <c r="AN217" s="5"/>
      <c r="AO217" s="5"/>
      <c r="AP217" s="5"/>
      <c r="AQ217" s="5"/>
      <c r="AR217" s="5"/>
      <c r="AS217" s="5"/>
      <c r="AT217" s="5"/>
      <c r="AU217" s="5"/>
      <c r="AV217" s="5"/>
      <c r="AW217" s="5"/>
      <c r="AX217" s="5"/>
      <c r="AY217" s="5"/>
    </row>
    <row r="218" spans="1:51" ht="28.5" customHeight="1" x14ac:dyDescent="0.25">
      <c r="A218" s="5"/>
      <c r="B218" s="5"/>
      <c r="C218" s="5"/>
      <c r="D218" s="5"/>
      <c r="E218" s="5"/>
      <c r="F218" s="5"/>
      <c r="G218" s="5"/>
      <c r="H218" s="5"/>
      <c r="I218" s="5"/>
      <c r="J218" s="26"/>
      <c r="K218" s="26"/>
      <c r="L218" s="26"/>
      <c r="M218" s="26"/>
      <c r="N218" s="26"/>
      <c r="O218" s="26"/>
      <c r="P218" s="26"/>
      <c r="Q218" s="26"/>
      <c r="R218" s="26"/>
      <c r="S218" s="26"/>
      <c r="T218" s="26"/>
      <c r="U218" s="26"/>
      <c r="V218" s="26"/>
      <c r="W218" s="26"/>
      <c r="X218" s="26"/>
      <c r="Y218" s="26"/>
      <c r="Z218" s="26"/>
      <c r="AA218" s="26"/>
      <c r="AB218" s="26"/>
      <c r="AC218" s="26"/>
      <c r="AD218" s="26"/>
      <c r="AE218" s="26"/>
      <c r="AF218" s="26"/>
      <c r="AG218" s="26"/>
      <c r="AH218" s="26"/>
      <c r="AI218" s="26"/>
      <c r="AJ218" s="26"/>
      <c r="AK218" s="26"/>
      <c r="AL218" s="26"/>
      <c r="AM218" s="5"/>
      <c r="AN218" s="5"/>
      <c r="AO218" s="5"/>
      <c r="AP218" s="5"/>
      <c r="AQ218" s="5"/>
      <c r="AR218" s="5"/>
      <c r="AS218" s="5"/>
      <c r="AT218" s="5"/>
      <c r="AU218" s="5"/>
      <c r="AV218" s="5"/>
      <c r="AW218" s="5"/>
      <c r="AX218" s="5"/>
      <c r="AY218" s="5"/>
    </row>
    <row r="219" spans="1:51" ht="28.5" customHeight="1" x14ac:dyDescent="0.25">
      <c r="A219" s="5"/>
      <c r="B219" s="5"/>
      <c r="C219" s="5"/>
      <c r="D219" s="5"/>
      <c r="E219" s="5"/>
      <c r="F219" s="5"/>
      <c r="G219" s="5"/>
      <c r="H219" s="5"/>
      <c r="I219" s="5"/>
      <c r="J219" s="26"/>
      <c r="K219" s="26"/>
      <c r="L219" s="26"/>
      <c r="M219" s="26"/>
      <c r="N219" s="26"/>
      <c r="O219" s="26"/>
      <c r="P219" s="26"/>
      <c r="Q219" s="26"/>
      <c r="R219" s="26"/>
      <c r="S219" s="26"/>
      <c r="T219" s="26"/>
      <c r="U219" s="26"/>
      <c r="V219" s="26"/>
      <c r="W219" s="26"/>
      <c r="X219" s="26"/>
      <c r="Y219" s="26"/>
      <c r="Z219" s="26"/>
      <c r="AA219" s="26"/>
      <c r="AB219" s="26"/>
      <c r="AC219" s="26"/>
      <c r="AD219" s="26"/>
      <c r="AE219" s="26"/>
      <c r="AF219" s="26"/>
      <c r="AG219" s="26"/>
      <c r="AH219" s="26"/>
      <c r="AI219" s="26"/>
      <c r="AJ219" s="26"/>
      <c r="AK219" s="26"/>
      <c r="AL219" s="26"/>
      <c r="AM219" s="5"/>
      <c r="AN219" s="5"/>
      <c r="AO219" s="5"/>
      <c r="AP219" s="5"/>
      <c r="AQ219" s="5"/>
      <c r="AR219" s="5"/>
      <c r="AS219" s="5"/>
      <c r="AT219" s="5"/>
      <c r="AU219" s="5"/>
      <c r="AV219" s="5"/>
      <c r="AW219" s="5"/>
      <c r="AX219" s="5"/>
      <c r="AY219" s="5"/>
    </row>
    <row r="220" spans="1:51" ht="28.5" customHeight="1" x14ac:dyDescent="0.25">
      <c r="A220" s="5"/>
      <c r="B220" s="5"/>
      <c r="C220" s="5"/>
      <c r="D220" s="5"/>
      <c r="E220" s="5"/>
      <c r="F220" s="5"/>
      <c r="G220" s="5"/>
      <c r="H220" s="5"/>
      <c r="I220" s="5"/>
      <c r="J220" s="26"/>
      <c r="K220" s="26"/>
      <c r="L220" s="26"/>
      <c r="M220" s="26"/>
      <c r="N220" s="26"/>
      <c r="O220" s="26"/>
      <c r="P220" s="26"/>
      <c r="Q220" s="26"/>
      <c r="R220" s="26"/>
      <c r="S220" s="26"/>
      <c r="T220" s="26"/>
      <c r="U220" s="26"/>
      <c r="V220" s="26"/>
      <c r="W220" s="26"/>
      <c r="X220" s="26"/>
      <c r="Y220" s="26"/>
      <c r="Z220" s="26"/>
      <c r="AA220" s="26"/>
      <c r="AB220" s="26"/>
      <c r="AC220" s="26"/>
      <c r="AD220" s="26"/>
      <c r="AE220" s="26"/>
      <c r="AF220" s="26"/>
      <c r="AG220" s="26"/>
      <c r="AH220" s="26"/>
      <c r="AI220" s="26"/>
      <c r="AJ220" s="26"/>
      <c r="AK220" s="26"/>
      <c r="AL220" s="26"/>
      <c r="AM220" s="5"/>
      <c r="AN220" s="5"/>
      <c r="AO220" s="5"/>
      <c r="AP220" s="5"/>
      <c r="AQ220" s="5"/>
      <c r="AR220" s="5"/>
      <c r="AS220" s="5"/>
      <c r="AT220" s="5"/>
      <c r="AU220" s="5"/>
      <c r="AV220" s="5"/>
      <c r="AW220" s="5"/>
      <c r="AX220" s="5"/>
      <c r="AY220" s="5"/>
    </row>
    <row r="221" spans="1:51" ht="28.5" customHeight="1" x14ac:dyDescent="0.25">
      <c r="A221" s="5"/>
      <c r="B221" s="5"/>
      <c r="C221" s="5"/>
      <c r="D221" s="5"/>
      <c r="E221" s="5"/>
      <c r="F221" s="5"/>
      <c r="G221" s="5"/>
      <c r="H221" s="5"/>
      <c r="I221" s="5"/>
      <c r="J221" s="26"/>
      <c r="K221" s="26"/>
      <c r="L221" s="26"/>
      <c r="M221" s="26"/>
      <c r="N221" s="26"/>
      <c r="O221" s="26"/>
      <c r="P221" s="26"/>
      <c r="Q221" s="26"/>
      <c r="R221" s="26"/>
      <c r="S221" s="26"/>
      <c r="T221" s="26"/>
      <c r="U221" s="26"/>
      <c r="V221" s="26"/>
      <c r="W221" s="26"/>
      <c r="X221" s="26"/>
      <c r="Y221" s="26"/>
      <c r="Z221" s="26"/>
      <c r="AA221" s="26"/>
      <c r="AB221" s="26"/>
      <c r="AC221" s="26"/>
      <c r="AD221" s="26"/>
      <c r="AE221" s="26"/>
      <c r="AF221" s="26"/>
      <c r="AG221" s="26"/>
      <c r="AH221" s="26"/>
      <c r="AI221" s="26"/>
      <c r="AJ221" s="26"/>
      <c r="AK221" s="26"/>
      <c r="AL221" s="26"/>
      <c r="AM221" s="5"/>
      <c r="AN221" s="5"/>
      <c r="AO221" s="5"/>
      <c r="AP221" s="5"/>
      <c r="AQ221" s="5"/>
      <c r="AR221" s="5"/>
      <c r="AS221" s="5"/>
      <c r="AT221" s="5"/>
      <c r="AU221" s="5"/>
      <c r="AV221" s="5"/>
      <c r="AW221" s="5"/>
      <c r="AX221" s="5"/>
      <c r="AY221" s="5"/>
    </row>
    <row r="222" spans="1:51" ht="28.5" customHeight="1" x14ac:dyDescent="0.25">
      <c r="A222" s="5"/>
      <c r="B222" s="5"/>
      <c r="C222" s="5"/>
      <c r="D222" s="5"/>
      <c r="E222" s="5"/>
      <c r="F222" s="5"/>
      <c r="G222" s="5"/>
      <c r="H222" s="5"/>
      <c r="I222" s="5"/>
      <c r="J222" s="26"/>
      <c r="K222" s="26"/>
      <c r="L222" s="26"/>
      <c r="M222" s="26"/>
      <c r="N222" s="26"/>
      <c r="O222" s="26"/>
      <c r="P222" s="26"/>
      <c r="Q222" s="26"/>
      <c r="R222" s="26"/>
      <c r="S222" s="26"/>
      <c r="T222" s="26"/>
      <c r="U222" s="26"/>
      <c r="V222" s="26"/>
      <c r="W222" s="26"/>
      <c r="X222" s="26"/>
      <c r="Y222" s="26"/>
      <c r="Z222" s="26"/>
      <c r="AA222" s="26"/>
      <c r="AB222" s="26"/>
      <c r="AC222" s="26"/>
      <c r="AD222" s="26"/>
      <c r="AE222" s="26"/>
      <c r="AF222" s="26"/>
      <c r="AG222" s="26"/>
      <c r="AH222" s="26"/>
      <c r="AI222" s="26"/>
      <c r="AJ222" s="26"/>
      <c r="AK222" s="26"/>
      <c r="AL222" s="26"/>
      <c r="AM222" s="5"/>
      <c r="AN222" s="5"/>
      <c r="AO222" s="5"/>
      <c r="AP222" s="5"/>
      <c r="AQ222" s="5"/>
      <c r="AR222" s="5"/>
      <c r="AS222" s="5"/>
      <c r="AT222" s="5"/>
      <c r="AU222" s="5"/>
      <c r="AV222" s="5"/>
      <c r="AW222" s="5"/>
      <c r="AX222" s="5"/>
      <c r="AY222" s="5"/>
    </row>
    <row r="223" spans="1:51" ht="28.5" customHeight="1" x14ac:dyDescent="0.25">
      <c r="A223" s="5"/>
      <c r="B223" s="5"/>
      <c r="C223" s="5"/>
      <c r="D223" s="5"/>
      <c r="E223" s="5"/>
      <c r="F223" s="5"/>
      <c r="G223" s="5"/>
      <c r="H223" s="5"/>
      <c r="I223" s="5"/>
      <c r="J223" s="26"/>
      <c r="K223" s="26"/>
      <c r="L223" s="26"/>
      <c r="M223" s="26"/>
      <c r="N223" s="26"/>
      <c r="O223" s="26"/>
      <c r="P223" s="26"/>
      <c r="Q223" s="26"/>
      <c r="R223" s="26"/>
      <c r="S223" s="26"/>
      <c r="T223" s="26"/>
      <c r="U223" s="26"/>
      <c r="V223" s="26"/>
      <c r="W223" s="26"/>
      <c r="X223" s="26"/>
      <c r="Y223" s="26"/>
      <c r="Z223" s="26"/>
      <c r="AA223" s="26"/>
      <c r="AB223" s="26"/>
      <c r="AC223" s="26"/>
      <c r="AD223" s="26"/>
      <c r="AE223" s="26"/>
      <c r="AF223" s="26"/>
      <c r="AG223" s="26"/>
      <c r="AH223" s="26"/>
      <c r="AI223" s="26"/>
      <c r="AJ223" s="26"/>
      <c r="AK223" s="26"/>
      <c r="AL223" s="26"/>
      <c r="AM223" s="5"/>
      <c r="AN223" s="5"/>
      <c r="AO223" s="5"/>
      <c r="AP223" s="5"/>
      <c r="AQ223" s="5"/>
      <c r="AR223" s="5"/>
      <c r="AS223" s="5"/>
      <c r="AT223" s="5"/>
      <c r="AU223" s="5"/>
      <c r="AV223" s="5"/>
      <c r="AW223" s="5"/>
      <c r="AX223" s="5"/>
      <c r="AY223" s="5"/>
    </row>
    <row r="224" spans="1:51" ht="28.5" customHeight="1" x14ac:dyDescent="0.25">
      <c r="A224" s="5"/>
      <c r="B224" s="5"/>
      <c r="C224" s="5"/>
      <c r="D224" s="5"/>
      <c r="E224" s="5"/>
      <c r="F224" s="5"/>
      <c r="G224" s="5"/>
      <c r="H224" s="5"/>
      <c r="I224" s="5"/>
      <c r="J224" s="26"/>
      <c r="K224" s="26"/>
      <c r="L224" s="26"/>
      <c r="M224" s="26"/>
      <c r="N224" s="26"/>
      <c r="O224" s="26"/>
      <c r="P224" s="26"/>
      <c r="Q224" s="26"/>
      <c r="R224" s="26"/>
      <c r="S224" s="26"/>
      <c r="T224" s="26"/>
      <c r="U224" s="26"/>
      <c r="V224" s="26"/>
      <c r="W224" s="26"/>
      <c r="X224" s="26"/>
      <c r="Y224" s="26"/>
      <c r="Z224" s="26"/>
      <c r="AA224" s="26"/>
      <c r="AB224" s="26"/>
      <c r="AC224" s="26"/>
      <c r="AD224" s="26"/>
      <c r="AE224" s="26"/>
      <c r="AF224" s="26"/>
      <c r="AG224" s="26"/>
      <c r="AH224" s="26"/>
      <c r="AI224" s="26"/>
      <c r="AJ224" s="26"/>
      <c r="AK224" s="26"/>
      <c r="AL224" s="26"/>
      <c r="AM224" s="5"/>
      <c r="AN224" s="5"/>
      <c r="AO224" s="5"/>
      <c r="AP224" s="5"/>
      <c r="AQ224" s="5"/>
      <c r="AR224" s="5"/>
      <c r="AS224" s="5"/>
      <c r="AT224" s="5"/>
      <c r="AU224" s="5"/>
      <c r="AV224" s="5"/>
      <c r="AW224" s="5"/>
      <c r="AX224" s="5"/>
      <c r="AY224" s="5"/>
    </row>
    <row r="225" spans="1:51" ht="28.5" customHeight="1" x14ac:dyDescent="0.25">
      <c r="A225" s="5"/>
      <c r="B225" s="5"/>
      <c r="C225" s="5"/>
      <c r="D225" s="5"/>
      <c r="E225" s="5"/>
      <c r="F225" s="5"/>
      <c r="G225" s="5"/>
      <c r="H225" s="5"/>
      <c r="I225" s="5"/>
      <c r="J225" s="26"/>
      <c r="K225" s="26"/>
      <c r="L225" s="26"/>
      <c r="M225" s="26"/>
      <c r="N225" s="26"/>
      <c r="O225" s="26"/>
      <c r="P225" s="26"/>
      <c r="Q225" s="26"/>
      <c r="R225" s="26"/>
      <c r="S225" s="26"/>
      <c r="T225" s="26"/>
      <c r="U225" s="26"/>
      <c r="V225" s="26"/>
      <c r="W225" s="26"/>
      <c r="X225" s="26"/>
      <c r="Y225" s="26"/>
      <c r="Z225" s="26"/>
      <c r="AA225" s="26"/>
      <c r="AB225" s="26"/>
      <c r="AC225" s="26"/>
      <c r="AD225" s="26"/>
      <c r="AE225" s="26"/>
      <c r="AF225" s="26"/>
      <c r="AG225" s="26"/>
      <c r="AH225" s="26"/>
      <c r="AI225" s="26"/>
      <c r="AJ225" s="26"/>
      <c r="AK225" s="26"/>
      <c r="AL225" s="26"/>
      <c r="AM225" s="5"/>
      <c r="AN225" s="5"/>
      <c r="AO225" s="5"/>
      <c r="AP225" s="5"/>
      <c r="AQ225" s="5"/>
      <c r="AR225" s="5"/>
      <c r="AS225" s="5"/>
      <c r="AT225" s="5"/>
      <c r="AU225" s="5"/>
      <c r="AV225" s="5"/>
      <c r="AW225" s="5"/>
      <c r="AX225" s="5"/>
      <c r="AY225" s="5"/>
    </row>
    <row r="226" spans="1:51" ht="28.5" customHeight="1" x14ac:dyDescent="0.25">
      <c r="A226" s="5"/>
      <c r="B226" s="5"/>
      <c r="C226" s="5"/>
      <c r="D226" s="5"/>
      <c r="E226" s="5"/>
      <c r="F226" s="5"/>
      <c r="G226" s="5"/>
      <c r="H226" s="5"/>
      <c r="I226" s="5"/>
      <c r="J226" s="26"/>
      <c r="K226" s="26"/>
      <c r="L226" s="26"/>
      <c r="M226" s="26"/>
      <c r="N226" s="26"/>
      <c r="O226" s="26"/>
      <c r="P226" s="26"/>
      <c r="Q226" s="26"/>
      <c r="R226" s="26"/>
      <c r="S226" s="26"/>
      <c r="T226" s="26"/>
      <c r="U226" s="26"/>
      <c r="V226" s="26"/>
      <c r="W226" s="26"/>
      <c r="X226" s="26"/>
      <c r="Y226" s="26"/>
      <c r="Z226" s="26"/>
      <c r="AA226" s="26"/>
      <c r="AB226" s="26"/>
      <c r="AC226" s="26"/>
      <c r="AD226" s="26"/>
      <c r="AE226" s="26"/>
      <c r="AF226" s="26"/>
      <c r="AG226" s="26"/>
      <c r="AH226" s="26"/>
      <c r="AI226" s="26"/>
      <c r="AJ226" s="26"/>
      <c r="AK226" s="26"/>
      <c r="AL226" s="26"/>
      <c r="AM226" s="5"/>
      <c r="AN226" s="5"/>
      <c r="AO226" s="5"/>
      <c r="AP226" s="5"/>
      <c r="AQ226" s="5"/>
      <c r="AR226" s="5"/>
      <c r="AS226" s="5"/>
      <c r="AT226" s="5"/>
      <c r="AU226" s="5"/>
      <c r="AV226" s="5"/>
      <c r="AW226" s="5"/>
      <c r="AX226" s="5"/>
      <c r="AY226" s="5"/>
    </row>
    <row r="227" spans="1:51" ht="28.5" customHeight="1" x14ac:dyDescent="0.25">
      <c r="A227" s="5"/>
      <c r="B227" s="5"/>
      <c r="C227" s="5"/>
      <c r="D227" s="5"/>
      <c r="E227" s="5"/>
      <c r="F227" s="5"/>
      <c r="G227" s="5"/>
      <c r="H227" s="5"/>
      <c r="I227" s="5"/>
      <c r="J227" s="26"/>
      <c r="K227" s="26"/>
      <c r="L227" s="26"/>
      <c r="M227" s="26"/>
      <c r="N227" s="26"/>
      <c r="O227" s="26"/>
      <c r="P227" s="26"/>
      <c r="Q227" s="26"/>
      <c r="R227" s="26"/>
      <c r="S227" s="26"/>
      <c r="T227" s="26"/>
      <c r="U227" s="26"/>
      <c r="V227" s="26"/>
      <c r="W227" s="26"/>
      <c r="X227" s="26"/>
      <c r="Y227" s="26"/>
      <c r="Z227" s="26"/>
      <c r="AA227" s="26"/>
      <c r="AB227" s="26"/>
      <c r="AC227" s="26"/>
      <c r="AD227" s="26"/>
      <c r="AE227" s="26"/>
      <c r="AF227" s="26"/>
      <c r="AG227" s="26"/>
      <c r="AH227" s="26"/>
      <c r="AI227" s="26"/>
      <c r="AJ227" s="26"/>
      <c r="AK227" s="26"/>
      <c r="AL227" s="26"/>
      <c r="AM227" s="5"/>
      <c r="AN227" s="5"/>
      <c r="AO227" s="5"/>
      <c r="AP227" s="5"/>
      <c r="AQ227" s="5"/>
      <c r="AR227" s="5"/>
      <c r="AS227" s="5"/>
      <c r="AT227" s="5"/>
      <c r="AU227" s="5"/>
      <c r="AV227" s="5"/>
      <c r="AW227" s="5"/>
      <c r="AX227" s="5"/>
      <c r="AY227" s="5"/>
    </row>
    <row r="228" spans="1:51" ht="28.5" customHeight="1" x14ac:dyDescent="0.25">
      <c r="A228" s="5"/>
      <c r="B228" s="5"/>
      <c r="C228" s="5"/>
      <c r="D228" s="5"/>
      <c r="E228" s="5"/>
      <c r="F228" s="5"/>
      <c r="G228" s="5"/>
      <c r="H228" s="5"/>
      <c r="I228" s="5"/>
      <c r="J228" s="26"/>
      <c r="K228" s="26"/>
      <c r="L228" s="26"/>
      <c r="M228" s="26"/>
      <c r="N228" s="26"/>
      <c r="O228" s="26"/>
      <c r="P228" s="26"/>
      <c r="Q228" s="26"/>
      <c r="R228" s="26"/>
      <c r="S228" s="26"/>
      <c r="T228" s="26"/>
      <c r="U228" s="26"/>
      <c r="V228" s="26"/>
      <c r="W228" s="26"/>
      <c r="X228" s="26"/>
      <c r="Y228" s="26"/>
      <c r="Z228" s="26"/>
      <c r="AA228" s="26"/>
      <c r="AB228" s="26"/>
      <c r="AC228" s="26"/>
      <c r="AD228" s="26"/>
      <c r="AE228" s="26"/>
      <c r="AF228" s="26"/>
      <c r="AG228" s="26"/>
      <c r="AH228" s="26"/>
      <c r="AI228" s="26"/>
      <c r="AJ228" s="26"/>
      <c r="AK228" s="26"/>
      <c r="AL228" s="26"/>
      <c r="AM228" s="5"/>
      <c r="AN228" s="5"/>
      <c r="AO228" s="5"/>
      <c r="AP228" s="5"/>
      <c r="AQ228" s="5"/>
      <c r="AR228" s="5"/>
      <c r="AS228" s="5"/>
      <c r="AT228" s="5"/>
      <c r="AU228" s="5"/>
      <c r="AV228" s="5"/>
      <c r="AW228" s="5"/>
      <c r="AX228" s="5"/>
      <c r="AY228" s="5"/>
    </row>
    <row r="229" spans="1:51" ht="28.5" customHeight="1" x14ac:dyDescent="0.25">
      <c r="A229" s="5"/>
      <c r="B229" s="5"/>
      <c r="C229" s="5"/>
      <c r="D229" s="5"/>
      <c r="E229" s="5"/>
      <c r="F229" s="5"/>
      <c r="G229" s="5"/>
      <c r="H229" s="5"/>
      <c r="I229" s="5"/>
      <c r="J229" s="26"/>
      <c r="K229" s="26"/>
      <c r="L229" s="26"/>
      <c r="M229" s="26"/>
      <c r="N229" s="26"/>
      <c r="O229" s="26"/>
      <c r="P229" s="26"/>
      <c r="Q229" s="26"/>
      <c r="R229" s="26"/>
      <c r="S229" s="26"/>
      <c r="T229" s="26"/>
      <c r="U229" s="26"/>
      <c r="V229" s="26"/>
      <c r="W229" s="26"/>
      <c r="X229" s="26"/>
      <c r="Y229" s="26"/>
      <c r="Z229" s="26"/>
      <c r="AA229" s="26"/>
      <c r="AB229" s="26"/>
      <c r="AC229" s="26"/>
      <c r="AD229" s="26"/>
      <c r="AE229" s="26"/>
      <c r="AF229" s="26"/>
      <c r="AG229" s="26"/>
      <c r="AH229" s="26"/>
      <c r="AI229" s="26"/>
      <c r="AJ229" s="26"/>
      <c r="AK229" s="26"/>
      <c r="AL229" s="26"/>
      <c r="AM229" s="5"/>
      <c r="AN229" s="5"/>
      <c r="AO229" s="5"/>
      <c r="AP229" s="5"/>
      <c r="AQ229" s="5"/>
      <c r="AR229" s="5"/>
      <c r="AS229" s="5"/>
      <c r="AT229" s="5"/>
      <c r="AU229" s="5"/>
      <c r="AV229" s="5"/>
      <c r="AW229" s="5"/>
      <c r="AX229" s="5"/>
      <c r="AY229" s="5"/>
    </row>
    <row r="230" spans="1:51" ht="28.5" customHeight="1" x14ac:dyDescent="0.25">
      <c r="A230" s="5"/>
      <c r="B230" s="5"/>
      <c r="C230" s="5"/>
      <c r="D230" s="5"/>
      <c r="E230" s="5"/>
      <c r="F230" s="5"/>
      <c r="G230" s="5"/>
      <c r="H230" s="5"/>
      <c r="I230" s="5"/>
      <c r="J230" s="26"/>
      <c r="K230" s="26"/>
      <c r="L230" s="26"/>
      <c r="M230" s="26"/>
      <c r="N230" s="26"/>
      <c r="O230" s="26"/>
      <c r="P230" s="26"/>
      <c r="Q230" s="26"/>
      <c r="R230" s="26"/>
      <c r="S230" s="26"/>
      <c r="T230" s="26"/>
      <c r="U230" s="26"/>
      <c r="V230" s="26"/>
      <c r="W230" s="26"/>
      <c r="X230" s="26"/>
      <c r="Y230" s="26"/>
      <c r="Z230" s="26"/>
      <c r="AA230" s="26"/>
      <c r="AB230" s="26"/>
      <c r="AC230" s="26"/>
      <c r="AD230" s="26"/>
      <c r="AE230" s="26"/>
      <c r="AF230" s="26"/>
      <c r="AG230" s="26"/>
      <c r="AH230" s="26"/>
      <c r="AI230" s="26"/>
      <c r="AJ230" s="26"/>
      <c r="AK230" s="26"/>
      <c r="AL230" s="26"/>
      <c r="AM230" s="5"/>
      <c r="AN230" s="5"/>
      <c r="AO230" s="5"/>
      <c r="AP230" s="5"/>
      <c r="AQ230" s="5"/>
      <c r="AR230" s="5"/>
      <c r="AS230" s="5"/>
      <c r="AT230" s="5"/>
      <c r="AU230" s="5"/>
      <c r="AV230" s="5"/>
      <c r="AW230" s="5"/>
      <c r="AX230" s="5"/>
      <c r="AY230" s="5"/>
    </row>
    <row r="231" spans="1:51" ht="28.5" customHeight="1" x14ac:dyDescent="0.25">
      <c r="A231" s="5"/>
      <c r="B231" s="5"/>
      <c r="C231" s="5"/>
      <c r="D231" s="5"/>
      <c r="E231" s="5"/>
      <c r="F231" s="5"/>
      <c r="G231" s="5"/>
      <c r="H231" s="5"/>
      <c r="I231" s="5"/>
      <c r="J231" s="26"/>
      <c r="K231" s="26"/>
      <c r="L231" s="26"/>
      <c r="M231" s="26"/>
      <c r="N231" s="26"/>
      <c r="O231" s="26"/>
      <c r="P231" s="26"/>
      <c r="Q231" s="26"/>
      <c r="R231" s="26"/>
      <c r="S231" s="26"/>
      <c r="T231" s="26"/>
      <c r="U231" s="26"/>
      <c r="V231" s="26"/>
      <c r="W231" s="26"/>
      <c r="X231" s="26"/>
      <c r="Y231" s="26"/>
      <c r="Z231" s="26"/>
      <c r="AA231" s="26"/>
      <c r="AB231" s="26"/>
      <c r="AC231" s="26"/>
      <c r="AD231" s="26"/>
      <c r="AE231" s="26"/>
      <c r="AF231" s="26"/>
      <c r="AG231" s="26"/>
      <c r="AH231" s="26"/>
      <c r="AI231" s="26"/>
      <c r="AJ231" s="26"/>
      <c r="AK231" s="26"/>
      <c r="AL231" s="26"/>
      <c r="AM231" s="5"/>
      <c r="AN231" s="5"/>
      <c r="AO231" s="5"/>
      <c r="AP231" s="5"/>
      <c r="AQ231" s="5"/>
      <c r="AR231" s="5"/>
      <c r="AS231" s="5"/>
      <c r="AT231" s="5"/>
      <c r="AU231" s="5"/>
      <c r="AV231" s="5"/>
      <c r="AW231" s="5"/>
      <c r="AX231" s="5"/>
      <c r="AY231" s="5"/>
    </row>
    <row r="232" spans="1:51" ht="28.5" customHeight="1" x14ac:dyDescent="0.25">
      <c r="A232" s="5"/>
      <c r="B232" s="5"/>
      <c r="C232" s="5"/>
      <c r="D232" s="5"/>
      <c r="E232" s="5"/>
      <c r="F232" s="5"/>
      <c r="G232" s="5"/>
      <c r="H232" s="5"/>
      <c r="I232" s="5"/>
      <c r="J232" s="26"/>
      <c r="K232" s="26"/>
      <c r="L232" s="26"/>
      <c r="M232" s="26"/>
      <c r="N232" s="26"/>
      <c r="O232" s="26"/>
      <c r="P232" s="26"/>
      <c r="Q232" s="26"/>
      <c r="R232" s="26"/>
      <c r="S232" s="26"/>
      <c r="T232" s="26"/>
      <c r="U232" s="26"/>
      <c r="V232" s="26"/>
      <c r="W232" s="26"/>
      <c r="X232" s="26"/>
      <c r="Y232" s="26"/>
      <c r="Z232" s="26"/>
      <c r="AA232" s="26"/>
      <c r="AB232" s="26"/>
      <c r="AC232" s="26"/>
      <c r="AD232" s="26"/>
      <c r="AE232" s="26"/>
      <c r="AF232" s="26"/>
      <c r="AG232" s="26"/>
      <c r="AH232" s="26"/>
      <c r="AI232" s="26"/>
      <c r="AJ232" s="26"/>
      <c r="AK232" s="26"/>
      <c r="AL232" s="26"/>
      <c r="AM232" s="5"/>
      <c r="AN232" s="5"/>
      <c r="AO232" s="5"/>
      <c r="AP232" s="5"/>
      <c r="AQ232" s="5"/>
      <c r="AR232" s="5"/>
      <c r="AS232" s="5"/>
      <c r="AT232" s="5"/>
      <c r="AU232" s="5"/>
      <c r="AV232" s="5"/>
      <c r="AW232" s="5"/>
      <c r="AX232" s="5"/>
      <c r="AY232" s="5"/>
    </row>
  </sheetData>
  <mergeCells count="46">
    <mergeCell ref="D11:D13"/>
    <mergeCell ref="B14:B31"/>
    <mergeCell ref="A14:A31"/>
    <mergeCell ref="C11:C13"/>
    <mergeCell ref="A11:A13"/>
    <mergeCell ref="B11:B13"/>
    <mergeCell ref="C14:C31"/>
    <mergeCell ref="A32:AW32"/>
    <mergeCell ref="J11:J13"/>
    <mergeCell ref="F11:F13"/>
    <mergeCell ref="G11:G13"/>
    <mergeCell ref="H11:H13"/>
    <mergeCell ref="E11:E13"/>
    <mergeCell ref="I11:I13"/>
    <mergeCell ref="AT10:AT13"/>
    <mergeCell ref="AS10:AS13"/>
    <mergeCell ref="AR10:AR13"/>
    <mergeCell ref="AU10:AU13"/>
    <mergeCell ref="AW10:AW13"/>
    <mergeCell ref="A10:C10"/>
    <mergeCell ref="F10:AP10"/>
    <mergeCell ref="D10:E10"/>
    <mergeCell ref="AV10:AV13"/>
    <mergeCell ref="S8:AW8"/>
    <mergeCell ref="S7:AW7"/>
    <mergeCell ref="A7:R7"/>
    <mergeCell ref="A8:R8"/>
    <mergeCell ref="AQ10:AQ13"/>
    <mergeCell ref="K12:N12"/>
    <mergeCell ref="AA12:AF12"/>
    <mergeCell ref="O12:T12"/>
    <mergeCell ref="U12:Z12"/>
    <mergeCell ref="AP12:AP13"/>
    <mergeCell ref="AG12:AL12"/>
    <mergeCell ref="AN12:AN13"/>
    <mergeCell ref="AO12:AO13"/>
    <mergeCell ref="AM12:AM13"/>
    <mergeCell ref="K11:AL11"/>
    <mergeCell ref="AM11:AP11"/>
    <mergeCell ref="H3:AW3"/>
    <mergeCell ref="H2:AW2"/>
    <mergeCell ref="A2:G5"/>
    <mergeCell ref="S4:AW4"/>
    <mergeCell ref="S5:AW5"/>
    <mergeCell ref="H5:R5"/>
    <mergeCell ref="H4:R4"/>
  </mergeCells>
  <printOptions horizontalCentered="1" verticalCentered="1"/>
  <pageMargins left="3.937007874015748E-2" right="3.937007874015748E-2" top="0.74803149606299213" bottom="0.35433070866141736" header="0.31496062992125984" footer="0.31496062992125984"/>
  <pageSetup scale="50" orientation="landscape" r:id="rId1"/>
  <rowBreaks count="1" manualBreakCount="1">
    <brk id="25" man="1"/>
  </rowBreaks>
  <colBreaks count="1" manualBreakCount="1">
    <brk id="49"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332"/>
  <sheetViews>
    <sheetView zoomScale="66" zoomScaleNormal="66" workbookViewId="0">
      <pane xSplit="5" ySplit="8" topLeftCell="H9" activePane="bottomRight" state="frozen"/>
      <selection pane="topRight" activeCell="F1" sqref="F1"/>
      <selection pane="bottomLeft" activeCell="A9" sqref="A9"/>
      <selection pane="bottomRight" activeCell="R32" sqref="R32"/>
    </sheetView>
  </sheetViews>
  <sheetFormatPr baseColWidth="10" defaultColWidth="14.42578125" defaultRowHeight="46.5" customHeight="1" x14ac:dyDescent="0.25"/>
  <cols>
    <col min="1" max="1" width="9.7109375" customWidth="1"/>
    <col min="2" max="2" width="9.5703125" customWidth="1"/>
    <col min="3" max="3" width="17.7109375" customWidth="1"/>
    <col min="4" max="4" width="16.5703125" customWidth="1"/>
    <col min="5" max="7" width="16.5703125" hidden="1" customWidth="1"/>
    <col min="8" max="8" width="27.42578125" customWidth="1"/>
    <col min="9" max="9" width="23.5703125" hidden="1" customWidth="1"/>
    <col min="10" max="10" width="24.140625" hidden="1" customWidth="1"/>
    <col min="11" max="11" width="29.5703125" hidden="1" customWidth="1"/>
    <col min="12" max="12" width="24.85546875" customWidth="1"/>
    <col min="13" max="13" width="25.42578125" hidden="1" customWidth="1"/>
    <col min="14" max="14" width="28.28515625" hidden="1" customWidth="1"/>
    <col min="15" max="16" width="27.42578125" hidden="1" customWidth="1"/>
    <col min="17" max="17" width="1.140625" hidden="1" customWidth="1"/>
    <col min="18" max="18" width="25.140625" bestFit="1" customWidth="1"/>
    <col min="19" max="19" width="26.7109375" hidden="1" customWidth="1"/>
    <col min="20" max="20" width="27.7109375" hidden="1" customWidth="1"/>
    <col min="21" max="21" width="24.85546875" hidden="1" customWidth="1"/>
    <col min="22" max="22" width="26.5703125" customWidth="1"/>
    <col min="23" max="23" width="27.28515625" hidden="1" customWidth="1"/>
    <col min="24" max="24" width="22.140625" hidden="1" customWidth="1"/>
    <col min="25" max="25" width="26.42578125" customWidth="1"/>
    <col min="26" max="26" width="23.85546875" hidden="1" customWidth="1"/>
    <col min="27" max="27" width="20.42578125" hidden="1" customWidth="1"/>
    <col min="28" max="28" width="19.28515625" hidden="1" customWidth="1"/>
    <col min="29" max="29" width="16.7109375" hidden="1" customWidth="1"/>
    <col min="30" max="30" width="17.140625" hidden="1" customWidth="1"/>
    <col min="31" max="31" width="27" customWidth="1"/>
    <col min="32" max="32" width="24" hidden="1" customWidth="1"/>
    <col min="33" max="33" width="23.5703125" hidden="1" customWidth="1"/>
    <col min="34" max="34" width="22.28515625" hidden="1" customWidth="1"/>
    <col min="35" max="35" width="25.5703125" hidden="1" customWidth="1"/>
    <col min="36" max="36" width="24" customWidth="1"/>
    <col min="37" max="37" width="24.7109375" customWidth="1"/>
    <col min="38" max="38" width="26.42578125" customWidth="1"/>
    <col min="39" max="39" width="25.85546875" hidden="1" customWidth="1"/>
    <col min="40" max="40" width="18.85546875" customWidth="1"/>
    <col min="41" max="41" width="17.85546875" customWidth="1"/>
    <col min="42" max="42" width="48.7109375" customWidth="1"/>
    <col min="43" max="43" width="24" customWidth="1"/>
    <col min="44" max="44" width="16.42578125" customWidth="1"/>
    <col min="45" max="45" width="18.42578125" customWidth="1"/>
    <col min="46" max="46" width="16.28515625" customWidth="1"/>
    <col min="47" max="47" width="18.140625" customWidth="1"/>
    <col min="48" max="48" width="18.42578125" customWidth="1"/>
    <col min="49" max="50" width="18.85546875" customWidth="1"/>
  </cols>
  <sheetData>
    <row r="1" spans="1:50" ht="46.5" customHeight="1" x14ac:dyDescent="0.25">
      <c r="A1" s="557"/>
      <c r="B1" s="497"/>
      <c r="C1" s="497"/>
      <c r="D1" s="497"/>
      <c r="E1" s="550"/>
      <c r="F1" s="564" t="s">
        <v>0</v>
      </c>
      <c r="G1" s="494"/>
      <c r="H1" s="494"/>
      <c r="I1" s="494"/>
      <c r="J1" s="494"/>
      <c r="K1" s="494"/>
      <c r="L1" s="494"/>
      <c r="M1" s="494"/>
      <c r="N1" s="494"/>
      <c r="O1" s="494"/>
      <c r="P1" s="494"/>
      <c r="Q1" s="494"/>
      <c r="R1" s="494"/>
      <c r="S1" s="494"/>
      <c r="T1" s="494"/>
      <c r="U1" s="494"/>
      <c r="V1" s="494"/>
      <c r="W1" s="494"/>
      <c r="X1" s="494"/>
      <c r="Y1" s="494"/>
      <c r="Z1" s="494"/>
      <c r="AA1" s="494"/>
      <c r="AB1" s="494"/>
      <c r="AC1" s="494"/>
      <c r="AD1" s="494"/>
      <c r="AE1" s="494"/>
      <c r="AF1" s="494"/>
      <c r="AG1" s="494"/>
      <c r="AH1" s="494"/>
      <c r="AI1" s="494"/>
      <c r="AJ1" s="494"/>
      <c r="AK1" s="494"/>
      <c r="AL1" s="494"/>
      <c r="AM1" s="494"/>
      <c r="AN1" s="494"/>
      <c r="AO1" s="494"/>
      <c r="AP1" s="494"/>
      <c r="AQ1" s="494"/>
      <c r="AR1" s="494"/>
      <c r="AS1" s="494"/>
      <c r="AT1" s="511"/>
      <c r="AU1" s="5"/>
      <c r="AV1" s="5"/>
      <c r="AW1" s="5"/>
      <c r="AX1" s="5"/>
    </row>
    <row r="2" spans="1:50" ht="46.5" customHeight="1" x14ac:dyDescent="0.25">
      <c r="A2" s="499"/>
      <c r="B2" s="500"/>
      <c r="C2" s="500"/>
      <c r="D2" s="500"/>
      <c r="E2" s="558"/>
      <c r="F2" s="505" t="s">
        <v>1</v>
      </c>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c r="AN2" s="491"/>
      <c r="AO2" s="491"/>
      <c r="AP2" s="491"/>
      <c r="AQ2" s="491"/>
      <c r="AR2" s="491"/>
      <c r="AS2" s="491"/>
      <c r="AT2" s="563"/>
      <c r="AU2" s="5"/>
      <c r="AV2" s="5"/>
      <c r="AW2" s="5"/>
      <c r="AX2" s="5"/>
    </row>
    <row r="3" spans="1:50" ht="46.5" customHeight="1" x14ac:dyDescent="0.25">
      <c r="A3" s="499"/>
      <c r="B3" s="500"/>
      <c r="C3" s="500"/>
      <c r="D3" s="500"/>
      <c r="E3" s="558"/>
      <c r="F3" s="505" t="s">
        <v>4</v>
      </c>
      <c r="G3" s="491"/>
      <c r="H3" s="491"/>
      <c r="I3" s="491"/>
      <c r="J3" s="491"/>
      <c r="K3" s="491"/>
      <c r="L3" s="491"/>
      <c r="M3" s="491"/>
      <c r="N3" s="491"/>
      <c r="O3" s="491"/>
      <c r="P3" s="506"/>
      <c r="Q3" s="505" t="s">
        <v>5</v>
      </c>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563"/>
      <c r="AU3" s="5"/>
      <c r="AV3" s="5"/>
      <c r="AW3" s="5"/>
      <c r="AX3" s="5"/>
    </row>
    <row r="4" spans="1:50" ht="46.5" customHeight="1" thickBot="1" x14ac:dyDescent="0.3">
      <c r="A4" s="502"/>
      <c r="B4" s="503"/>
      <c r="C4" s="503"/>
      <c r="D4" s="503"/>
      <c r="E4" s="559"/>
      <c r="F4" s="567" t="s">
        <v>7</v>
      </c>
      <c r="G4" s="508"/>
      <c r="H4" s="508"/>
      <c r="I4" s="508"/>
      <c r="J4" s="508"/>
      <c r="K4" s="508"/>
      <c r="L4" s="508"/>
      <c r="M4" s="508"/>
      <c r="N4" s="508"/>
      <c r="O4" s="508"/>
      <c r="P4" s="568"/>
      <c r="Q4" s="505" t="s">
        <v>8</v>
      </c>
      <c r="R4" s="491"/>
      <c r="S4" s="491"/>
      <c r="T4" s="491"/>
      <c r="U4" s="491"/>
      <c r="V4" s="491"/>
      <c r="W4" s="491"/>
      <c r="X4" s="491"/>
      <c r="Y4" s="491"/>
      <c r="Z4" s="491"/>
      <c r="AA4" s="491"/>
      <c r="AB4" s="491"/>
      <c r="AC4" s="491"/>
      <c r="AD4" s="491"/>
      <c r="AE4" s="491"/>
      <c r="AF4" s="491"/>
      <c r="AG4" s="491"/>
      <c r="AH4" s="491"/>
      <c r="AI4" s="491"/>
      <c r="AJ4" s="491"/>
      <c r="AK4" s="491"/>
      <c r="AL4" s="491"/>
      <c r="AM4" s="491"/>
      <c r="AN4" s="491"/>
      <c r="AO4" s="491"/>
      <c r="AP4" s="491"/>
      <c r="AQ4" s="491"/>
      <c r="AR4" s="491"/>
      <c r="AS4" s="491"/>
      <c r="AT4" s="563"/>
      <c r="AU4" s="5"/>
      <c r="AV4" s="5"/>
      <c r="AW4" s="5"/>
      <c r="AX4" s="5"/>
    </row>
    <row r="5" spans="1:50" ht="46.5" customHeight="1" thickBot="1" x14ac:dyDescent="0.3">
      <c r="A5" s="5"/>
      <c r="B5" s="5"/>
      <c r="C5" s="5"/>
      <c r="D5" s="17"/>
      <c r="E5" s="17"/>
      <c r="F5" s="17"/>
      <c r="G5" s="19"/>
      <c r="H5" s="20"/>
      <c r="I5" s="20"/>
      <c r="J5" s="20"/>
      <c r="K5" s="20"/>
      <c r="L5" s="20"/>
      <c r="M5" s="20"/>
      <c r="N5" s="20"/>
      <c r="O5" s="20"/>
      <c r="P5" s="20"/>
      <c r="Q5" s="20"/>
      <c r="R5" s="22"/>
      <c r="S5" s="20"/>
      <c r="T5" s="20"/>
      <c r="U5" s="20"/>
      <c r="V5" s="20"/>
      <c r="W5" s="20"/>
      <c r="X5" s="20"/>
      <c r="Y5" s="20"/>
      <c r="Z5" s="20"/>
      <c r="AA5" s="20"/>
      <c r="AB5" s="20"/>
      <c r="AC5" s="20"/>
      <c r="AD5" s="20"/>
      <c r="AE5" s="20"/>
      <c r="AF5" s="20"/>
      <c r="AG5" s="20"/>
      <c r="AH5" s="20"/>
      <c r="AI5" s="20"/>
      <c r="AJ5" s="5">
        <v>0</v>
      </c>
      <c r="AK5" s="5"/>
      <c r="AL5" s="26"/>
      <c r="AM5" s="27"/>
      <c r="AN5" s="28"/>
      <c r="AO5" s="28"/>
      <c r="AP5" s="35"/>
      <c r="AQ5" s="5"/>
      <c r="AR5" s="5"/>
      <c r="AS5" s="5"/>
      <c r="AT5" s="5"/>
      <c r="AU5" s="5"/>
      <c r="AV5" s="5"/>
      <c r="AW5" s="5"/>
      <c r="AX5" s="5"/>
    </row>
    <row r="6" spans="1:50" ht="46.5" customHeight="1" x14ac:dyDescent="0.25">
      <c r="A6" s="554" t="s">
        <v>13</v>
      </c>
      <c r="B6" s="549" t="s">
        <v>57</v>
      </c>
      <c r="C6" s="497"/>
      <c r="D6" s="550"/>
      <c r="E6" s="514" t="s">
        <v>59</v>
      </c>
      <c r="F6" s="514" t="s">
        <v>60</v>
      </c>
      <c r="G6" s="514" t="s">
        <v>61</v>
      </c>
      <c r="H6" s="560" t="s">
        <v>62</v>
      </c>
      <c r="I6" s="570" t="s">
        <v>81</v>
      </c>
      <c r="J6" s="494"/>
      <c r="K6" s="494"/>
      <c r="L6" s="494"/>
      <c r="M6" s="494"/>
      <c r="N6" s="494"/>
      <c r="O6" s="494"/>
      <c r="P6" s="494"/>
      <c r="Q6" s="494"/>
      <c r="R6" s="494"/>
      <c r="S6" s="494"/>
      <c r="T6" s="494"/>
      <c r="U6" s="494"/>
      <c r="V6" s="494"/>
      <c r="W6" s="494"/>
      <c r="X6" s="494"/>
      <c r="Y6" s="494"/>
      <c r="Z6" s="494"/>
      <c r="AA6" s="494"/>
      <c r="AB6" s="494"/>
      <c r="AC6" s="494"/>
      <c r="AD6" s="494"/>
      <c r="AE6" s="494"/>
      <c r="AF6" s="494"/>
      <c r="AG6" s="494"/>
      <c r="AH6" s="494"/>
      <c r="AI6" s="538"/>
      <c r="AJ6" s="571" t="s">
        <v>86</v>
      </c>
      <c r="AK6" s="494"/>
      <c r="AL6" s="494"/>
      <c r="AM6" s="538"/>
      <c r="AN6" s="569" t="s">
        <v>92</v>
      </c>
      <c r="AO6" s="569" t="s">
        <v>93</v>
      </c>
      <c r="AP6" s="569" t="s">
        <v>94</v>
      </c>
      <c r="AQ6" s="569" t="s">
        <v>95</v>
      </c>
      <c r="AR6" s="569" t="s">
        <v>96</v>
      </c>
      <c r="AS6" s="514" t="s">
        <v>97</v>
      </c>
      <c r="AT6" s="534" t="s">
        <v>98</v>
      </c>
      <c r="AU6" s="49"/>
      <c r="AV6" s="49"/>
      <c r="AW6" s="49"/>
      <c r="AX6" s="49"/>
    </row>
    <row r="7" spans="1:50" ht="46.5" customHeight="1" x14ac:dyDescent="0.25">
      <c r="A7" s="542"/>
      <c r="B7" s="551"/>
      <c r="C7" s="552"/>
      <c r="D7" s="553"/>
      <c r="E7" s="515"/>
      <c r="F7" s="515"/>
      <c r="G7" s="515"/>
      <c r="H7" s="561"/>
      <c r="I7" s="517">
        <v>2016</v>
      </c>
      <c r="J7" s="491"/>
      <c r="K7" s="491"/>
      <c r="L7" s="506"/>
      <c r="M7" s="517">
        <v>2017</v>
      </c>
      <c r="N7" s="491"/>
      <c r="O7" s="491"/>
      <c r="P7" s="491"/>
      <c r="Q7" s="491"/>
      <c r="R7" s="506"/>
      <c r="S7" s="517">
        <v>2018</v>
      </c>
      <c r="T7" s="491"/>
      <c r="U7" s="491"/>
      <c r="V7" s="491"/>
      <c r="W7" s="491"/>
      <c r="X7" s="506"/>
      <c r="Y7" s="517">
        <v>2019</v>
      </c>
      <c r="Z7" s="491"/>
      <c r="AA7" s="491"/>
      <c r="AB7" s="491"/>
      <c r="AC7" s="491"/>
      <c r="AD7" s="506"/>
      <c r="AE7" s="517">
        <v>2020</v>
      </c>
      <c r="AF7" s="491"/>
      <c r="AG7" s="491"/>
      <c r="AH7" s="491"/>
      <c r="AI7" s="506"/>
      <c r="AJ7" s="517" t="s">
        <v>111</v>
      </c>
      <c r="AK7" s="491"/>
      <c r="AL7" s="491"/>
      <c r="AM7" s="506"/>
      <c r="AN7" s="515"/>
      <c r="AO7" s="515"/>
      <c r="AP7" s="515"/>
      <c r="AQ7" s="515"/>
      <c r="AR7" s="515"/>
      <c r="AS7" s="515"/>
      <c r="AT7" s="575"/>
      <c r="AU7" s="49"/>
      <c r="AV7" s="49"/>
      <c r="AW7" s="49"/>
      <c r="AX7" s="49"/>
    </row>
    <row r="8" spans="1:50" ht="46.5" customHeight="1" thickBot="1" x14ac:dyDescent="0.3">
      <c r="A8" s="555"/>
      <c r="B8" s="39" t="s">
        <v>44</v>
      </c>
      <c r="C8" s="39" t="s">
        <v>112</v>
      </c>
      <c r="D8" s="39" t="s">
        <v>113</v>
      </c>
      <c r="E8" s="540"/>
      <c r="F8" s="540"/>
      <c r="G8" s="516"/>
      <c r="H8" s="562"/>
      <c r="I8" s="39" t="s">
        <v>73</v>
      </c>
      <c r="J8" s="39" t="s">
        <v>75</v>
      </c>
      <c r="K8" s="39" t="s">
        <v>76</v>
      </c>
      <c r="L8" s="39" t="s">
        <v>77</v>
      </c>
      <c r="M8" s="39" t="s">
        <v>78</v>
      </c>
      <c r="N8" s="39" t="s">
        <v>79</v>
      </c>
      <c r="O8" s="39" t="s">
        <v>80</v>
      </c>
      <c r="P8" s="39" t="s">
        <v>75</v>
      </c>
      <c r="Q8" s="39" t="s">
        <v>76</v>
      </c>
      <c r="R8" s="39" t="s">
        <v>77</v>
      </c>
      <c r="S8" s="39" t="s">
        <v>78</v>
      </c>
      <c r="T8" s="39" t="s">
        <v>79</v>
      </c>
      <c r="U8" s="39" t="s">
        <v>80</v>
      </c>
      <c r="V8" s="39" t="s">
        <v>75</v>
      </c>
      <c r="W8" s="39" t="s">
        <v>76</v>
      </c>
      <c r="X8" s="39" t="s">
        <v>77</v>
      </c>
      <c r="Y8" s="39" t="s">
        <v>78</v>
      </c>
      <c r="Z8" s="39" t="s">
        <v>79</v>
      </c>
      <c r="AA8" s="39" t="s">
        <v>80</v>
      </c>
      <c r="AB8" s="39" t="s">
        <v>75</v>
      </c>
      <c r="AC8" s="39" t="s">
        <v>76</v>
      </c>
      <c r="AD8" s="39" t="s">
        <v>77</v>
      </c>
      <c r="AE8" s="39" t="s">
        <v>78</v>
      </c>
      <c r="AF8" s="39" t="s">
        <v>79</v>
      </c>
      <c r="AG8" s="39" t="s">
        <v>80</v>
      </c>
      <c r="AH8" s="39" t="s">
        <v>75</v>
      </c>
      <c r="AI8" s="39" t="s">
        <v>76</v>
      </c>
      <c r="AJ8" s="39" t="s">
        <v>118</v>
      </c>
      <c r="AK8" s="39" t="s">
        <v>68</v>
      </c>
      <c r="AL8" s="39" t="s">
        <v>69</v>
      </c>
      <c r="AM8" s="39" t="s">
        <v>71</v>
      </c>
      <c r="AN8" s="516"/>
      <c r="AO8" s="516"/>
      <c r="AP8" s="516"/>
      <c r="AQ8" s="516"/>
      <c r="AR8" s="516"/>
      <c r="AS8" s="516"/>
      <c r="AT8" s="576"/>
      <c r="AU8" s="49"/>
      <c r="AV8" s="49"/>
      <c r="AW8" s="49"/>
      <c r="AX8" s="49"/>
    </row>
    <row r="9" spans="1:50" ht="46.5" customHeight="1" x14ac:dyDescent="0.25">
      <c r="A9" s="545" t="s">
        <v>65</v>
      </c>
      <c r="B9" s="545">
        <v>1</v>
      </c>
      <c r="C9" s="556" t="s">
        <v>88</v>
      </c>
      <c r="D9" s="545" t="s">
        <v>110</v>
      </c>
      <c r="E9" s="545">
        <v>522</v>
      </c>
      <c r="F9" s="641">
        <v>181</v>
      </c>
      <c r="G9" s="56" t="s">
        <v>119</v>
      </c>
      <c r="H9" s="57">
        <f t="shared" ref="H9:H10" si="0">L9+R9+S9+Y9+AE9</f>
        <v>800</v>
      </c>
      <c r="I9" s="57">
        <v>100</v>
      </c>
      <c r="J9" s="57">
        <v>100</v>
      </c>
      <c r="K9" s="57">
        <v>100</v>
      </c>
      <c r="L9" s="57">
        <v>100</v>
      </c>
      <c r="M9" s="57">
        <v>200</v>
      </c>
      <c r="N9" s="57">
        <v>200</v>
      </c>
      <c r="O9" s="59">
        <v>200</v>
      </c>
      <c r="P9" s="59">
        <v>200</v>
      </c>
      <c r="Q9" s="57">
        <v>211</v>
      </c>
      <c r="R9" s="59">
        <v>211</v>
      </c>
      <c r="S9" s="57">
        <v>200</v>
      </c>
      <c r="T9" s="57">
        <f>+S9</f>
        <v>200</v>
      </c>
      <c r="U9" s="57">
        <v>200</v>
      </c>
      <c r="V9" s="331">
        <v>200</v>
      </c>
      <c r="W9" s="61"/>
      <c r="X9" s="62"/>
      <c r="Y9" s="57">
        <v>200</v>
      </c>
      <c r="Z9" s="61"/>
      <c r="AA9" s="61"/>
      <c r="AB9" s="61"/>
      <c r="AC9" s="61"/>
      <c r="AD9" s="62"/>
      <c r="AE9" s="57">
        <f>100-11</f>
        <v>89</v>
      </c>
      <c r="AF9" s="61"/>
      <c r="AG9" s="61"/>
      <c r="AH9" s="61"/>
      <c r="AI9" s="62"/>
      <c r="AJ9" s="64">
        <v>38</v>
      </c>
      <c r="AK9" s="64">
        <f>61+AJ9</f>
        <v>99</v>
      </c>
      <c r="AL9" s="354">
        <v>163</v>
      </c>
      <c r="AM9" s="66"/>
      <c r="AN9" s="67">
        <f t="shared" ref="AN9:AN10" si="1">AL9/V9</f>
        <v>0.81499999999999995</v>
      </c>
      <c r="AO9" s="68">
        <f t="shared" ref="AO9:AO10" si="2">(L9+R9+AL9)/H9</f>
        <v>0.59250000000000003</v>
      </c>
      <c r="AP9" s="581" t="s">
        <v>137</v>
      </c>
      <c r="AQ9" s="579" t="s">
        <v>101</v>
      </c>
      <c r="AR9" s="578" t="s">
        <v>104</v>
      </c>
      <c r="AS9" s="565" t="s">
        <v>139</v>
      </c>
      <c r="AT9" s="572" t="s">
        <v>147</v>
      </c>
      <c r="AU9" s="70"/>
      <c r="AV9" s="70"/>
      <c r="AW9" s="70"/>
      <c r="AX9" s="70"/>
    </row>
    <row r="10" spans="1:50" ht="46.5" customHeight="1" x14ac:dyDescent="0.25">
      <c r="A10" s="546"/>
      <c r="B10" s="546"/>
      <c r="C10" s="546"/>
      <c r="D10" s="546"/>
      <c r="E10" s="546"/>
      <c r="F10" s="642"/>
      <c r="G10" s="71" t="s">
        <v>153</v>
      </c>
      <c r="H10" s="73">
        <f t="shared" si="0"/>
        <v>4408321149</v>
      </c>
      <c r="I10" s="74">
        <v>403878140</v>
      </c>
      <c r="J10" s="74">
        <v>403878140</v>
      </c>
      <c r="K10" s="74">
        <f>+J10</f>
        <v>403878140</v>
      </c>
      <c r="L10" s="74">
        <v>307442240</v>
      </c>
      <c r="M10" s="74">
        <v>750048000</v>
      </c>
      <c r="N10" s="74">
        <v>750048000</v>
      </c>
      <c r="O10" s="74">
        <v>750048000</v>
      </c>
      <c r="P10" s="74">
        <v>750048000</v>
      </c>
      <c r="Q10" s="74">
        <v>568411402</v>
      </c>
      <c r="R10" s="74">
        <v>514046499</v>
      </c>
      <c r="S10" s="74">
        <v>626832410</v>
      </c>
      <c r="T10" s="74">
        <v>626832410</v>
      </c>
      <c r="U10" s="74">
        <v>626832410</v>
      </c>
      <c r="V10" s="279">
        <v>630642000</v>
      </c>
      <c r="W10" s="75"/>
      <c r="X10" s="75"/>
      <c r="Y10" s="74">
        <v>1995000000</v>
      </c>
      <c r="Z10" s="75"/>
      <c r="AA10" s="75"/>
      <c r="AB10" s="75"/>
      <c r="AC10" s="75"/>
      <c r="AD10" s="75"/>
      <c r="AE10" s="74">
        <v>965000000</v>
      </c>
      <c r="AF10" s="75"/>
      <c r="AG10" s="75"/>
      <c r="AH10" s="75"/>
      <c r="AI10" s="75"/>
      <c r="AJ10" s="74">
        <v>410516812</v>
      </c>
      <c r="AK10" s="74">
        <v>450288624</v>
      </c>
      <c r="AL10" s="279">
        <v>500984624</v>
      </c>
      <c r="AM10" s="74"/>
      <c r="AN10" s="76">
        <f t="shared" si="1"/>
        <v>0.79440415322798041</v>
      </c>
      <c r="AO10" s="77">
        <f t="shared" si="2"/>
        <v>0.29999478674551533</v>
      </c>
      <c r="AP10" s="582"/>
      <c r="AQ10" s="546"/>
      <c r="AR10" s="515"/>
      <c r="AS10" s="515"/>
      <c r="AT10" s="573"/>
      <c r="AU10" s="78"/>
      <c r="AV10" s="78"/>
      <c r="AW10" s="78"/>
      <c r="AX10" s="78"/>
    </row>
    <row r="11" spans="1:50" ht="46.5" customHeight="1" x14ac:dyDescent="0.25">
      <c r="A11" s="546"/>
      <c r="B11" s="546"/>
      <c r="C11" s="546"/>
      <c r="D11" s="546"/>
      <c r="E11" s="546"/>
      <c r="F11" s="642"/>
      <c r="G11" s="80" t="s">
        <v>160</v>
      </c>
      <c r="H11" s="81"/>
      <c r="I11" s="81"/>
      <c r="J11" s="81"/>
      <c r="K11" s="82"/>
      <c r="L11" s="81"/>
      <c r="M11" s="83"/>
      <c r="N11" s="83"/>
      <c r="O11" s="83"/>
      <c r="P11" s="83"/>
      <c r="Q11" s="83"/>
      <c r="R11" s="83"/>
      <c r="S11" s="83">
        <v>0</v>
      </c>
      <c r="T11" s="86">
        <f>+S11</f>
        <v>0</v>
      </c>
      <c r="U11" s="87">
        <v>0</v>
      </c>
      <c r="V11" s="88"/>
      <c r="W11" s="88">
        <v>0</v>
      </c>
      <c r="X11" s="88">
        <v>0</v>
      </c>
      <c r="Y11" s="88"/>
      <c r="Z11" s="88">
        <v>0</v>
      </c>
      <c r="AA11" s="88">
        <v>0</v>
      </c>
      <c r="AB11" s="88">
        <v>0</v>
      </c>
      <c r="AC11" s="88">
        <v>0</v>
      </c>
      <c r="AD11" s="88">
        <v>0</v>
      </c>
      <c r="AE11" s="88"/>
      <c r="AF11" s="88">
        <v>0</v>
      </c>
      <c r="AG11" s="88">
        <v>0</v>
      </c>
      <c r="AH11" s="88">
        <v>0</v>
      </c>
      <c r="AI11" s="88">
        <v>0</v>
      </c>
      <c r="AJ11" s="87"/>
      <c r="AK11" s="87"/>
      <c r="AL11" s="88"/>
      <c r="AM11" s="51"/>
      <c r="AN11" s="95"/>
      <c r="AO11" s="96"/>
      <c r="AP11" s="582"/>
      <c r="AQ11" s="546"/>
      <c r="AR11" s="515"/>
      <c r="AS11" s="515"/>
      <c r="AT11" s="573"/>
      <c r="AU11" s="70"/>
      <c r="AV11" s="70"/>
      <c r="AW11" s="70"/>
      <c r="AX11" s="70"/>
    </row>
    <row r="12" spans="1:50" ht="46.5" customHeight="1" x14ac:dyDescent="0.25">
      <c r="A12" s="546"/>
      <c r="B12" s="546"/>
      <c r="C12" s="546"/>
      <c r="D12" s="546"/>
      <c r="E12" s="546"/>
      <c r="F12" s="642"/>
      <c r="G12" s="71" t="s">
        <v>180</v>
      </c>
      <c r="H12" s="97">
        <f>L12+R12+S12+Y12+AE12</f>
        <v>485246578</v>
      </c>
      <c r="I12" s="98"/>
      <c r="J12" s="98"/>
      <c r="K12" s="99"/>
      <c r="L12" s="98"/>
      <c r="M12" s="74">
        <v>182178948</v>
      </c>
      <c r="N12" s="74">
        <v>182178948</v>
      </c>
      <c r="O12" s="74">
        <v>182178948</v>
      </c>
      <c r="P12" s="74">
        <v>182178948</v>
      </c>
      <c r="Q12" s="74">
        <v>182178948</v>
      </c>
      <c r="R12" s="74">
        <v>182178948</v>
      </c>
      <c r="S12" s="74">
        <v>303067630</v>
      </c>
      <c r="T12" s="75">
        <v>174917866</v>
      </c>
      <c r="U12" s="74">
        <v>174917866</v>
      </c>
      <c r="V12" s="279">
        <v>174917866</v>
      </c>
      <c r="W12" s="75"/>
      <c r="X12" s="75"/>
      <c r="Y12" s="75"/>
      <c r="Z12" s="75"/>
      <c r="AA12" s="75"/>
      <c r="AB12" s="75"/>
      <c r="AC12" s="75"/>
      <c r="AD12" s="75"/>
      <c r="AE12" s="101"/>
      <c r="AF12" s="75"/>
      <c r="AG12" s="102"/>
      <c r="AH12" s="102"/>
      <c r="AI12" s="75"/>
      <c r="AJ12" s="75">
        <v>83651383</v>
      </c>
      <c r="AK12" s="74">
        <v>169161733</v>
      </c>
      <c r="AL12" s="280">
        <v>174917866</v>
      </c>
      <c r="AM12" s="103"/>
      <c r="AN12" s="63">
        <f t="shared" ref="AN12:AN16" si="3">AL12/V12</f>
        <v>1</v>
      </c>
      <c r="AO12" s="96"/>
      <c r="AP12" s="582"/>
      <c r="AQ12" s="546"/>
      <c r="AR12" s="515"/>
      <c r="AS12" s="515"/>
      <c r="AT12" s="573"/>
      <c r="AU12" s="105"/>
      <c r="AV12" s="105"/>
      <c r="AW12" s="105"/>
      <c r="AX12" s="105"/>
    </row>
    <row r="13" spans="1:50" ht="46.5" customHeight="1" x14ac:dyDescent="0.25">
      <c r="A13" s="546"/>
      <c r="B13" s="546"/>
      <c r="C13" s="546"/>
      <c r="D13" s="546"/>
      <c r="E13" s="546"/>
      <c r="F13" s="642"/>
      <c r="G13" s="80" t="s">
        <v>191</v>
      </c>
      <c r="H13" s="106">
        <v>800</v>
      </c>
      <c r="I13" s="106">
        <v>100</v>
      </c>
      <c r="J13" s="106">
        <v>100</v>
      </c>
      <c r="K13" s="106">
        <v>100</v>
      </c>
      <c r="L13" s="106">
        <v>100</v>
      </c>
      <c r="M13" s="107">
        <f t="shared" ref="M13:P13" si="4">+M9</f>
        <v>200</v>
      </c>
      <c r="N13" s="107">
        <f t="shared" si="4"/>
        <v>200</v>
      </c>
      <c r="O13" s="42">
        <f t="shared" si="4"/>
        <v>200</v>
      </c>
      <c r="P13" s="42">
        <f t="shared" si="4"/>
        <v>200</v>
      </c>
      <c r="Q13" s="106">
        <f>Q9</f>
        <v>211</v>
      </c>
      <c r="R13" s="42">
        <v>211</v>
      </c>
      <c r="S13" s="106">
        <v>200</v>
      </c>
      <c r="T13" s="106">
        <f t="shared" ref="T13:T14" si="5">+T9+T11</f>
        <v>200</v>
      </c>
      <c r="U13" s="106">
        <v>200</v>
      </c>
      <c r="V13" s="55">
        <f t="shared" ref="V13:V14" si="6">V9+V11</f>
        <v>200</v>
      </c>
      <c r="W13" s="108"/>
      <c r="X13" s="46"/>
      <c r="Y13" s="106">
        <v>200</v>
      </c>
      <c r="Z13" s="108"/>
      <c r="AA13" s="108"/>
      <c r="AB13" s="108"/>
      <c r="AC13" s="108"/>
      <c r="AD13" s="46"/>
      <c r="AE13" s="106">
        <f t="shared" ref="AE13:AE14" si="7">AE9</f>
        <v>89</v>
      </c>
      <c r="AF13" s="108"/>
      <c r="AG13" s="108"/>
      <c r="AH13" s="108"/>
      <c r="AI13" s="46"/>
      <c r="AJ13" s="55">
        <f t="shared" ref="AJ13:AL13" si="8">AJ9+AJ11</f>
        <v>38</v>
      </c>
      <c r="AK13" s="55">
        <f t="shared" si="8"/>
        <v>99</v>
      </c>
      <c r="AL13" s="55">
        <f t="shared" si="8"/>
        <v>163</v>
      </c>
      <c r="AM13" s="51"/>
      <c r="AN13" s="76">
        <f t="shared" si="3"/>
        <v>0.81499999999999995</v>
      </c>
      <c r="AO13" s="77">
        <f t="shared" ref="AO13:AO14" si="9">(L13+R13+AL13)/H13</f>
        <v>0.59250000000000003</v>
      </c>
      <c r="AP13" s="582"/>
      <c r="AQ13" s="546"/>
      <c r="AR13" s="515"/>
      <c r="AS13" s="515"/>
      <c r="AT13" s="573"/>
      <c r="AU13" s="70"/>
      <c r="AV13" s="70"/>
      <c r="AW13" s="70"/>
      <c r="AX13" s="70"/>
    </row>
    <row r="14" spans="1:50" ht="46.5" customHeight="1" x14ac:dyDescent="0.25">
      <c r="A14" s="546"/>
      <c r="B14" s="547"/>
      <c r="C14" s="547"/>
      <c r="D14" s="547"/>
      <c r="E14" s="547"/>
      <c r="F14" s="642"/>
      <c r="G14" s="109" t="s">
        <v>196</v>
      </c>
      <c r="H14" s="110">
        <f>+H10+H12</f>
        <v>4893567727</v>
      </c>
      <c r="I14" s="110">
        <f t="shared" ref="I14:K14" si="10">+I10</f>
        <v>403878140</v>
      </c>
      <c r="J14" s="110">
        <f t="shared" si="10"/>
        <v>403878140</v>
      </c>
      <c r="K14" s="110">
        <f t="shared" si="10"/>
        <v>403878140</v>
      </c>
      <c r="L14" s="110">
        <v>307442240</v>
      </c>
      <c r="M14" s="110">
        <f t="shared" ref="M14:R14" si="11">+M10+M12</f>
        <v>932226948</v>
      </c>
      <c r="N14" s="110">
        <f t="shared" si="11"/>
        <v>932226948</v>
      </c>
      <c r="O14" s="110">
        <f t="shared" si="11"/>
        <v>932226948</v>
      </c>
      <c r="P14" s="110">
        <f t="shared" si="11"/>
        <v>932226948</v>
      </c>
      <c r="Q14" s="110">
        <f t="shared" si="11"/>
        <v>750590350</v>
      </c>
      <c r="R14" s="110">
        <f t="shared" si="11"/>
        <v>696225447</v>
      </c>
      <c r="S14" s="110">
        <f>S10+S12</f>
        <v>929900040</v>
      </c>
      <c r="T14" s="110">
        <f t="shared" si="5"/>
        <v>801750276</v>
      </c>
      <c r="U14" s="110">
        <v>801750276</v>
      </c>
      <c r="V14" s="111">
        <f t="shared" si="6"/>
        <v>805559866</v>
      </c>
      <c r="W14" s="111"/>
      <c r="X14" s="111"/>
      <c r="Y14" s="110">
        <f>Y10</f>
        <v>1995000000</v>
      </c>
      <c r="Z14" s="111"/>
      <c r="AA14" s="111"/>
      <c r="AB14" s="111"/>
      <c r="AC14" s="111"/>
      <c r="AD14" s="111"/>
      <c r="AE14" s="110">
        <f t="shared" si="7"/>
        <v>965000000</v>
      </c>
      <c r="AF14" s="111"/>
      <c r="AG14" s="111"/>
      <c r="AH14" s="111"/>
      <c r="AI14" s="111"/>
      <c r="AJ14" s="111">
        <f t="shared" ref="AJ14:AL14" si="12">AJ10+AJ12</f>
        <v>494168195</v>
      </c>
      <c r="AK14" s="111">
        <f t="shared" si="12"/>
        <v>619450357</v>
      </c>
      <c r="AL14" s="111">
        <f t="shared" si="12"/>
        <v>675902490</v>
      </c>
      <c r="AM14" s="110"/>
      <c r="AN14" s="76">
        <f t="shared" si="3"/>
        <v>0.83904687724350957</v>
      </c>
      <c r="AO14" s="112">
        <f t="shared" si="9"/>
        <v>0.34321997174639285</v>
      </c>
      <c r="AP14" s="583"/>
      <c r="AQ14" s="580"/>
      <c r="AR14" s="566"/>
      <c r="AS14" s="566"/>
      <c r="AT14" s="574"/>
      <c r="AU14" s="105"/>
      <c r="AV14" s="105"/>
      <c r="AW14" s="105"/>
      <c r="AX14" s="105"/>
    </row>
    <row r="15" spans="1:50" ht="46.5" customHeight="1" x14ac:dyDescent="0.25">
      <c r="A15" s="546"/>
      <c r="B15" s="545">
        <v>2</v>
      </c>
      <c r="C15" s="545" t="s">
        <v>99</v>
      </c>
      <c r="D15" s="545" t="s">
        <v>213</v>
      </c>
      <c r="E15" s="545">
        <v>523</v>
      </c>
      <c r="F15" s="642"/>
      <c r="G15" s="113" t="s">
        <v>119</v>
      </c>
      <c r="H15" s="114">
        <f>Y15</f>
        <v>0.8</v>
      </c>
      <c r="I15" s="115"/>
      <c r="J15" s="115"/>
      <c r="K15" s="115"/>
      <c r="L15" s="115"/>
      <c r="M15" s="119">
        <v>0.2</v>
      </c>
      <c r="N15" s="119">
        <v>0.2</v>
      </c>
      <c r="O15" s="119">
        <v>0.2</v>
      </c>
      <c r="P15" s="119">
        <v>0.2</v>
      </c>
      <c r="Q15" s="119">
        <v>0.2</v>
      </c>
      <c r="R15" s="59">
        <v>0.12</v>
      </c>
      <c r="S15" s="119">
        <v>0.6</v>
      </c>
      <c r="T15" s="119">
        <f>+S15</f>
        <v>0.6</v>
      </c>
      <c r="U15" s="119">
        <v>0.6</v>
      </c>
      <c r="V15" s="329">
        <v>0.6</v>
      </c>
      <c r="W15" s="330"/>
      <c r="X15" s="278"/>
      <c r="Y15" s="330">
        <v>0.8</v>
      </c>
      <c r="Z15" s="330"/>
      <c r="AA15" s="330"/>
      <c r="AB15" s="330"/>
      <c r="AC15" s="330"/>
      <c r="AD15" s="278"/>
      <c r="AE15" s="330">
        <v>1</v>
      </c>
      <c r="AF15" s="61"/>
      <c r="AG15" s="61"/>
      <c r="AH15" s="61"/>
      <c r="AI15" s="62"/>
      <c r="AJ15" s="121">
        <f>R15</f>
        <v>0.12</v>
      </c>
      <c r="AK15" s="59">
        <v>0.12</v>
      </c>
      <c r="AL15" s="353">
        <v>0.12</v>
      </c>
      <c r="AM15" s="122"/>
      <c r="AN15" s="281">
        <f t="shared" si="3"/>
        <v>0.2</v>
      </c>
      <c r="AO15" s="68">
        <f>AL15/H15</f>
        <v>0.15</v>
      </c>
      <c r="AP15" s="581" t="s">
        <v>250</v>
      </c>
      <c r="AQ15" s="584" t="s">
        <v>544</v>
      </c>
      <c r="AR15" s="577" t="s">
        <v>104</v>
      </c>
      <c r="AS15" s="577" t="s">
        <v>204</v>
      </c>
      <c r="AT15" s="592" t="s">
        <v>205</v>
      </c>
      <c r="AU15" s="70"/>
      <c r="AV15" s="70"/>
      <c r="AW15" s="70"/>
      <c r="AX15" s="70"/>
    </row>
    <row r="16" spans="1:50" ht="46.5" customHeight="1" x14ac:dyDescent="0.25">
      <c r="A16" s="546"/>
      <c r="B16" s="546"/>
      <c r="C16" s="546"/>
      <c r="D16" s="546"/>
      <c r="E16" s="546"/>
      <c r="F16" s="642"/>
      <c r="G16" s="124" t="s">
        <v>153</v>
      </c>
      <c r="H16" s="125">
        <f>L16+R16+S16+Y16+AE16</f>
        <v>1986271898</v>
      </c>
      <c r="I16" s="99"/>
      <c r="J16" s="99"/>
      <c r="K16" s="99"/>
      <c r="L16" s="99"/>
      <c r="M16" s="74">
        <v>1000000000</v>
      </c>
      <c r="N16" s="74">
        <v>1000000000</v>
      </c>
      <c r="O16" s="74">
        <v>1000000000</v>
      </c>
      <c r="P16" s="74">
        <v>1000000000</v>
      </c>
      <c r="Q16" s="74">
        <v>1000000000</v>
      </c>
      <c r="R16" s="74">
        <v>999763898</v>
      </c>
      <c r="S16" s="74">
        <v>986508000</v>
      </c>
      <c r="T16" s="74">
        <v>986508000</v>
      </c>
      <c r="U16" s="74">
        <v>986508000</v>
      </c>
      <c r="V16" s="279">
        <v>986508000</v>
      </c>
      <c r="W16" s="75"/>
      <c r="X16" s="75"/>
      <c r="Y16" s="74">
        <v>0</v>
      </c>
      <c r="Z16" s="75"/>
      <c r="AA16" s="75"/>
      <c r="AB16" s="75"/>
      <c r="AC16" s="75"/>
      <c r="AD16" s="75"/>
      <c r="AE16" s="74">
        <v>0</v>
      </c>
      <c r="AF16" s="75"/>
      <c r="AG16" s="75"/>
      <c r="AH16" s="75"/>
      <c r="AI16" s="75"/>
      <c r="AJ16" s="74">
        <v>0</v>
      </c>
      <c r="AK16" s="74">
        <v>0</v>
      </c>
      <c r="AL16" s="280">
        <v>0</v>
      </c>
      <c r="AM16" s="74"/>
      <c r="AN16" s="281">
        <f t="shared" si="3"/>
        <v>0</v>
      </c>
      <c r="AO16" s="126">
        <f>(L16+R16+AL16)/H16</f>
        <v>0.50333687900768964</v>
      </c>
      <c r="AP16" s="582"/>
      <c r="AQ16" s="585"/>
      <c r="AR16" s="515"/>
      <c r="AS16" s="515"/>
      <c r="AT16" s="575"/>
      <c r="AU16" s="105"/>
      <c r="AV16" s="105"/>
      <c r="AW16" s="105"/>
      <c r="AX16" s="105"/>
    </row>
    <row r="17" spans="1:50" ht="46.5" customHeight="1" x14ac:dyDescent="0.25">
      <c r="A17" s="546"/>
      <c r="B17" s="546"/>
      <c r="C17" s="546"/>
      <c r="D17" s="546"/>
      <c r="E17" s="546"/>
      <c r="F17" s="642"/>
      <c r="G17" s="127" t="s">
        <v>160</v>
      </c>
      <c r="H17" s="128"/>
      <c r="I17" s="81"/>
      <c r="J17" s="81"/>
      <c r="K17" s="81"/>
      <c r="L17" s="81"/>
      <c r="M17" s="81"/>
      <c r="N17" s="81"/>
      <c r="O17" s="81"/>
      <c r="P17" s="81"/>
      <c r="Q17" s="81"/>
      <c r="R17" s="81"/>
      <c r="S17" s="82">
        <v>0</v>
      </c>
      <c r="T17" s="82">
        <v>0</v>
      </c>
      <c r="U17" s="82">
        <v>0</v>
      </c>
      <c r="V17" s="129">
        <v>0</v>
      </c>
      <c r="W17" s="93"/>
      <c r="X17" s="46"/>
      <c r="Y17" s="81"/>
      <c r="Z17" s="93"/>
      <c r="AA17" s="93"/>
      <c r="AB17" s="93"/>
      <c r="AC17" s="93"/>
      <c r="AD17" s="46"/>
      <c r="AE17" s="130"/>
      <c r="AF17" s="93"/>
      <c r="AG17" s="93"/>
      <c r="AH17" s="93"/>
      <c r="AI17" s="46"/>
      <c r="AJ17" s="87">
        <v>0</v>
      </c>
      <c r="AK17" s="87">
        <v>0</v>
      </c>
      <c r="AL17" s="129">
        <v>0</v>
      </c>
      <c r="AM17" s="42"/>
      <c r="AN17" s="95"/>
      <c r="AO17" s="96"/>
      <c r="AP17" s="582"/>
      <c r="AQ17" s="585"/>
      <c r="AR17" s="515"/>
      <c r="AS17" s="515"/>
      <c r="AT17" s="575"/>
      <c r="AU17" s="70"/>
      <c r="AV17" s="70"/>
      <c r="AW17" s="70"/>
      <c r="AX17" s="70"/>
    </row>
    <row r="18" spans="1:50" ht="46.5" customHeight="1" x14ac:dyDescent="0.25">
      <c r="A18" s="546"/>
      <c r="B18" s="546"/>
      <c r="C18" s="546"/>
      <c r="D18" s="546"/>
      <c r="E18" s="546"/>
      <c r="F18" s="642"/>
      <c r="G18" s="124" t="s">
        <v>180</v>
      </c>
      <c r="H18" s="131">
        <f>L18+R18+AL18</f>
        <v>999763898</v>
      </c>
      <c r="I18" s="98"/>
      <c r="J18" s="98"/>
      <c r="K18" s="98"/>
      <c r="L18" s="98"/>
      <c r="M18" s="98"/>
      <c r="N18" s="98"/>
      <c r="O18" s="98"/>
      <c r="P18" s="98"/>
      <c r="Q18" s="98"/>
      <c r="R18" s="99"/>
      <c r="S18" s="74">
        <v>999763898</v>
      </c>
      <c r="T18" s="75">
        <v>999763898</v>
      </c>
      <c r="U18" s="74">
        <v>999763898</v>
      </c>
      <c r="V18" s="279">
        <v>999763898</v>
      </c>
      <c r="W18" s="75"/>
      <c r="X18" s="75"/>
      <c r="Y18" s="74">
        <v>999763898</v>
      </c>
      <c r="Z18" s="75"/>
      <c r="AA18" s="75"/>
      <c r="AB18" s="75"/>
      <c r="AC18" s="75"/>
      <c r="AD18" s="75"/>
      <c r="AE18" s="74">
        <v>999763898</v>
      </c>
      <c r="AF18" s="75"/>
      <c r="AG18" s="75"/>
      <c r="AH18" s="75"/>
      <c r="AI18" s="75"/>
      <c r="AJ18" s="74">
        <v>999763898</v>
      </c>
      <c r="AK18" s="74">
        <v>999763898</v>
      </c>
      <c r="AL18" s="279">
        <v>999763898</v>
      </c>
      <c r="AM18" s="74"/>
      <c r="AN18" s="76">
        <f t="shared" ref="AN18:AN22" si="13">AL18/V18</f>
        <v>1</v>
      </c>
      <c r="AO18" s="96"/>
      <c r="AP18" s="582"/>
      <c r="AQ18" s="585"/>
      <c r="AR18" s="515"/>
      <c r="AS18" s="515"/>
      <c r="AT18" s="575"/>
      <c r="AU18" s="105"/>
      <c r="AV18" s="105"/>
      <c r="AW18" s="105"/>
      <c r="AX18" s="105"/>
    </row>
    <row r="19" spans="1:50" ht="46.5" customHeight="1" x14ac:dyDescent="0.25">
      <c r="A19" s="546"/>
      <c r="B19" s="546"/>
      <c r="C19" s="546"/>
      <c r="D19" s="546"/>
      <c r="E19" s="546"/>
      <c r="F19" s="642"/>
      <c r="G19" s="127" t="s">
        <v>191</v>
      </c>
      <c r="H19" s="133">
        <v>1</v>
      </c>
      <c r="I19" s="134"/>
      <c r="J19" s="134"/>
      <c r="K19" s="134"/>
      <c r="L19" s="134"/>
      <c r="M19" s="135">
        <f t="shared" ref="M19:M20" si="14">M15</f>
        <v>0.2</v>
      </c>
      <c r="N19" s="135">
        <f t="shared" ref="N19:P19" si="15">+N15</f>
        <v>0.2</v>
      </c>
      <c r="O19" s="135">
        <f t="shared" si="15"/>
        <v>0.2</v>
      </c>
      <c r="P19" s="135">
        <f t="shared" si="15"/>
        <v>0.2</v>
      </c>
      <c r="Q19" s="136">
        <v>0.2</v>
      </c>
      <c r="R19" s="42">
        <v>0.12</v>
      </c>
      <c r="S19" s="135">
        <v>0.6</v>
      </c>
      <c r="T19" s="135">
        <f>+T15+T17</f>
        <v>0.6</v>
      </c>
      <c r="U19" s="135">
        <v>0.6</v>
      </c>
      <c r="V19" s="273">
        <f t="shared" ref="V19:V20" si="16">V15+V17</f>
        <v>0.6</v>
      </c>
      <c r="W19" s="139"/>
      <c r="X19" s="139"/>
      <c r="Y19" s="135">
        <f t="shared" ref="Y19:Y20" si="17">+Y15+Y17</f>
        <v>0.8</v>
      </c>
      <c r="Z19" s="139"/>
      <c r="AA19" s="139"/>
      <c r="AB19" s="139"/>
      <c r="AC19" s="139"/>
      <c r="AD19" s="139"/>
      <c r="AE19" s="135">
        <f t="shared" ref="AE19:AE20" si="18">+AE15+AE17</f>
        <v>1</v>
      </c>
      <c r="AF19" s="139"/>
      <c r="AG19" s="139"/>
      <c r="AH19" s="139"/>
      <c r="AI19" s="139"/>
      <c r="AJ19" s="140">
        <f t="shared" ref="AJ19:AL19" si="19">AJ15+AJ17</f>
        <v>0.12</v>
      </c>
      <c r="AK19" s="140">
        <f t="shared" si="19"/>
        <v>0.12</v>
      </c>
      <c r="AL19" s="72">
        <f t="shared" si="19"/>
        <v>0.12</v>
      </c>
      <c r="AM19" s="48"/>
      <c r="AN19" s="76">
        <f t="shared" si="13"/>
        <v>0.2</v>
      </c>
      <c r="AO19" s="126">
        <f>AL19/H19</f>
        <v>0.12</v>
      </c>
      <c r="AP19" s="582"/>
      <c r="AQ19" s="585"/>
      <c r="AR19" s="515"/>
      <c r="AS19" s="515"/>
      <c r="AT19" s="575"/>
      <c r="AU19" s="70"/>
      <c r="AV19" s="70"/>
      <c r="AW19" s="70"/>
      <c r="AX19" s="70"/>
    </row>
    <row r="20" spans="1:50" ht="46.5" customHeight="1" x14ac:dyDescent="0.25">
      <c r="A20" s="546"/>
      <c r="B20" s="547"/>
      <c r="C20" s="547"/>
      <c r="D20" s="547"/>
      <c r="E20" s="547"/>
      <c r="F20" s="642"/>
      <c r="G20" s="142" t="s">
        <v>196</v>
      </c>
      <c r="H20" s="144">
        <f>H16+H18</f>
        <v>2986035796</v>
      </c>
      <c r="I20" s="146"/>
      <c r="J20" s="146"/>
      <c r="K20" s="146"/>
      <c r="L20" s="146"/>
      <c r="M20" s="110">
        <f t="shared" si="14"/>
        <v>1000000000</v>
      </c>
      <c r="N20" s="110">
        <f t="shared" ref="N20:P20" si="20">+N16</f>
        <v>1000000000</v>
      </c>
      <c r="O20" s="110">
        <f t="shared" si="20"/>
        <v>1000000000</v>
      </c>
      <c r="P20" s="110">
        <f t="shared" si="20"/>
        <v>1000000000</v>
      </c>
      <c r="Q20" s="110">
        <v>1000000000</v>
      </c>
      <c r="R20" s="110">
        <f t="shared" ref="R20:T20" si="21">+R16+R18</f>
        <v>999763898</v>
      </c>
      <c r="S20" s="110">
        <f t="shared" si="21"/>
        <v>1986271898</v>
      </c>
      <c r="T20" s="110">
        <f t="shared" si="21"/>
        <v>1986271898</v>
      </c>
      <c r="U20" s="110">
        <v>1986271898</v>
      </c>
      <c r="V20" s="274">
        <f t="shared" si="16"/>
        <v>1986271898</v>
      </c>
      <c r="W20" s="111"/>
      <c r="X20" s="111"/>
      <c r="Y20" s="110">
        <f t="shared" si="17"/>
        <v>999763898</v>
      </c>
      <c r="Z20" s="111"/>
      <c r="AA20" s="111"/>
      <c r="AB20" s="111"/>
      <c r="AC20" s="111"/>
      <c r="AD20" s="111"/>
      <c r="AE20" s="110">
        <f t="shared" si="18"/>
        <v>999763898</v>
      </c>
      <c r="AF20" s="111"/>
      <c r="AG20" s="111"/>
      <c r="AH20" s="111"/>
      <c r="AI20" s="111"/>
      <c r="AJ20" s="111">
        <f t="shared" ref="AJ20:AL20" si="22">AJ16+AJ18</f>
        <v>999763898</v>
      </c>
      <c r="AK20" s="111">
        <f t="shared" si="22"/>
        <v>999763898</v>
      </c>
      <c r="AL20" s="111">
        <f t="shared" si="22"/>
        <v>999763898</v>
      </c>
      <c r="AM20" s="110"/>
      <c r="AN20" s="76">
        <f t="shared" si="13"/>
        <v>0.50333687900768964</v>
      </c>
      <c r="AO20" s="112">
        <f t="shared" ref="AO20:AO22" si="23">(L20+R20+AL20)/H20</f>
        <v>0.6696261976090524</v>
      </c>
      <c r="AP20" s="583"/>
      <c r="AQ20" s="586"/>
      <c r="AR20" s="566"/>
      <c r="AS20" s="566"/>
      <c r="AT20" s="593"/>
      <c r="AU20" s="105"/>
      <c r="AV20" s="105"/>
      <c r="AW20" s="105"/>
      <c r="AX20" s="105"/>
    </row>
    <row r="21" spans="1:50" ht="46.5" customHeight="1" x14ac:dyDescent="0.25">
      <c r="A21" s="546"/>
      <c r="B21" s="548">
        <v>3</v>
      </c>
      <c r="C21" s="545" t="s">
        <v>102</v>
      </c>
      <c r="D21" s="545" t="s">
        <v>110</v>
      </c>
      <c r="E21" s="545">
        <v>477</v>
      </c>
      <c r="F21" s="642"/>
      <c r="G21" s="113" t="s">
        <v>119</v>
      </c>
      <c r="H21" s="114">
        <f t="shared" ref="H21:H22" si="24">L21+R21+S21+Y21+AE21</f>
        <v>20000</v>
      </c>
      <c r="I21" s="57">
        <v>2500</v>
      </c>
      <c r="J21" s="57">
        <v>2500</v>
      </c>
      <c r="K21" s="57">
        <v>2591</v>
      </c>
      <c r="L21" s="57">
        <v>2591</v>
      </c>
      <c r="M21" s="57">
        <v>5000</v>
      </c>
      <c r="N21" s="57">
        <v>5000</v>
      </c>
      <c r="O21" s="57">
        <v>5000</v>
      </c>
      <c r="P21" s="57">
        <v>5000</v>
      </c>
      <c r="Q21" s="57">
        <v>5000</v>
      </c>
      <c r="R21" s="57">
        <v>5000</v>
      </c>
      <c r="S21" s="57">
        <f>5000-91</f>
        <v>4909</v>
      </c>
      <c r="T21" s="57">
        <f>+S21</f>
        <v>4909</v>
      </c>
      <c r="U21" s="57">
        <v>4909</v>
      </c>
      <c r="V21" s="331">
        <v>4909</v>
      </c>
      <c r="W21" s="61"/>
      <c r="X21" s="61"/>
      <c r="Y21" s="57">
        <v>5000</v>
      </c>
      <c r="Z21" s="61"/>
      <c r="AA21" s="61"/>
      <c r="AB21" s="61"/>
      <c r="AC21" s="61"/>
      <c r="AD21" s="62"/>
      <c r="AE21" s="57">
        <v>2500</v>
      </c>
      <c r="AF21" s="61"/>
      <c r="AG21" s="61"/>
      <c r="AH21" s="61"/>
      <c r="AI21" s="62"/>
      <c r="AJ21" s="57">
        <v>1308</v>
      </c>
      <c r="AK21" s="64">
        <f>1203+AJ21</f>
        <v>2511</v>
      </c>
      <c r="AL21" s="352">
        <f>+AK21+1200</f>
        <v>3711</v>
      </c>
      <c r="AM21" s="59"/>
      <c r="AN21" s="76">
        <f t="shared" si="13"/>
        <v>0.75595844367488285</v>
      </c>
      <c r="AO21" s="68">
        <f t="shared" si="23"/>
        <v>0.56510000000000005</v>
      </c>
      <c r="AP21" s="581" t="s">
        <v>295</v>
      </c>
      <c r="AQ21" s="579" t="s">
        <v>101</v>
      </c>
      <c r="AR21" s="578" t="s">
        <v>104</v>
      </c>
      <c r="AS21" s="577" t="s">
        <v>214</v>
      </c>
      <c r="AT21" s="592" t="s">
        <v>215</v>
      </c>
      <c r="AU21" s="70"/>
      <c r="AV21" s="70"/>
      <c r="AW21" s="70"/>
      <c r="AX21" s="70"/>
    </row>
    <row r="22" spans="1:50" ht="46.5" customHeight="1" x14ac:dyDescent="0.25">
      <c r="A22" s="546"/>
      <c r="B22" s="546"/>
      <c r="C22" s="546"/>
      <c r="D22" s="546"/>
      <c r="E22" s="546"/>
      <c r="F22" s="642"/>
      <c r="G22" s="124" t="s">
        <v>153</v>
      </c>
      <c r="H22" s="125">
        <f t="shared" si="24"/>
        <v>890450273</v>
      </c>
      <c r="I22" s="74">
        <v>98907915</v>
      </c>
      <c r="J22" s="74">
        <v>98907915</v>
      </c>
      <c r="K22" s="74">
        <v>98907913</v>
      </c>
      <c r="L22" s="74">
        <v>80827278</v>
      </c>
      <c r="M22" s="74">
        <v>207769000</v>
      </c>
      <c r="N22" s="74">
        <v>207769000</v>
      </c>
      <c r="O22" s="74">
        <v>207769000</v>
      </c>
      <c r="P22" s="74">
        <v>207769000</v>
      </c>
      <c r="Q22" s="74">
        <v>173527500</v>
      </c>
      <c r="R22" s="74">
        <v>173527500</v>
      </c>
      <c r="S22" s="74">
        <v>193095495</v>
      </c>
      <c r="T22" s="74">
        <v>193095495</v>
      </c>
      <c r="U22" s="74">
        <v>198144000</v>
      </c>
      <c r="V22" s="279">
        <v>198144000</v>
      </c>
      <c r="W22" s="75"/>
      <c r="X22" s="75"/>
      <c r="Y22" s="74">
        <v>284000000</v>
      </c>
      <c r="Z22" s="75"/>
      <c r="AA22" s="75"/>
      <c r="AB22" s="75"/>
      <c r="AC22" s="75"/>
      <c r="AD22" s="75"/>
      <c r="AE22" s="74">
        <v>159000000</v>
      </c>
      <c r="AF22" s="75"/>
      <c r="AG22" s="75"/>
      <c r="AH22" s="75"/>
      <c r="AI22" s="75"/>
      <c r="AJ22" s="74">
        <v>30855000</v>
      </c>
      <c r="AK22" s="74">
        <v>30855000</v>
      </c>
      <c r="AL22" s="280">
        <v>74450000</v>
      </c>
      <c r="AM22" s="74"/>
      <c r="AN22" s="76">
        <f t="shared" si="13"/>
        <v>0.37573683785529716</v>
      </c>
      <c r="AO22" s="126">
        <f t="shared" si="23"/>
        <v>0.36925675466663593</v>
      </c>
      <c r="AP22" s="582"/>
      <c r="AQ22" s="546"/>
      <c r="AR22" s="515"/>
      <c r="AS22" s="515"/>
      <c r="AT22" s="575"/>
      <c r="AU22" s="105"/>
      <c r="AV22" s="105"/>
      <c r="AW22" s="105"/>
      <c r="AX22" s="105"/>
    </row>
    <row r="23" spans="1:50" ht="46.5" customHeight="1" x14ac:dyDescent="0.25">
      <c r="A23" s="546"/>
      <c r="B23" s="546"/>
      <c r="C23" s="546"/>
      <c r="D23" s="546"/>
      <c r="E23" s="546"/>
      <c r="F23" s="642"/>
      <c r="G23" s="127" t="s">
        <v>160</v>
      </c>
      <c r="H23" s="128"/>
      <c r="I23" s="81"/>
      <c r="J23" s="155"/>
      <c r="K23" s="81"/>
      <c r="L23" s="81"/>
      <c r="M23" s="81"/>
      <c r="N23" s="155"/>
      <c r="O23" s="81"/>
      <c r="P23" s="81"/>
      <c r="Q23" s="81"/>
      <c r="R23" s="82"/>
      <c r="S23" s="82">
        <v>0</v>
      </c>
      <c r="T23" s="82">
        <v>0</v>
      </c>
      <c r="U23" s="82">
        <v>0</v>
      </c>
      <c r="V23" s="129"/>
      <c r="W23" s="93"/>
      <c r="X23" s="46"/>
      <c r="Y23" s="81"/>
      <c r="Z23" s="93"/>
      <c r="AA23" s="93"/>
      <c r="AB23" s="93"/>
      <c r="AC23" s="93"/>
      <c r="AD23" s="46"/>
      <c r="AE23" s="130"/>
      <c r="AF23" s="93"/>
      <c r="AG23" s="93"/>
      <c r="AH23" s="93"/>
      <c r="AI23" s="46"/>
      <c r="AJ23" s="88"/>
      <c r="AK23" s="82"/>
      <c r="AL23" s="129"/>
      <c r="AM23" s="42"/>
      <c r="AN23" s="95"/>
      <c r="AO23" s="96"/>
      <c r="AP23" s="582"/>
      <c r="AQ23" s="546"/>
      <c r="AR23" s="515"/>
      <c r="AS23" s="515"/>
      <c r="AT23" s="575"/>
      <c r="AU23" s="70"/>
      <c r="AV23" s="70"/>
      <c r="AW23" s="70"/>
      <c r="AX23" s="70"/>
    </row>
    <row r="24" spans="1:50" ht="46.5" customHeight="1" x14ac:dyDescent="0.25">
      <c r="A24" s="546"/>
      <c r="B24" s="546"/>
      <c r="C24" s="546"/>
      <c r="D24" s="546"/>
      <c r="E24" s="546"/>
      <c r="F24" s="642"/>
      <c r="G24" s="124" t="s">
        <v>180</v>
      </c>
      <c r="H24" s="131">
        <f>L24+R24+S24+Y24+AE24</f>
        <v>176053197</v>
      </c>
      <c r="I24" s="98"/>
      <c r="J24" s="98"/>
      <c r="K24" s="98"/>
      <c r="L24" s="98"/>
      <c r="M24" s="74">
        <v>57533097</v>
      </c>
      <c r="N24" s="74">
        <v>57533097</v>
      </c>
      <c r="O24" s="74">
        <v>57533097</v>
      </c>
      <c r="P24" s="74">
        <v>57533097</v>
      </c>
      <c r="Q24" s="74">
        <v>57533097</v>
      </c>
      <c r="R24" s="74">
        <v>57533097</v>
      </c>
      <c r="S24" s="74">
        <v>118520100</v>
      </c>
      <c r="T24" s="75">
        <v>118520100</v>
      </c>
      <c r="U24" s="74">
        <v>118520100</v>
      </c>
      <c r="V24" s="279">
        <v>118520100</v>
      </c>
      <c r="W24" s="102"/>
      <c r="X24" s="75"/>
      <c r="Y24" s="97"/>
      <c r="Z24" s="102"/>
      <c r="AA24" s="102"/>
      <c r="AB24" s="102"/>
      <c r="AC24" s="102"/>
      <c r="AD24" s="75"/>
      <c r="AE24" s="156"/>
      <c r="AF24" s="102"/>
      <c r="AG24" s="102"/>
      <c r="AH24" s="102"/>
      <c r="AI24" s="75"/>
      <c r="AJ24" s="74">
        <v>6579333</v>
      </c>
      <c r="AK24" s="74">
        <v>6702600</v>
      </c>
      <c r="AL24" s="279">
        <v>6702600</v>
      </c>
      <c r="AM24" s="103"/>
      <c r="AN24" s="76">
        <f t="shared" ref="AN24:AN28" si="25">AL24/V24</f>
        <v>5.655243287847378E-2</v>
      </c>
      <c r="AO24" s="96"/>
      <c r="AP24" s="582"/>
      <c r="AQ24" s="546"/>
      <c r="AR24" s="515"/>
      <c r="AS24" s="515"/>
      <c r="AT24" s="575"/>
      <c r="AU24" s="105"/>
      <c r="AV24" s="105"/>
      <c r="AW24" s="105"/>
      <c r="AX24" s="105"/>
    </row>
    <row r="25" spans="1:50" ht="46.5" customHeight="1" x14ac:dyDescent="0.25">
      <c r="A25" s="546"/>
      <c r="B25" s="546"/>
      <c r="C25" s="546"/>
      <c r="D25" s="546"/>
      <c r="E25" s="546"/>
      <c r="F25" s="642"/>
      <c r="G25" s="127" t="s">
        <v>191</v>
      </c>
      <c r="H25" s="133">
        <f>+H21</f>
        <v>20000</v>
      </c>
      <c r="I25" s="106">
        <v>2500</v>
      </c>
      <c r="J25" s="106">
        <v>2500</v>
      </c>
      <c r="K25" s="106">
        <f>+K21</f>
        <v>2591</v>
      </c>
      <c r="L25" s="106">
        <v>2591</v>
      </c>
      <c r="M25" s="106">
        <f t="shared" ref="M25:P25" si="26">+M21</f>
        <v>5000</v>
      </c>
      <c r="N25" s="106">
        <f t="shared" si="26"/>
        <v>5000</v>
      </c>
      <c r="O25" s="106">
        <f t="shared" si="26"/>
        <v>5000</v>
      </c>
      <c r="P25" s="106">
        <f t="shared" si="26"/>
        <v>5000</v>
      </c>
      <c r="Q25" s="106">
        <v>5000</v>
      </c>
      <c r="R25" s="106">
        <f>R21</f>
        <v>5000</v>
      </c>
      <c r="S25" s="106">
        <f>+S21</f>
        <v>4909</v>
      </c>
      <c r="T25" s="106">
        <f t="shared" ref="T25:T26" si="27">T21+T23</f>
        <v>4909</v>
      </c>
      <c r="U25" s="106">
        <v>4909</v>
      </c>
      <c r="V25" s="275">
        <f t="shared" ref="V25:V26" si="28">V21+V23</f>
        <v>4909</v>
      </c>
      <c r="W25" s="108"/>
      <c r="X25" s="108"/>
      <c r="Y25" s="106">
        <f t="shared" ref="Y25:Y26" si="29">+Y21</f>
        <v>5000</v>
      </c>
      <c r="Z25" s="108"/>
      <c r="AA25" s="108"/>
      <c r="AB25" s="108"/>
      <c r="AC25" s="108"/>
      <c r="AD25" s="108"/>
      <c r="AE25" s="106">
        <f t="shared" ref="AE25:AE26" si="30">+AE21</f>
        <v>2500</v>
      </c>
      <c r="AF25" s="108"/>
      <c r="AG25" s="108"/>
      <c r="AH25" s="108"/>
      <c r="AI25" s="46"/>
      <c r="AJ25" s="106">
        <f t="shared" ref="AJ25:AL25" si="31">AJ21+AJ23</f>
        <v>1308</v>
      </c>
      <c r="AK25" s="106">
        <f t="shared" si="31"/>
        <v>2511</v>
      </c>
      <c r="AL25" s="55">
        <f t="shared" si="31"/>
        <v>3711</v>
      </c>
      <c r="AM25" s="42"/>
      <c r="AN25" s="76">
        <f t="shared" si="25"/>
        <v>0.75595844367488285</v>
      </c>
      <c r="AO25" s="126">
        <f t="shared" ref="AO25:AO28" si="32">(L25+R25+AL25)/H25</f>
        <v>0.56510000000000005</v>
      </c>
      <c r="AP25" s="582"/>
      <c r="AQ25" s="546"/>
      <c r="AR25" s="515"/>
      <c r="AS25" s="515"/>
      <c r="AT25" s="575"/>
      <c r="AU25" s="70"/>
      <c r="AV25" s="70"/>
      <c r="AW25" s="70"/>
      <c r="AX25" s="70"/>
    </row>
    <row r="26" spans="1:50" ht="46.5" customHeight="1" x14ac:dyDescent="0.25">
      <c r="A26" s="547"/>
      <c r="B26" s="547"/>
      <c r="C26" s="547"/>
      <c r="D26" s="547"/>
      <c r="E26" s="547"/>
      <c r="F26" s="642"/>
      <c r="G26" s="142" t="s">
        <v>196</v>
      </c>
      <c r="H26" s="144">
        <f>+H22+H24</f>
        <v>1066503470</v>
      </c>
      <c r="I26" s="110">
        <f t="shared" ref="I26:K26" si="33">+I22</f>
        <v>98907915</v>
      </c>
      <c r="J26" s="110">
        <f t="shared" si="33"/>
        <v>98907915</v>
      </c>
      <c r="K26" s="110">
        <f t="shared" si="33"/>
        <v>98907913</v>
      </c>
      <c r="L26" s="110">
        <v>80827278</v>
      </c>
      <c r="M26" s="110">
        <f t="shared" ref="M26:S26" si="34">+M22+M24</f>
        <v>265302097</v>
      </c>
      <c r="N26" s="110">
        <f t="shared" si="34"/>
        <v>265302097</v>
      </c>
      <c r="O26" s="110">
        <f t="shared" si="34"/>
        <v>265302097</v>
      </c>
      <c r="P26" s="110">
        <f t="shared" si="34"/>
        <v>265302097</v>
      </c>
      <c r="Q26" s="110">
        <f t="shared" si="34"/>
        <v>231060597</v>
      </c>
      <c r="R26" s="110">
        <f t="shared" si="34"/>
        <v>231060597</v>
      </c>
      <c r="S26" s="110">
        <f t="shared" si="34"/>
        <v>311615595</v>
      </c>
      <c r="T26" s="157">
        <f t="shared" si="27"/>
        <v>311615595</v>
      </c>
      <c r="U26" s="157">
        <v>316664100</v>
      </c>
      <c r="V26" s="274">
        <f t="shared" si="28"/>
        <v>316664100</v>
      </c>
      <c r="W26" s="111"/>
      <c r="X26" s="111"/>
      <c r="Y26" s="110">
        <f t="shared" si="29"/>
        <v>284000000</v>
      </c>
      <c r="Z26" s="111"/>
      <c r="AA26" s="111"/>
      <c r="AB26" s="111"/>
      <c r="AC26" s="111"/>
      <c r="AD26" s="111"/>
      <c r="AE26" s="110">
        <f t="shared" si="30"/>
        <v>159000000</v>
      </c>
      <c r="AF26" s="111"/>
      <c r="AG26" s="111"/>
      <c r="AH26" s="111"/>
      <c r="AI26" s="111"/>
      <c r="AJ26" s="111">
        <f t="shared" ref="AJ26:AL26" si="35">AJ22+AJ24</f>
        <v>37434333</v>
      </c>
      <c r="AK26" s="111">
        <f t="shared" si="35"/>
        <v>37557600</v>
      </c>
      <c r="AL26" s="111">
        <f t="shared" si="35"/>
        <v>81152600</v>
      </c>
      <c r="AM26" s="110"/>
      <c r="AN26" s="76">
        <f t="shared" si="25"/>
        <v>0.2562734455847695</v>
      </c>
      <c r="AO26" s="112">
        <f t="shared" si="32"/>
        <v>0.36853182953075625</v>
      </c>
      <c r="AP26" s="583"/>
      <c r="AQ26" s="580"/>
      <c r="AR26" s="566"/>
      <c r="AS26" s="566"/>
      <c r="AT26" s="593"/>
      <c r="AU26" s="105"/>
      <c r="AV26" s="105"/>
      <c r="AW26" s="105"/>
      <c r="AX26" s="105"/>
    </row>
    <row r="27" spans="1:50" ht="46.5" customHeight="1" x14ac:dyDescent="0.25">
      <c r="A27" s="545" t="s">
        <v>296</v>
      </c>
      <c r="B27" s="548">
        <v>4</v>
      </c>
      <c r="C27" s="545" t="s">
        <v>297</v>
      </c>
      <c r="D27" s="545" t="s">
        <v>110</v>
      </c>
      <c r="E27" s="545">
        <v>478</v>
      </c>
      <c r="F27" s="642"/>
      <c r="G27" s="113" t="s">
        <v>119</v>
      </c>
      <c r="H27" s="158">
        <f>L27+R31+S31+Y31+AE31</f>
        <v>500</v>
      </c>
      <c r="I27" s="159">
        <v>60</v>
      </c>
      <c r="J27" s="159">
        <v>60</v>
      </c>
      <c r="K27" s="159">
        <v>60</v>
      </c>
      <c r="L27" s="159">
        <v>13</v>
      </c>
      <c r="M27" s="159">
        <v>120</v>
      </c>
      <c r="N27" s="159">
        <v>120</v>
      </c>
      <c r="O27" s="159">
        <v>120</v>
      </c>
      <c r="P27" s="159">
        <v>120</v>
      </c>
      <c r="Q27" s="159">
        <v>120</v>
      </c>
      <c r="R27" s="159">
        <v>103</v>
      </c>
      <c r="S27" s="159">
        <v>130</v>
      </c>
      <c r="T27" s="160">
        <f>+S27</f>
        <v>130</v>
      </c>
      <c r="U27" s="159">
        <v>130</v>
      </c>
      <c r="V27" s="277">
        <v>130</v>
      </c>
      <c r="W27" s="160"/>
      <c r="X27" s="62"/>
      <c r="Y27" s="159">
        <v>130</v>
      </c>
      <c r="Z27" s="160"/>
      <c r="AA27" s="160"/>
      <c r="AB27" s="160"/>
      <c r="AC27" s="160"/>
      <c r="AD27" s="62"/>
      <c r="AE27" s="159">
        <v>60</v>
      </c>
      <c r="AF27" s="160"/>
      <c r="AG27" s="160"/>
      <c r="AH27" s="160"/>
      <c r="AI27" s="62"/>
      <c r="AJ27" s="59">
        <v>0</v>
      </c>
      <c r="AK27" s="159">
        <v>30</v>
      </c>
      <c r="AL27" s="277">
        <f>AK27+24</f>
        <v>54</v>
      </c>
      <c r="AM27" s="159"/>
      <c r="AN27" s="76">
        <f t="shared" si="25"/>
        <v>0.41538461538461541</v>
      </c>
      <c r="AO27" s="68">
        <f t="shared" si="32"/>
        <v>0.34</v>
      </c>
      <c r="AP27" s="600" t="s">
        <v>298</v>
      </c>
      <c r="AQ27" s="579" t="s">
        <v>224</v>
      </c>
      <c r="AR27" s="578" t="s">
        <v>225</v>
      </c>
      <c r="AS27" s="577" t="s">
        <v>299</v>
      </c>
      <c r="AT27" s="592" t="s">
        <v>205</v>
      </c>
      <c r="AU27" s="70"/>
      <c r="AV27" s="70"/>
      <c r="AW27" s="70"/>
      <c r="AX27" s="70"/>
    </row>
    <row r="28" spans="1:50" ht="46.5" customHeight="1" x14ac:dyDescent="0.25">
      <c r="A28" s="546"/>
      <c r="B28" s="546"/>
      <c r="C28" s="546"/>
      <c r="D28" s="546"/>
      <c r="E28" s="546"/>
      <c r="F28" s="642"/>
      <c r="G28" s="124" t="s">
        <v>153</v>
      </c>
      <c r="H28" s="125">
        <f>L28+R28+S28+Y28+AE28</f>
        <v>7554386934</v>
      </c>
      <c r="I28" s="74">
        <v>628505447</v>
      </c>
      <c r="J28" s="74">
        <v>628505447</v>
      </c>
      <c r="K28" s="74">
        <v>628505447</v>
      </c>
      <c r="L28" s="74">
        <v>545279085</v>
      </c>
      <c r="M28" s="74">
        <v>1159424000</v>
      </c>
      <c r="N28" s="74">
        <v>1159424000</v>
      </c>
      <c r="O28" s="74">
        <v>1159424000</v>
      </c>
      <c r="P28" s="74">
        <v>1159424000</v>
      </c>
      <c r="Q28" s="74">
        <v>996271850</v>
      </c>
      <c r="R28" s="74">
        <v>996271849</v>
      </c>
      <c r="S28" s="74">
        <v>1318836000</v>
      </c>
      <c r="T28" s="75">
        <v>1318836000</v>
      </c>
      <c r="U28" s="74">
        <v>1116781000</v>
      </c>
      <c r="V28" s="279">
        <v>1116781000</v>
      </c>
      <c r="W28" s="75"/>
      <c r="X28" s="75"/>
      <c r="Y28" s="74">
        <v>2694000000</v>
      </c>
      <c r="Z28" s="75"/>
      <c r="AA28" s="75"/>
      <c r="AB28" s="75"/>
      <c r="AC28" s="75"/>
      <c r="AD28" s="75"/>
      <c r="AE28" s="74">
        <v>2000000000</v>
      </c>
      <c r="AF28" s="75"/>
      <c r="AG28" s="75"/>
      <c r="AH28" s="75"/>
      <c r="AI28" s="75"/>
      <c r="AJ28" s="74">
        <v>529800512</v>
      </c>
      <c r="AK28" s="74">
        <v>559572324</v>
      </c>
      <c r="AL28" s="279">
        <v>671344324</v>
      </c>
      <c r="AM28" s="74"/>
      <c r="AN28" s="76">
        <f t="shared" si="25"/>
        <v>0.60114232244280663</v>
      </c>
      <c r="AO28" s="126">
        <f t="shared" si="32"/>
        <v>0.29292850330983589</v>
      </c>
      <c r="AP28" s="601"/>
      <c r="AQ28" s="546"/>
      <c r="AR28" s="515"/>
      <c r="AS28" s="515"/>
      <c r="AT28" s="575"/>
      <c r="AU28" s="105"/>
      <c r="AV28" s="105"/>
      <c r="AW28" s="105"/>
      <c r="AX28" s="105"/>
    </row>
    <row r="29" spans="1:50" ht="46.5" customHeight="1" x14ac:dyDescent="0.25">
      <c r="A29" s="546"/>
      <c r="B29" s="546"/>
      <c r="C29" s="546"/>
      <c r="D29" s="546"/>
      <c r="E29" s="546"/>
      <c r="F29" s="642"/>
      <c r="G29" s="127" t="s">
        <v>160</v>
      </c>
      <c r="H29" s="161"/>
      <c r="I29" s="162"/>
      <c r="J29" s="162"/>
      <c r="K29" s="162"/>
      <c r="L29" s="162"/>
      <c r="M29" s="91">
        <v>47</v>
      </c>
      <c r="N29" s="91">
        <v>47</v>
      </c>
      <c r="O29" s="91">
        <v>47</v>
      </c>
      <c r="P29" s="91">
        <v>47</v>
      </c>
      <c r="Q29" s="91">
        <v>47</v>
      </c>
      <c r="R29" s="42">
        <v>47</v>
      </c>
      <c r="S29" s="91">
        <v>17</v>
      </c>
      <c r="T29" s="91">
        <f>+S29</f>
        <v>17</v>
      </c>
      <c r="U29" s="91">
        <v>17</v>
      </c>
      <c r="V29" s="322">
        <v>17</v>
      </c>
      <c r="W29" s="89"/>
      <c r="X29" s="46"/>
      <c r="Y29" s="355"/>
      <c r="Z29" s="356"/>
      <c r="AA29" s="356"/>
      <c r="AB29" s="356"/>
      <c r="AC29" s="356"/>
      <c r="AD29" s="357"/>
      <c r="AE29" s="358"/>
      <c r="AF29" s="356"/>
      <c r="AG29" s="356"/>
      <c r="AH29" s="356"/>
      <c r="AI29" s="357"/>
      <c r="AJ29" s="359"/>
      <c r="AK29" s="359"/>
      <c r="AL29" s="359"/>
      <c r="AM29" s="360"/>
      <c r="AN29" s="361"/>
      <c r="AO29" s="96"/>
      <c r="AP29" s="601"/>
      <c r="AQ29" s="546"/>
      <c r="AR29" s="515"/>
      <c r="AS29" s="515"/>
      <c r="AT29" s="575"/>
      <c r="AU29" s="70"/>
      <c r="AV29" s="70"/>
      <c r="AW29" s="70"/>
      <c r="AX29" s="70"/>
    </row>
    <row r="30" spans="1:50" ht="46.5" customHeight="1" x14ac:dyDescent="0.25">
      <c r="A30" s="546"/>
      <c r="B30" s="546"/>
      <c r="C30" s="546"/>
      <c r="D30" s="546"/>
      <c r="E30" s="546"/>
      <c r="F30" s="642"/>
      <c r="G30" s="124" t="s">
        <v>180</v>
      </c>
      <c r="H30" s="125">
        <f>L30+R30+S30+Y30+AE30</f>
        <v>478479083</v>
      </c>
      <c r="I30" s="99"/>
      <c r="J30" s="99"/>
      <c r="K30" s="99"/>
      <c r="L30" s="99"/>
      <c r="M30" s="74">
        <v>263795085</v>
      </c>
      <c r="N30" s="74">
        <v>263795085</v>
      </c>
      <c r="O30" s="74">
        <v>263795085</v>
      </c>
      <c r="P30" s="74">
        <v>263795085</v>
      </c>
      <c r="Q30" s="74">
        <v>263795085</v>
      </c>
      <c r="R30" s="74">
        <v>263795085</v>
      </c>
      <c r="S30" s="74">
        <v>214683998</v>
      </c>
      <c r="T30" s="74">
        <v>311257910</v>
      </c>
      <c r="U30" s="74">
        <v>294014810</v>
      </c>
      <c r="V30" s="279">
        <v>294014810</v>
      </c>
      <c r="W30" s="75"/>
      <c r="X30" s="75"/>
      <c r="Y30" s="74"/>
      <c r="Z30" s="75"/>
      <c r="AA30" s="75"/>
      <c r="AB30" s="75"/>
      <c r="AC30" s="75"/>
      <c r="AD30" s="75"/>
      <c r="AE30" s="163"/>
      <c r="AF30" s="75"/>
      <c r="AG30" s="75"/>
      <c r="AH30" s="75"/>
      <c r="AI30" s="75"/>
      <c r="AJ30" s="74">
        <v>165396503</v>
      </c>
      <c r="AK30" s="74">
        <v>235753620</v>
      </c>
      <c r="AL30" s="279">
        <v>292059044</v>
      </c>
      <c r="AM30" s="103"/>
      <c r="AN30" s="76">
        <f t="shared" ref="AN30:AN34" si="36">AL30/V30</f>
        <v>0.99334806977920598</v>
      </c>
      <c r="AO30" s="96"/>
      <c r="AP30" s="601"/>
      <c r="AQ30" s="546"/>
      <c r="AR30" s="515"/>
      <c r="AS30" s="515"/>
      <c r="AT30" s="575"/>
      <c r="AU30" s="105"/>
      <c r="AV30" s="105"/>
      <c r="AW30" s="105"/>
      <c r="AX30" s="105"/>
    </row>
    <row r="31" spans="1:50" ht="46.5" customHeight="1" x14ac:dyDescent="0.25">
      <c r="A31" s="546"/>
      <c r="B31" s="546"/>
      <c r="C31" s="546"/>
      <c r="D31" s="546"/>
      <c r="E31" s="546"/>
      <c r="F31" s="642"/>
      <c r="G31" s="127" t="s">
        <v>191</v>
      </c>
      <c r="H31" s="164">
        <v>500</v>
      </c>
      <c r="I31" s="91">
        <f t="shared" ref="I31:K31" si="37">+I27</f>
        <v>60</v>
      </c>
      <c r="J31" s="91">
        <f t="shared" si="37"/>
        <v>60</v>
      </c>
      <c r="K31" s="91">
        <f t="shared" si="37"/>
        <v>60</v>
      </c>
      <c r="L31" s="322">
        <v>13</v>
      </c>
      <c r="M31" s="322">
        <f t="shared" ref="M31:P31" si="38">+M27+M29</f>
        <v>167</v>
      </c>
      <c r="N31" s="322">
        <f t="shared" si="38"/>
        <v>167</v>
      </c>
      <c r="O31" s="322">
        <f t="shared" si="38"/>
        <v>167</v>
      </c>
      <c r="P31" s="322">
        <f t="shared" si="38"/>
        <v>167</v>
      </c>
      <c r="Q31" s="322">
        <v>167</v>
      </c>
      <c r="R31" s="91">
        <f t="shared" ref="R31:T31" si="39">+R27+R29</f>
        <v>150</v>
      </c>
      <c r="S31" s="91">
        <f t="shared" si="39"/>
        <v>147</v>
      </c>
      <c r="T31" s="91">
        <f t="shared" si="39"/>
        <v>147</v>
      </c>
      <c r="U31" s="91">
        <v>147</v>
      </c>
      <c r="V31" s="282">
        <f t="shared" ref="V31:V32" si="40">V27+V29</f>
        <v>147</v>
      </c>
      <c r="W31" s="89"/>
      <c r="X31" s="89"/>
      <c r="Y31" s="91">
        <f t="shared" ref="Y31:Y32" si="41">+Y27</f>
        <v>130</v>
      </c>
      <c r="Z31" s="89"/>
      <c r="AA31" s="89"/>
      <c r="AB31" s="89"/>
      <c r="AC31" s="89"/>
      <c r="AD31" s="89"/>
      <c r="AE31" s="91">
        <f t="shared" ref="AE31:AE32" si="42">+AE27</f>
        <v>60</v>
      </c>
      <c r="AF31" s="89"/>
      <c r="AG31" s="89"/>
      <c r="AH31" s="89"/>
      <c r="AI31" s="46"/>
      <c r="AJ31" s="42">
        <f t="shared" ref="AJ31:AL31" si="43">AJ27+AJ29</f>
        <v>0</v>
      </c>
      <c r="AK31" s="91">
        <f t="shared" si="43"/>
        <v>30</v>
      </c>
      <c r="AL31" s="91">
        <f t="shared" si="43"/>
        <v>54</v>
      </c>
      <c r="AM31" s="91"/>
      <c r="AN31" s="76">
        <f t="shared" si="36"/>
        <v>0.36734693877551022</v>
      </c>
      <c r="AO31" s="126">
        <f t="shared" ref="AO31:AO34" si="44">(L31+R31+AL31)/H31</f>
        <v>0.434</v>
      </c>
      <c r="AP31" s="601"/>
      <c r="AQ31" s="546"/>
      <c r="AR31" s="515"/>
      <c r="AS31" s="515"/>
      <c r="AT31" s="575"/>
      <c r="AU31" s="70"/>
      <c r="AV31" s="70"/>
      <c r="AW31" s="70"/>
      <c r="AX31" s="70"/>
    </row>
    <row r="32" spans="1:50" ht="46.5" customHeight="1" x14ac:dyDescent="0.25">
      <c r="A32" s="546"/>
      <c r="B32" s="547"/>
      <c r="C32" s="547"/>
      <c r="D32" s="547"/>
      <c r="E32" s="547"/>
      <c r="F32" s="642"/>
      <c r="G32" s="142" t="s">
        <v>196</v>
      </c>
      <c r="H32" s="165">
        <f>+H28+H30</f>
        <v>8032866017</v>
      </c>
      <c r="I32" s="110">
        <f t="shared" ref="I32:K32" si="45">+I28</f>
        <v>628505447</v>
      </c>
      <c r="J32" s="110">
        <f t="shared" si="45"/>
        <v>628505447</v>
      </c>
      <c r="K32" s="110">
        <f t="shared" si="45"/>
        <v>628505447</v>
      </c>
      <c r="L32" s="283">
        <v>545279085</v>
      </c>
      <c r="M32" s="283">
        <f t="shared" ref="M32:S32" si="46">+M28+M30</f>
        <v>1423219085</v>
      </c>
      <c r="N32" s="283">
        <f t="shared" si="46"/>
        <v>1423219085</v>
      </c>
      <c r="O32" s="283">
        <f t="shared" si="46"/>
        <v>1423219085</v>
      </c>
      <c r="P32" s="283">
        <f t="shared" si="46"/>
        <v>1423219085</v>
      </c>
      <c r="Q32" s="283">
        <f t="shared" si="46"/>
        <v>1260066935</v>
      </c>
      <c r="R32" s="110">
        <f t="shared" si="46"/>
        <v>1260066934</v>
      </c>
      <c r="S32" s="110">
        <f t="shared" si="46"/>
        <v>1533519998</v>
      </c>
      <c r="T32" s="110">
        <f>+T30+T28</f>
        <v>1630093910</v>
      </c>
      <c r="U32" s="110">
        <v>1428038910</v>
      </c>
      <c r="V32" s="274">
        <f t="shared" si="40"/>
        <v>1410795810</v>
      </c>
      <c r="W32" s="111"/>
      <c r="X32" s="111"/>
      <c r="Y32" s="110">
        <f t="shared" si="41"/>
        <v>2694000000</v>
      </c>
      <c r="Z32" s="111"/>
      <c r="AA32" s="111"/>
      <c r="AB32" s="111"/>
      <c r="AC32" s="111"/>
      <c r="AD32" s="111"/>
      <c r="AE32" s="110">
        <f t="shared" si="42"/>
        <v>2000000000</v>
      </c>
      <c r="AF32" s="111"/>
      <c r="AG32" s="111"/>
      <c r="AH32" s="111"/>
      <c r="AI32" s="111"/>
      <c r="AJ32" s="110">
        <f t="shared" ref="AJ32:AL32" si="47">AJ28+AJ30</f>
        <v>695197015</v>
      </c>
      <c r="AK32" s="110">
        <f t="shared" si="47"/>
        <v>795325944</v>
      </c>
      <c r="AL32" s="110">
        <f t="shared" si="47"/>
        <v>963403368</v>
      </c>
      <c r="AM32" s="110"/>
      <c r="AN32" s="76">
        <f t="shared" si="36"/>
        <v>0.68287937997207404</v>
      </c>
      <c r="AO32" s="112">
        <f t="shared" si="44"/>
        <v>0.34467765068413686</v>
      </c>
      <c r="AP32" s="602"/>
      <c r="AQ32" s="580"/>
      <c r="AR32" s="566"/>
      <c r="AS32" s="566"/>
      <c r="AT32" s="593"/>
      <c r="AU32" s="105"/>
      <c r="AV32" s="105"/>
      <c r="AW32" s="105"/>
      <c r="AX32" s="105"/>
    </row>
    <row r="33" spans="1:50" ht="46.5" customHeight="1" x14ac:dyDescent="0.25">
      <c r="A33" s="546"/>
      <c r="B33" s="548">
        <v>5</v>
      </c>
      <c r="C33" s="556" t="s">
        <v>300</v>
      </c>
      <c r="D33" s="545" t="s">
        <v>146</v>
      </c>
      <c r="E33" s="545">
        <v>478</v>
      </c>
      <c r="F33" s="642"/>
      <c r="G33" s="113" t="s">
        <v>119</v>
      </c>
      <c r="H33" s="166">
        <f>AE33</f>
        <v>100</v>
      </c>
      <c r="I33" s="159">
        <v>10</v>
      </c>
      <c r="J33" s="159">
        <v>10</v>
      </c>
      <c r="K33" s="159">
        <v>10</v>
      </c>
      <c r="L33" s="277">
        <v>10</v>
      </c>
      <c r="M33" s="277">
        <v>30</v>
      </c>
      <c r="N33" s="277">
        <v>30</v>
      </c>
      <c r="O33" s="277">
        <v>30</v>
      </c>
      <c r="P33" s="277">
        <v>30</v>
      </c>
      <c r="Q33" s="277">
        <v>30</v>
      </c>
      <c r="R33" s="159">
        <v>24</v>
      </c>
      <c r="S33" s="159">
        <v>60</v>
      </c>
      <c r="T33" s="159">
        <f>+S33</f>
        <v>60</v>
      </c>
      <c r="U33" s="159">
        <v>60</v>
      </c>
      <c r="V33" s="277">
        <v>60</v>
      </c>
      <c r="W33" s="160"/>
      <c r="X33" s="160"/>
      <c r="Y33" s="159">
        <v>90</v>
      </c>
      <c r="Z33" s="160"/>
      <c r="AA33" s="160"/>
      <c r="AB33" s="160"/>
      <c r="AC33" s="160"/>
      <c r="AD33" s="160"/>
      <c r="AE33" s="159">
        <v>100</v>
      </c>
      <c r="AF33" s="160"/>
      <c r="AG33" s="160"/>
      <c r="AH33" s="160"/>
      <c r="AI33" s="62"/>
      <c r="AJ33" s="59">
        <v>27</v>
      </c>
      <c r="AK33" s="277">
        <v>34</v>
      </c>
      <c r="AL33" s="277">
        <v>40</v>
      </c>
      <c r="AM33" s="59"/>
      <c r="AN33" s="76">
        <f t="shared" si="36"/>
        <v>0.66666666666666663</v>
      </c>
      <c r="AO33" s="68">
        <f t="shared" si="44"/>
        <v>0.74</v>
      </c>
      <c r="AP33" s="633" t="s">
        <v>301</v>
      </c>
      <c r="AQ33" s="579" t="s">
        <v>101</v>
      </c>
      <c r="AR33" s="577" t="s">
        <v>104</v>
      </c>
      <c r="AS33" s="632" t="s">
        <v>302</v>
      </c>
      <c r="AT33" s="598" t="s">
        <v>303</v>
      </c>
      <c r="AU33" s="70"/>
      <c r="AV33" s="70"/>
      <c r="AW33" s="70"/>
      <c r="AX33" s="70"/>
    </row>
    <row r="34" spans="1:50" ht="46.5" customHeight="1" x14ac:dyDescent="0.25">
      <c r="A34" s="546"/>
      <c r="B34" s="546"/>
      <c r="C34" s="546"/>
      <c r="D34" s="546"/>
      <c r="E34" s="546"/>
      <c r="F34" s="642"/>
      <c r="G34" s="124" t="s">
        <v>153</v>
      </c>
      <c r="H34" s="125">
        <f>+L34+R34+S34+Y34+AE34</f>
        <v>2319640657</v>
      </c>
      <c r="I34" s="74">
        <v>204249768</v>
      </c>
      <c r="J34" s="74">
        <v>204249768</v>
      </c>
      <c r="K34" s="74">
        <v>204249770</v>
      </c>
      <c r="L34" s="74">
        <v>204249768</v>
      </c>
      <c r="M34" s="74">
        <v>318016000</v>
      </c>
      <c r="N34" s="74">
        <v>318016000</v>
      </c>
      <c r="O34" s="74">
        <v>318016000</v>
      </c>
      <c r="P34" s="74">
        <v>318016000</v>
      </c>
      <c r="Q34" s="74">
        <v>298569621</v>
      </c>
      <c r="R34" s="74">
        <v>298525101</v>
      </c>
      <c r="S34" s="74">
        <v>642865788</v>
      </c>
      <c r="T34" s="74">
        <v>642865788</v>
      </c>
      <c r="U34" s="74">
        <v>844920788</v>
      </c>
      <c r="V34" s="279">
        <v>844920788</v>
      </c>
      <c r="W34" s="75"/>
      <c r="X34" s="75"/>
      <c r="Y34" s="74">
        <v>674000000</v>
      </c>
      <c r="Z34" s="75"/>
      <c r="AA34" s="75"/>
      <c r="AB34" s="75"/>
      <c r="AC34" s="75"/>
      <c r="AD34" s="75"/>
      <c r="AE34" s="74">
        <v>500000000</v>
      </c>
      <c r="AF34" s="75"/>
      <c r="AG34" s="75"/>
      <c r="AH34" s="75"/>
      <c r="AI34" s="75"/>
      <c r="AJ34" s="74">
        <v>424569000</v>
      </c>
      <c r="AK34" s="279">
        <v>424569000</v>
      </c>
      <c r="AL34" s="280">
        <v>503407100</v>
      </c>
      <c r="AM34" s="74"/>
      <c r="AN34" s="76">
        <f t="shared" si="36"/>
        <v>0.59580389919344723</v>
      </c>
      <c r="AO34" s="126">
        <f t="shared" si="44"/>
        <v>0.43376631029622448</v>
      </c>
      <c r="AP34" s="634"/>
      <c r="AQ34" s="546"/>
      <c r="AR34" s="515"/>
      <c r="AS34" s="515"/>
      <c r="AT34" s="575"/>
      <c r="AU34" s="105"/>
      <c r="AV34" s="105"/>
      <c r="AW34" s="105"/>
      <c r="AX34" s="105"/>
    </row>
    <row r="35" spans="1:50" ht="46.5" customHeight="1" x14ac:dyDescent="0.25">
      <c r="A35" s="546"/>
      <c r="B35" s="546"/>
      <c r="C35" s="546"/>
      <c r="D35" s="546"/>
      <c r="E35" s="546"/>
      <c r="F35" s="642"/>
      <c r="G35" s="127" t="s">
        <v>160</v>
      </c>
      <c r="H35" s="167"/>
      <c r="I35" s="83"/>
      <c r="J35" s="83"/>
      <c r="K35" s="83"/>
      <c r="L35" s="83"/>
      <c r="M35" s="83"/>
      <c r="N35" s="83"/>
      <c r="O35" s="83"/>
      <c r="P35" s="83"/>
      <c r="Q35" s="83"/>
      <c r="R35" s="82"/>
      <c r="S35" s="83">
        <v>0</v>
      </c>
      <c r="T35" s="83">
        <v>0</v>
      </c>
      <c r="U35" s="83">
        <v>0</v>
      </c>
      <c r="V35" s="83"/>
      <c r="W35" s="89"/>
      <c r="X35" s="46"/>
      <c r="Y35" s="83"/>
      <c r="Z35" s="89"/>
      <c r="AA35" s="89"/>
      <c r="AB35" s="89"/>
      <c r="AC35" s="89"/>
      <c r="AD35" s="46"/>
      <c r="AE35" s="168"/>
      <c r="AF35" s="89"/>
      <c r="AG35" s="89"/>
      <c r="AH35" s="89"/>
      <c r="AI35" s="46"/>
      <c r="AJ35" s="82"/>
      <c r="AK35" s="82"/>
      <c r="AL35" s="83"/>
      <c r="AM35" s="42"/>
      <c r="AN35" s="95"/>
      <c r="AO35" s="96"/>
      <c r="AP35" s="634"/>
      <c r="AQ35" s="546"/>
      <c r="AR35" s="515"/>
      <c r="AS35" s="515"/>
      <c r="AT35" s="575"/>
      <c r="AU35" s="70"/>
      <c r="AV35" s="70"/>
      <c r="AW35" s="70"/>
      <c r="AX35" s="70"/>
    </row>
    <row r="36" spans="1:50" ht="46.5" customHeight="1" x14ac:dyDescent="0.25">
      <c r="A36" s="546"/>
      <c r="B36" s="546"/>
      <c r="C36" s="546"/>
      <c r="D36" s="546"/>
      <c r="E36" s="546"/>
      <c r="F36" s="642"/>
      <c r="G36" s="124" t="s">
        <v>180</v>
      </c>
      <c r="H36" s="125">
        <f>L36+R36+S36+Y36+AE36</f>
        <v>66083717</v>
      </c>
      <c r="I36" s="99"/>
      <c r="J36" s="99"/>
      <c r="K36" s="99"/>
      <c r="L36" s="99"/>
      <c r="M36" s="74">
        <v>65573517</v>
      </c>
      <c r="N36" s="74">
        <v>65573517</v>
      </c>
      <c r="O36" s="74">
        <v>65573517</v>
      </c>
      <c r="P36" s="74">
        <v>65573517</v>
      </c>
      <c r="Q36" s="74">
        <v>65573517</v>
      </c>
      <c r="R36" s="74">
        <v>65573517</v>
      </c>
      <c r="S36" s="74">
        <v>510200</v>
      </c>
      <c r="T36" s="75">
        <v>26848540</v>
      </c>
      <c r="U36" s="74">
        <v>26848540</v>
      </c>
      <c r="V36" s="279">
        <v>26848540</v>
      </c>
      <c r="W36" s="75"/>
      <c r="X36" s="75"/>
      <c r="Y36" s="74"/>
      <c r="Z36" s="75"/>
      <c r="AA36" s="75"/>
      <c r="AB36" s="75"/>
      <c r="AC36" s="75"/>
      <c r="AD36" s="75"/>
      <c r="AE36" s="163"/>
      <c r="AF36" s="75"/>
      <c r="AG36" s="75"/>
      <c r="AH36" s="75"/>
      <c r="AI36" s="75"/>
      <c r="AJ36" s="74">
        <v>26848540</v>
      </c>
      <c r="AK36" s="74">
        <v>26848540</v>
      </c>
      <c r="AL36" s="279">
        <v>26848540</v>
      </c>
      <c r="AM36" s="103"/>
      <c r="AN36" s="76">
        <f t="shared" ref="AN36:AN40" si="48">AL36/V36</f>
        <v>1</v>
      </c>
      <c r="AO36" s="96"/>
      <c r="AP36" s="634"/>
      <c r="AQ36" s="546"/>
      <c r="AR36" s="515"/>
      <c r="AS36" s="515"/>
      <c r="AT36" s="575"/>
      <c r="AU36" s="105"/>
      <c r="AV36" s="105"/>
      <c r="AW36" s="105"/>
      <c r="AX36" s="105"/>
    </row>
    <row r="37" spans="1:50" ht="46.5" customHeight="1" x14ac:dyDescent="0.25">
      <c r="A37" s="546"/>
      <c r="B37" s="546"/>
      <c r="C37" s="546"/>
      <c r="D37" s="546"/>
      <c r="E37" s="546"/>
      <c r="F37" s="642"/>
      <c r="G37" s="127" t="s">
        <v>191</v>
      </c>
      <c r="H37" s="169">
        <v>100</v>
      </c>
      <c r="I37" s="91">
        <v>10</v>
      </c>
      <c r="J37" s="91">
        <v>10</v>
      </c>
      <c r="K37" s="91">
        <f>+K33</f>
        <v>10</v>
      </c>
      <c r="L37" s="91">
        <f>L33</f>
        <v>10</v>
      </c>
      <c r="M37" s="91">
        <f t="shared" ref="M37:P37" si="49">+M33</f>
        <v>30</v>
      </c>
      <c r="N37" s="91">
        <f t="shared" si="49"/>
        <v>30</v>
      </c>
      <c r="O37" s="91">
        <f t="shared" si="49"/>
        <v>30</v>
      </c>
      <c r="P37" s="91">
        <f t="shared" si="49"/>
        <v>30</v>
      </c>
      <c r="Q37" s="91">
        <v>30</v>
      </c>
      <c r="R37" s="91">
        <f t="shared" ref="R37:S37" si="50">+R33</f>
        <v>24</v>
      </c>
      <c r="S37" s="91">
        <f t="shared" si="50"/>
        <v>60</v>
      </c>
      <c r="T37" s="91">
        <f t="shared" ref="T37:T38" si="51">T33+T35</f>
        <v>60</v>
      </c>
      <c r="U37" s="91">
        <v>60</v>
      </c>
      <c r="V37" s="275">
        <f>V33+V35</f>
        <v>60</v>
      </c>
      <c r="W37" s="89"/>
      <c r="X37" s="89"/>
      <c r="Y37" s="91">
        <f t="shared" ref="Y37:Y38" si="52">+Y33</f>
        <v>90</v>
      </c>
      <c r="Z37" s="89"/>
      <c r="AA37" s="89"/>
      <c r="AB37" s="89"/>
      <c r="AC37" s="89"/>
      <c r="AD37" s="89"/>
      <c r="AE37" s="91">
        <f t="shared" ref="AE37:AE38" si="53">+AE33</f>
        <v>100</v>
      </c>
      <c r="AF37" s="89"/>
      <c r="AG37" s="89"/>
      <c r="AH37" s="89"/>
      <c r="AI37" s="46"/>
      <c r="AJ37" s="46">
        <f t="shared" ref="AJ37:AL37" si="54">AJ33+AJ35</f>
        <v>27</v>
      </c>
      <c r="AK37" s="89">
        <f t="shared" si="54"/>
        <v>34</v>
      </c>
      <c r="AL37" s="282">
        <f t="shared" si="54"/>
        <v>40</v>
      </c>
      <c r="AM37" s="42"/>
      <c r="AN37" s="76">
        <f t="shared" si="48"/>
        <v>0.66666666666666663</v>
      </c>
      <c r="AO37" s="126">
        <f t="shared" ref="AO37:AO38" si="55">(L37+R37+AL37)/H37</f>
        <v>0.74</v>
      </c>
      <c r="AP37" s="634"/>
      <c r="AQ37" s="546"/>
      <c r="AR37" s="515"/>
      <c r="AS37" s="515"/>
      <c r="AT37" s="575"/>
      <c r="AU37" s="70"/>
      <c r="AV37" s="70"/>
      <c r="AW37" s="70"/>
      <c r="AX37" s="70"/>
    </row>
    <row r="38" spans="1:50" ht="46.5" customHeight="1" x14ac:dyDescent="0.25">
      <c r="A38" s="546"/>
      <c r="B38" s="547"/>
      <c r="C38" s="547"/>
      <c r="D38" s="547"/>
      <c r="E38" s="547"/>
      <c r="F38" s="642"/>
      <c r="G38" s="142" t="s">
        <v>196</v>
      </c>
      <c r="H38" s="144">
        <f>+H34+H36</f>
        <v>2385724374</v>
      </c>
      <c r="I38" s="110">
        <f t="shared" ref="I38:K38" si="56">+I34</f>
        <v>204249768</v>
      </c>
      <c r="J38" s="110">
        <f t="shared" si="56"/>
        <v>204249768</v>
      </c>
      <c r="K38" s="110">
        <f t="shared" si="56"/>
        <v>204249770</v>
      </c>
      <c r="L38" s="110">
        <v>204249768</v>
      </c>
      <c r="M38" s="110">
        <f t="shared" ref="M38:S38" si="57">+M34+M36</f>
        <v>383589517</v>
      </c>
      <c r="N38" s="110">
        <f t="shared" si="57"/>
        <v>383589517</v>
      </c>
      <c r="O38" s="110">
        <f t="shared" si="57"/>
        <v>383589517</v>
      </c>
      <c r="P38" s="110">
        <f t="shared" si="57"/>
        <v>383589517</v>
      </c>
      <c r="Q38" s="110">
        <f t="shared" si="57"/>
        <v>364143138</v>
      </c>
      <c r="R38" s="110">
        <f t="shared" si="57"/>
        <v>364098618</v>
      </c>
      <c r="S38" s="110">
        <f t="shared" si="57"/>
        <v>643375988</v>
      </c>
      <c r="T38" s="110">
        <f t="shared" si="51"/>
        <v>669714328</v>
      </c>
      <c r="U38" s="110">
        <v>871769328</v>
      </c>
      <c r="V38" s="274">
        <f>V36+V34</f>
        <v>871769328</v>
      </c>
      <c r="W38" s="111"/>
      <c r="X38" s="111"/>
      <c r="Y38" s="110">
        <f t="shared" si="52"/>
        <v>674000000</v>
      </c>
      <c r="Z38" s="111"/>
      <c r="AA38" s="111"/>
      <c r="AB38" s="111"/>
      <c r="AC38" s="111"/>
      <c r="AD38" s="111"/>
      <c r="AE38" s="110">
        <f t="shared" si="53"/>
        <v>500000000</v>
      </c>
      <c r="AF38" s="111"/>
      <c r="AG38" s="111"/>
      <c r="AH38" s="111"/>
      <c r="AI38" s="111"/>
      <c r="AJ38" s="111">
        <f t="shared" ref="AJ38:AK38" si="58">AJ34+AJ36</f>
        <v>451417540</v>
      </c>
      <c r="AK38" s="111">
        <f t="shared" si="58"/>
        <v>451417540</v>
      </c>
      <c r="AL38" s="283">
        <f>AL36+AL34</f>
        <v>530255640</v>
      </c>
      <c r="AM38" s="110"/>
      <c r="AN38" s="76">
        <f t="shared" si="48"/>
        <v>0.6082522325217663</v>
      </c>
      <c r="AO38" s="112">
        <f t="shared" si="55"/>
        <v>0.46049075826728342</v>
      </c>
      <c r="AP38" s="635"/>
      <c r="AQ38" s="580"/>
      <c r="AR38" s="566"/>
      <c r="AS38" s="566"/>
      <c r="AT38" s="593"/>
      <c r="AU38" s="105"/>
      <c r="AV38" s="105"/>
      <c r="AW38" s="105"/>
      <c r="AX38" s="105"/>
    </row>
    <row r="39" spans="1:50" ht="46.5" customHeight="1" x14ac:dyDescent="0.25">
      <c r="A39" s="546"/>
      <c r="B39" s="548">
        <v>6</v>
      </c>
      <c r="C39" s="545" t="s">
        <v>306</v>
      </c>
      <c r="D39" s="545" t="s">
        <v>146</v>
      </c>
      <c r="E39" s="545">
        <v>478</v>
      </c>
      <c r="F39" s="642"/>
      <c r="G39" s="113" t="s">
        <v>119</v>
      </c>
      <c r="H39" s="166">
        <f>AE39</f>
        <v>100</v>
      </c>
      <c r="I39" s="159">
        <v>24</v>
      </c>
      <c r="J39" s="159">
        <v>25</v>
      </c>
      <c r="K39" s="159">
        <v>25</v>
      </c>
      <c r="L39" s="159">
        <v>25</v>
      </c>
      <c r="M39" s="159">
        <v>70</v>
      </c>
      <c r="N39" s="159">
        <v>70</v>
      </c>
      <c r="O39" s="159">
        <v>70</v>
      </c>
      <c r="P39" s="159">
        <v>70</v>
      </c>
      <c r="Q39" s="159">
        <v>70</v>
      </c>
      <c r="R39" s="159">
        <v>70</v>
      </c>
      <c r="S39" s="159">
        <v>80</v>
      </c>
      <c r="T39" s="159">
        <f>+S39</f>
        <v>80</v>
      </c>
      <c r="U39" s="159">
        <v>80</v>
      </c>
      <c r="V39" s="277">
        <v>80</v>
      </c>
      <c r="W39" s="160"/>
      <c r="X39" s="62"/>
      <c r="Y39" s="159">
        <v>90</v>
      </c>
      <c r="Z39" s="160"/>
      <c r="AA39" s="160"/>
      <c r="AB39" s="160"/>
      <c r="AC39" s="160"/>
      <c r="AD39" s="160"/>
      <c r="AE39" s="159">
        <v>100</v>
      </c>
      <c r="AF39" s="160"/>
      <c r="AG39" s="160"/>
      <c r="AH39" s="160"/>
      <c r="AI39" s="62"/>
      <c r="AJ39" s="172">
        <v>72.5</v>
      </c>
      <c r="AK39" s="173">
        <v>73.5</v>
      </c>
      <c r="AL39" s="332">
        <v>74</v>
      </c>
      <c r="AM39" s="59"/>
      <c r="AN39" s="76">
        <f t="shared" si="48"/>
        <v>0.92500000000000004</v>
      </c>
      <c r="AO39" s="68">
        <f>AL39/H39</f>
        <v>0.74</v>
      </c>
      <c r="AP39" s="603" t="s">
        <v>315</v>
      </c>
      <c r="AQ39" s="579" t="s">
        <v>318</v>
      </c>
      <c r="AR39" s="578" t="s">
        <v>319</v>
      </c>
      <c r="AS39" s="599" t="s">
        <v>320</v>
      </c>
      <c r="AT39" s="598" t="s">
        <v>205</v>
      </c>
      <c r="AU39" s="70"/>
      <c r="AV39" s="70"/>
      <c r="AW39" s="70"/>
      <c r="AX39" s="70"/>
    </row>
    <row r="40" spans="1:50" ht="46.5" customHeight="1" x14ac:dyDescent="0.25">
      <c r="A40" s="546"/>
      <c r="B40" s="546"/>
      <c r="C40" s="546"/>
      <c r="D40" s="546"/>
      <c r="E40" s="546"/>
      <c r="F40" s="642"/>
      <c r="G40" s="124" t="s">
        <v>153</v>
      </c>
      <c r="H40" s="125">
        <f>+L40+R40+S40+Y40+AE40</f>
        <v>579882245</v>
      </c>
      <c r="I40" s="74">
        <v>60608658</v>
      </c>
      <c r="J40" s="74">
        <v>60608658</v>
      </c>
      <c r="K40" s="74">
        <v>60608658</v>
      </c>
      <c r="L40" s="74">
        <v>44335011</v>
      </c>
      <c r="M40" s="74">
        <v>200000000</v>
      </c>
      <c r="N40" s="74">
        <v>200000000</v>
      </c>
      <c r="O40" s="74">
        <v>200000000</v>
      </c>
      <c r="P40" s="74">
        <v>200000000</v>
      </c>
      <c r="Q40" s="74">
        <v>102639067</v>
      </c>
      <c r="R40" s="74">
        <v>91224934</v>
      </c>
      <c r="S40" s="74">
        <v>134322300</v>
      </c>
      <c r="T40" s="74">
        <v>134322300</v>
      </c>
      <c r="U40" s="74">
        <v>134322300</v>
      </c>
      <c r="V40" s="279">
        <v>134322300</v>
      </c>
      <c r="W40" s="75"/>
      <c r="X40" s="75"/>
      <c r="Y40" s="74">
        <v>150000000</v>
      </c>
      <c r="Z40" s="75"/>
      <c r="AA40" s="75"/>
      <c r="AB40" s="75"/>
      <c r="AC40" s="75"/>
      <c r="AD40" s="75"/>
      <c r="AE40" s="74">
        <v>160000000</v>
      </c>
      <c r="AF40" s="75"/>
      <c r="AG40" s="75"/>
      <c r="AH40" s="75"/>
      <c r="AI40" s="75"/>
      <c r="AJ40" s="74">
        <v>114448000</v>
      </c>
      <c r="AK40" s="74">
        <v>114448000</v>
      </c>
      <c r="AL40" s="279">
        <v>114448000</v>
      </c>
      <c r="AM40" s="74"/>
      <c r="AN40" s="76">
        <f t="shared" si="48"/>
        <v>0.85204020479101383</v>
      </c>
      <c r="AO40" s="126">
        <f>(L40+R40+AL40)/H40</f>
        <v>0.43113571273422935</v>
      </c>
      <c r="AP40" s="604"/>
      <c r="AQ40" s="546"/>
      <c r="AR40" s="515"/>
      <c r="AS40" s="515"/>
      <c r="AT40" s="575"/>
      <c r="AU40" s="105"/>
      <c r="AV40" s="105"/>
      <c r="AW40" s="105"/>
      <c r="AX40" s="105"/>
    </row>
    <row r="41" spans="1:50" ht="46.5" customHeight="1" x14ac:dyDescent="0.25">
      <c r="A41" s="546"/>
      <c r="B41" s="546"/>
      <c r="C41" s="546"/>
      <c r="D41" s="546"/>
      <c r="E41" s="546"/>
      <c r="F41" s="642"/>
      <c r="G41" s="127" t="s">
        <v>160</v>
      </c>
      <c r="H41" s="161">
        <v>0</v>
      </c>
      <c r="I41" s="82"/>
      <c r="J41" s="82"/>
      <c r="K41" s="82"/>
      <c r="L41" s="83"/>
      <c r="M41" s="83"/>
      <c r="N41" s="83"/>
      <c r="O41" s="83"/>
      <c r="P41" s="83"/>
      <c r="Q41" s="83"/>
      <c r="R41" s="83"/>
      <c r="S41" s="83">
        <v>0</v>
      </c>
      <c r="T41" s="83">
        <v>0</v>
      </c>
      <c r="U41" s="83">
        <v>0</v>
      </c>
      <c r="V41" s="83"/>
      <c r="W41" s="89"/>
      <c r="X41" s="89"/>
      <c r="Y41" s="83"/>
      <c r="Z41" s="89"/>
      <c r="AA41" s="89"/>
      <c r="AB41" s="89"/>
      <c r="AC41" s="89"/>
      <c r="AD41" s="89"/>
      <c r="AE41" s="83"/>
      <c r="AF41" s="89"/>
      <c r="AG41" s="89"/>
      <c r="AH41" s="89"/>
      <c r="AI41" s="89"/>
      <c r="AJ41" s="83"/>
      <c r="AK41" s="83"/>
      <c r="AL41" s="174"/>
      <c r="AM41" s="47"/>
      <c r="AN41" s="95"/>
      <c r="AO41" s="96"/>
      <c r="AP41" s="604"/>
      <c r="AQ41" s="546"/>
      <c r="AR41" s="515"/>
      <c r="AS41" s="515"/>
      <c r="AT41" s="575"/>
      <c r="AU41" s="70"/>
      <c r="AV41" s="70"/>
      <c r="AW41" s="70"/>
      <c r="AX41" s="70"/>
    </row>
    <row r="42" spans="1:50" ht="46.5" customHeight="1" x14ac:dyDescent="0.25">
      <c r="A42" s="546"/>
      <c r="B42" s="546"/>
      <c r="C42" s="546"/>
      <c r="D42" s="546"/>
      <c r="E42" s="546"/>
      <c r="F42" s="642"/>
      <c r="G42" s="124" t="s">
        <v>180</v>
      </c>
      <c r="H42" s="125">
        <f>L42+R42+S42+Y42+AE42</f>
        <v>14704074</v>
      </c>
      <c r="I42" s="99"/>
      <c r="J42" s="99"/>
      <c r="K42" s="99"/>
      <c r="L42" s="99"/>
      <c r="M42" s="74">
        <v>14704074</v>
      </c>
      <c r="N42" s="74">
        <v>14704074</v>
      </c>
      <c r="O42" s="74">
        <v>14704074</v>
      </c>
      <c r="P42" s="74">
        <v>14704074</v>
      </c>
      <c r="Q42" s="74">
        <v>14704074</v>
      </c>
      <c r="R42" s="74">
        <v>14704074</v>
      </c>
      <c r="S42" s="99">
        <v>0</v>
      </c>
      <c r="T42" s="99">
        <v>0</v>
      </c>
      <c r="U42" s="99">
        <v>0</v>
      </c>
      <c r="V42" s="99"/>
      <c r="W42" s="75"/>
      <c r="X42" s="75"/>
      <c r="Y42" s="99"/>
      <c r="Z42" s="75"/>
      <c r="AA42" s="75"/>
      <c r="AB42" s="75"/>
      <c r="AC42" s="75"/>
      <c r="AD42" s="75"/>
      <c r="AE42" s="175"/>
      <c r="AF42" s="75"/>
      <c r="AG42" s="75"/>
      <c r="AH42" s="75"/>
      <c r="AI42" s="75"/>
      <c r="AJ42" s="177"/>
      <c r="AK42" s="177"/>
      <c r="AL42" s="177"/>
      <c r="AM42" s="103"/>
      <c r="AN42" s="95"/>
      <c r="AO42" s="96"/>
      <c r="AP42" s="604"/>
      <c r="AQ42" s="546"/>
      <c r="AR42" s="515"/>
      <c r="AS42" s="515"/>
      <c r="AT42" s="575"/>
      <c r="AU42" s="105"/>
      <c r="AV42" s="105"/>
      <c r="AW42" s="105"/>
      <c r="AX42" s="105"/>
    </row>
    <row r="43" spans="1:50" ht="46.5" customHeight="1" x14ac:dyDescent="0.25">
      <c r="A43" s="546"/>
      <c r="B43" s="546"/>
      <c r="C43" s="546"/>
      <c r="D43" s="546"/>
      <c r="E43" s="546"/>
      <c r="F43" s="642"/>
      <c r="G43" s="127" t="s">
        <v>191</v>
      </c>
      <c r="H43" s="169">
        <v>100</v>
      </c>
      <c r="I43" s="91">
        <v>25</v>
      </c>
      <c r="J43" s="91">
        <v>25</v>
      </c>
      <c r="K43" s="91">
        <f>+K39</f>
        <v>25</v>
      </c>
      <c r="L43" s="91">
        <v>25</v>
      </c>
      <c r="M43" s="91">
        <f t="shared" ref="M43:P43" si="59">+M39</f>
        <v>70</v>
      </c>
      <c r="N43" s="91">
        <f t="shared" si="59"/>
        <v>70</v>
      </c>
      <c r="O43" s="91">
        <f t="shared" si="59"/>
        <v>70</v>
      </c>
      <c r="P43" s="91">
        <f t="shared" si="59"/>
        <v>70</v>
      </c>
      <c r="Q43" s="91">
        <v>70</v>
      </c>
      <c r="R43" s="91">
        <v>70</v>
      </c>
      <c r="S43" s="91">
        <f t="shared" ref="S43:T43" si="60">+S39</f>
        <v>80</v>
      </c>
      <c r="T43" s="181">
        <f t="shared" si="60"/>
        <v>80</v>
      </c>
      <c r="U43" s="181">
        <v>80</v>
      </c>
      <c r="V43" s="182">
        <f t="shared" ref="V43:V44" si="61">V39</f>
        <v>80</v>
      </c>
      <c r="W43" s="89"/>
      <c r="X43" s="89"/>
      <c r="Y43" s="91">
        <f t="shared" ref="Y43:Y44" si="62">+Y39</f>
        <v>90</v>
      </c>
      <c r="Z43" s="89"/>
      <c r="AA43" s="89"/>
      <c r="AB43" s="89"/>
      <c r="AC43" s="89"/>
      <c r="AD43" s="89"/>
      <c r="AE43" s="91">
        <f t="shared" ref="AE43:AE44" si="63">+AE39</f>
        <v>100</v>
      </c>
      <c r="AF43" s="89"/>
      <c r="AG43" s="89"/>
      <c r="AH43" s="89"/>
      <c r="AI43" s="46"/>
      <c r="AJ43" s="183">
        <f t="shared" ref="AJ43:AK43" si="64">AJ39+AJ41</f>
        <v>72.5</v>
      </c>
      <c r="AK43" s="184">
        <f t="shared" si="64"/>
        <v>73.5</v>
      </c>
      <c r="AL43" s="138">
        <f t="shared" ref="AL43:AL44" si="65">AL39</f>
        <v>74</v>
      </c>
      <c r="AM43" s="42"/>
      <c r="AN43" s="76">
        <f t="shared" ref="AN43:AN46" si="66">AL43/V43</f>
        <v>0.92500000000000004</v>
      </c>
      <c r="AO43" s="126">
        <v>0.74</v>
      </c>
      <c r="AP43" s="604"/>
      <c r="AQ43" s="546"/>
      <c r="AR43" s="515"/>
      <c r="AS43" s="515"/>
      <c r="AT43" s="575"/>
      <c r="AU43" s="70"/>
      <c r="AV43" s="70"/>
      <c r="AW43" s="70"/>
      <c r="AX43" s="70"/>
    </row>
    <row r="44" spans="1:50" ht="46.5" customHeight="1" x14ac:dyDescent="0.25">
      <c r="A44" s="547"/>
      <c r="B44" s="547"/>
      <c r="C44" s="547"/>
      <c r="D44" s="547"/>
      <c r="E44" s="547"/>
      <c r="F44" s="642"/>
      <c r="G44" s="142" t="s">
        <v>196</v>
      </c>
      <c r="H44" s="144">
        <f>+H40+H42</f>
        <v>594586319</v>
      </c>
      <c r="I44" s="110">
        <f t="shared" ref="I44:K44" si="67">+I40</f>
        <v>60608658</v>
      </c>
      <c r="J44" s="110">
        <f t="shared" si="67"/>
        <v>60608658</v>
      </c>
      <c r="K44" s="110">
        <f t="shared" si="67"/>
        <v>60608658</v>
      </c>
      <c r="L44" s="110">
        <v>44335011</v>
      </c>
      <c r="M44" s="110">
        <f t="shared" ref="M44:R44" si="68">+M40+M42</f>
        <v>214704074</v>
      </c>
      <c r="N44" s="110">
        <f t="shared" si="68"/>
        <v>214704074</v>
      </c>
      <c r="O44" s="110">
        <f t="shared" si="68"/>
        <v>214704074</v>
      </c>
      <c r="P44" s="110">
        <f t="shared" si="68"/>
        <v>214704074</v>
      </c>
      <c r="Q44" s="110">
        <f t="shared" si="68"/>
        <v>117343141</v>
      </c>
      <c r="R44" s="110">
        <f t="shared" si="68"/>
        <v>105929008</v>
      </c>
      <c r="S44" s="110">
        <f t="shared" ref="S44:T44" si="69">+S40</f>
        <v>134322300</v>
      </c>
      <c r="T44" s="110">
        <f t="shared" si="69"/>
        <v>134322300</v>
      </c>
      <c r="U44" s="110">
        <v>134322300</v>
      </c>
      <c r="V44" s="185">
        <f t="shared" si="61"/>
        <v>134322300</v>
      </c>
      <c r="W44" s="111"/>
      <c r="X44" s="111"/>
      <c r="Y44" s="110">
        <f t="shared" si="62"/>
        <v>150000000</v>
      </c>
      <c r="Z44" s="111"/>
      <c r="AA44" s="111"/>
      <c r="AB44" s="111"/>
      <c r="AC44" s="111"/>
      <c r="AD44" s="111"/>
      <c r="AE44" s="110">
        <f t="shared" si="63"/>
        <v>160000000</v>
      </c>
      <c r="AF44" s="111"/>
      <c r="AG44" s="111"/>
      <c r="AH44" s="111"/>
      <c r="AI44" s="111"/>
      <c r="AJ44" s="111">
        <f t="shared" ref="AJ44:AK44" si="70">AJ40+AJ42</f>
        <v>114448000</v>
      </c>
      <c r="AK44" s="111">
        <f t="shared" si="70"/>
        <v>114448000</v>
      </c>
      <c r="AL44" s="185">
        <f t="shared" si="65"/>
        <v>114448000</v>
      </c>
      <c r="AM44" s="110"/>
      <c r="AN44" s="76">
        <f t="shared" si="66"/>
        <v>0.85204020479101383</v>
      </c>
      <c r="AO44" s="112">
        <f t="shared" ref="AO44:AO46" si="71">(L44+R44+AL44)/H44</f>
        <v>0.44520368286509465</v>
      </c>
      <c r="AP44" s="605"/>
      <c r="AQ44" s="580"/>
      <c r="AR44" s="566"/>
      <c r="AS44" s="566"/>
      <c r="AT44" s="593"/>
      <c r="AU44" s="105"/>
      <c r="AV44" s="105"/>
      <c r="AW44" s="105"/>
      <c r="AX44" s="105"/>
    </row>
    <row r="45" spans="1:50" ht="46.5" customHeight="1" x14ac:dyDescent="0.25">
      <c r="A45" s="545" t="s">
        <v>361</v>
      </c>
      <c r="B45" s="548">
        <v>7</v>
      </c>
      <c r="C45" s="545" t="s">
        <v>362</v>
      </c>
      <c r="D45" s="545" t="s">
        <v>110</v>
      </c>
      <c r="E45" s="545">
        <v>520</v>
      </c>
      <c r="F45" s="642"/>
      <c r="G45" s="113" t="s">
        <v>119</v>
      </c>
      <c r="H45" s="166">
        <f>+L45+R45+S49+Y45+AE45</f>
        <v>15000</v>
      </c>
      <c r="I45" s="159">
        <v>500</v>
      </c>
      <c r="J45" s="159">
        <v>500</v>
      </c>
      <c r="K45" s="159">
        <v>1028</v>
      </c>
      <c r="L45" s="159">
        <v>1028</v>
      </c>
      <c r="M45" s="159">
        <v>2250</v>
      </c>
      <c r="N45" s="159">
        <v>2250</v>
      </c>
      <c r="O45" s="159">
        <v>2250</v>
      </c>
      <c r="P45" s="159">
        <v>2250</v>
      </c>
      <c r="Q45" s="159">
        <f>2427+200</f>
        <v>2627</v>
      </c>
      <c r="R45" s="159">
        <v>2427</v>
      </c>
      <c r="S45" s="159">
        <v>4500</v>
      </c>
      <c r="T45" s="159">
        <f>+S45</f>
        <v>4500</v>
      </c>
      <c r="U45" s="159">
        <v>4500</v>
      </c>
      <c r="V45" s="277">
        <v>4500</v>
      </c>
      <c r="W45" s="160"/>
      <c r="X45" s="62"/>
      <c r="Y45" s="159">
        <f>4972-177-200</f>
        <v>4595</v>
      </c>
      <c r="Z45" s="160"/>
      <c r="AA45" s="160"/>
      <c r="AB45" s="160"/>
      <c r="AC45" s="160"/>
      <c r="AD45" s="62"/>
      <c r="AE45" s="159">
        <v>2250</v>
      </c>
      <c r="AF45" s="160"/>
      <c r="AG45" s="160"/>
      <c r="AH45" s="160"/>
      <c r="AI45" s="62"/>
      <c r="AJ45" s="121">
        <v>395.24099999999999</v>
      </c>
      <c r="AK45" s="121">
        <v>980.42</v>
      </c>
      <c r="AL45" s="284">
        <f>AL49-AL47</f>
        <v>2430.8999999999996</v>
      </c>
      <c r="AM45" s="186"/>
      <c r="AN45" s="76">
        <f t="shared" si="66"/>
        <v>0.5401999999999999</v>
      </c>
      <c r="AO45" s="68">
        <f t="shared" si="71"/>
        <v>0.39239333333333332</v>
      </c>
      <c r="AP45" s="637" t="s">
        <v>366</v>
      </c>
      <c r="AQ45" s="636" t="s">
        <v>368</v>
      </c>
      <c r="AR45" s="594" t="s">
        <v>267</v>
      </c>
      <c r="AS45" s="594" t="s">
        <v>269</v>
      </c>
      <c r="AT45" s="594" t="s">
        <v>270</v>
      </c>
      <c r="AU45" s="70"/>
      <c r="AV45" s="70"/>
      <c r="AW45" s="70"/>
      <c r="AX45" s="70"/>
    </row>
    <row r="46" spans="1:50" ht="46.5" customHeight="1" x14ac:dyDescent="0.25">
      <c r="A46" s="546"/>
      <c r="B46" s="546"/>
      <c r="C46" s="546"/>
      <c r="D46" s="546"/>
      <c r="E46" s="546"/>
      <c r="F46" s="642"/>
      <c r="G46" s="124" t="s">
        <v>153</v>
      </c>
      <c r="H46" s="125">
        <f>+L46+R46+S46+Y46+AE46</f>
        <v>2428074336</v>
      </c>
      <c r="I46" s="74">
        <v>291959815</v>
      </c>
      <c r="J46" s="74">
        <v>291959815</v>
      </c>
      <c r="K46" s="74">
        <v>291959815</v>
      </c>
      <c r="L46" s="74">
        <v>203012548</v>
      </c>
      <c r="M46" s="74">
        <v>605318000</v>
      </c>
      <c r="N46" s="74">
        <v>605318000</v>
      </c>
      <c r="O46" s="74">
        <v>605318000</v>
      </c>
      <c r="P46" s="74">
        <v>605318000</v>
      </c>
      <c r="Q46" s="74">
        <v>804524633</v>
      </c>
      <c r="R46" s="74">
        <v>801616488</v>
      </c>
      <c r="S46" s="74">
        <v>463445300</v>
      </c>
      <c r="T46" s="74">
        <v>463445300</v>
      </c>
      <c r="U46" s="74">
        <v>463445300</v>
      </c>
      <c r="V46" s="279">
        <v>463445300</v>
      </c>
      <c r="W46" s="75"/>
      <c r="X46" s="75"/>
      <c r="Y46" s="74">
        <v>640000000</v>
      </c>
      <c r="Z46" s="75"/>
      <c r="AA46" s="75"/>
      <c r="AB46" s="75"/>
      <c r="AC46" s="75"/>
      <c r="AD46" s="75"/>
      <c r="AE46" s="74">
        <v>320000000</v>
      </c>
      <c r="AF46" s="75"/>
      <c r="AG46" s="75"/>
      <c r="AH46" s="75"/>
      <c r="AI46" s="75"/>
      <c r="AJ46" s="74">
        <v>232491812</v>
      </c>
      <c r="AK46" s="74">
        <v>262263624</v>
      </c>
      <c r="AL46" s="279">
        <v>319062624</v>
      </c>
      <c r="AM46" s="74"/>
      <c r="AN46" s="76">
        <f t="shared" si="66"/>
        <v>0.68845799925039697</v>
      </c>
      <c r="AO46" s="126">
        <f t="shared" si="71"/>
        <v>0.54516109345344199</v>
      </c>
      <c r="AP46" s="588"/>
      <c r="AQ46" s="546"/>
      <c r="AR46" s="515"/>
      <c r="AS46" s="515"/>
      <c r="AT46" s="515"/>
      <c r="AU46" s="105"/>
      <c r="AV46" s="105"/>
      <c r="AW46" s="105"/>
      <c r="AX46" s="105"/>
    </row>
    <row r="47" spans="1:50" ht="46.5" customHeight="1" x14ac:dyDescent="0.25">
      <c r="A47" s="546"/>
      <c r="B47" s="546"/>
      <c r="C47" s="546"/>
      <c r="D47" s="546"/>
      <c r="E47" s="546"/>
      <c r="F47" s="642"/>
      <c r="G47" s="127" t="s">
        <v>160</v>
      </c>
      <c r="H47" s="161"/>
      <c r="I47" s="82"/>
      <c r="J47" s="82"/>
      <c r="K47" s="82"/>
      <c r="L47" s="82"/>
      <c r="M47" s="83"/>
      <c r="N47" s="83"/>
      <c r="O47" s="82"/>
      <c r="P47" s="82"/>
      <c r="Q47" s="82"/>
      <c r="R47" s="83"/>
      <c r="S47" s="91">
        <v>200</v>
      </c>
      <c r="T47" s="89">
        <f>+S47</f>
        <v>200</v>
      </c>
      <c r="U47" s="91">
        <v>200</v>
      </c>
      <c r="V47" s="322">
        <v>200</v>
      </c>
      <c r="W47" s="89"/>
      <c r="X47" s="46"/>
      <c r="Y47" s="355"/>
      <c r="Z47" s="356"/>
      <c r="AA47" s="356"/>
      <c r="AB47" s="356"/>
      <c r="AC47" s="356"/>
      <c r="AD47" s="357"/>
      <c r="AE47" s="362"/>
      <c r="AF47" s="89"/>
      <c r="AG47" s="89"/>
      <c r="AH47" s="89"/>
      <c r="AI47" s="46"/>
      <c r="AJ47" s="118">
        <v>47.381900000000002</v>
      </c>
      <c r="AK47" s="118">
        <v>47.381900000000002</v>
      </c>
      <c r="AL47" s="307">
        <v>200</v>
      </c>
      <c r="AM47" s="47"/>
      <c r="AN47" s="95"/>
      <c r="AO47" s="96"/>
      <c r="AP47" s="588"/>
      <c r="AQ47" s="546"/>
      <c r="AR47" s="515"/>
      <c r="AS47" s="515"/>
      <c r="AT47" s="515"/>
      <c r="AU47" s="70"/>
      <c r="AV47" s="70"/>
      <c r="AW47" s="70"/>
      <c r="AX47" s="70"/>
    </row>
    <row r="48" spans="1:50" ht="46.5" customHeight="1" x14ac:dyDescent="0.25">
      <c r="A48" s="546"/>
      <c r="B48" s="546"/>
      <c r="C48" s="546"/>
      <c r="D48" s="546"/>
      <c r="E48" s="546"/>
      <c r="F48" s="642"/>
      <c r="G48" s="124" t="s">
        <v>180</v>
      </c>
      <c r="H48" s="125">
        <f>L48+R48+S48+Y48+AE48</f>
        <v>681619704</v>
      </c>
      <c r="I48" s="99"/>
      <c r="J48" s="99"/>
      <c r="K48" s="99"/>
      <c r="L48" s="99"/>
      <c r="M48" s="74">
        <v>105773637</v>
      </c>
      <c r="N48" s="74">
        <v>105773637</v>
      </c>
      <c r="O48" s="74">
        <v>105773637</v>
      </c>
      <c r="P48" s="74">
        <v>105773637</v>
      </c>
      <c r="Q48" s="74">
        <v>105773637</v>
      </c>
      <c r="R48" s="74">
        <v>105773637</v>
      </c>
      <c r="S48" s="74">
        <v>575846067</v>
      </c>
      <c r="T48" s="74">
        <v>579357845</v>
      </c>
      <c r="U48" s="74">
        <v>579357845</v>
      </c>
      <c r="V48" s="279">
        <v>579357845</v>
      </c>
      <c r="W48" s="75"/>
      <c r="X48" s="75"/>
      <c r="Y48" s="363"/>
      <c r="Z48" s="364"/>
      <c r="AA48" s="364"/>
      <c r="AB48" s="364"/>
      <c r="AC48" s="364"/>
      <c r="AD48" s="364"/>
      <c r="AE48" s="365"/>
      <c r="AF48" s="75"/>
      <c r="AG48" s="75"/>
      <c r="AH48" s="75"/>
      <c r="AI48" s="75"/>
      <c r="AJ48" s="74">
        <v>136416027</v>
      </c>
      <c r="AK48" s="74">
        <v>150569377</v>
      </c>
      <c r="AL48" s="279">
        <v>389053045</v>
      </c>
      <c r="AM48" s="103"/>
      <c r="AN48" s="76">
        <f t="shared" ref="AN48:AN52" si="72">AL48/V48</f>
        <v>0.67152459979203349</v>
      </c>
      <c r="AO48" s="96"/>
      <c r="AP48" s="588"/>
      <c r="AQ48" s="546"/>
      <c r="AR48" s="515"/>
      <c r="AS48" s="515"/>
      <c r="AT48" s="515"/>
      <c r="AU48" s="105"/>
      <c r="AV48" s="105"/>
      <c r="AW48" s="105"/>
      <c r="AX48" s="105"/>
    </row>
    <row r="49" spans="1:50" ht="46.5" customHeight="1" x14ac:dyDescent="0.25">
      <c r="A49" s="546"/>
      <c r="B49" s="546"/>
      <c r="C49" s="546"/>
      <c r="D49" s="546"/>
      <c r="E49" s="546"/>
      <c r="F49" s="642"/>
      <c r="G49" s="127" t="s">
        <v>191</v>
      </c>
      <c r="H49" s="169">
        <f t="shared" ref="H49:K49" si="73">+H45</f>
        <v>15000</v>
      </c>
      <c r="I49" s="187">
        <f t="shared" si="73"/>
        <v>500</v>
      </c>
      <c r="J49" s="187">
        <f t="shared" si="73"/>
        <v>500</v>
      </c>
      <c r="K49" s="188">
        <f t="shared" si="73"/>
        <v>1028</v>
      </c>
      <c r="L49" s="188">
        <v>1028</v>
      </c>
      <c r="M49" s="188">
        <f t="shared" ref="M49:P49" si="74">+M45</f>
        <v>2250</v>
      </c>
      <c r="N49" s="188">
        <f t="shared" si="74"/>
        <v>2250</v>
      </c>
      <c r="O49" s="188">
        <f t="shared" si="74"/>
        <v>2250</v>
      </c>
      <c r="P49" s="188">
        <f t="shared" si="74"/>
        <v>2250</v>
      </c>
      <c r="Q49" s="188">
        <f>Q45</f>
        <v>2627</v>
      </c>
      <c r="R49" s="91">
        <v>2427</v>
      </c>
      <c r="S49" s="91">
        <f>+S45+S47</f>
        <v>4700</v>
      </c>
      <c r="T49" s="91">
        <f>+T47+T45</f>
        <v>4700</v>
      </c>
      <c r="U49" s="91">
        <v>4700</v>
      </c>
      <c r="V49" s="276">
        <f>V45+V47</f>
        <v>4700</v>
      </c>
      <c r="W49" s="189"/>
      <c r="X49" s="189"/>
      <c r="Y49" s="91">
        <f t="shared" ref="Y49:Y50" si="75">+Y45</f>
        <v>4595</v>
      </c>
      <c r="Z49" s="89"/>
      <c r="AA49" s="189"/>
      <c r="AB49" s="189"/>
      <c r="AC49" s="189"/>
      <c r="AD49" s="189"/>
      <c r="AE49" s="91">
        <f t="shared" ref="AE49:AE50" si="76">+AE45</f>
        <v>2250</v>
      </c>
      <c r="AF49" s="89"/>
      <c r="AG49" s="89"/>
      <c r="AH49" s="89"/>
      <c r="AI49" s="46"/>
      <c r="AJ49" s="118">
        <f t="shared" ref="AJ49:AK49" si="77">AJ45+AJ47</f>
        <v>442.62289999999996</v>
      </c>
      <c r="AK49" s="118">
        <f t="shared" si="77"/>
        <v>1027.8018999999999</v>
      </c>
      <c r="AL49" s="284">
        <f>1027.8+1603.1</f>
        <v>2630.8999999999996</v>
      </c>
      <c r="AM49" s="42"/>
      <c r="AN49" s="76">
        <f t="shared" si="72"/>
        <v>0.55976595744680846</v>
      </c>
      <c r="AO49" s="126">
        <f t="shared" ref="AO49:AO52" si="78">(L49+R49+AL49)/H49</f>
        <v>0.40572666666666662</v>
      </c>
      <c r="AP49" s="588"/>
      <c r="AQ49" s="546"/>
      <c r="AR49" s="515"/>
      <c r="AS49" s="515"/>
      <c r="AT49" s="515"/>
      <c r="AU49" s="70"/>
      <c r="AV49" s="70"/>
      <c r="AW49" s="70"/>
      <c r="AX49" s="70"/>
    </row>
    <row r="50" spans="1:50" ht="46.5" customHeight="1" x14ac:dyDescent="0.25">
      <c r="A50" s="547"/>
      <c r="B50" s="547"/>
      <c r="C50" s="547"/>
      <c r="D50" s="547"/>
      <c r="E50" s="547"/>
      <c r="F50" s="642"/>
      <c r="G50" s="142" t="s">
        <v>196</v>
      </c>
      <c r="H50" s="144">
        <f>+H46+H48</f>
        <v>3109694040</v>
      </c>
      <c r="I50" s="110">
        <f t="shared" ref="I50:K50" si="79">+I46</f>
        <v>291959815</v>
      </c>
      <c r="J50" s="110">
        <f t="shared" si="79"/>
        <v>291959815</v>
      </c>
      <c r="K50" s="110">
        <f t="shared" si="79"/>
        <v>291959815</v>
      </c>
      <c r="L50" s="110">
        <v>203012548</v>
      </c>
      <c r="M50" s="110">
        <f t="shared" ref="M50:S50" si="80">+M46+M48</f>
        <v>711091637</v>
      </c>
      <c r="N50" s="110">
        <f t="shared" si="80"/>
        <v>711091637</v>
      </c>
      <c r="O50" s="110">
        <f t="shared" si="80"/>
        <v>711091637</v>
      </c>
      <c r="P50" s="110">
        <f t="shared" si="80"/>
        <v>711091637</v>
      </c>
      <c r="Q50" s="110">
        <f t="shared" si="80"/>
        <v>910298270</v>
      </c>
      <c r="R50" s="110">
        <f t="shared" si="80"/>
        <v>907390125</v>
      </c>
      <c r="S50" s="110">
        <f t="shared" si="80"/>
        <v>1039291367</v>
      </c>
      <c r="T50" s="110">
        <f>+T46</f>
        <v>463445300</v>
      </c>
      <c r="U50" s="110">
        <v>463445300</v>
      </c>
      <c r="V50" s="274">
        <f>V46+AL48</f>
        <v>852498345</v>
      </c>
      <c r="W50" s="111"/>
      <c r="X50" s="111"/>
      <c r="Y50" s="110">
        <f t="shared" si="75"/>
        <v>640000000</v>
      </c>
      <c r="Z50" s="111"/>
      <c r="AA50" s="111"/>
      <c r="AB50" s="111"/>
      <c r="AC50" s="111"/>
      <c r="AD50" s="111"/>
      <c r="AE50" s="110">
        <f t="shared" si="76"/>
        <v>320000000</v>
      </c>
      <c r="AF50" s="111"/>
      <c r="AG50" s="111"/>
      <c r="AH50" s="111"/>
      <c r="AI50" s="111"/>
      <c r="AJ50" s="110">
        <f t="shared" ref="AJ50:AL50" si="81">AJ46+AJ48</f>
        <v>368907839</v>
      </c>
      <c r="AK50" s="110">
        <f t="shared" si="81"/>
        <v>412833001</v>
      </c>
      <c r="AL50" s="111">
        <f t="shared" si="81"/>
        <v>708115669</v>
      </c>
      <c r="AM50" s="110"/>
      <c r="AN50" s="76">
        <f t="shared" si="72"/>
        <v>0.83063582838979</v>
      </c>
      <c r="AO50" s="112">
        <f t="shared" si="78"/>
        <v>0.58479011716535301</v>
      </c>
      <c r="AP50" s="591"/>
      <c r="AQ50" s="580"/>
      <c r="AR50" s="566"/>
      <c r="AS50" s="566"/>
      <c r="AT50" s="566"/>
      <c r="AU50" s="105"/>
      <c r="AV50" s="105"/>
      <c r="AW50" s="105"/>
      <c r="AX50" s="105"/>
    </row>
    <row r="51" spans="1:50" ht="46.5" customHeight="1" x14ac:dyDescent="0.25">
      <c r="A51" s="545" t="s">
        <v>157</v>
      </c>
      <c r="B51" s="548">
        <v>8</v>
      </c>
      <c r="C51" s="545" t="s">
        <v>108</v>
      </c>
      <c r="D51" s="545" t="s">
        <v>110</v>
      </c>
      <c r="E51" s="545">
        <v>469</v>
      </c>
      <c r="F51" s="642"/>
      <c r="G51" s="113" t="s">
        <v>119</v>
      </c>
      <c r="H51" s="166">
        <f t="shared" ref="H51:H52" si="82">+L51+R51+S51+Y51+AE51</f>
        <v>24999.66</v>
      </c>
      <c r="I51" s="159">
        <v>1000</v>
      </c>
      <c r="J51" s="159">
        <v>1000</v>
      </c>
      <c r="K51" s="159">
        <v>1390</v>
      </c>
      <c r="L51" s="159">
        <v>1390</v>
      </c>
      <c r="M51" s="159">
        <v>7000</v>
      </c>
      <c r="N51" s="159">
        <v>7000</v>
      </c>
      <c r="O51" s="159">
        <v>7000</v>
      </c>
      <c r="P51" s="159">
        <v>7000</v>
      </c>
      <c r="Q51" s="159">
        <v>7910.66</v>
      </c>
      <c r="R51" s="190">
        <v>7910.66</v>
      </c>
      <c r="S51" s="159">
        <f>7000-390</f>
        <v>6610</v>
      </c>
      <c r="T51" s="159">
        <f>+S51</f>
        <v>6610</v>
      </c>
      <c r="U51" s="159">
        <v>6610</v>
      </c>
      <c r="V51" s="277">
        <v>6610</v>
      </c>
      <c r="W51" s="160"/>
      <c r="X51" s="62"/>
      <c r="Y51" s="159">
        <v>6089</v>
      </c>
      <c r="Z51" s="160"/>
      <c r="AA51" s="160"/>
      <c r="AB51" s="160"/>
      <c r="AC51" s="160"/>
      <c r="AD51" s="62"/>
      <c r="AE51" s="159">
        <v>3000</v>
      </c>
      <c r="AF51" s="160"/>
      <c r="AG51" s="160"/>
      <c r="AH51" s="160"/>
      <c r="AI51" s="62"/>
      <c r="AJ51" s="121">
        <v>898.9</v>
      </c>
      <c r="AK51" s="191">
        <f>1168.43+635.56+AJ51</f>
        <v>2702.89</v>
      </c>
      <c r="AL51" s="333">
        <f>AK51+1179.55+954.07</f>
        <v>4836.5099999999993</v>
      </c>
      <c r="AM51" s="190"/>
      <c r="AN51" s="76">
        <f t="shared" si="72"/>
        <v>0.73169591527987887</v>
      </c>
      <c r="AO51" s="68">
        <f t="shared" si="78"/>
        <v>0.56549449072507374</v>
      </c>
      <c r="AP51" s="638" t="s">
        <v>547</v>
      </c>
      <c r="AQ51" s="579" t="s">
        <v>101</v>
      </c>
      <c r="AR51" s="577" t="s">
        <v>104</v>
      </c>
      <c r="AS51" s="632" t="s">
        <v>374</v>
      </c>
      <c r="AT51" s="598" t="s">
        <v>270</v>
      </c>
      <c r="AU51" s="70"/>
      <c r="AV51" s="70"/>
      <c r="AW51" s="70"/>
      <c r="AX51" s="70"/>
    </row>
    <row r="52" spans="1:50" ht="46.5" customHeight="1" x14ac:dyDescent="0.25">
      <c r="A52" s="546"/>
      <c r="B52" s="546"/>
      <c r="C52" s="546"/>
      <c r="D52" s="546"/>
      <c r="E52" s="546"/>
      <c r="F52" s="642"/>
      <c r="G52" s="124" t="s">
        <v>153</v>
      </c>
      <c r="H52" s="125">
        <f t="shared" si="82"/>
        <v>1670205048</v>
      </c>
      <c r="I52" s="74">
        <v>289673103</v>
      </c>
      <c r="J52" s="74">
        <v>289673103</v>
      </c>
      <c r="K52" s="75">
        <v>289673103</v>
      </c>
      <c r="L52" s="74">
        <v>286086231</v>
      </c>
      <c r="M52" s="74">
        <v>353881000</v>
      </c>
      <c r="N52" s="74">
        <v>353881000</v>
      </c>
      <c r="O52" s="74">
        <v>353881000</v>
      </c>
      <c r="P52" s="74">
        <v>353881000</v>
      </c>
      <c r="Q52" s="74">
        <v>364740267</v>
      </c>
      <c r="R52" s="74">
        <v>354644867</v>
      </c>
      <c r="S52" s="74">
        <v>486128950</v>
      </c>
      <c r="T52" s="74">
        <v>486128950</v>
      </c>
      <c r="U52" s="74">
        <v>456409950</v>
      </c>
      <c r="V52" s="279">
        <f>120000000+336409950</f>
        <v>456409950</v>
      </c>
      <c r="W52" s="75"/>
      <c r="X52" s="75"/>
      <c r="Y52" s="74">
        <v>320000000</v>
      </c>
      <c r="Z52" s="75"/>
      <c r="AA52" s="75"/>
      <c r="AB52" s="75"/>
      <c r="AC52" s="75"/>
      <c r="AD52" s="75"/>
      <c r="AE52" s="74">
        <v>223345000</v>
      </c>
      <c r="AF52" s="75"/>
      <c r="AG52" s="75"/>
      <c r="AH52" s="75"/>
      <c r="AI52" s="75"/>
      <c r="AJ52" s="74">
        <v>238556812</v>
      </c>
      <c r="AK52" s="103">
        <f>311619000+17166000</f>
        <v>328785000</v>
      </c>
      <c r="AL52" s="280">
        <v>436345000</v>
      </c>
      <c r="AM52" s="74"/>
      <c r="AN52" s="76">
        <f t="shared" si="72"/>
        <v>0.95603743958693277</v>
      </c>
      <c r="AO52" s="126">
        <f t="shared" si="78"/>
        <v>0.64487656727522957</v>
      </c>
      <c r="AP52" s="639"/>
      <c r="AQ52" s="546"/>
      <c r="AR52" s="515"/>
      <c r="AS52" s="515"/>
      <c r="AT52" s="575"/>
      <c r="AU52" s="105"/>
      <c r="AV52" s="105"/>
      <c r="AW52" s="105"/>
      <c r="AX52" s="105"/>
    </row>
    <row r="53" spans="1:50" ht="46.5" customHeight="1" x14ac:dyDescent="0.25">
      <c r="A53" s="546"/>
      <c r="B53" s="546"/>
      <c r="C53" s="546"/>
      <c r="D53" s="546"/>
      <c r="E53" s="546"/>
      <c r="F53" s="642"/>
      <c r="G53" s="127" t="s">
        <v>160</v>
      </c>
      <c r="H53" s="161"/>
      <c r="I53" s="82"/>
      <c r="J53" s="82"/>
      <c r="K53" s="82"/>
      <c r="L53" s="82"/>
      <c r="M53" s="83"/>
      <c r="N53" s="83"/>
      <c r="O53" s="82"/>
      <c r="P53" s="82"/>
      <c r="Q53" s="82"/>
      <c r="R53" s="192">
        <v>0</v>
      </c>
      <c r="S53" s="83">
        <v>0</v>
      </c>
      <c r="T53" s="193">
        <v>0</v>
      </c>
      <c r="U53" s="193">
        <v>0</v>
      </c>
      <c r="V53" s="193">
        <v>0</v>
      </c>
      <c r="W53" s="89"/>
      <c r="X53" s="46"/>
      <c r="Y53" s="193"/>
      <c r="Z53" s="89"/>
      <c r="AA53" s="89"/>
      <c r="AB53" s="89"/>
      <c r="AC53" s="89"/>
      <c r="AD53" s="46"/>
      <c r="AE53" s="194"/>
      <c r="AF53" s="89"/>
      <c r="AG53" s="89"/>
      <c r="AH53" s="89"/>
      <c r="AI53" s="46"/>
      <c r="AJ53" s="129">
        <v>0</v>
      </c>
      <c r="AK53" s="129">
        <v>0</v>
      </c>
      <c r="AL53" s="129">
        <v>0</v>
      </c>
      <c r="AM53" s="42"/>
      <c r="AN53" s="95"/>
      <c r="AO53" s="96"/>
      <c r="AP53" s="639"/>
      <c r="AQ53" s="546"/>
      <c r="AR53" s="515"/>
      <c r="AS53" s="515"/>
      <c r="AT53" s="575"/>
      <c r="AU53" s="70"/>
      <c r="AV53" s="70"/>
      <c r="AW53" s="70"/>
      <c r="AX53" s="70"/>
    </row>
    <row r="54" spans="1:50" ht="46.5" customHeight="1" x14ac:dyDescent="0.25">
      <c r="A54" s="546"/>
      <c r="B54" s="546"/>
      <c r="C54" s="546"/>
      <c r="D54" s="546"/>
      <c r="E54" s="546"/>
      <c r="F54" s="642"/>
      <c r="G54" s="124" t="s">
        <v>180</v>
      </c>
      <c r="H54" s="125">
        <f>R54+S54+Y54+AE54</f>
        <v>262903006</v>
      </c>
      <c r="I54" s="99"/>
      <c r="J54" s="99"/>
      <c r="K54" s="99"/>
      <c r="L54" s="99"/>
      <c r="M54" s="74">
        <v>179241931</v>
      </c>
      <c r="N54" s="74">
        <v>179241931</v>
      </c>
      <c r="O54" s="74">
        <v>179241931</v>
      </c>
      <c r="P54" s="74">
        <v>179241931</v>
      </c>
      <c r="Q54" s="74">
        <v>179241931</v>
      </c>
      <c r="R54" s="74">
        <v>179199239</v>
      </c>
      <c r="S54" s="74">
        <v>83703767</v>
      </c>
      <c r="T54" s="74">
        <v>83703767</v>
      </c>
      <c r="U54" s="74">
        <f t="shared" ref="U54:V54" si="83">30542133+1275500+51205867</f>
        <v>83023500</v>
      </c>
      <c r="V54" s="279">
        <f t="shared" si="83"/>
        <v>83023500</v>
      </c>
      <c r="W54" s="75"/>
      <c r="X54" s="75"/>
      <c r="Y54" s="363"/>
      <c r="Z54" s="364"/>
      <c r="AA54" s="364"/>
      <c r="AB54" s="364"/>
      <c r="AC54" s="364"/>
      <c r="AD54" s="364"/>
      <c r="AE54" s="365"/>
      <c r="AF54" s="75"/>
      <c r="AG54" s="75"/>
      <c r="AH54" s="75"/>
      <c r="AI54" s="75"/>
      <c r="AJ54" s="74">
        <v>42165774</v>
      </c>
      <c r="AK54" s="74">
        <f>51205867+1275500+21610000</f>
        <v>74091367</v>
      </c>
      <c r="AL54" s="279">
        <v>76828634</v>
      </c>
      <c r="AM54" s="74"/>
      <c r="AN54" s="76">
        <f t="shared" ref="AN54:AN58" si="84">AL54/V54</f>
        <v>0.92538418640505404</v>
      </c>
      <c r="AO54" s="96"/>
      <c r="AP54" s="639"/>
      <c r="AQ54" s="546"/>
      <c r="AR54" s="515"/>
      <c r="AS54" s="515"/>
      <c r="AT54" s="575"/>
      <c r="AU54" s="105"/>
      <c r="AV54" s="105"/>
      <c r="AW54" s="105"/>
      <c r="AX54" s="105"/>
    </row>
    <row r="55" spans="1:50" ht="46.5" customHeight="1" x14ac:dyDescent="0.25">
      <c r="A55" s="546"/>
      <c r="B55" s="546"/>
      <c r="C55" s="546"/>
      <c r="D55" s="546"/>
      <c r="E55" s="546"/>
      <c r="F55" s="642"/>
      <c r="G55" s="127" t="s">
        <v>191</v>
      </c>
      <c r="H55" s="133">
        <f t="shared" ref="H55:K55" si="85">H51</f>
        <v>24999.66</v>
      </c>
      <c r="I55" s="106">
        <f t="shared" si="85"/>
        <v>1000</v>
      </c>
      <c r="J55" s="106">
        <f t="shared" si="85"/>
        <v>1000</v>
      </c>
      <c r="K55" s="106">
        <f t="shared" si="85"/>
        <v>1390</v>
      </c>
      <c r="L55" s="106">
        <v>1390</v>
      </c>
      <c r="M55" s="91">
        <f t="shared" ref="M55:P55" si="86">+M51</f>
        <v>7000</v>
      </c>
      <c r="N55" s="91">
        <f t="shared" si="86"/>
        <v>7000</v>
      </c>
      <c r="O55" s="91">
        <f t="shared" si="86"/>
        <v>7000</v>
      </c>
      <c r="P55" s="91">
        <f t="shared" si="86"/>
        <v>7000</v>
      </c>
      <c r="Q55" s="53">
        <v>7000</v>
      </c>
      <c r="R55" s="53">
        <f>R51</f>
        <v>7910.66</v>
      </c>
      <c r="S55" s="91">
        <v>6610</v>
      </c>
      <c r="T55" s="91">
        <f t="shared" ref="T55:T56" si="87">+T51+T53</f>
        <v>6610</v>
      </c>
      <c r="U55" s="91">
        <v>6610</v>
      </c>
      <c r="V55" s="91">
        <f t="shared" ref="V55:V56" si="88">V51+V53</f>
        <v>6610</v>
      </c>
      <c r="W55" s="89"/>
      <c r="X55" s="46"/>
      <c r="Y55" s="91">
        <f t="shared" ref="Y55:Y56" si="89">Y51</f>
        <v>6089</v>
      </c>
      <c r="Z55" s="89"/>
      <c r="AA55" s="89"/>
      <c r="AB55" s="89"/>
      <c r="AC55" s="89"/>
      <c r="AD55" s="46"/>
      <c r="AE55" s="91">
        <v>3000</v>
      </c>
      <c r="AF55" s="89"/>
      <c r="AG55" s="89"/>
      <c r="AH55" s="89"/>
      <c r="AI55" s="46"/>
      <c r="AJ55" s="123">
        <f t="shared" ref="AJ55:AL55" si="90">AJ51+AJ53</f>
        <v>898.9</v>
      </c>
      <c r="AK55" s="123">
        <f t="shared" si="90"/>
        <v>2702.89</v>
      </c>
      <c r="AL55" s="123">
        <f t="shared" si="90"/>
        <v>4836.5099999999993</v>
      </c>
      <c r="AM55" s="53"/>
      <c r="AN55" s="76">
        <f t="shared" si="84"/>
        <v>0.73169591527987887</v>
      </c>
      <c r="AO55" s="126">
        <f t="shared" ref="AO55:AO58" si="91">(L55+R55+AL55)/H55</f>
        <v>0.56549449072507374</v>
      </c>
      <c r="AP55" s="639"/>
      <c r="AQ55" s="546"/>
      <c r="AR55" s="515"/>
      <c r="AS55" s="515"/>
      <c r="AT55" s="575"/>
      <c r="AU55" s="70"/>
      <c r="AV55" s="70"/>
      <c r="AW55" s="70"/>
      <c r="AX55" s="70"/>
    </row>
    <row r="56" spans="1:50" ht="46.5" customHeight="1" x14ac:dyDescent="0.25">
      <c r="A56" s="546"/>
      <c r="B56" s="547"/>
      <c r="C56" s="547"/>
      <c r="D56" s="547"/>
      <c r="E56" s="547"/>
      <c r="F56" s="642"/>
      <c r="G56" s="142" t="s">
        <v>196</v>
      </c>
      <c r="H56" s="144">
        <f>H52+H54</f>
        <v>1933108054</v>
      </c>
      <c r="I56" s="110">
        <f t="shared" ref="I56:K56" si="92">I52</f>
        <v>289673103</v>
      </c>
      <c r="J56" s="110">
        <f t="shared" si="92"/>
        <v>289673103</v>
      </c>
      <c r="K56" s="110">
        <f t="shared" si="92"/>
        <v>289673103</v>
      </c>
      <c r="L56" s="110">
        <v>286086231</v>
      </c>
      <c r="M56" s="110">
        <f t="shared" ref="M56:R56" si="93">+M52+M54</f>
        <v>533122931</v>
      </c>
      <c r="N56" s="110">
        <f t="shared" si="93"/>
        <v>533122931</v>
      </c>
      <c r="O56" s="110">
        <f t="shared" si="93"/>
        <v>533122931</v>
      </c>
      <c r="P56" s="110">
        <f t="shared" si="93"/>
        <v>533122931</v>
      </c>
      <c r="Q56" s="110">
        <f t="shared" si="93"/>
        <v>543982198</v>
      </c>
      <c r="R56" s="110">
        <f t="shared" si="93"/>
        <v>533844106</v>
      </c>
      <c r="S56" s="110">
        <f>S52+S54</f>
        <v>569832717</v>
      </c>
      <c r="T56" s="110">
        <f t="shared" si="87"/>
        <v>569832717</v>
      </c>
      <c r="U56" s="110">
        <v>540113717</v>
      </c>
      <c r="V56" s="110">
        <f t="shared" si="88"/>
        <v>539433450</v>
      </c>
      <c r="W56" s="111"/>
      <c r="X56" s="111"/>
      <c r="Y56" s="110">
        <f t="shared" si="89"/>
        <v>320000000</v>
      </c>
      <c r="Z56" s="111"/>
      <c r="AA56" s="111"/>
      <c r="AB56" s="111"/>
      <c r="AC56" s="111"/>
      <c r="AD56" s="111"/>
      <c r="AE56" s="110">
        <f>AE52</f>
        <v>223345000</v>
      </c>
      <c r="AF56" s="111"/>
      <c r="AG56" s="111"/>
      <c r="AH56" s="111"/>
      <c r="AI56" s="111"/>
      <c r="AJ56" s="195">
        <f t="shared" ref="AJ56:AL56" si="94">AJ52+AJ54</f>
        <v>280722586</v>
      </c>
      <c r="AK56" s="195">
        <f t="shared" si="94"/>
        <v>402876367</v>
      </c>
      <c r="AL56" s="195">
        <f t="shared" si="94"/>
        <v>513173634</v>
      </c>
      <c r="AM56" s="110"/>
      <c r="AN56" s="76">
        <f t="shared" si="84"/>
        <v>0.95131963729724212</v>
      </c>
      <c r="AO56" s="112">
        <f t="shared" si="91"/>
        <v>0.68961689350035682</v>
      </c>
      <c r="AP56" s="640"/>
      <c r="AQ56" s="580"/>
      <c r="AR56" s="566"/>
      <c r="AS56" s="566"/>
      <c r="AT56" s="593"/>
      <c r="AU56" s="105"/>
      <c r="AV56" s="105"/>
      <c r="AW56" s="105"/>
      <c r="AX56" s="105"/>
    </row>
    <row r="57" spans="1:50" ht="46.5" customHeight="1" x14ac:dyDescent="0.25">
      <c r="A57" s="546"/>
      <c r="B57" s="545">
        <v>9</v>
      </c>
      <c r="C57" s="545" t="s">
        <v>178</v>
      </c>
      <c r="D57" s="545" t="s">
        <v>110</v>
      </c>
      <c r="E57" s="545">
        <v>469</v>
      </c>
      <c r="F57" s="642"/>
      <c r="G57" s="113" t="s">
        <v>119</v>
      </c>
      <c r="H57" s="166">
        <f t="shared" ref="H57:H58" si="95">+L57+R57+S57+Y57+AE57</f>
        <v>8000</v>
      </c>
      <c r="I57" s="57">
        <v>1000</v>
      </c>
      <c r="J57" s="57">
        <v>1000</v>
      </c>
      <c r="K57" s="57">
        <v>1000</v>
      </c>
      <c r="L57" s="57">
        <v>1059</v>
      </c>
      <c r="M57" s="159">
        <v>2000</v>
      </c>
      <c r="N57" s="159">
        <v>2000</v>
      </c>
      <c r="O57" s="159">
        <v>2000</v>
      </c>
      <c r="P57" s="159">
        <v>2000</v>
      </c>
      <c r="Q57" s="159">
        <v>2030</v>
      </c>
      <c r="R57" s="59">
        <v>2030</v>
      </c>
      <c r="S57" s="159">
        <f>2000-59</f>
        <v>1941</v>
      </c>
      <c r="T57" s="159">
        <f>+S57</f>
        <v>1941</v>
      </c>
      <c r="U57" s="159">
        <v>1941</v>
      </c>
      <c r="V57" s="277">
        <v>1941</v>
      </c>
      <c r="W57" s="160"/>
      <c r="X57" s="62"/>
      <c r="Y57" s="159">
        <f>2000-30</f>
        <v>1970</v>
      </c>
      <c r="Z57" s="160"/>
      <c r="AA57" s="160"/>
      <c r="AB57" s="160"/>
      <c r="AC57" s="160"/>
      <c r="AD57" s="62"/>
      <c r="AE57" s="159">
        <v>1000</v>
      </c>
      <c r="AF57" s="160"/>
      <c r="AG57" s="160"/>
      <c r="AH57" s="160"/>
      <c r="AI57" s="62"/>
      <c r="AJ57" s="59">
        <v>368</v>
      </c>
      <c r="AK57" s="159">
        <v>899</v>
      </c>
      <c r="AL57" s="277">
        <v>1218</v>
      </c>
      <c r="AM57" s="59"/>
      <c r="AN57" s="76">
        <f t="shared" si="84"/>
        <v>0.62751159196290573</v>
      </c>
      <c r="AO57" s="68">
        <f t="shared" si="91"/>
        <v>0.53837500000000005</v>
      </c>
      <c r="AP57" s="590" t="s">
        <v>545</v>
      </c>
      <c r="AQ57" s="579" t="s">
        <v>101</v>
      </c>
      <c r="AR57" s="577" t="s">
        <v>104</v>
      </c>
      <c r="AS57" s="617" t="s">
        <v>380</v>
      </c>
      <c r="AT57" s="592" t="s">
        <v>381</v>
      </c>
      <c r="AU57" s="196"/>
      <c r="AV57" s="196"/>
      <c r="AW57" s="196"/>
      <c r="AX57" s="196"/>
    </row>
    <row r="58" spans="1:50" ht="46.5" customHeight="1" x14ac:dyDescent="0.25">
      <c r="A58" s="546"/>
      <c r="B58" s="546"/>
      <c r="C58" s="546"/>
      <c r="D58" s="546"/>
      <c r="E58" s="546"/>
      <c r="F58" s="642"/>
      <c r="G58" s="124" t="s">
        <v>153</v>
      </c>
      <c r="H58" s="125">
        <f t="shared" si="95"/>
        <v>694269281</v>
      </c>
      <c r="I58" s="74">
        <v>92060463</v>
      </c>
      <c r="J58" s="74">
        <v>92060463</v>
      </c>
      <c r="K58" s="75">
        <v>92060463</v>
      </c>
      <c r="L58" s="74">
        <v>90363218</v>
      </c>
      <c r="M58" s="74">
        <v>169154000</v>
      </c>
      <c r="N58" s="74">
        <v>169154000</v>
      </c>
      <c r="O58" s="74">
        <v>169154000</v>
      </c>
      <c r="P58" s="74">
        <v>169154000</v>
      </c>
      <c r="Q58" s="74">
        <v>160793033</v>
      </c>
      <c r="R58" s="74">
        <v>160793033</v>
      </c>
      <c r="S58" s="74">
        <v>191581030</v>
      </c>
      <c r="T58" s="74">
        <v>191581030</v>
      </c>
      <c r="U58" s="74">
        <v>191581030</v>
      </c>
      <c r="V58" s="279">
        <v>191581030</v>
      </c>
      <c r="W58" s="75"/>
      <c r="X58" s="75"/>
      <c r="Y58" s="74">
        <v>144000000</v>
      </c>
      <c r="Z58" s="75"/>
      <c r="AA58" s="75"/>
      <c r="AB58" s="75"/>
      <c r="AC58" s="75"/>
      <c r="AD58" s="75"/>
      <c r="AE58" s="74">
        <v>107532000</v>
      </c>
      <c r="AF58" s="75"/>
      <c r="AG58" s="75"/>
      <c r="AH58" s="75"/>
      <c r="AI58" s="75"/>
      <c r="AJ58" s="74">
        <v>115478000</v>
      </c>
      <c r="AK58" s="74">
        <v>115478000</v>
      </c>
      <c r="AL58" s="279">
        <v>144263000</v>
      </c>
      <c r="AM58" s="74"/>
      <c r="AN58" s="76">
        <f t="shared" si="84"/>
        <v>0.75301296793320294</v>
      </c>
      <c r="AO58" s="126">
        <f t="shared" si="91"/>
        <v>0.5695473814287918</v>
      </c>
      <c r="AP58" s="588"/>
      <c r="AQ58" s="546"/>
      <c r="AR58" s="515"/>
      <c r="AS58" s="618"/>
      <c r="AT58" s="575"/>
      <c r="AU58" s="197"/>
      <c r="AV58" s="197"/>
      <c r="AW58" s="197"/>
      <c r="AX58" s="197"/>
    </row>
    <row r="59" spans="1:50" ht="46.5" customHeight="1" x14ac:dyDescent="0.25">
      <c r="A59" s="546"/>
      <c r="B59" s="546"/>
      <c r="C59" s="546"/>
      <c r="D59" s="546"/>
      <c r="E59" s="546"/>
      <c r="F59" s="642"/>
      <c r="G59" s="127" t="s">
        <v>160</v>
      </c>
      <c r="H59" s="167"/>
      <c r="I59" s="83"/>
      <c r="J59" s="83"/>
      <c r="K59" s="83"/>
      <c r="L59" s="83"/>
      <c r="M59" s="83"/>
      <c r="N59" s="83"/>
      <c r="O59" s="83"/>
      <c r="P59" s="83"/>
      <c r="Q59" s="83"/>
      <c r="R59" s="83"/>
      <c r="S59" s="83">
        <v>0</v>
      </c>
      <c r="T59" s="83">
        <v>0</v>
      </c>
      <c r="U59" s="83">
        <v>0</v>
      </c>
      <c r="V59" s="83">
        <v>0</v>
      </c>
      <c r="W59" s="89"/>
      <c r="X59" s="46"/>
      <c r="Y59" s="83"/>
      <c r="Z59" s="89"/>
      <c r="AA59" s="89"/>
      <c r="AB59" s="89"/>
      <c r="AC59" s="89"/>
      <c r="AD59" s="46"/>
      <c r="AE59" s="198"/>
      <c r="AF59" s="89"/>
      <c r="AG59" s="89"/>
      <c r="AH59" s="89"/>
      <c r="AI59" s="46"/>
      <c r="AJ59" s="82"/>
      <c r="AK59" s="82"/>
      <c r="AL59" s="82"/>
      <c r="AM59" s="42"/>
      <c r="AN59" s="95"/>
      <c r="AO59" s="96"/>
      <c r="AP59" s="588"/>
      <c r="AQ59" s="546"/>
      <c r="AR59" s="515"/>
      <c r="AS59" s="618"/>
      <c r="AT59" s="575"/>
      <c r="AU59" s="196"/>
      <c r="AV59" s="196"/>
      <c r="AW59" s="196"/>
      <c r="AX59" s="196"/>
    </row>
    <row r="60" spans="1:50" ht="46.5" customHeight="1" x14ac:dyDescent="0.25">
      <c r="A60" s="546"/>
      <c r="B60" s="546"/>
      <c r="C60" s="546"/>
      <c r="D60" s="546"/>
      <c r="E60" s="546"/>
      <c r="F60" s="642"/>
      <c r="G60" s="124" t="s">
        <v>180</v>
      </c>
      <c r="H60" s="125">
        <f>R60+S60+Y60+AE60</f>
        <v>68613399</v>
      </c>
      <c r="I60" s="99"/>
      <c r="J60" s="99"/>
      <c r="K60" s="99"/>
      <c r="L60" s="99"/>
      <c r="M60" s="74">
        <v>29964766</v>
      </c>
      <c r="N60" s="74">
        <v>29964766</v>
      </c>
      <c r="O60" s="74">
        <v>29964766</v>
      </c>
      <c r="P60" s="74">
        <v>29964766</v>
      </c>
      <c r="Q60" s="74">
        <v>29964766</v>
      </c>
      <c r="R60" s="74">
        <v>29964766</v>
      </c>
      <c r="S60" s="74">
        <v>38648633</v>
      </c>
      <c r="T60" s="75">
        <v>38648633</v>
      </c>
      <c r="U60" s="74">
        <v>38648633</v>
      </c>
      <c r="V60" s="279">
        <v>38648633</v>
      </c>
      <c r="W60" s="75"/>
      <c r="X60" s="75"/>
      <c r="Y60" s="363"/>
      <c r="Z60" s="364"/>
      <c r="AA60" s="364"/>
      <c r="AB60" s="364"/>
      <c r="AC60" s="364"/>
      <c r="AD60" s="364"/>
      <c r="AE60" s="365"/>
      <c r="AF60" s="75"/>
      <c r="AG60" s="75"/>
      <c r="AH60" s="75"/>
      <c r="AI60" s="75"/>
      <c r="AJ60" s="74">
        <v>25744333</v>
      </c>
      <c r="AK60" s="74">
        <v>35464633</v>
      </c>
      <c r="AL60" s="279">
        <v>38648633</v>
      </c>
      <c r="AM60" s="74"/>
      <c r="AN60" s="76">
        <f t="shared" ref="AN60:AN64" si="96">AL60/V60</f>
        <v>1</v>
      </c>
      <c r="AO60" s="96"/>
      <c r="AP60" s="588"/>
      <c r="AQ60" s="546"/>
      <c r="AR60" s="515"/>
      <c r="AS60" s="618"/>
      <c r="AT60" s="575"/>
      <c r="AU60" s="197"/>
      <c r="AV60" s="197"/>
      <c r="AW60" s="197"/>
      <c r="AX60" s="197"/>
    </row>
    <row r="61" spans="1:50" ht="46.5" customHeight="1" x14ac:dyDescent="0.25">
      <c r="A61" s="546"/>
      <c r="B61" s="546"/>
      <c r="C61" s="546"/>
      <c r="D61" s="546"/>
      <c r="E61" s="546"/>
      <c r="F61" s="642"/>
      <c r="G61" s="127" t="s">
        <v>191</v>
      </c>
      <c r="H61" s="133">
        <f>+H57</f>
        <v>8000</v>
      </c>
      <c r="I61" s="106">
        <f t="shared" ref="I61:K61" si="97">I57</f>
        <v>1000</v>
      </c>
      <c r="J61" s="106">
        <f t="shared" si="97"/>
        <v>1000</v>
      </c>
      <c r="K61" s="106">
        <f t="shared" si="97"/>
        <v>1000</v>
      </c>
      <c r="L61" s="106">
        <v>1059</v>
      </c>
      <c r="M61" s="106">
        <f t="shared" ref="M61:P61" si="98">+M57</f>
        <v>2000</v>
      </c>
      <c r="N61" s="106">
        <f t="shared" si="98"/>
        <v>2000</v>
      </c>
      <c r="O61" s="106">
        <f t="shared" si="98"/>
        <v>2000</v>
      </c>
      <c r="P61" s="106">
        <f t="shared" si="98"/>
        <v>2000</v>
      </c>
      <c r="Q61" s="106">
        <v>2000</v>
      </c>
      <c r="R61" s="106">
        <v>2030</v>
      </c>
      <c r="S61" s="106">
        <f>S57</f>
        <v>1941</v>
      </c>
      <c r="T61" s="106">
        <f t="shared" ref="T61:T62" si="99">+T57+T59</f>
        <v>1941</v>
      </c>
      <c r="U61" s="106">
        <v>1941</v>
      </c>
      <c r="V61" s="106">
        <f t="shared" ref="V61:V62" si="100">V57+V59</f>
        <v>1941</v>
      </c>
      <c r="W61" s="108"/>
      <c r="X61" s="108"/>
      <c r="Y61" s="106">
        <f t="shared" ref="Y61:Y62" si="101">Y57</f>
        <v>1970</v>
      </c>
      <c r="Z61" s="108"/>
      <c r="AA61" s="108"/>
      <c r="AB61" s="108"/>
      <c r="AC61" s="108"/>
      <c r="AD61" s="108"/>
      <c r="AE61" s="106">
        <f t="shared" ref="AE61:AE62" si="102">AE57</f>
        <v>1000</v>
      </c>
      <c r="AF61" s="108"/>
      <c r="AG61" s="89"/>
      <c r="AH61" s="89"/>
      <c r="AI61" s="46"/>
      <c r="AJ61" s="46">
        <f t="shared" ref="AJ61:AL61" si="103">AJ57+AJ59</f>
        <v>368</v>
      </c>
      <c r="AK61" s="89">
        <f t="shared" si="103"/>
        <v>899</v>
      </c>
      <c r="AL61" s="89">
        <f t="shared" si="103"/>
        <v>1218</v>
      </c>
      <c r="AM61" s="42"/>
      <c r="AN61" s="76">
        <f t="shared" si="96"/>
        <v>0.62751159196290573</v>
      </c>
      <c r="AO61" s="126">
        <f t="shared" ref="AO61:AO62" si="104">(L61+R61+AL61)/H61</f>
        <v>0.53837500000000005</v>
      </c>
      <c r="AP61" s="588"/>
      <c r="AQ61" s="546"/>
      <c r="AR61" s="515"/>
      <c r="AS61" s="618"/>
      <c r="AT61" s="575"/>
      <c r="AU61" s="196"/>
      <c r="AV61" s="196"/>
      <c r="AW61" s="196"/>
      <c r="AX61" s="196"/>
    </row>
    <row r="62" spans="1:50" ht="46.5" customHeight="1" x14ac:dyDescent="0.25">
      <c r="A62" s="546"/>
      <c r="B62" s="547"/>
      <c r="C62" s="547"/>
      <c r="D62" s="547"/>
      <c r="E62" s="547"/>
      <c r="F62" s="642"/>
      <c r="G62" s="142" t="s">
        <v>196</v>
      </c>
      <c r="H62" s="144">
        <f>+H58+H60</f>
        <v>762882680</v>
      </c>
      <c r="I62" s="110">
        <f t="shared" ref="I62:K62" si="105">I58</f>
        <v>92060463</v>
      </c>
      <c r="J62" s="110">
        <f t="shared" si="105"/>
        <v>92060463</v>
      </c>
      <c r="K62" s="110">
        <f t="shared" si="105"/>
        <v>92060463</v>
      </c>
      <c r="L62" s="110">
        <v>90363218</v>
      </c>
      <c r="M62" s="110">
        <f t="shared" ref="M62:R62" si="106">+M58+M60</f>
        <v>199118766</v>
      </c>
      <c r="N62" s="110">
        <f t="shared" si="106"/>
        <v>199118766</v>
      </c>
      <c r="O62" s="110">
        <f t="shared" si="106"/>
        <v>199118766</v>
      </c>
      <c r="P62" s="110">
        <f t="shared" si="106"/>
        <v>199118766</v>
      </c>
      <c r="Q62" s="110">
        <f t="shared" si="106"/>
        <v>190757799</v>
      </c>
      <c r="R62" s="110">
        <f t="shared" si="106"/>
        <v>190757799</v>
      </c>
      <c r="S62" s="110">
        <f>S58+S60</f>
        <v>230229663</v>
      </c>
      <c r="T62" s="157">
        <f t="shared" si="99"/>
        <v>230229663</v>
      </c>
      <c r="U62" s="157">
        <v>230229663</v>
      </c>
      <c r="V62" s="157">
        <f t="shared" si="100"/>
        <v>230229663</v>
      </c>
      <c r="W62" s="111"/>
      <c r="X62" s="111"/>
      <c r="Y62" s="110">
        <f t="shared" si="101"/>
        <v>144000000</v>
      </c>
      <c r="Z62" s="111"/>
      <c r="AA62" s="111"/>
      <c r="AB62" s="111"/>
      <c r="AC62" s="111"/>
      <c r="AD62" s="111"/>
      <c r="AE62" s="110">
        <f t="shared" si="102"/>
        <v>107532000</v>
      </c>
      <c r="AF62" s="111"/>
      <c r="AG62" s="111"/>
      <c r="AH62" s="111"/>
      <c r="AI62" s="111"/>
      <c r="AJ62" s="110">
        <f t="shared" ref="AJ62:AL62" si="107">AJ58+AJ60</f>
        <v>141222333</v>
      </c>
      <c r="AK62" s="110">
        <f t="shared" si="107"/>
        <v>150942633</v>
      </c>
      <c r="AL62" s="110">
        <f t="shared" si="107"/>
        <v>182911633</v>
      </c>
      <c r="AM62" s="110"/>
      <c r="AN62" s="76">
        <f t="shared" si="96"/>
        <v>0.79447465898432035</v>
      </c>
      <c r="AO62" s="126">
        <f t="shared" si="104"/>
        <v>0.60826213802625584</v>
      </c>
      <c r="AP62" s="591"/>
      <c r="AQ62" s="580"/>
      <c r="AR62" s="566"/>
      <c r="AS62" s="619"/>
      <c r="AT62" s="593"/>
      <c r="AU62" s="197"/>
      <c r="AV62" s="197"/>
      <c r="AW62" s="197"/>
      <c r="AX62" s="197"/>
    </row>
    <row r="63" spans="1:50" ht="46.5" customHeight="1" x14ac:dyDescent="0.25">
      <c r="A63" s="546"/>
      <c r="B63" s="545">
        <v>10</v>
      </c>
      <c r="C63" s="545" t="s">
        <v>189</v>
      </c>
      <c r="D63" s="545" t="s">
        <v>146</v>
      </c>
      <c r="E63" s="545">
        <v>469</v>
      </c>
      <c r="F63" s="642"/>
      <c r="G63" s="113" t="s">
        <v>119</v>
      </c>
      <c r="H63" s="199">
        <v>1</v>
      </c>
      <c r="I63" s="200">
        <v>0.2</v>
      </c>
      <c r="J63" s="200">
        <v>0.2</v>
      </c>
      <c r="K63" s="200">
        <v>0.2</v>
      </c>
      <c r="L63" s="200">
        <v>0.1</v>
      </c>
      <c r="M63" s="201">
        <v>0.5</v>
      </c>
      <c r="N63" s="201">
        <v>0.5</v>
      </c>
      <c r="O63" s="201">
        <v>0.5</v>
      </c>
      <c r="P63" s="201">
        <v>0.5</v>
      </c>
      <c r="Q63" s="201">
        <v>0.5</v>
      </c>
      <c r="R63" s="201">
        <v>0.35</v>
      </c>
      <c r="S63" s="201">
        <v>0.65</v>
      </c>
      <c r="T63" s="201">
        <f>+S63</f>
        <v>0.65</v>
      </c>
      <c r="U63" s="201">
        <v>0.65</v>
      </c>
      <c r="V63" s="334">
        <v>0.65</v>
      </c>
      <c r="W63" s="160"/>
      <c r="X63" s="62"/>
      <c r="Y63" s="201">
        <v>0.9</v>
      </c>
      <c r="Z63" s="202"/>
      <c r="AA63" s="160"/>
      <c r="AB63" s="160"/>
      <c r="AC63" s="160"/>
      <c r="AD63" s="62"/>
      <c r="AE63" s="201">
        <v>1</v>
      </c>
      <c r="AF63" s="202"/>
      <c r="AG63" s="160"/>
      <c r="AH63" s="160"/>
      <c r="AI63" s="62"/>
      <c r="AJ63" s="203">
        <f>0.35+0.015</f>
        <v>0.36499999999999999</v>
      </c>
      <c r="AK63" s="201">
        <v>0.38</v>
      </c>
      <c r="AL63" s="335">
        <v>0.41599999999999998</v>
      </c>
      <c r="AM63" s="201"/>
      <c r="AN63" s="204">
        <f t="shared" si="96"/>
        <v>0.6399999999999999</v>
      </c>
      <c r="AO63" s="68">
        <f>AL63/H63</f>
        <v>0.41599999999999998</v>
      </c>
      <c r="AP63" s="590" t="s">
        <v>388</v>
      </c>
      <c r="AQ63" s="579" t="s">
        <v>389</v>
      </c>
      <c r="AR63" s="579" t="s">
        <v>390</v>
      </c>
      <c r="AS63" s="620" t="s">
        <v>391</v>
      </c>
      <c r="AT63" s="597" t="s">
        <v>392</v>
      </c>
      <c r="AU63" s="196"/>
      <c r="AV63" s="196"/>
      <c r="AW63" s="196"/>
      <c r="AX63" s="196"/>
    </row>
    <row r="64" spans="1:50" ht="46.5" customHeight="1" x14ac:dyDescent="0.25">
      <c r="A64" s="546"/>
      <c r="B64" s="546"/>
      <c r="C64" s="546"/>
      <c r="D64" s="546"/>
      <c r="E64" s="546"/>
      <c r="F64" s="642"/>
      <c r="G64" s="124" t="s">
        <v>153</v>
      </c>
      <c r="H64" s="125">
        <f>+L64+R64+S64+Y64+AE64</f>
        <v>524960646</v>
      </c>
      <c r="I64" s="74">
        <v>166837645</v>
      </c>
      <c r="J64" s="74">
        <v>166837646</v>
      </c>
      <c r="K64" s="75">
        <v>166837646</v>
      </c>
      <c r="L64" s="74">
        <v>166837646</v>
      </c>
      <c r="M64" s="74">
        <v>150000000</v>
      </c>
      <c r="N64" s="74">
        <v>150000000</v>
      </c>
      <c r="O64" s="74">
        <v>150000000</v>
      </c>
      <c r="P64" s="74">
        <v>150000000</v>
      </c>
      <c r="Q64" s="74">
        <v>250000000</v>
      </c>
      <c r="R64" s="74">
        <v>0</v>
      </c>
      <c r="S64" s="74">
        <v>150000000</v>
      </c>
      <c r="T64" s="74">
        <v>150000000</v>
      </c>
      <c r="U64" s="74">
        <v>150000000</v>
      </c>
      <c r="V64" s="279">
        <v>150000000</v>
      </c>
      <c r="W64" s="75"/>
      <c r="X64" s="75"/>
      <c r="Y64" s="74">
        <v>119000000</v>
      </c>
      <c r="Z64" s="75"/>
      <c r="AA64" s="75"/>
      <c r="AB64" s="75"/>
      <c r="AC64" s="75"/>
      <c r="AD64" s="75"/>
      <c r="AE64" s="74">
        <v>89123000</v>
      </c>
      <c r="AF64" s="75"/>
      <c r="AG64" s="75"/>
      <c r="AH64" s="75"/>
      <c r="AI64" s="75"/>
      <c r="AJ64" s="74">
        <v>0</v>
      </c>
      <c r="AK64" s="74">
        <v>0</v>
      </c>
      <c r="AL64" s="280">
        <v>15000000</v>
      </c>
      <c r="AM64" s="74"/>
      <c r="AN64" s="281">
        <f t="shared" si="96"/>
        <v>0.1</v>
      </c>
      <c r="AO64" s="126">
        <f>(L64+R64+AL64)/H64</f>
        <v>0.34638338585098433</v>
      </c>
      <c r="AP64" s="588"/>
      <c r="AQ64" s="546"/>
      <c r="AR64" s="546"/>
      <c r="AS64" s="610"/>
      <c r="AT64" s="573"/>
      <c r="AU64" s="197"/>
      <c r="AV64" s="197"/>
      <c r="AW64" s="197"/>
      <c r="AX64" s="197"/>
    </row>
    <row r="65" spans="1:50" ht="46.5" customHeight="1" x14ac:dyDescent="0.25">
      <c r="A65" s="546"/>
      <c r="B65" s="546"/>
      <c r="C65" s="546"/>
      <c r="D65" s="546"/>
      <c r="E65" s="546"/>
      <c r="F65" s="642"/>
      <c r="G65" s="127" t="s">
        <v>160</v>
      </c>
      <c r="H65" s="167"/>
      <c r="I65" s="83"/>
      <c r="J65" s="83"/>
      <c r="K65" s="83"/>
      <c r="L65" s="83"/>
      <c r="M65" s="83"/>
      <c r="N65" s="83"/>
      <c r="O65" s="205"/>
      <c r="P65" s="205"/>
      <c r="Q65" s="205"/>
      <c r="R65" s="205"/>
      <c r="S65" s="83">
        <v>0</v>
      </c>
      <c r="T65" s="83">
        <v>0</v>
      </c>
      <c r="U65" s="83">
        <v>0</v>
      </c>
      <c r="V65" s="193">
        <v>0</v>
      </c>
      <c r="W65" s="89"/>
      <c r="X65" s="46"/>
      <c r="Y65" s="83"/>
      <c r="Z65" s="89"/>
      <c r="AA65" s="89"/>
      <c r="AB65" s="89"/>
      <c r="AC65" s="89"/>
      <c r="AD65" s="46"/>
      <c r="AE65" s="198"/>
      <c r="AF65" s="89"/>
      <c r="AG65" s="89"/>
      <c r="AH65" s="89"/>
      <c r="AI65" s="46"/>
      <c r="AJ65" s="206"/>
      <c r="AK65" s="206"/>
      <c r="AL65" s="193"/>
      <c r="AM65" s="206">
        <v>0</v>
      </c>
      <c r="AN65" s="95"/>
      <c r="AO65" s="96"/>
      <c r="AP65" s="588"/>
      <c r="AQ65" s="546"/>
      <c r="AR65" s="546"/>
      <c r="AS65" s="610"/>
      <c r="AT65" s="573"/>
      <c r="AU65" s="196"/>
      <c r="AV65" s="196"/>
      <c r="AW65" s="196"/>
      <c r="AX65" s="196"/>
    </row>
    <row r="66" spans="1:50" ht="46.5" customHeight="1" x14ac:dyDescent="0.25">
      <c r="A66" s="546"/>
      <c r="B66" s="546"/>
      <c r="C66" s="546"/>
      <c r="D66" s="546"/>
      <c r="E66" s="546"/>
      <c r="F66" s="642"/>
      <c r="G66" s="124" t="s">
        <v>180</v>
      </c>
      <c r="H66" s="125">
        <f>R66+S66+Y66+AE66</f>
        <v>166837646</v>
      </c>
      <c r="I66" s="207"/>
      <c r="J66" s="207"/>
      <c r="K66" s="207"/>
      <c r="L66" s="207"/>
      <c r="M66" s="208">
        <v>166837646</v>
      </c>
      <c r="N66" s="208">
        <v>166837646</v>
      </c>
      <c r="O66" s="208">
        <v>166837646</v>
      </c>
      <c r="P66" s="208">
        <v>166837646</v>
      </c>
      <c r="Q66" s="208">
        <v>166837646</v>
      </c>
      <c r="R66" s="74">
        <v>166837646</v>
      </c>
      <c r="S66" s="99">
        <v>0</v>
      </c>
      <c r="T66" s="99">
        <v>0</v>
      </c>
      <c r="U66" s="99">
        <v>0</v>
      </c>
      <c r="V66" s="209">
        <v>0</v>
      </c>
      <c r="W66" s="75"/>
      <c r="X66" s="75"/>
      <c r="Y66" s="99"/>
      <c r="Z66" s="75"/>
      <c r="AA66" s="75"/>
      <c r="AB66" s="75"/>
      <c r="AC66" s="75"/>
      <c r="AD66" s="75"/>
      <c r="AE66" s="175"/>
      <c r="AF66" s="75"/>
      <c r="AG66" s="75"/>
      <c r="AH66" s="75"/>
      <c r="AI66" s="75"/>
      <c r="AJ66" s="177"/>
      <c r="AK66" s="177"/>
      <c r="AL66" s="209"/>
      <c r="AM66" s="177">
        <v>0</v>
      </c>
      <c r="AN66" s="95"/>
      <c r="AO66" s="96"/>
      <c r="AP66" s="588"/>
      <c r="AQ66" s="546"/>
      <c r="AR66" s="546"/>
      <c r="AS66" s="610"/>
      <c r="AT66" s="573"/>
      <c r="AU66" s="197"/>
      <c r="AV66" s="197"/>
      <c r="AW66" s="197"/>
      <c r="AX66" s="197"/>
    </row>
    <row r="67" spans="1:50" ht="46.5" customHeight="1" x14ac:dyDescent="0.25">
      <c r="A67" s="546"/>
      <c r="B67" s="546"/>
      <c r="C67" s="546"/>
      <c r="D67" s="546"/>
      <c r="E67" s="546"/>
      <c r="F67" s="642"/>
      <c r="G67" s="127" t="s">
        <v>191</v>
      </c>
      <c r="H67" s="210">
        <v>1</v>
      </c>
      <c r="I67" s="211">
        <f t="shared" ref="I67:K67" si="108">I63</f>
        <v>0.2</v>
      </c>
      <c r="J67" s="211">
        <f t="shared" si="108"/>
        <v>0.2</v>
      </c>
      <c r="K67" s="211">
        <f t="shared" si="108"/>
        <v>0.2</v>
      </c>
      <c r="L67" s="211">
        <v>0.1</v>
      </c>
      <c r="M67" s="60">
        <f t="shared" ref="M67:Q67" si="109">+M63+M65</f>
        <v>0.5</v>
      </c>
      <c r="N67" s="60">
        <f t="shared" si="109"/>
        <v>0.5</v>
      </c>
      <c r="O67" s="60">
        <f t="shared" si="109"/>
        <v>0.5</v>
      </c>
      <c r="P67" s="60">
        <f t="shared" si="109"/>
        <v>0.5</v>
      </c>
      <c r="Q67" s="60">
        <f t="shared" si="109"/>
        <v>0.5</v>
      </c>
      <c r="R67" s="211">
        <v>0.35</v>
      </c>
      <c r="S67" s="211">
        <f>S63</f>
        <v>0.65</v>
      </c>
      <c r="T67" s="211">
        <f t="shared" ref="T67:T68" si="110">T65+T63</f>
        <v>0.65</v>
      </c>
      <c r="U67" s="211">
        <v>0.65</v>
      </c>
      <c r="V67" s="58">
        <f t="shared" ref="V67:V68" si="111">V63+V65</f>
        <v>0.65</v>
      </c>
      <c r="W67" s="89"/>
      <c r="X67" s="46"/>
      <c r="Y67" s="211">
        <f>Y63</f>
        <v>0.9</v>
      </c>
      <c r="Z67" s="212"/>
      <c r="AA67" s="89"/>
      <c r="AB67" s="89"/>
      <c r="AC67" s="89"/>
      <c r="AD67" s="46"/>
      <c r="AE67" s="211">
        <f>AE63</f>
        <v>1</v>
      </c>
      <c r="AF67" s="212"/>
      <c r="AG67" s="89"/>
      <c r="AH67" s="89"/>
      <c r="AI67" s="46"/>
      <c r="AJ67" s="69">
        <f t="shared" ref="AJ67:AM67" si="112">AJ63+AJ65</f>
        <v>0.36499999999999999</v>
      </c>
      <c r="AK67" s="69">
        <f t="shared" si="112"/>
        <v>0.38</v>
      </c>
      <c r="AL67" s="116">
        <f t="shared" si="112"/>
        <v>0.41599999999999998</v>
      </c>
      <c r="AM67" s="58">
        <f t="shared" si="112"/>
        <v>0</v>
      </c>
      <c r="AN67" s="76">
        <f t="shared" ref="AN67:AN70" si="113">AL67/V67</f>
        <v>0.6399999999999999</v>
      </c>
      <c r="AO67" s="126">
        <f>AL67/H67</f>
        <v>0.41599999999999998</v>
      </c>
      <c r="AP67" s="588"/>
      <c r="AQ67" s="546"/>
      <c r="AR67" s="546"/>
      <c r="AS67" s="610"/>
      <c r="AT67" s="573"/>
      <c r="AU67" s="196"/>
      <c r="AV67" s="196"/>
      <c r="AW67" s="196"/>
      <c r="AX67" s="196"/>
    </row>
    <row r="68" spans="1:50" ht="46.5" customHeight="1" x14ac:dyDescent="0.25">
      <c r="A68" s="547"/>
      <c r="B68" s="547"/>
      <c r="C68" s="547"/>
      <c r="D68" s="547"/>
      <c r="E68" s="547"/>
      <c r="F68" s="642"/>
      <c r="G68" s="142" t="s">
        <v>196</v>
      </c>
      <c r="H68" s="144">
        <f>+H64+H66</f>
        <v>691798292</v>
      </c>
      <c r="I68" s="110">
        <f t="shared" ref="I68:J68" si="114">I64</f>
        <v>166837645</v>
      </c>
      <c r="J68" s="110">
        <f t="shared" si="114"/>
        <v>166837646</v>
      </c>
      <c r="K68" s="110">
        <f>+K64</f>
        <v>166837646</v>
      </c>
      <c r="L68" s="110">
        <v>166837646</v>
      </c>
      <c r="M68" s="110">
        <f t="shared" ref="M68:R68" si="115">+M64+M66</f>
        <v>316837646</v>
      </c>
      <c r="N68" s="110">
        <f t="shared" si="115"/>
        <v>316837646</v>
      </c>
      <c r="O68" s="110">
        <f t="shared" si="115"/>
        <v>316837646</v>
      </c>
      <c r="P68" s="110">
        <f t="shared" si="115"/>
        <v>316837646</v>
      </c>
      <c r="Q68" s="110">
        <f t="shared" si="115"/>
        <v>416837646</v>
      </c>
      <c r="R68" s="110">
        <f t="shared" si="115"/>
        <v>166837646</v>
      </c>
      <c r="S68" s="110">
        <f>+S64</f>
        <v>150000000</v>
      </c>
      <c r="T68" s="110">
        <f t="shared" si="110"/>
        <v>150000000</v>
      </c>
      <c r="U68" s="110">
        <v>150000001</v>
      </c>
      <c r="V68" s="111">
        <f t="shared" si="111"/>
        <v>150000000</v>
      </c>
      <c r="W68" s="111"/>
      <c r="X68" s="111"/>
      <c r="Y68" s="110">
        <f>+Y64</f>
        <v>119000000</v>
      </c>
      <c r="Z68" s="111"/>
      <c r="AA68" s="111"/>
      <c r="AB68" s="111"/>
      <c r="AC68" s="111"/>
      <c r="AD68" s="111"/>
      <c r="AE68" s="110">
        <f>+AE64</f>
        <v>89123000</v>
      </c>
      <c r="AF68" s="111"/>
      <c r="AG68" s="111"/>
      <c r="AH68" s="111"/>
      <c r="AI68" s="111"/>
      <c r="AJ68" s="111">
        <f t="shared" ref="AJ68:AL68" si="116">AJ64+AJ66</f>
        <v>0</v>
      </c>
      <c r="AK68" s="111">
        <f t="shared" si="116"/>
        <v>0</v>
      </c>
      <c r="AL68" s="111">
        <f t="shared" si="116"/>
        <v>15000000</v>
      </c>
      <c r="AM68" s="110"/>
      <c r="AN68" s="76">
        <f t="shared" si="113"/>
        <v>0.1</v>
      </c>
      <c r="AO68" s="112">
        <f t="shared" ref="AO68:AO70" si="117">(L68+R68+AL68)/H68</f>
        <v>0.5040129413907255</v>
      </c>
      <c r="AP68" s="591"/>
      <c r="AQ68" s="580"/>
      <c r="AR68" s="580"/>
      <c r="AS68" s="616"/>
      <c r="AT68" s="574"/>
      <c r="AU68" s="197"/>
      <c r="AV68" s="197"/>
      <c r="AW68" s="197"/>
      <c r="AX68" s="197"/>
    </row>
    <row r="69" spans="1:50" ht="46.5" customHeight="1" x14ac:dyDescent="0.25">
      <c r="A69" s="545" t="s">
        <v>397</v>
      </c>
      <c r="B69" s="545">
        <v>11</v>
      </c>
      <c r="C69" s="545" t="s">
        <v>194</v>
      </c>
      <c r="D69" s="545" t="s">
        <v>110</v>
      </c>
      <c r="E69" s="545">
        <v>480</v>
      </c>
      <c r="F69" s="642"/>
      <c r="G69" s="113" t="s">
        <v>119</v>
      </c>
      <c r="H69" s="114">
        <f>L69+R69+S69+Y69+AE69</f>
        <v>29999999.609999999</v>
      </c>
      <c r="I69" s="57">
        <v>4112722</v>
      </c>
      <c r="J69" s="57">
        <v>4112722</v>
      </c>
      <c r="K69" s="57">
        <v>4112722</v>
      </c>
      <c r="L69" s="57">
        <v>4112722</v>
      </c>
      <c r="M69" s="159">
        <v>8000000</v>
      </c>
      <c r="N69" s="159">
        <v>8000000</v>
      </c>
      <c r="O69" s="159">
        <v>8000000</v>
      </c>
      <c r="P69" s="159">
        <v>8000000</v>
      </c>
      <c r="Q69" s="159">
        <v>11375079.609999999</v>
      </c>
      <c r="R69" s="159">
        <v>11375079.609999999</v>
      </c>
      <c r="S69" s="64">
        <v>7887278</v>
      </c>
      <c r="T69" s="64">
        <f>+S69</f>
        <v>7887278</v>
      </c>
      <c r="U69" s="159">
        <v>7887278</v>
      </c>
      <c r="V69" s="277">
        <f>7887278+2000000</f>
        <v>9887278</v>
      </c>
      <c r="W69" s="277"/>
      <c r="X69" s="278"/>
      <c r="Y69" s="277">
        <f>8000000-2345000</f>
        <v>5655000</v>
      </c>
      <c r="Z69" s="277"/>
      <c r="AA69" s="277"/>
      <c r="AB69" s="277"/>
      <c r="AC69" s="277"/>
      <c r="AD69" s="278"/>
      <c r="AE69" s="277">
        <f>2969920-2000000</f>
        <v>969920</v>
      </c>
      <c r="AF69" s="160"/>
      <c r="AG69" s="160"/>
      <c r="AH69" s="160"/>
      <c r="AI69" s="62"/>
      <c r="AJ69" s="213">
        <v>1745135.6</v>
      </c>
      <c r="AK69" s="159">
        <v>4580764</v>
      </c>
      <c r="AL69" s="277">
        <v>9170121.9600000009</v>
      </c>
      <c r="AM69" s="64"/>
      <c r="AN69" s="281">
        <f t="shared" si="113"/>
        <v>0.92746678711774877</v>
      </c>
      <c r="AO69" s="68">
        <f t="shared" si="117"/>
        <v>0.82193079635176702</v>
      </c>
      <c r="AP69" s="606" t="s">
        <v>399</v>
      </c>
      <c r="AQ69" s="579" t="s">
        <v>101</v>
      </c>
      <c r="AR69" s="579" t="s">
        <v>104</v>
      </c>
      <c r="AS69" s="615" t="s">
        <v>252</v>
      </c>
      <c r="AT69" s="597" t="s">
        <v>253</v>
      </c>
      <c r="AU69" s="196"/>
      <c r="AV69" s="196"/>
      <c r="AW69" s="196"/>
      <c r="AX69" s="196"/>
    </row>
    <row r="70" spans="1:50" ht="46.5" customHeight="1" x14ac:dyDescent="0.25">
      <c r="A70" s="546"/>
      <c r="B70" s="546"/>
      <c r="C70" s="546"/>
      <c r="D70" s="546"/>
      <c r="E70" s="546"/>
      <c r="F70" s="642"/>
      <c r="G70" s="124" t="s">
        <v>153</v>
      </c>
      <c r="H70" s="125">
        <f>+L70+R70+S70+Y70+AE70</f>
        <v>4073544144</v>
      </c>
      <c r="I70" s="74">
        <v>584376813</v>
      </c>
      <c r="J70" s="74">
        <v>584376813</v>
      </c>
      <c r="K70" s="74">
        <v>584376813</v>
      </c>
      <c r="L70" s="74">
        <v>576704116</v>
      </c>
      <c r="M70" s="74">
        <v>846827000</v>
      </c>
      <c r="N70" s="74">
        <v>846827000</v>
      </c>
      <c r="O70" s="74">
        <v>846827000</v>
      </c>
      <c r="P70" s="74">
        <v>846827000</v>
      </c>
      <c r="Q70" s="74">
        <v>822392131</v>
      </c>
      <c r="R70" s="74">
        <v>777224846</v>
      </c>
      <c r="S70" s="74">
        <v>805362182</v>
      </c>
      <c r="T70" s="74">
        <v>805362182</v>
      </c>
      <c r="U70" s="214">
        <v>811131042</v>
      </c>
      <c r="V70" s="336">
        <v>811131042</v>
      </c>
      <c r="W70" s="75"/>
      <c r="X70" s="75"/>
      <c r="Y70" s="74">
        <v>1144000000</v>
      </c>
      <c r="Z70" s="75"/>
      <c r="AA70" s="75"/>
      <c r="AB70" s="75"/>
      <c r="AC70" s="75"/>
      <c r="AD70" s="75"/>
      <c r="AE70" s="74">
        <v>770253000</v>
      </c>
      <c r="AF70" s="75"/>
      <c r="AG70" s="75"/>
      <c r="AH70" s="75"/>
      <c r="AI70" s="75"/>
      <c r="AJ70" s="74">
        <v>697275718</v>
      </c>
      <c r="AK70" s="74">
        <v>774276300</v>
      </c>
      <c r="AL70" s="279">
        <v>774276300</v>
      </c>
      <c r="AM70" s="74"/>
      <c r="AN70" s="76">
        <f t="shared" si="113"/>
        <v>0.9545637633234606</v>
      </c>
      <c r="AO70" s="126">
        <f t="shared" si="117"/>
        <v>0.52244561167568881</v>
      </c>
      <c r="AP70" s="604"/>
      <c r="AQ70" s="546"/>
      <c r="AR70" s="546"/>
      <c r="AS70" s="610"/>
      <c r="AT70" s="573"/>
      <c r="AU70" s="197"/>
      <c r="AV70" s="197"/>
      <c r="AW70" s="197"/>
      <c r="AX70" s="197"/>
    </row>
    <row r="71" spans="1:50" ht="46.5" customHeight="1" x14ac:dyDescent="0.25">
      <c r="A71" s="546"/>
      <c r="B71" s="546"/>
      <c r="C71" s="546"/>
      <c r="D71" s="546"/>
      <c r="E71" s="546"/>
      <c r="F71" s="642"/>
      <c r="G71" s="127" t="s">
        <v>160</v>
      </c>
      <c r="H71" s="167"/>
      <c r="I71" s="83"/>
      <c r="J71" s="83"/>
      <c r="K71" s="83"/>
      <c r="L71" s="83"/>
      <c r="M71" s="83"/>
      <c r="N71" s="83"/>
      <c r="O71" s="83"/>
      <c r="P71" s="83"/>
      <c r="Q71" s="83"/>
      <c r="R71" s="215"/>
      <c r="S71" s="83">
        <v>0</v>
      </c>
      <c r="T71" s="83">
        <v>0</v>
      </c>
      <c r="U71" s="83">
        <v>0</v>
      </c>
      <c r="V71" s="83"/>
      <c r="W71" s="89"/>
      <c r="X71" s="89"/>
      <c r="Y71" s="83"/>
      <c r="Z71" s="89"/>
      <c r="AA71" s="89"/>
      <c r="AB71" s="89"/>
      <c r="AC71" s="89"/>
      <c r="AD71" s="89"/>
      <c r="AE71" s="83"/>
      <c r="AF71" s="89"/>
      <c r="AG71" s="89"/>
      <c r="AH71" s="89"/>
      <c r="AI71" s="89"/>
      <c r="AJ71" s="83"/>
      <c r="AK71" s="83"/>
      <c r="AL71" s="83"/>
      <c r="AM71" s="83"/>
      <c r="AN71" s="95"/>
      <c r="AO71" s="96"/>
      <c r="AP71" s="604"/>
      <c r="AQ71" s="546"/>
      <c r="AR71" s="546"/>
      <c r="AS71" s="610"/>
      <c r="AT71" s="573"/>
      <c r="AU71" s="196"/>
      <c r="AV71" s="196"/>
      <c r="AW71" s="196"/>
      <c r="AX71" s="196"/>
    </row>
    <row r="72" spans="1:50" ht="46.5" customHeight="1" x14ac:dyDescent="0.25">
      <c r="A72" s="546"/>
      <c r="B72" s="546"/>
      <c r="C72" s="546"/>
      <c r="D72" s="546"/>
      <c r="E72" s="546"/>
      <c r="F72" s="642"/>
      <c r="G72" s="124" t="s">
        <v>180</v>
      </c>
      <c r="H72" s="125">
        <f>R72+S72+Y72+AE72</f>
        <v>391018852</v>
      </c>
      <c r="I72" s="99"/>
      <c r="J72" s="99"/>
      <c r="K72" s="99"/>
      <c r="L72" s="99"/>
      <c r="M72" s="74">
        <v>290216168</v>
      </c>
      <c r="N72" s="74">
        <v>290216168</v>
      </c>
      <c r="O72" s="74">
        <v>290216168</v>
      </c>
      <c r="P72" s="74">
        <v>290216168</v>
      </c>
      <c r="Q72" s="74">
        <v>290216168</v>
      </c>
      <c r="R72" s="74">
        <v>290096678</v>
      </c>
      <c r="S72" s="74">
        <v>100922174</v>
      </c>
      <c r="T72" s="74">
        <v>100922174</v>
      </c>
      <c r="U72" s="74">
        <v>100922174</v>
      </c>
      <c r="V72" s="279">
        <v>100922174</v>
      </c>
      <c r="W72" s="75"/>
      <c r="X72" s="75"/>
      <c r="Y72" s="363"/>
      <c r="Z72" s="364"/>
      <c r="AA72" s="364"/>
      <c r="AB72" s="364"/>
      <c r="AC72" s="364"/>
      <c r="AD72" s="364"/>
      <c r="AE72" s="365"/>
      <c r="AF72" s="75"/>
      <c r="AG72" s="75"/>
      <c r="AH72" s="75"/>
      <c r="AI72" s="75"/>
      <c r="AJ72" s="74">
        <v>75704013</v>
      </c>
      <c r="AK72" s="74">
        <v>96600174</v>
      </c>
      <c r="AL72" s="279">
        <v>96600174</v>
      </c>
      <c r="AM72" s="74"/>
      <c r="AN72" s="76">
        <f t="shared" ref="AN72:AN74" si="118">AL72/V72</f>
        <v>0.95717492173721896</v>
      </c>
      <c r="AO72" s="96"/>
      <c r="AP72" s="604"/>
      <c r="AQ72" s="546"/>
      <c r="AR72" s="546"/>
      <c r="AS72" s="610"/>
      <c r="AT72" s="573"/>
      <c r="AU72" s="197"/>
      <c r="AV72" s="197"/>
      <c r="AW72" s="197"/>
      <c r="AX72" s="197"/>
    </row>
    <row r="73" spans="1:50" ht="46.5" customHeight="1" x14ac:dyDescent="0.25">
      <c r="A73" s="546"/>
      <c r="B73" s="546"/>
      <c r="C73" s="546"/>
      <c r="D73" s="546"/>
      <c r="E73" s="546"/>
      <c r="F73" s="642"/>
      <c r="G73" s="127" t="s">
        <v>191</v>
      </c>
      <c r="H73" s="169">
        <v>32000000</v>
      </c>
      <c r="I73" s="106">
        <f t="shared" ref="I73:K73" si="119">I69</f>
        <v>4112722</v>
      </c>
      <c r="J73" s="106">
        <f t="shared" si="119"/>
        <v>4112722</v>
      </c>
      <c r="K73" s="106">
        <f t="shared" si="119"/>
        <v>4112722</v>
      </c>
      <c r="L73" s="106">
        <v>4112722</v>
      </c>
      <c r="M73" s="91">
        <f t="shared" ref="M73:P73" si="120">+M69</f>
        <v>8000000</v>
      </c>
      <c r="N73" s="91">
        <f t="shared" si="120"/>
        <v>8000000</v>
      </c>
      <c r="O73" s="91">
        <f t="shared" si="120"/>
        <v>8000000</v>
      </c>
      <c r="P73" s="91">
        <f t="shared" si="120"/>
        <v>8000000</v>
      </c>
      <c r="Q73" s="91">
        <v>8000000</v>
      </c>
      <c r="R73" s="91">
        <v>11375080</v>
      </c>
      <c r="S73" s="106">
        <f>S69</f>
        <v>7887278</v>
      </c>
      <c r="T73" s="106">
        <f t="shared" ref="T73:T74" si="121">+T69+T71</f>
        <v>7887278</v>
      </c>
      <c r="U73" s="106">
        <v>7887278</v>
      </c>
      <c r="V73" s="106">
        <f>V69</f>
        <v>9887278</v>
      </c>
      <c r="W73" s="89"/>
      <c r="X73" s="46"/>
      <c r="Y73" s="106">
        <f t="shared" ref="Y73:Y74" si="122">Y69</f>
        <v>5655000</v>
      </c>
      <c r="Z73" s="108"/>
      <c r="AA73" s="89"/>
      <c r="AB73" s="89"/>
      <c r="AC73" s="89"/>
      <c r="AD73" s="46"/>
      <c r="AE73" s="106">
        <f t="shared" ref="AE73:AE74" si="123">AE69</f>
        <v>969920</v>
      </c>
      <c r="AF73" s="108"/>
      <c r="AG73" s="89"/>
      <c r="AH73" s="89"/>
      <c r="AI73" s="46"/>
      <c r="AJ73" s="138">
        <f t="shared" ref="AJ73:AK73" si="124">AJ69+AJ71</f>
        <v>1745135.6</v>
      </c>
      <c r="AK73" s="89">
        <f t="shared" si="124"/>
        <v>4580764</v>
      </c>
      <c r="AL73" s="89">
        <f>AL69</f>
        <v>9170121.9600000009</v>
      </c>
      <c r="AM73" s="107"/>
      <c r="AN73" s="76">
        <f t="shared" si="118"/>
        <v>0.92746678711774877</v>
      </c>
      <c r="AO73" s="126">
        <f t="shared" ref="AO73:AO74" si="125">(L73+R73+AL73)/H73</f>
        <v>0.77056012375000005</v>
      </c>
      <c r="AP73" s="604"/>
      <c r="AQ73" s="546"/>
      <c r="AR73" s="546"/>
      <c r="AS73" s="610"/>
      <c r="AT73" s="573"/>
      <c r="AU73" s="196"/>
      <c r="AV73" s="196"/>
      <c r="AW73" s="196"/>
      <c r="AX73" s="196"/>
    </row>
    <row r="74" spans="1:50" ht="46.5" customHeight="1" x14ac:dyDescent="0.25">
      <c r="A74" s="546"/>
      <c r="B74" s="547"/>
      <c r="C74" s="547"/>
      <c r="D74" s="547"/>
      <c r="E74" s="547"/>
      <c r="F74" s="642"/>
      <c r="G74" s="142" t="s">
        <v>196</v>
      </c>
      <c r="H74" s="144">
        <f>+H70+H72</f>
        <v>4464562996</v>
      </c>
      <c r="I74" s="110">
        <f t="shared" ref="I74:K74" si="126">+I70</f>
        <v>584376813</v>
      </c>
      <c r="J74" s="110">
        <f t="shared" si="126"/>
        <v>584376813</v>
      </c>
      <c r="K74" s="110">
        <f t="shared" si="126"/>
        <v>584376813</v>
      </c>
      <c r="L74" s="110">
        <v>576704116</v>
      </c>
      <c r="M74" s="110">
        <f t="shared" ref="M74:R74" si="127">+M70+M72</f>
        <v>1137043168</v>
      </c>
      <c r="N74" s="110">
        <f t="shared" si="127"/>
        <v>1137043168</v>
      </c>
      <c r="O74" s="110">
        <f t="shared" si="127"/>
        <v>1137043168</v>
      </c>
      <c r="P74" s="110">
        <f t="shared" si="127"/>
        <v>1137043168</v>
      </c>
      <c r="Q74" s="110">
        <f t="shared" si="127"/>
        <v>1112608299</v>
      </c>
      <c r="R74" s="110">
        <f t="shared" si="127"/>
        <v>1067321524</v>
      </c>
      <c r="S74" s="110">
        <f>S70+S72</f>
        <v>906284356</v>
      </c>
      <c r="T74" s="157">
        <f t="shared" si="121"/>
        <v>906284356</v>
      </c>
      <c r="U74" s="157">
        <v>912053216</v>
      </c>
      <c r="V74" s="157">
        <f>V70+V72</f>
        <v>912053216</v>
      </c>
      <c r="W74" s="111"/>
      <c r="X74" s="111"/>
      <c r="Y74" s="110">
        <f t="shared" si="122"/>
        <v>1144000000</v>
      </c>
      <c r="Z74" s="111"/>
      <c r="AA74" s="111"/>
      <c r="AB74" s="111"/>
      <c r="AC74" s="111"/>
      <c r="AD74" s="111"/>
      <c r="AE74" s="110">
        <f t="shared" si="123"/>
        <v>770253000</v>
      </c>
      <c r="AF74" s="111"/>
      <c r="AG74" s="111"/>
      <c r="AH74" s="111"/>
      <c r="AI74" s="111"/>
      <c r="AJ74" s="111">
        <f t="shared" ref="AJ74:AL74" si="128">AJ70+AJ72</f>
        <v>772979731</v>
      </c>
      <c r="AK74" s="111">
        <f t="shared" si="128"/>
        <v>870876474</v>
      </c>
      <c r="AL74" s="111">
        <f t="shared" si="128"/>
        <v>870876474</v>
      </c>
      <c r="AM74" s="110"/>
      <c r="AN74" s="76">
        <f t="shared" si="118"/>
        <v>0.9548526979811669</v>
      </c>
      <c r="AO74" s="112">
        <f t="shared" si="125"/>
        <v>0.56330308615943203</v>
      </c>
      <c r="AP74" s="605"/>
      <c r="AQ74" s="580"/>
      <c r="AR74" s="580"/>
      <c r="AS74" s="616"/>
      <c r="AT74" s="574"/>
      <c r="AU74" s="197"/>
      <c r="AV74" s="197"/>
      <c r="AW74" s="197"/>
      <c r="AX74" s="197"/>
    </row>
    <row r="75" spans="1:50" ht="46.5" customHeight="1" x14ac:dyDescent="0.25">
      <c r="A75" s="546"/>
      <c r="B75" s="545">
        <v>12</v>
      </c>
      <c r="C75" s="545" t="s">
        <v>210</v>
      </c>
      <c r="D75" s="545" t="s">
        <v>125</v>
      </c>
      <c r="E75" s="545">
        <v>480</v>
      </c>
      <c r="F75" s="642"/>
      <c r="G75" s="113" t="s">
        <v>119</v>
      </c>
      <c r="H75" s="199">
        <v>1</v>
      </c>
      <c r="I75" s="200">
        <v>1</v>
      </c>
      <c r="J75" s="200">
        <v>1</v>
      </c>
      <c r="K75" s="200">
        <v>1</v>
      </c>
      <c r="L75" s="200">
        <v>1</v>
      </c>
      <c r="M75" s="201">
        <v>1</v>
      </c>
      <c r="N75" s="201">
        <v>1</v>
      </c>
      <c r="O75" s="201">
        <v>1</v>
      </c>
      <c r="P75" s="201">
        <v>1</v>
      </c>
      <c r="Q75" s="201">
        <v>1</v>
      </c>
      <c r="R75" s="201">
        <v>1</v>
      </c>
      <c r="S75" s="201">
        <v>1</v>
      </c>
      <c r="T75" s="201">
        <f>+S75</f>
        <v>1</v>
      </c>
      <c r="U75" s="201">
        <v>1</v>
      </c>
      <c r="V75" s="334">
        <v>1</v>
      </c>
      <c r="W75" s="160"/>
      <c r="X75" s="62"/>
      <c r="Y75" s="201">
        <v>1</v>
      </c>
      <c r="Z75" s="202"/>
      <c r="AA75" s="160"/>
      <c r="AB75" s="160"/>
      <c r="AC75" s="160"/>
      <c r="AD75" s="62"/>
      <c r="AE75" s="201">
        <v>1</v>
      </c>
      <c r="AF75" s="202"/>
      <c r="AG75" s="160"/>
      <c r="AH75" s="160"/>
      <c r="AI75" s="62"/>
      <c r="AJ75" s="201">
        <v>1</v>
      </c>
      <c r="AK75" s="201">
        <v>1</v>
      </c>
      <c r="AL75" s="334">
        <v>1</v>
      </c>
      <c r="AM75" s="201"/>
      <c r="AN75" s="76">
        <f>3/4</f>
        <v>0.75</v>
      </c>
      <c r="AO75" s="216">
        <f>9/16</f>
        <v>0.5625</v>
      </c>
      <c r="AP75" s="590" t="s">
        <v>212</v>
      </c>
      <c r="AQ75" s="579" t="s">
        <v>101</v>
      </c>
      <c r="AR75" s="579" t="s">
        <v>104</v>
      </c>
      <c r="AS75" s="615" t="s">
        <v>403</v>
      </c>
      <c r="AT75" s="597" t="s">
        <v>404</v>
      </c>
      <c r="AU75" s="196"/>
      <c r="AV75" s="196"/>
      <c r="AW75" s="196"/>
      <c r="AX75" s="196"/>
    </row>
    <row r="76" spans="1:50" ht="46.5" customHeight="1" x14ac:dyDescent="0.25">
      <c r="A76" s="546"/>
      <c r="B76" s="546"/>
      <c r="C76" s="546"/>
      <c r="D76" s="546"/>
      <c r="E76" s="546"/>
      <c r="F76" s="642"/>
      <c r="G76" s="124" t="s">
        <v>153</v>
      </c>
      <c r="H76" s="125">
        <f>+L76+R76+S76+Y76+AE76</f>
        <v>444807955</v>
      </c>
      <c r="I76" s="74">
        <v>62376897</v>
      </c>
      <c r="J76" s="74">
        <v>62376897</v>
      </c>
      <c r="K76" s="74">
        <v>62376897</v>
      </c>
      <c r="L76" s="74">
        <v>60848980</v>
      </c>
      <c r="M76" s="74">
        <v>100968000</v>
      </c>
      <c r="N76" s="74">
        <v>100968000</v>
      </c>
      <c r="O76" s="74">
        <v>100968000</v>
      </c>
      <c r="P76" s="74">
        <v>100968000</v>
      </c>
      <c r="Q76" s="74">
        <v>100968000</v>
      </c>
      <c r="R76" s="74">
        <v>97187000</v>
      </c>
      <c r="S76" s="74">
        <v>106072975</v>
      </c>
      <c r="T76" s="74">
        <v>106072975</v>
      </c>
      <c r="U76" s="74">
        <v>106072975</v>
      </c>
      <c r="V76" s="279">
        <v>106072975</v>
      </c>
      <c r="W76" s="75"/>
      <c r="X76" s="75"/>
      <c r="Y76" s="74">
        <v>108000000</v>
      </c>
      <c r="Z76" s="75"/>
      <c r="AA76" s="75"/>
      <c r="AB76" s="75"/>
      <c r="AC76" s="75"/>
      <c r="AD76" s="75"/>
      <c r="AE76" s="74">
        <v>72699000</v>
      </c>
      <c r="AF76" s="75"/>
      <c r="AG76" s="75"/>
      <c r="AH76" s="75"/>
      <c r="AI76" s="75"/>
      <c r="AJ76" s="74">
        <v>81720500</v>
      </c>
      <c r="AK76" s="74">
        <v>81720500</v>
      </c>
      <c r="AL76" s="279">
        <v>102504500</v>
      </c>
      <c r="AM76" s="74"/>
      <c r="AN76" s="76">
        <f>AL76/V76</f>
        <v>0.96635830191431893</v>
      </c>
      <c r="AO76" s="217">
        <f>(L76+R76+AL76)/H76</f>
        <v>0.58573700643460835</v>
      </c>
      <c r="AP76" s="588"/>
      <c r="AQ76" s="546"/>
      <c r="AR76" s="546"/>
      <c r="AS76" s="610"/>
      <c r="AT76" s="573"/>
      <c r="AU76" s="197"/>
      <c r="AV76" s="197"/>
      <c r="AW76" s="197"/>
      <c r="AX76" s="197"/>
    </row>
    <row r="77" spans="1:50" ht="46.5" customHeight="1" x14ac:dyDescent="0.25">
      <c r="A77" s="546"/>
      <c r="B77" s="546"/>
      <c r="C77" s="546"/>
      <c r="D77" s="546"/>
      <c r="E77" s="546"/>
      <c r="F77" s="642"/>
      <c r="G77" s="127" t="s">
        <v>160</v>
      </c>
      <c r="H77" s="167"/>
      <c r="I77" s="82"/>
      <c r="J77" s="82"/>
      <c r="K77" s="82"/>
      <c r="L77" s="83"/>
      <c r="M77" s="83"/>
      <c r="N77" s="83"/>
      <c r="O77" s="83"/>
      <c r="P77" s="83"/>
      <c r="Q77" s="83"/>
      <c r="R77" s="82"/>
      <c r="S77" s="83">
        <v>0</v>
      </c>
      <c r="T77" s="83">
        <v>0</v>
      </c>
      <c r="U77" s="83">
        <v>0</v>
      </c>
      <c r="V77" s="83"/>
      <c r="W77" s="89"/>
      <c r="X77" s="89"/>
      <c r="Y77" s="83"/>
      <c r="Z77" s="89"/>
      <c r="AA77" s="89"/>
      <c r="AB77" s="89"/>
      <c r="AC77" s="89"/>
      <c r="AD77" s="89"/>
      <c r="AE77" s="83"/>
      <c r="AF77" s="89"/>
      <c r="AG77" s="89"/>
      <c r="AH77" s="89"/>
      <c r="AI77" s="89"/>
      <c r="AJ77" s="83"/>
      <c r="AK77" s="83"/>
      <c r="AL77" s="83"/>
      <c r="AM77" s="42"/>
      <c r="AN77" s="95"/>
      <c r="AO77" s="96"/>
      <c r="AP77" s="588"/>
      <c r="AQ77" s="546"/>
      <c r="AR77" s="546"/>
      <c r="AS77" s="610"/>
      <c r="AT77" s="573"/>
      <c r="AU77" s="196"/>
      <c r="AV77" s="196"/>
      <c r="AW77" s="196"/>
      <c r="AX77" s="196"/>
    </row>
    <row r="78" spans="1:50" ht="46.5" customHeight="1" x14ac:dyDescent="0.25">
      <c r="A78" s="546"/>
      <c r="B78" s="546"/>
      <c r="C78" s="546"/>
      <c r="D78" s="546"/>
      <c r="E78" s="546"/>
      <c r="F78" s="642"/>
      <c r="G78" s="124" t="s">
        <v>180</v>
      </c>
      <c r="H78" s="125">
        <f>R78+S78+Y78+AE78</f>
        <v>40746074</v>
      </c>
      <c r="I78" s="99"/>
      <c r="J78" s="99"/>
      <c r="K78" s="99"/>
      <c r="L78" s="99"/>
      <c r="M78" s="74">
        <v>20174074</v>
      </c>
      <c r="N78" s="74">
        <v>20174074</v>
      </c>
      <c r="O78" s="74">
        <v>20174074</v>
      </c>
      <c r="P78" s="74">
        <v>20174074</v>
      </c>
      <c r="Q78" s="74">
        <v>20174074</v>
      </c>
      <c r="R78" s="74">
        <v>20174074</v>
      </c>
      <c r="S78" s="74">
        <v>20572000</v>
      </c>
      <c r="T78" s="75">
        <v>20572000</v>
      </c>
      <c r="U78" s="74">
        <v>20572000</v>
      </c>
      <c r="V78" s="279">
        <v>5274800</v>
      </c>
      <c r="W78" s="75"/>
      <c r="X78" s="75"/>
      <c r="Y78" s="363"/>
      <c r="Z78" s="364"/>
      <c r="AA78" s="364"/>
      <c r="AB78" s="364"/>
      <c r="AC78" s="364"/>
      <c r="AD78" s="364"/>
      <c r="AE78" s="365"/>
      <c r="AF78" s="75"/>
      <c r="AG78" s="75"/>
      <c r="AH78" s="75"/>
      <c r="AI78" s="75"/>
      <c r="AJ78" s="74">
        <v>5274800</v>
      </c>
      <c r="AK78" s="74">
        <v>5274800</v>
      </c>
      <c r="AL78" s="279">
        <v>5274800</v>
      </c>
      <c r="AM78" s="74"/>
      <c r="AN78" s="76">
        <f t="shared" ref="AN78:AN80" si="129">AL78/V78</f>
        <v>1</v>
      </c>
      <c r="AO78" s="96"/>
      <c r="AP78" s="588"/>
      <c r="AQ78" s="546"/>
      <c r="AR78" s="546"/>
      <c r="AS78" s="610"/>
      <c r="AT78" s="573"/>
      <c r="AU78" s="197"/>
      <c r="AV78" s="197"/>
      <c r="AW78" s="197"/>
      <c r="AX78" s="197"/>
    </row>
    <row r="79" spans="1:50" ht="46.5" customHeight="1" x14ac:dyDescent="0.25">
      <c r="A79" s="546"/>
      <c r="B79" s="546"/>
      <c r="C79" s="546"/>
      <c r="D79" s="546"/>
      <c r="E79" s="546"/>
      <c r="F79" s="642"/>
      <c r="G79" s="127" t="s">
        <v>191</v>
      </c>
      <c r="H79" s="210">
        <v>1</v>
      </c>
      <c r="I79" s="211">
        <f t="shared" ref="I79:K79" si="130">I75</f>
        <v>1</v>
      </c>
      <c r="J79" s="211">
        <f t="shared" si="130"/>
        <v>1</v>
      </c>
      <c r="K79" s="211">
        <f t="shared" si="130"/>
        <v>1</v>
      </c>
      <c r="L79" s="211">
        <v>1</v>
      </c>
      <c r="M79" s="211">
        <f t="shared" ref="M79:P79" si="131">+M75</f>
        <v>1</v>
      </c>
      <c r="N79" s="211">
        <f t="shared" si="131"/>
        <v>1</v>
      </c>
      <c r="O79" s="211">
        <f t="shared" si="131"/>
        <v>1</v>
      </c>
      <c r="P79" s="211">
        <f t="shared" si="131"/>
        <v>1</v>
      </c>
      <c r="Q79" s="211">
        <v>1</v>
      </c>
      <c r="R79" s="91">
        <v>100</v>
      </c>
      <c r="S79" s="211">
        <f>S75</f>
        <v>1</v>
      </c>
      <c r="T79" s="211">
        <f t="shared" ref="T79:T80" si="132">+T77+T75</f>
        <v>1</v>
      </c>
      <c r="U79" s="211">
        <v>1</v>
      </c>
      <c r="V79" s="211">
        <f>V75</f>
        <v>1</v>
      </c>
      <c r="W79" s="212"/>
      <c r="X79" s="46"/>
      <c r="Y79" s="211">
        <f t="shared" ref="Y79:Y80" si="133">Y75</f>
        <v>1</v>
      </c>
      <c r="Z79" s="212"/>
      <c r="AA79" s="212"/>
      <c r="AB79" s="212"/>
      <c r="AC79" s="212"/>
      <c r="AD79" s="46"/>
      <c r="AE79" s="211">
        <f t="shared" ref="AE79:AE80" si="134">AE75</f>
        <v>1</v>
      </c>
      <c r="AF79" s="212"/>
      <c r="AG79" s="212"/>
      <c r="AH79" s="212"/>
      <c r="AI79" s="46"/>
      <c r="AJ79" s="60">
        <f t="shared" ref="AJ79:AK79" si="135">AJ75+AJ77</f>
        <v>1</v>
      </c>
      <c r="AK79" s="60">
        <f t="shared" si="135"/>
        <v>1</v>
      </c>
      <c r="AL79" s="60">
        <f>AL75</f>
        <v>1</v>
      </c>
      <c r="AM79" s="60"/>
      <c r="AN79" s="76">
        <f t="shared" si="129"/>
        <v>1</v>
      </c>
      <c r="AO79" s="217">
        <f>9/16</f>
        <v>0.5625</v>
      </c>
      <c r="AP79" s="588"/>
      <c r="AQ79" s="546"/>
      <c r="AR79" s="546"/>
      <c r="AS79" s="610"/>
      <c r="AT79" s="573"/>
      <c r="AU79" s="196"/>
      <c r="AV79" s="196"/>
      <c r="AW79" s="196"/>
      <c r="AX79" s="196"/>
    </row>
    <row r="80" spans="1:50" ht="46.5" customHeight="1" x14ac:dyDescent="0.25">
      <c r="A80" s="546"/>
      <c r="B80" s="547"/>
      <c r="C80" s="547"/>
      <c r="D80" s="547"/>
      <c r="E80" s="547"/>
      <c r="F80" s="642"/>
      <c r="G80" s="142" t="s">
        <v>196</v>
      </c>
      <c r="H80" s="144">
        <f>+H76+H78</f>
        <v>485554029</v>
      </c>
      <c r="I80" s="110">
        <f t="shared" ref="I80:K80" si="136">I76</f>
        <v>62376897</v>
      </c>
      <c r="J80" s="110">
        <f t="shared" si="136"/>
        <v>62376897</v>
      </c>
      <c r="K80" s="110">
        <f t="shared" si="136"/>
        <v>62376897</v>
      </c>
      <c r="L80" s="110">
        <v>60848980</v>
      </c>
      <c r="M80" s="110">
        <f t="shared" ref="M80:R80" si="137">+M76+M78</f>
        <v>121142074</v>
      </c>
      <c r="N80" s="110">
        <f t="shared" si="137"/>
        <v>121142074</v>
      </c>
      <c r="O80" s="110">
        <f t="shared" si="137"/>
        <v>121142074</v>
      </c>
      <c r="P80" s="110">
        <f t="shared" si="137"/>
        <v>121142074</v>
      </c>
      <c r="Q80" s="110">
        <f t="shared" si="137"/>
        <v>121142074</v>
      </c>
      <c r="R80" s="110">
        <f t="shared" si="137"/>
        <v>117361074</v>
      </c>
      <c r="S80" s="110">
        <f>S76+S78</f>
        <v>126644975</v>
      </c>
      <c r="T80" s="110">
        <f t="shared" si="132"/>
        <v>126644975</v>
      </c>
      <c r="U80" s="110">
        <v>126644975</v>
      </c>
      <c r="V80" s="110">
        <f>V76+V78</f>
        <v>111347775</v>
      </c>
      <c r="W80" s="111"/>
      <c r="X80" s="111"/>
      <c r="Y80" s="110">
        <f t="shared" si="133"/>
        <v>108000000</v>
      </c>
      <c r="Z80" s="111"/>
      <c r="AA80" s="111"/>
      <c r="AB80" s="111"/>
      <c r="AC80" s="111"/>
      <c r="AD80" s="111"/>
      <c r="AE80" s="110">
        <f t="shared" si="134"/>
        <v>72699000</v>
      </c>
      <c r="AF80" s="111"/>
      <c r="AG80" s="111"/>
      <c r="AH80" s="111"/>
      <c r="AI80" s="111"/>
      <c r="AJ80" s="111">
        <f t="shared" ref="AJ80:AL80" si="138">AJ76+AJ78</f>
        <v>86995300</v>
      </c>
      <c r="AK80" s="111">
        <f t="shared" si="138"/>
        <v>86995300</v>
      </c>
      <c r="AL80" s="111">
        <f t="shared" si="138"/>
        <v>107779300</v>
      </c>
      <c r="AM80" s="110"/>
      <c r="AN80" s="76">
        <f t="shared" si="129"/>
        <v>0.96795198646762359</v>
      </c>
      <c r="AO80" s="218">
        <f>(L80+R80+AL80)/H80</f>
        <v>0.5889959446716897</v>
      </c>
      <c r="AP80" s="591"/>
      <c r="AQ80" s="580"/>
      <c r="AR80" s="580"/>
      <c r="AS80" s="616"/>
      <c r="AT80" s="574"/>
      <c r="AU80" s="197"/>
      <c r="AV80" s="197"/>
      <c r="AW80" s="197"/>
      <c r="AX80" s="197"/>
    </row>
    <row r="81" spans="1:50" ht="46.5" customHeight="1" x14ac:dyDescent="0.25">
      <c r="A81" s="546"/>
      <c r="B81" s="545">
        <v>13</v>
      </c>
      <c r="C81" s="545" t="s">
        <v>221</v>
      </c>
      <c r="D81" s="545" t="s">
        <v>125</v>
      </c>
      <c r="E81" s="545" t="s">
        <v>407</v>
      </c>
      <c r="F81" s="642"/>
      <c r="G81" s="113" t="s">
        <v>119</v>
      </c>
      <c r="H81" s="199">
        <v>1</v>
      </c>
      <c r="I81" s="200">
        <v>1</v>
      </c>
      <c r="J81" s="200">
        <v>1</v>
      </c>
      <c r="K81" s="200">
        <v>1</v>
      </c>
      <c r="L81" s="200">
        <v>1</v>
      </c>
      <c r="M81" s="200">
        <v>1</v>
      </c>
      <c r="N81" s="200">
        <v>1</v>
      </c>
      <c r="O81" s="201">
        <v>1</v>
      </c>
      <c r="P81" s="201">
        <v>1</v>
      </c>
      <c r="Q81" s="201">
        <v>1</v>
      </c>
      <c r="R81" s="201">
        <v>1</v>
      </c>
      <c r="S81" s="200">
        <v>1</v>
      </c>
      <c r="T81" s="200">
        <f>+S81</f>
        <v>1</v>
      </c>
      <c r="U81" s="201">
        <v>1</v>
      </c>
      <c r="V81" s="334">
        <v>1</v>
      </c>
      <c r="W81" s="202"/>
      <c r="X81" s="202"/>
      <c r="Y81" s="200">
        <v>1</v>
      </c>
      <c r="Z81" s="219"/>
      <c r="AA81" s="202"/>
      <c r="AB81" s="202"/>
      <c r="AC81" s="202"/>
      <c r="AD81" s="202"/>
      <c r="AE81" s="200">
        <v>1</v>
      </c>
      <c r="AF81" s="219"/>
      <c r="AG81" s="202"/>
      <c r="AH81" s="202"/>
      <c r="AI81" s="202"/>
      <c r="AJ81" s="201">
        <v>1</v>
      </c>
      <c r="AK81" s="201">
        <v>1</v>
      </c>
      <c r="AL81" s="334">
        <v>1</v>
      </c>
      <c r="AM81" s="201"/>
      <c r="AN81" s="76">
        <f>3/4</f>
        <v>0.75</v>
      </c>
      <c r="AO81" s="216">
        <f>9/16</f>
        <v>0.5625</v>
      </c>
      <c r="AP81" s="590" t="s">
        <v>409</v>
      </c>
      <c r="AQ81" s="579" t="s">
        <v>101</v>
      </c>
      <c r="AR81" s="579" t="s">
        <v>104</v>
      </c>
      <c r="AS81" s="621" t="s">
        <v>410</v>
      </c>
      <c r="AT81" s="597" t="s">
        <v>260</v>
      </c>
      <c r="AU81" s="196"/>
      <c r="AV81" s="196"/>
      <c r="AW81" s="196"/>
      <c r="AX81" s="196"/>
    </row>
    <row r="82" spans="1:50" ht="46.5" customHeight="1" x14ac:dyDescent="0.25">
      <c r="A82" s="546"/>
      <c r="B82" s="546"/>
      <c r="C82" s="546"/>
      <c r="D82" s="546"/>
      <c r="E82" s="546"/>
      <c r="F82" s="642"/>
      <c r="G82" s="124" t="s">
        <v>153</v>
      </c>
      <c r="H82" s="125">
        <f>+L82+R82+S82+Y82+AE82</f>
        <v>1933891348</v>
      </c>
      <c r="I82" s="74">
        <v>166456730</v>
      </c>
      <c r="J82" s="74">
        <v>166456730</v>
      </c>
      <c r="K82" s="74">
        <v>166456730</v>
      </c>
      <c r="L82" s="74">
        <v>160878054</v>
      </c>
      <c r="M82" s="74">
        <v>311755000</v>
      </c>
      <c r="N82" s="74">
        <v>311755000</v>
      </c>
      <c r="O82" s="74">
        <v>311755000</v>
      </c>
      <c r="P82" s="74">
        <v>311755000</v>
      </c>
      <c r="Q82" s="74">
        <v>316420834</v>
      </c>
      <c r="R82" s="74">
        <v>307653234</v>
      </c>
      <c r="S82" s="74">
        <v>700608060</v>
      </c>
      <c r="T82" s="74">
        <v>700608060</v>
      </c>
      <c r="U82" s="74">
        <v>719270530</v>
      </c>
      <c r="V82" s="279">
        <v>719270530</v>
      </c>
      <c r="W82" s="75"/>
      <c r="X82" s="75"/>
      <c r="Y82" s="74">
        <v>457000000</v>
      </c>
      <c r="Z82" s="75"/>
      <c r="AA82" s="75"/>
      <c r="AB82" s="75"/>
      <c r="AC82" s="75"/>
      <c r="AD82" s="75"/>
      <c r="AE82" s="74">
        <v>307752000</v>
      </c>
      <c r="AF82" s="75"/>
      <c r="AG82" s="75"/>
      <c r="AH82" s="75"/>
      <c r="AI82" s="75"/>
      <c r="AJ82" s="74">
        <v>666502000</v>
      </c>
      <c r="AK82" s="74">
        <v>666502000</v>
      </c>
      <c r="AL82" s="279">
        <v>703924900</v>
      </c>
      <c r="AM82" s="74"/>
      <c r="AN82" s="76">
        <f>AL82/V82</f>
        <v>0.97866500939500467</v>
      </c>
      <c r="AO82" s="217">
        <f>(L82+R82+AL82)/H82</f>
        <v>0.60626786981209457</v>
      </c>
      <c r="AP82" s="588"/>
      <c r="AQ82" s="546"/>
      <c r="AR82" s="546"/>
      <c r="AS82" s="610"/>
      <c r="AT82" s="573"/>
      <c r="AU82" s="197"/>
      <c r="AV82" s="197"/>
      <c r="AW82" s="197"/>
      <c r="AX82" s="197"/>
    </row>
    <row r="83" spans="1:50" ht="46.5" customHeight="1" x14ac:dyDescent="0.25">
      <c r="A83" s="546"/>
      <c r="B83" s="546"/>
      <c r="C83" s="546"/>
      <c r="D83" s="546"/>
      <c r="E83" s="546"/>
      <c r="F83" s="642"/>
      <c r="G83" s="127" t="s">
        <v>160</v>
      </c>
      <c r="H83" s="167"/>
      <c r="I83" s="83"/>
      <c r="J83" s="83"/>
      <c r="K83" s="83"/>
      <c r="L83" s="83"/>
      <c r="M83" s="83"/>
      <c r="N83" s="83"/>
      <c r="O83" s="205"/>
      <c r="P83" s="205"/>
      <c r="Q83" s="83"/>
      <c r="R83" s="82"/>
      <c r="S83" s="83">
        <v>0</v>
      </c>
      <c r="T83" s="83">
        <v>0</v>
      </c>
      <c r="U83" s="83"/>
      <c r="V83" s="322">
        <f>V82/2</f>
        <v>359635265</v>
      </c>
      <c r="W83" s="89"/>
      <c r="X83" s="89"/>
      <c r="Y83" s="83"/>
      <c r="Z83" s="89"/>
      <c r="AA83" s="89"/>
      <c r="AB83" s="89"/>
      <c r="AC83" s="89"/>
      <c r="AD83" s="89"/>
      <c r="AE83" s="83"/>
      <c r="AF83" s="89"/>
      <c r="AG83" s="89"/>
      <c r="AH83" s="89"/>
      <c r="AI83" s="89"/>
      <c r="AJ83" s="83"/>
      <c r="AK83" s="83"/>
      <c r="AL83" s="83"/>
      <c r="AM83" s="51"/>
      <c r="AN83" s="95"/>
      <c r="AO83" s="96"/>
      <c r="AP83" s="588"/>
      <c r="AQ83" s="546"/>
      <c r="AR83" s="546"/>
      <c r="AS83" s="610"/>
      <c r="AT83" s="573"/>
      <c r="AU83" s="196"/>
      <c r="AV83" s="196"/>
      <c r="AW83" s="196"/>
      <c r="AX83" s="196"/>
    </row>
    <row r="84" spans="1:50" ht="46.5" customHeight="1" x14ac:dyDescent="0.25">
      <c r="A84" s="546"/>
      <c r="B84" s="546"/>
      <c r="C84" s="546"/>
      <c r="D84" s="546"/>
      <c r="E84" s="546"/>
      <c r="F84" s="642"/>
      <c r="G84" s="124" t="s">
        <v>180</v>
      </c>
      <c r="H84" s="125">
        <f>R84+S84+Y84+AE84</f>
        <v>80801954</v>
      </c>
      <c r="I84" s="99"/>
      <c r="J84" s="99"/>
      <c r="K84" s="99"/>
      <c r="L84" s="99"/>
      <c r="M84" s="74">
        <v>53169121</v>
      </c>
      <c r="N84" s="74">
        <v>53169121</v>
      </c>
      <c r="O84" s="74">
        <v>53169121</v>
      </c>
      <c r="P84" s="74">
        <v>53169121</v>
      </c>
      <c r="Q84" s="74">
        <v>53169121</v>
      </c>
      <c r="R84" s="74">
        <v>53169121</v>
      </c>
      <c r="S84" s="74">
        <v>27632833</v>
      </c>
      <c r="T84" s="75">
        <v>27632833</v>
      </c>
      <c r="U84" s="74">
        <v>27632833</v>
      </c>
      <c r="V84" s="279">
        <v>27632833</v>
      </c>
      <c r="W84" s="75"/>
      <c r="X84" s="75"/>
      <c r="Y84" s="83"/>
      <c r="Z84" s="89"/>
      <c r="AA84" s="89"/>
      <c r="AB84" s="89"/>
      <c r="AC84" s="89"/>
      <c r="AD84" s="89"/>
      <c r="AE84" s="83"/>
      <c r="AF84" s="75"/>
      <c r="AG84" s="75"/>
      <c r="AH84" s="75"/>
      <c r="AI84" s="75"/>
      <c r="AJ84" s="74">
        <v>27632833</v>
      </c>
      <c r="AK84" s="74">
        <v>27632833</v>
      </c>
      <c r="AL84" s="279">
        <v>27632833</v>
      </c>
      <c r="AM84" s="74"/>
      <c r="AN84" s="76">
        <f t="shared" ref="AN84:AN86" si="139">AL84/V84</f>
        <v>1</v>
      </c>
      <c r="AO84" s="96"/>
      <c r="AP84" s="588"/>
      <c r="AQ84" s="546"/>
      <c r="AR84" s="546"/>
      <c r="AS84" s="610"/>
      <c r="AT84" s="573"/>
      <c r="AU84" s="197"/>
      <c r="AV84" s="197"/>
      <c r="AW84" s="197"/>
      <c r="AX84" s="197"/>
    </row>
    <row r="85" spans="1:50" ht="46.5" customHeight="1" x14ac:dyDescent="0.25">
      <c r="A85" s="546"/>
      <c r="B85" s="546"/>
      <c r="C85" s="546"/>
      <c r="D85" s="546"/>
      <c r="E85" s="546"/>
      <c r="F85" s="642"/>
      <c r="G85" s="127" t="s">
        <v>191</v>
      </c>
      <c r="H85" s="210">
        <v>1</v>
      </c>
      <c r="I85" s="211">
        <v>1</v>
      </c>
      <c r="J85" s="211">
        <v>1</v>
      </c>
      <c r="K85" s="211">
        <v>1</v>
      </c>
      <c r="L85" s="211">
        <v>1</v>
      </c>
      <c r="M85" s="60">
        <f t="shared" ref="M85:P85" si="140">+M81</f>
        <v>1</v>
      </c>
      <c r="N85" s="60">
        <f t="shared" si="140"/>
        <v>1</v>
      </c>
      <c r="O85" s="60">
        <f t="shared" si="140"/>
        <v>1</v>
      </c>
      <c r="P85" s="60">
        <f t="shared" si="140"/>
        <v>1</v>
      </c>
      <c r="Q85" s="60">
        <v>1</v>
      </c>
      <c r="R85" s="60">
        <v>1</v>
      </c>
      <c r="S85" s="211">
        <f>S81</f>
        <v>1</v>
      </c>
      <c r="T85" s="211">
        <f t="shared" ref="T85:T86" si="141">+T83+T81</f>
        <v>1</v>
      </c>
      <c r="U85" s="211">
        <v>1</v>
      </c>
      <c r="V85" s="211">
        <f>V81</f>
        <v>1</v>
      </c>
      <c r="W85" s="58"/>
      <c r="X85" s="58"/>
      <c r="Y85" s="211">
        <f t="shared" ref="Y85:Y86" si="142">Y81</f>
        <v>1</v>
      </c>
      <c r="Z85" s="212"/>
      <c r="AA85" s="58"/>
      <c r="AB85" s="58"/>
      <c r="AC85" s="58"/>
      <c r="AD85" s="58"/>
      <c r="AE85" s="211">
        <f t="shared" ref="AE85:AE86" si="143">AE81</f>
        <v>1</v>
      </c>
      <c r="AF85" s="212"/>
      <c r="AG85" s="58"/>
      <c r="AH85" s="58"/>
      <c r="AI85" s="58"/>
      <c r="AJ85" s="58">
        <f t="shared" ref="AJ85:AK85" si="144">AJ81+AJ83</f>
        <v>1</v>
      </c>
      <c r="AK85" s="58">
        <f t="shared" si="144"/>
        <v>1</v>
      </c>
      <c r="AL85" s="58">
        <f>AL81</f>
        <v>1</v>
      </c>
      <c r="AM85" s="60"/>
      <c r="AN85" s="76">
        <f t="shared" si="139"/>
        <v>1</v>
      </c>
      <c r="AO85" s="217">
        <f>9/16</f>
        <v>0.5625</v>
      </c>
      <c r="AP85" s="588"/>
      <c r="AQ85" s="546"/>
      <c r="AR85" s="546"/>
      <c r="AS85" s="610"/>
      <c r="AT85" s="573"/>
      <c r="AU85" s="196"/>
      <c r="AV85" s="196"/>
      <c r="AW85" s="196"/>
      <c r="AX85" s="196"/>
    </row>
    <row r="86" spans="1:50" ht="46.5" customHeight="1" thickBot="1" x14ac:dyDescent="0.3">
      <c r="A86" s="546"/>
      <c r="B86" s="547"/>
      <c r="C86" s="547"/>
      <c r="D86" s="547"/>
      <c r="E86" s="547"/>
      <c r="F86" s="642"/>
      <c r="G86" s="142" t="s">
        <v>196</v>
      </c>
      <c r="H86" s="144">
        <f>+H82+H84</f>
        <v>2014693302</v>
      </c>
      <c r="I86" s="110">
        <v>166456730</v>
      </c>
      <c r="J86" s="110">
        <f t="shared" ref="J86:K86" si="145">+J82</f>
        <v>166456730</v>
      </c>
      <c r="K86" s="110">
        <f t="shared" si="145"/>
        <v>166456730</v>
      </c>
      <c r="L86" s="110">
        <v>160878054</v>
      </c>
      <c r="M86" s="110">
        <f t="shared" ref="M86:R86" si="146">+M82+M84</f>
        <v>364924121</v>
      </c>
      <c r="N86" s="110">
        <f t="shared" si="146"/>
        <v>364924121</v>
      </c>
      <c r="O86" s="110">
        <f t="shared" si="146"/>
        <v>364924121</v>
      </c>
      <c r="P86" s="110">
        <f t="shared" si="146"/>
        <v>364924121</v>
      </c>
      <c r="Q86" s="110">
        <f t="shared" si="146"/>
        <v>369589955</v>
      </c>
      <c r="R86" s="110">
        <f t="shared" si="146"/>
        <v>360822355</v>
      </c>
      <c r="S86" s="110">
        <f>S82+S84</f>
        <v>728240893</v>
      </c>
      <c r="T86" s="110">
        <f t="shared" si="141"/>
        <v>728240893</v>
      </c>
      <c r="U86" s="110">
        <v>746903363</v>
      </c>
      <c r="V86" s="110">
        <f>V82+V84</f>
        <v>746903363</v>
      </c>
      <c r="W86" s="111"/>
      <c r="X86" s="111"/>
      <c r="Y86" s="110">
        <f t="shared" si="142"/>
        <v>457000000</v>
      </c>
      <c r="Z86" s="111"/>
      <c r="AA86" s="111"/>
      <c r="AB86" s="111"/>
      <c r="AC86" s="111"/>
      <c r="AD86" s="111"/>
      <c r="AE86" s="110">
        <f t="shared" si="143"/>
        <v>307752000</v>
      </c>
      <c r="AF86" s="111"/>
      <c r="AG86" s="111"/>
      <c r="AH86" s="111"/>
      <c r="AI86" s="111"/>
      <c r="AJ86" s="111">
        <f t="shared" ref="AJ86:AL86" si="147">AJ82+AJ84</f>
        <v>694134833</v>
      </c>
      <c r="AK86" s="111">
        <f t="shared" si="147"/>
        <v>694134833</v>
      </c>
      <c r="AL86" s="111">
        <f t="shared" si="147"/>
        <v>731557733</v>
      </c>
      <c r="AM86" s="110"/>
      <c r="AN86" s="76">
        <f t="shared" si="139"/>
        <v>0.97945433002421756</v>
      </c>
      <c r="AO86" s="218">
        <f>(L86+R86+AL86)/H86</f>
        <v>0.62205902047516715</v>
      </c>
      <c r="AP86" s="591"/>
      <c r="AQ86" s="580"/>
      <c r="AR86" s="580"/>
      <c r="AS86" s="616"/>
      <c r="AT86" s="574"/>
      <c r="AU86" s="197"/>
      <c r="AV86" s="197"/>
      <c r="AW86" s="197"/>
      <c r="AX86" s="197"/>
    </row>
    <row r="87" spans="1:50" ht="46.5" customHeight="1" x14ac:dyDescent="0.25">
      <c r="A87" s="546"/>
      <c r="B87" s="545">
        <v>14</v>
      </c>
      <c r="C87" s="545" t="s">
        <v>226</v>
      </c>
      <c r="D87" s="545" t="s">
        <v>146</v>
      </c>
      <c r="E87" s="545">
        <v>481</v>
      </c>
      <c r="F87" s="642"/>
      <c r="G87" s="113" t="s">
        <v>119</v>
      </c>
      <c r="H87" s="220">
        <v>0.25</v>
      </c>
      <c r="I87" s="221">
        <v>15</v>
      </c>
      <c r="J87" s="221">
        <v>15</v>
      </c>
      <c r="K87" s="92">
        <v>0.15129999999999999</v>
      </c>
      <c r="L87" s="92">
        <v>0.15129999999999999</v>
      </c>
      <c r="M87" s="200">
        <v>0.2</v>
      </c>
      <c r="N87" s="200">
        <v>0.2</v>
      </c>
      <c r="O87" s="201">
        <v>0.2</v>
      </c>
      <c r="P87" s="201">
        <v>0.2</v>
      </c>
      <c r="Q87" s="201">
        <v>0.25</v>
      </c>
      <c r="R87" s="67">
        <v>0.3034</v>
      </c>
      <c r="S87" s="200">
        <v>0.25</v>
      </c>
      <c r="T87" s="200">
        <f>+S87</f>
        <v>0.25</v>
      </c>
      <c r="U87" s="201">
        <v>0.25</v>
      </c>
      <c r="V87" s="334">
        <v>0.25</v>
      </c>
      <c r="W87" s="160"/>
      <c r="X87" s="62"/>
      <c r="Y87" s="200">
        <v>0.25</v>
      </c>
      <c r="Z87" s="219"/>
      <c r="AA87" s="160"/>
      <c r="AB87" s="160"/>
      <c r="AC87" s="160"/>
      <c r="AD87" s="62"/>
      <c r="AE87" s="200">
        <v>0.25</v>
      </c>
      <c r="AF87" s="219"/>
      <c r="AG87" s="160"/>
      <c r="AH87" s="160"/>
      <c r="AI87" s="62"/>
      <c r="AJ87" s="67">
        <v>0.3034</v>
      </c>
      <c r="AK87" s="67">
        <v>0.3034</v>
      </c>
      <c r="AL87" s="337">
        <v>0.3034</v>
      </c>
      <c r="AM87" s="92"/>
      <c r="AN87" s="68">
        <f>AL87/V87</f>
        <v>1.2136</v>
      </c>
      <c r="AO87" s="68">
        <f>AL87/H87</f>
        <v>1.2136</v>
      </c>
      <c r="AP87" s="590" t="s">
        <v>412</v>
      </c>
      <c r="AQ87" s="579" t="s">
        <v>548</v>
      </c>
      <c r="AR87" s="579" t="s">
        <v>549</v>
      </c>
      <c r="AS87" s="615" t="s">
        <v>259</v>
      </c>
      <c r="AT87" s="597" t="s">
        <v>260</v>
      </c>
      <c r="AU87" s="196"/>
      <c r="AV87" s="196"/>
      <c r="AW87" s="196"/>
      <c r="AX87" s="196"/>
    </row>
    <row r="88" spans="1:50" ht="46.5" customHeight="1" x14ac:dyDescent="0.25">
      <c r="A88" s="546"/>
      <c r="B88" s="546"/>
      <c r="C88" s="546"/>
      <c r="D88" s="546"/>
      <c r="E88" s="546"/>
      <c r="F88" s="642"/>
      <c r="G88" s="124" t="s">
        <v>153</v>
      </c>
      <c r="H88" s="125">
        <f>+L88+R88+S88+Y88+AE88</f>
        <v>2699451448</v>
      </c>
      <c r="I88" s="74">
        <v>377990921</v>
      </c>
      <c r="J88" s="74">
        <v>377990921</v>
      </c>
      <c r="K88" s="74">
        <v>377990921</v>
      </c>
      <c r="L88" s="74">
        <v>359363489</v>
      </c>
      <c r="M88" s="74">
        <v>418379000</v>
      </c>
      <c r="N88" s="74">
        <v>418379000</v>
      </c>
      <c r="O88" s="74">
        <v>418379000</v>
      </c>
      <c r="P88" s="74">
        <v>418379000</v>
      </c>
      <c r="Q88" s="74">
        <v>443255434</v>
      </c>
      <c r="R88" s="74">
        <v>438081434</v>
      </c>
      <c r="S88" s="74">
        <v>634002175</v>
      </c>
      <c r="T88" s="74">
        <v>634002175</v>
      </c>
      <c r="U88" s="74">
        <v>639289845</v>
      </c>
      <c r="V88" s="279">
        <v>639289845</v>
      </c>
      <c r="W88" s="75"/>
      <c r="X88" s="75"/>
      <c r="Y88" s="74">
        <v>634002175</v>
      </c>
      <c r="Z88" s="75"/>
      <c r="AA88" s="75"/>
      <c r="AB88" s="75"/>
      <c r="AC88" s="75"/>
      <c r="AD88" s="75"/>
      <c r="AE88" s="74">
        <v>634002175</v>
      </c>
      <c r="AF88" s="75"/>
      <c r="AG88" s="75"/>
      <c r="AH88" s="75"/>
      <c r="AI88" s="75"/>
      <c r="AJ88" s="74">
        <v>343239718</v>
      </c>
      <c r="AK88" s="74">
        <v>492014500</v>
      </c>
      <c r="AL88" s="279">
        <v>604048233</v>
      </c>
      <c r="AM88" s="74"/>
      <c r="AN88" s="76">
        <f>AL88/V88</f>
        <v>0.94487381228462963</v>
      </c>
      <c r="AO88" s="126">
        <f>(L88+R88+AL88)/H88</f>
        <v>0.51917701910821701</v>
      </c>
      <c r="AP88" s="588"/>
      <c r="AQ88" s="546"/>
      <c r="AR88" s="546"/>
      <c r="AS88" s="610"/>
      <c r="AT88" s="573"/>
      <c r="AU88" s="197"/>
      <c r="AV88" s="197"/>
      <c r="AW88" s="197"/>
      <c r="AX88" s="197"/>
    </row>
    <row r="89" spans="1:50" ht="46.5" customHeight="1" x14ac:dyDescent="0.25">
      <c r="A89" s="546"/>
      <c r="B89" s="546"/>
      <c r="C89" s="546"/>
      <c r="D89" s="546"/>
      <c r="E89" s="546"/>
      <c r="F89" s="642"/>
      <c r="G89" s="127" t="s">
        <v>160</v>
      </c>
      <c r="H89" s="167"/>
      <c r="I89" s="83"/>
      <c r="J89" s="83"/>
      <c r="K89" s="83"/>
      <c r="L89" s="83"/>
      <c r="M89" s="83"/>
      <c r="N89" s="83"/>
      <c r="O89" s="83"/>
      <c r="P89" s="83"/>
      <c r="Q89" s="83"/>
      <c r="R89" s="82"/>
      <c r="S89" s="83">
        <v>0</v>
      </c>
      <c r="T89" s="83">
        <v>0</v>
      </c>
      <c r="U89" s="83">
        <v>0</v>
      </c>
      <c r="V89" s="83"/>
      <c r="W89" s="89"/>
      <c r="X89" s="89"/>
      <c r="Y89" s="83"/>
      <c r="Z89" s="89"/>
      <c r="AA89" s="89"/>
      <c r="AB89" s="89"/>
      <c r="AC89" s="89"/>
      <c r="AD89" s="89"/>
      <c r="AE89" s="83"/>
      <c r="AF89" s="89"/>
      <c r="AG89" s="89"/>
      <c r="AH89" s="89"/>
      <c r="AI89" s="89"/>
      <c r="AJ89" s="83"/>
      <c r="AK89" s="83"/>
      <c r="AL89" s="83"/>
      <c r="AM89" s="42"/>
      <c r="AN89" s="95"/>
      <c r="AO89" s="96"/>
      <c r="AP89" s="588"/>
      <c r="AQ89" s="546"/>
      <c r="AR89" s="546"/>
      <c r="AS89" s="610"/>
      <c r="AT89" s="573"/>
      <c r="AU89" s="196"/>
      <c r="AV89" s="196"/>
      <c r="AW89" s="196"/>
      <c r="AX89" s="196"/>
    </row>
    <row r="90" spans="1:50" ht="46.5" customHeight="1" thickBot="1" x14ac:dyDescent="0.3">
      <c r="A90" s="546"/>
      <c r="B90" s="546"/>
      <c r="C90" s="546"/>
      <c r="D90" s="546"/>
      <c r="E90" s="546"/>
      <c r="F90" s="642"/>
      <c r="G90" s="124" t="s">
        <v>180</v>
      </c>
      <c r="H90" s="125">
        <f>R90+S90+Y90+AE90</f>
        <v>638537322</v>
      </c>
      <c r="I90" s="99"/>
      <c r="J90" s="99"/>
      <c r="K90" s="99"/>
      <c r="L90" s="99"/>
      <c r="M90" s="74">
        <v>200557722</v>
      </c>
      <c r="N90" s="74">
        <v>200557722</v>
      </c>
      <c r="O90" s="74">
        <v>200557722</v>
      </c>
      <c r="P90" s="74">
        <v>200557722</v>
      </c>
      <c r="Q90" s="74">
        <v>200557722</v>
      </c>
      <c r="R90" s="74">
        <v>200557722</v>
      </c>
      <c r="S90" s="74">
        <v>145993200</v>
      </c>
      <c r="T90" s="75">
        <v>145993200</v>
      </c>
      <c r="U90" s="74">
        <v>145993200</v>
      </c>
      <c r="V90" s="279">
        <v>141527133</v>
      </c>
      <c r="W90" s="75"/>
      <c r="X90" s="75"/>
      <c r="Y90" s="74">
        <v>145993200</v>
      </c>
      <c r="Z90" s="75"/>
      <c r="AA90" s="75"/>
      <c r="AB90" s="75"/>
      <c r="AC90" s="75"/>
      <c r="AD90" s="75"/>
      <c r="AE90" s="74">
        <v>145993200</v>
      </c>
      <c r="AF90" s="75"/>
      <c r="AG90" s="75"/>
      <c r="AH90" s="75"/>
      <c r="AI90" s="75"/>
      <c r="AJ90" s="74">
        <v>64943266</v>
      </c>
      <c r="AK90" s="74">
        <v>121367100</v>
      </c>
      <c r="AL90" s="279">
        <v>141527133</v>
      </c>
      <c r="AM90" s="74"/>
      <c r="AN90" s="76">
        <f>AL90/V90</f>
        <v>1</v>
      </c>
      <c r="AO90" s="96"/>
      <c r="AP90" s="588"/>
      <c r="AQ90" s="546"/>
      <c r="AR90" s="546"/>
      <c r="AS90" s="610"/>
      <c r="AT90" s="573"/>
      <c r="AU90" s="197"/>
      <c r="AV90" s="197"/>
      <c r="AW90" s="197"/>
      <c r="AX90" s="197"/>
    </row>
    <row r="91" spans="1:50" ht="46.5" customHeight="1" x14ac:dyDescent="0.25">
      <c r="A91" s="546"/>
      <c r="B91" s="546"/>
      <c r="C91" s="546"/>
      <c r="D91" s="546"/>
      <c r="E91" s="546"/>
      <c r="F91" s="642"/>
      <c r="G91" s="127" t="s">
        <v>191</v>
      </c>
      <c r="H91" s="222">
        <v>0.25</v>
      </c>
      <c r="I91" s="223">
        <v>15</v>
      </c>
      <c r="J91" s="223">
        <v>15</v>
      </c>
      <c r="K91" s="100">
        <f>K87</f>
        <v>0.15129999999999999</v>
      </c>
      <c r="L91" s="100">
        <v>0.15129999999999999</v>
      </c>
      <c r="M91" s="60">
        <f t="shared" ref="M91:P91" si="148">+M87</f>
        <v>0.2</v>
      </c>
      <c r="N91" s="60">
        <f t="shared" si="148"/>
        <v>0.2</v>
      </c>
      <c r="O91" s="60">
        <f t="shared" si="148"/>
        <v>0.2</v>
      </c>
      <c r="P91" s="60">
        <f t="shared" si="148"/>
        <v>0.2</v>
      </c>
      <c r="Q91" s="91">
        <v>0.2</v>
      </c>
      <c r="R91" s="63">
        <v>0.3034</v>
      </c>
      <c r="S91" s="211">
        <v>0.25</v>
      </c>
      <c r="T91" s="211">
        <f>+T87+T89</f>
        <v>0.25</v>
      </c>
      <c r="U91" s="211">
        <v>0.25</v>
      </c>
      <c r="V91" s="211">
        <f>V87</f>
        <v>0.25</v>
      </c>
      <c r="W91" s="89"/>
      <c r="X91" s="46"/>
      <c r="Y91" s="211">
        <v>0.25</v>
      </c>
      <c r="Z91" s="212"/>
      <c r="AA91" s="89"/>
      <c r="AB91" s="89"/>
      <c r="AC91" s="89"/>
      <c r="AD91" s="46"/>
      <c r="AE91" s="211">
        <v>0.25</v>
      </c>
      <c r="AF91" s="212"/>
      <c r="AG91" s="89"/>
      <c r="AH91" s="89"/>
      <c r="AI91" s="46"/>
      <c r="AJ91" s="84">
        <f t="shared" ref="AJ91:AK91" si="149">AJ87+AJ89</f>
        <v>0.3034</v>
      </c>
      <c r="AK91" s="84">
        <f t="shared" si="149"/>
        <v>0.3034</v>
      </c>
      <c r="AL91" s="84">
        <f>AL87</f>
        <v>0.3034</v>
      </c>
      <c r="AM91" s="100"/>
      <c r="AN91" s="68">
        <f>AL91/V91</f>
        <v>1.2136</v>
      </c>
      <c r="AO91" s="68">
        <f>AL91/H91</f>
        <v>1.2136</v>
      </c>
      <c r="AP91" s="588"/>
      <c r="AQ91" s="546"/>
      <c r="AR91" s="546"/>
      <c r="AS91" s="610"/>
      <c r="AT91" s="573"/>
      <c r="AU91" s="196"/>
      <c r="AV91" s="196"/>
      <c r="AW91" s="196"/>
      <c r="AX91" s="196"/>
    </row>
    <row r="92" spans="1:50" ht="46.5" customHeight="1" thickBot="1" x14ac:dyDescent="0.3">
      <c r="A92" s="546"/>
      <c r="B92" s="547"/>
      <c r="C92" s="547"/>
      <c r="D92" s="547"/>
      <c r="E92" s="547"/>
      <c r="F92" s="642"/>
      <c r="G92" s="142" t="s">
        <v>196</v>
      </c>
      <c r="H92" s="144">
        <f>+H88+H90</f>
        <v>3337988770</v>
      </c>
      <c r="I92" s="110">
        <f t="shared" ref="I92:K92" si="150">+I88</f>
        <v>377990921</v>
      </c>
      <c r="J92" s="110">
        <f t="shared" si="150"/>
        <v>377990921</v>
      </c>
      <c r="K92" s="110">
        <f t="shared" si="150"/>
        <v>377990921</v>
      </c>
      <c r="L92" s="110">
        <v>359363489</v>
      </c>
      <c r="M92" s="110">
        <f t="shared" ref="M92:R92" si="151">+M88+M90</f>
        <v>618936722</v>
      </c>
      <c r="N92" s="110">
        <f t="shared" si="151"/>
        <v>618936722</v>
      </c>
      <c r="O92" s="110">
        <f t="shared" si="151"/>
        <v>618936722</v>
      </c>
      <c r="P92" s="110">
        <f t="shared" si="151"/>
        <v>618936722</v>
      </c>
      <c r="Q92" s="110">
        <f t="shared" si="151"/>
        <v>643813156</v>
      </c>
      <c r="R92" s="110">
        <f t="shared" si="151"/>
        <v>638639156</v>
      </c>
      <c r="S92" s="110">
        <f>S88+S90</f>
        <v>779995375</v>
      </c>
      <c r="T92" s="110">
        <f>+T90+T88</f>
        <v>779995375</v>
      </c>
      <c r="U92" s="110">
        <v>785283045</v>
      </c>
      <c r="V92" s="110">
        <f>V88+V90</f>
        <v>780816978</v>
      </c>
      <c r="W92" s="111"/>
      <c r="X92" s="111"/>
      <c r="Y92" s="110">
        <f>Y88</f>
        <v>634002175</v>
      </c>
      <c r="Z92" s="111"/>
      <c r="AA92" s="111"/>
      <c r="AB92" s="111"/>
      <c r="AC92" s="111"/>
      <c r="AD92" s="111"/>
      <c r="AE92" s="110">
        <f>AE88</f>
        <v>634002175</v>
      </c>
      <c r="AF92" s="111"/>
      <c r="AG92" s="111"/>
      <c r="AH92" s="111"/>
      <c r="AI92" s="111"/>
      <c r="AJ92" s="111">
        <f t="shared" ref="AJ92:AL92" si="152">AJ88+AJ90</f>
        <v>408182984</v>
      </c>
      <c r="AK92" s="111">
        <f t="shared" si="152"/>
        <v>613381600</v>
      </c>
      <c r="AL92" s="111">
        <f t="shared" si="152"/>
        <v>745575366</v>
      </c>
      <c r="AM92" s="110"/>
      <c r="AN92" s="76">
        <f>AL92/V92</f>
        <v>0.95486572014575222</v>
      </c>
      <c r="AO92" s="126">
        <f>(L92+R92+AL92)/H92</f>
        <v>0.52234388164223811</v>
      </c>
      <c r="AP92" s="591"/>
      <c r="AQ92" s="580"/>
      <c r="AR92" s="580"/>
      <c r="AS92" s="616"/>
      <c r="AT92" s="574"/>
      <c r="AU92" s="197"/>
      <c r="AV92" s="197"/>
      <c r="AW92" s="197"/>
      <c r="AX92" s="197"/>
    </row>
    <row r="93" spans="1:50" ht="46.5" customHeight="1" x14ac:dyDescent="0.25">
      <c r="A93" s="546"/>
      <c r="B93" s="545">
        <v>15</v>
      </c>
      <c r="C93" s="545" t="s">
        <v>237</v>
      </c>
      <c r="D93" s="545" t="s">
        <v>146</v>
      </c>
      <c r="E93" s="545">
        <v>480</v>
      </c>
      <c r="F93" s="642"/>
      <c r="G93" s="224" t="s">
        <v>119</v>
      </c>
      <c r="H93" s="225">
        <v>1</v>
      </c>
      <c r="I93" s="226">
        <v>0.1</v>
      </c>
      <c r="J93" s="226">
        <v>0.1</v>
      </c>
      <c r="K93" s="226">
        <v>0.1</v>
      </c>
      <c r="L93" s="226">
        <v>0.05</v>
      </c>
      <c r="M93" s="227">
        <v>0.5</v>
      </c>
      <c r="N93" s="227">
        <v>0.5</v>
      </c>
      <c r="O93" s="227">
        <v>0.5</v>
      </c>
      <c r="P93" s="227">
        <v>0.5</v>
      </c>
      <c r="Q93" s="227">
        <v>0.5</v>
      </c>
      <c r="R93" s="227">
        <v>0.24</v>
      </c>
      <c r="S93" s="227">
        <v>0.7</v>
      </c>
      <c r="T93" s="227">
        <f>+S93</f>
        <v>0.7</v>
      </c>
      <c r="U93" s="227">
        <v>0.7</v>
      </c>
      <c r="V93" s="338">
        <v>0.7</v>
      </c>
      <c r="W93" s="228"/>
      <c r="X93" s="229"/>
      <c r="Y93" s="227">
        <v>0.9</v>
      </c>
      <c r="Z93" s="230"/>
      <c r="AA93" s="228"/>
      <c r="AB93" s="228"/>
      <c r="AC93" s="228"/>
      <c r="AD93" s="229"/>
      <c r="AE93" s="227">
        <v>1</v>
      </c>
      <c r="AF93" s="230"/>
      <c r="AG93" s="228"/>
      <c r="AH93" s="228"/>
      <c r="AI93" s="229"/>
      <c r="AJ93" s="76">
        <f>0.24+0.023</f>
        <v>0.26300000000000001</v>
      </c>
      <c r="AK93" s="76">
        <v>0.27600000000000002</v>
      </c>
      <c r="AL93" s="281">
        <f>0.24+0.069</f>
        <v>0.309</v>
      </c>
      <c r="AM93" s="227"/>
      <c r="AN93" s="68">
        <f>AL93/V93</f>
        <v>0.44142857142857145</v>
      </c>
      <c r="AO93" s="68">
        <f>AL93/H93</f>
        <v>0.309</v>
      </c>
      <c r="AP93" s="607" t="s">
        <v>420</v>
      </c>
      <c r="AQ93" s="613" t="s">
        <v>421</v>
      </c>
      <c r="AR93" s="613" t="s">
        <v>390</v>
      </c>
      <c r="AS93" s="609" t="s">
        <v>422</v>
      </c>
      <c r="AT93" s="595" t="s">
        <v>423</v>
      </c>
      <c r="AU93" s="196"/>
      <c r="AV93" s="196"/>
      <c r="AW93" s="196"/>
      <c r="AX93" s="196"/>
    </row>
    <row r="94" spans="1:50" ht="46.5" customHeight="1" x14ac:dyDescent="0.25">
      <c r="A94" s="546"/>
      <c r="B94" s="546"/>
      <c r="C94" s="546"/>
      <c r="D94" s="546"/>
      <c r="E94" s="546"/>
      <c r="F94" s="642"/>
      <c r="G94" s="124" t="s">
        <v>153</v>
      </c>
      <c r="H94" s="125">
        <f>+L94+R94+S94+Y94+AE94</f>
        <v>800139594</v>
      </c>
      <c r="I94" s="74">
        <v>245268594</v>
      </c>
      <c r="J94" s="74">
        <v>245268594</v>
      </c>
      <c r="K94" s="74">
        <v>245268594</v>
      </c>
      <c r="L94" s="74">
        <v>245268594</v>
      </c>
      <c r="M94" s="74">
        <v>200000000</v>
      </c>
      <c r="N94" s="74">
        <v>200000000</v>
      </c>
      <c r="O94" s="74">
        <v>200000000</v>
      </c>
      <c r="P94" s="74">
        <v>200000000</v>
      </c>
      <c r="Q94" s="74">
        <v>350000000</v>
      </c>
      <c r="R94" s="74">
        <f>+AM94</f>
        <v>0</v>
      </c>
      <c r="S94" s="74">
        <v>127743000</v>
      </c>
      <c r="T94" s="74">
        <v>127743000</v>
      </c>
      <c r="U94" s="74">
        <v>127743000</v>
      </c>
      <c r="V94" s="279">
        <v>127743000</v>
      </c>
      <c r="W94" s="75"/>
      <c r="X94" s="75"/>
      <c r="Y94" s="74">
        <v>257000000</v>
      </c>
      <c r="Z94" s="75"/>
      <c r="AA94" s="75"/>
      <c r="AB94" s="75"/>
      <c r="AC94" s="75"/>
      <c r="AD94" s="75"/>
      <c r="AE94" s="74">
        <v>170128000</v>
      </c>
      <c r="AF94" s="75"/>
      <c r="AG94" s="75"/>
      <c r="AH94" s="75"/>
      <c r="AI94" s="75"/>
      <c r="AJ94" s="74">
        <v>0</v>
      </c>
      <c r="AK94" s="74">
        <v>0</v>
      </c>
      <c r="AL94" s="279">
        <v>15000000</v>
      </c>
      <c r="AM94" s="74"/>
      <c r="AN94" s="76">
        <f>AL94/V94</f>
        <v>0.11742326389704329</v>
      </c>
      <c r="AO94" s="126">
        <f>(L94+R94+AL94)/H94</f>
        <v>0.32527898375692682</v>
      </c>
      <c r="AP94" s="588"/>
      <c r="AQ94" s="546"/>
      <c r="AR94" s="546"/>
      <c r="AS94" s="610"/>
      <c r="AT94" s="573"/>
      <c r="AU94" s="197"/>
      <c r="AV94" s="197"/>
      <c r="AW94" s="197"/>
      <c r="AX94" s="197"/>
    </row>
    <row r="95" spans="1:50" ht="46.5" customHeight="1" x14ac:dyDescent="0.25">
      <c r="A95" s="546"/>
      <c r="B95" s="546"/>
      <c r="C95" s="546"/>
      <c r="D95" s="546"/>
      <c r="E95" s="546"/>
      <c r="F95" s="642"/>
      <c r="G95" s="127" t="s">
        <v>160</v>
      </c>
      <c r="H95" s="167"/>
      <c r="I95" s="83"/>
      <c r="J95" s="83"/>
      <c r="K95" s="83"/>
      <c r="L95" s="83"/>
      <c r="M95" s="83"/>
      <c r="N95" s="83"/>
      <c r="O95" s="231"/>
      <c r="P95" s="231"/>
      <c r="Q95" s="205"/>
      <c r="R95" s="205"/>
      <c r="S95" s="83">
        <v>0</v>
      </c>
      <c r="T95" s="83">
        <v>0</v>
      </c>
      <c r="U95" s="83">
        <v>0</v>
      </c>
      <c r="V95" s="83"/>
      <c r="W95" s="89"/>
      <c r="X95" s="46"/>
      <c r="Y95" s="83"/>
      <c r="Z95" s="89"/>
      <c r="AA95" s="89"/>
      <c r="AB95" s="89"/>
      <c r="AC95" s="89"/>
      <c r="AD95" s="46"/>
      <c r="AE95" s="198"/>
      <c r="AF95" s="89"/>
      <c r="AG95" s="89"/>
      <c r="AH95" s="89"/>
      <c r="AI95" s="46"/>
      <c r="AJ95" s="232"/>
      <c r="AK95" s="83"/>
      <c r="AL95" s="83"/>
      <c r="AM95" s="42"/>
      <c r="AN95" s="95"/>
      <c r="AO95" s="96"/>
      <c r="AP95" s="588"/>
      <c r="AQ95" s="546"/>
      <c r="AR95" s="546"/>
      <c r="AS95" s="610"/>
      <c r="AT95" s="573"/>
      <c r="AU95" s="196"/>
      <c r="AV95" s="196"/>
      <c r="AW95" s="196"/>
      <c r="AX95" s="196"/>
    </row>
    <row r="96" spans="1:50" ht="46.5" customHeight="1" thickBot="1" x14ac:dyDescent="0.3">
      <c r="A96" s="546"/>
      <c r="B96" s="546"/>
      <c r="C96" s="546"/>
      <c r="D96" s="546"/>
      <c r="E96" s="546"/>
      <c r="F96" s="642"/>
      <c r="G96" s="124" t="s">
        <v>180</v>
      </c>
      <c r="H96" s="125">
        <f>R96+S96+Y96+AE96</f>
        <v>245268594</v>
      </c>
      <c r="I96" s="207"/>
      <c r="J96" s="207"/>
      <c r="K96" s="207"/>
      <c r="L96" s="207"/>
      <c r="M96" s="208">
        <v>245268594</v>
      </c>
      <c r="N96" s="208">
        <v>245268594</v>
      </c>
      <c r="O96" s="208">
        <v>245268594</v>
      </c>
      <c r="P96" s="208">
        <v>245268594</v>
      </c>
      <c r="Q96" s="208">
        <v>245268594</v>
      </c>
      <c r="R96" s="74">
        <v>245268594</v>
      </c>
      <c r="S96" s="99">
        <v>0</v>
      </c>
      <c r="T96" s="99">
        <v>0</v>
      </c>
      <c r="U96" s="99">
        <v>0</v>
      </c>
      <c r="V96" s="99"/>
      <c r="W96" s="75"/>
      <c r="X96" s="75"/>
      <c r="Y96" s="99"/>
      <c r="Z96" s="75"/>
      <c r="AA96" s="75"/>
      <c r="AB96" s="75"/>
      <c r="AC96" s="75"/>
      <c r="AD96" s="75"/>
      <c r="AE96" s="175"/>
      <c r="AF96" s="75"/>
      <c r="AG96" s="75"/>
      <c r="AH96" s="75"/>
      <c r="AI96" s="75"/>
      <c r="AJ96" s="209"/>
      <c r="AK96" s="99"/>
      <c r="AL96" s="99"/>
      <c r="AM96" s="74"/>
      <c r="AN96" s="95"/>
      <c r="AO96" s="96"/>
      <c r="AP96" s="588"/>
      <c r="AQ96" s="546"/>
      <c r="AR96" s="546"/>
      <c r="AS96" s="610"/>
      <c r="AT96" s="573"/>
      <c r="AU96" s="197"/>
      <c r="AV96" s="197"/>
      <c r="AW96" s="197"/>
      <c r="AX96" s="197"/>
    </row>
    <row r="97" spans="1:50" ht="46.5" customHeight="1" x14ac:dyDescent="0.25">
      <c r="A97" s="546"/>
      <c r="B97" s="546"/>
      <c r="C97" s="546"/>
      <c r="D97" s="546"/>
      <c r="E97" s="546"/>
      <c r="F97" s="642"/>
      <c r="G97" s="127" t="s">
        <v>191</v>
      </c>
      <c r="H97" s="210">
        <v>1</v>
      </c>
      <c r="I97" s="211">
        <v>0.1</v>
      </c>
      <c r="J97" s="211">
        <v>0.1</v>
      </c>
      <c r="K97" s="211">
        <v>0.1</v>
      </c>
      <c r="L97" s="211">
        <v>0.05</v>
      </c>
      <c r="M97" s="60">
        <f t="shared" ref="M97:P97" si="153">+M93+M95</f>
        <v>0.5</v>
      </c>
      <c r="N97" s="60">
        <f t="shared" si="153"/>
        <v>0.5</v>
      </c>
      <c r="O97" s="60">
        <f t="shared" si="153"/>
        <v>0.5</v>
      </c>
      <c r="P97" s="60">
        <f t="shared" si="153"/>
        <v>0.5</v>
      </c>
      <c r="Q97" s="91">
        <v>0.55000000000000004</v>
      </c>
      <c r="R97" s="211">
        <f t="shared" ref="R97:S97" si="154">R93</f>
        <v>0.24</v>
      </c>
      <c r="S97" s="211">
        <f t="shared" si="154"/>
        <v>0.7</v>
      </c>
      <c r="T97" s="211">
        <f t="shared" ref="T97:T98" si="155">+T95+T93</f>
        <v>0.7</v>
      </c>
      <c r="U97" s="211">
        <v>0.7</v>
      </c>
      <c r="V97" s="211">
        <f t="shared" ref="V97:V98" si="156">V93</f>
        <v>0.7</v>
      </c>
      <c r="W97" s="89"/>
      <c r="X97" s="46"/>
      <c r="Y97" s="211">
        <f t="shared" ref="Y97:Y98" si="157">Y93</f>
        <v>0.9</v>
      </c>
      <c r="Z97" s="212"/>
      <c r="AA97" s="89"/>
      <c r="AB97" s="89"/>
      <c r="AC97" s="89"/>
      <c r="AD97" s="46"/>
      <c r="AE97" s="211">
        <f t="shared" ref="AE97:AE98" si="158">AE93</f>
        <v>1</v>
      </c>
      <c r="AF97" s="212"/>
      <c r="AG97" s="89"/>
      <c r="AH97" s="89"/>
      <c r="AI97" s="46"/>
      <c r="AJ97" s="84">
        <f t="shared" ref="AJ97:AK97" si="159">AJ93+AJ95</f>
        <v>0.26300000000000001</v>
      </c>
      <c r="AK97" s="84">
        <f t="shared" si="159"/>
        <v>0.27600000000000002</v>
      </c>
      <c r="AL97" s="84">
        <f t="shared" ref="AL97:AL98" si="160">AL93</f>
        <v>0.309</v>
      </c>
      <c r="AM97" s="60"/>
      <c r="AN97" s="68">
        <f>AL97/V97</f>
        <v>0.44142857142857145</v>
      </c>
      <c r="AO97" s="68">
        <f>AL97/H97</f>
        <v>0.309</v>
      </c>
      <c r="AP97" s="588"/>
      <c r="AQ97" s="546"/>
      <c r="AR97" s="546"/>
      <c r="AS97" s="610"/>
      <c r="AT97" s="573"/>
      <c r="AU97" s="196"/>
      <c r="AV97" s="196"/>
      <c r="AW97" s="196"/>
      <c r="AX97" s="196"/>
    </row>
    <row r="98" spans="1:50" ht="46.5" customHeight="1" thickBot="1" x14ac:dyDescent="0.3">
      <c r="A98" s="547"/>
      <c r="B98" s="547"/>
      <c r="C98" s="547"/>
      <c r="D98" s="547"/>
      <c r="E98" s="547"/>
      <c r="F98" s="642"/>
      <c r="G98" s="233" t="s">
        <v>196</v>
      </c>
      <c r="H98" s="234">
        <f>+H94+H96</f>
        <v>1045408188</v>
      </c>
      <c r="I98" s="235">
        <f t="shared" ref="I98:K98" si="161">+I94</f>
        <v>245268594</v>
      </c>
      <c r="J98" s="235">
        <f t="shared" si="161"/>
        <v>245268594</v>
      </c>
      <c r="K98" s="235">
        <f t="shared" si="161"/>
        <v>245268594</v>
      </c>
      <c r="L98" s="235">
        <v>245268594</v>
      </c>
      <c r="M98" s="235">
        <f t="shared" ref="M98:R98" si="162">+M94+M96</f>
        <v>445268594</v>
      </c>
      <c r="N98" s="235">
        <f t="shared" si="162"/>
        <v>445268594</v>
      </c>
      <c r="O98" s="235">
        <f t="shared" si="162"/>
        <v>445268594</v>
      </c>
      <c r="P98" s="235">
        <f t="shared" si="162"/>
        <v>445268594</v>
      </c>
      <c r="Q98" s="235">
        <f t="shared" si="162"/>
        <v>595268594</v>
      </c>
      <c r="R98" s="235">
        <f t="shared" si="162"/>
        <v>245268594</v>
      </c>
      <c r="S98" s="235">
        <f>S94</f>
        <v>127743000</v>
      </c>
      <c r="T98" s="235">
        <f t="shared" si="155"/>
        <v>127743000</v>
      </c>
      <c r="U98" s="235">
        <v>127743000</v>
      </c>
      <c r="V98" s="235">
        <f t="shared" si="156"/>
        <v>127743000</v>
      </c>
      <c r="W98" s="236"/>
      <c r="X98" s="236"/>
      <c r="Y98" s="235">
        <f t="shared" si="157"/>
        <v>257000000</v>
      </c>
      <c r="Z98" s="236"/>
      <c r="AA98" s="236"/>
      <c r="AB98" s="236"/>
      <c r="AC98" s="236"/>
      <c r="AD98" s="236"/>
      <c r="AE98" s="235">
        <f t="shared" si="158"/>
        <v>170128000</v>
      </c>
      <c r="AF98" s="236"/>
      <c r="AG98" s="236"/>
      <c r="AH98" s="236"/>
      <c r="AI98" s="236"/>
      <c r="AJ98" s="235">
        <f t="shared" ref="AJ98:AK98" si="163">AJ94+AJ96</f>
        <v>0</v>
      </c>
      <c r="AK98" s="235">
        <f t="shared" si="163"/>
        <v>0</v>
      </c>
      <c r="AL98" s="236">
        <f t="shared" si="160"/>
        <v>15000000</v>
      </c>
      <c r="AM98" s="235"/>
      <c r="AN98" s="76">
        <f>AL98/V98</f>
        <v>0.11742326389704329</v>
      </c>
      <c r="AO98" s="126">
        <f>(L98+R98+AL98)/H98</f>
        <v>0.48357875306788778</v>
      </c>
      <c r="AP98" s="589"/>
      <c r="AQ98" s="614"/>
      <c r="AR98" s="614"/>
      <c r="AS98" s="611"/>
      <c r="AT98" s="596"/>
      <c r="AU98" s="197"/>
      <c r="AV98" s="197"/>
      <c r="AW98" s="197"/>
      <c r="AX98" s="197"/>
    </row>
    <row r="99" spans="1:50" ht="46.5" customHeight="1" x14ac:dyDescent="0.25">
      <c r="A99" s="545" t="s">
        <v>244</v>
      </c>
      <c r="B99" s="545">
        <v>16</v>
      </c>
      <c r="C99" s="545" t="s">
        <v>246</v>
      </c>
      <c r="D99" s="545" t="s">
        <v>110</v>
      </c>
      <c r="E99" s="545">
        <v>521</v>
      </c>
      <c r="F99" s="642"/>
      <c r="G99" s="113" t="s">
        <v>119</v>
      </c>
      <c r="H99" s="114">
        <f t="shared" ref="H99:H100" si="164">+L99+R99+S99+Y99+AE99</f>
        <v>32000</v>
      </c>
      <c r="I99" s="238">
        <v>4000</v>
      </c>
      <c r="J99" s="238">
        <v>4000</v>
      </c>
      <c r="K99" s="239">
        <v>4667</v>
      </c>
      <c r="L99" s="239">
        <v>4667</v>
      </c>
      <c r="M99" s="159">
        <v>8000</v>
      </c>
      <c r="N99" s="159">
        <v>8000</v>
      </c>
      <c r="O99" s="159">
        <v>8000</v>
      </c>
      <c r="P99" s="159">
        <v>8000</v>
      </c>
      <c r="Q99" s="159">
        <v>8028</v>
      </c>
      <c r="R99" s="190">
        <v>8028</v>
      </c>
      <c r="S99" s="159">
        <f>8000-667</f>
        <v>7333</v>
      </c>
      <c r="T99" s="159">
        <f>+S99</f>
        <v>7333</v>
      </c>
      <c r="U99" s="159">
        <v>7333</v>
      </c>
      <c r="V99" s="277">
        <v>7333</v>
      </c>
      <c r="W99" s="160"/>
      <c r="X99" s="62"/>
      <c r="Y99" s="159">
        <v>8000</v>
      </c>
      <c r="Z99" s="160"/>
      <c r="AA99" s="160"/>
      <c r="AB99" s="160"/>
      <c r="AC99" s="160"/>
      <c r="AD99" s="62"/>
      <c r="AE99" s="159">
        <f>4000-28</f>
        <v>3972</v>
      </c>
      <c r="AF99" s="160"/>
      <c r="AG99" s="160"/>
      <c r="AH99" s="160"/>
      <c r="AI99" s="62"/>
      <c r="AJ99" s="159">
        <v>1625</v>
      </c>
      <c r="AK99" s="122">
        <v>5208</v>
      </c>
      <c r="AL99" s="339">
        <v>5396</v>
      </c>
      <c r="AM99" s="240"/>
      <c r="AN99" s="76">
        <f t="shared" ref="AN99:AN100" si="165">AL99/V99</f>
        <v>0.73585162961952821</v>
      </c>
      <c r="AO99" s="68">
        <f t="shared" ref="AO99:AO100" si="166">(L99+R99+AL99)/H99</f>
        <v>0.56534375000000003</v>
      </c>
      <c r="AP99" s="590" t="s">
        <v>424</v>
      </c>
      <c r="AQ99" s="579" t="s">
        <v>101</v>
      </c>
      <c r="AR99" s="579" t="s">
        <v>104</v>
      </c>
      <c r="AS99" s="615" t="s">
        <v>276</v>
      </c>
      <c r="AT99" s="597" t="s">
        <v>174</v>
      </c>
      <c r="AU99" s="196"/>
      <c r="AV99" s="196"/>
      <c r="AW99" s="196"/>
      <c r="AX99" s="196"/>
    </row>
    <row r="100" spans="1:50" ht="46.5" customHeight="1" x14ac:dyDescent="0.25">
      <c r="A100" s="546"/>
      <c r="B100" s="546"/>
      <c r="C100" s="546"/>
      <c r="D100" s="546"/>
      <c r="E100" s="546"/>
      <c r="F100" s="642"/>
      <c r="G100" s="124" t="s">
        <v>153</v>
      </c>
      <c r="H100" s="125">
        <f t="shared" si="164"/>
        <v>2020378135</v>
      </c>
      <c r="I100" s="74">
        <v>544505819</v>
      </c>
      <c r="J100" s="74">
        <v>544505819</v>
      </c>
      <c r="K100" s="241">
        <v>544505819</v>
      </c>
      <c r="L100" s="74">
        <v>519164657</v>
      </c>
      <c r="M100" s="74">
        <v>307231000</v>
      </c>
      <c r="N100" s="74">
        <v>307231000</v>
      </c>
      <c r="O100" s="74">
        <v>307231000</v>
      </c>
      <c r="P100" s="74">
        <v>307231000</v>
      </c>
      <c r="Q100" s="74">
        <v>258978562</v>
      </c>
      <c r="R100" s="74">
        <v>243130723</v>
      </c>
      <c r="S100" s="74">
        <v>525237755</v>
      </c>
      <c r="T100" s="74">
        <v>525237755</v>
      </c>
      <c r="U100" s="74">
        <v>525237755</v>
      </c>
      <c r="V100" s="279">
        <v>525237755</v>
      </c>
      <c r="W100" s="75"/>
      <c r="X100" s="75"/>
      <c r="Y100" s="74">
        <v>429512000</v>
      </c>
      <c r="Z100" s="75"/>
      <c r="AA100" s="75"/>
      <c r="AB100" s="75"/>
      <c r="AC100" s="75"/>
      <c r="AD100" s="75"/>
      <c r="AE100" s="74">
        <v>303333000</v>
      </c>
      <c r="AF100" s="75"/>
      <c r="AG100" s="75"/>
      <c r="AH100" s="75"/>
      <c r="AI100" s="75"/>
      <c r="AJ100" s="74">
        <v>373920241</v>
      </c>
      <c r="AK100" s="74">
        <v>452755331</v>
      </c>
      <c r="AL100" s="340">
        <v>454397291</v>
      </c>
      <c r="AM100" s="74"/>
      <c r="AN100" s="76">
        <f t="shared" si="165"/>
        <v>0.86512686240538816</v>
      </c>
      <c r="AO100" s="126">
        <f t="shared" si="166"/>
        <v>0.60221037335666872</v>
      </c>
      <c r="AP100" s="588"/>
      <c r="AQ100" s="546"/>
      <c r="AR100" s="546"/>
      <c r="AS100" s="610"/>
      <c r="AT100" s="573"/>
      <c r="AU100" s="197"/>
      <c r="AV100" s="197"/>
      <c r="AW100" s="197"/>
      <c r="AX100" s="197"/>
    </row>
    <row r="101" spans="1:50" ht="46.5" customHeight="1" x14ac:dyDescent="0.25">
      <c r="A101" s="546"/>
      <c r="B101" s="546"/>
      <c r="C101" s="546"/>
      <c r="D101" s="546"/>
      <c r="E101" s="546"/>
      <c r="F101" s="642"/>
      <c r="G101" s="127" t="s">
        <v>160</v>
      </c>
      <c r="H101" s="167"/>
      <c r="I101" s="83"/>
      <c r="J101" s="83"/>
      <c r="K101" s="83"/>
      <c r="L101" s="83"/>
      <c r="M101" s="83"/>
      <c r="N101" s="83"/>
      <c r="O101" s="83"/>
      <c r="P101" s="83"/>
      <c r="Q101" s="83"/>
      <c r="R101" s="82"/>
      <c r="S101" s="83">
        <v>0</v>
      </c>
      <c r="T101" s="83">
        <v>0</v>
      </c>
      <c r="U101" s="83">
        <v>0</v>
      </c>
      <c r="V101" s="83"/>
      <c r="W101" s="89"/>
      <c r="X101" s="46"/>
      <c r="Y101" s="83"/>
      <c r="Z101" s="89"/>
      <c r="AA101" s="89"/>
      <c r="AB101" s="89"/>
      <c r="AC101" s="89"/>
      <c r="AD101" s="46"/>
      <c r="AE101" s="198"/>
      <c r="AF101" s="89"/>
      <c r="AG101" s="89"/>
      <c r="AH101" s="89"/>
      <c r="AI101" s="46"/>
      <c r="AJ101" s="82"/>
      <c r="AK101" s="83"/>
      <c r="AL101" s="83"/>
      <c r="AM101" s="42"/>
      <c r="AN101" s="95"/>
      <c r="AO101" s="96"/>
      <c r="AP101" s="588"/>
      <c r="AQ101" s="546"/>
      <c r="AR101" s="546"/>
      <c r="AS101" s="610"/>
      <c r="AT101" s="573"/>
      <c r="AU101" s="196"/>
      <c r="AV101" s="196"/>
      <c r="AW101" s="196"/>
      <c r="AX101" s="196"/>
    </row>
    <row r="102" spans="1:50" ht="46.5" customHeight="1" x14ac:dyDescent="0.25">
      <c r="A102" s="546"/>
      <c r="B102" s="546"/>
      <c r="C102" s="546"/>
      <c r="D102" s="546"/>
      <c r="E102" s="546"/>
      <c r="F102" s="642"/>
      <c r="G102" s="124" t="s">
        <v>180</v>
      </c>
      <c r="H102" s="125">
        <f>R102+S102+Y102+AE102</f>
        <v>491770936</v>
      </c>
      <c r="I102" s="99"/>
      <c r="J102" s="99"/>
      <c r="K102" s="99"/>
      <c r="L102" s="99"/>
      <c r="M102" s="74">
        <v>430313010</v>
      </c>
      <c r="N102" s="74">
        <v>430313010</v>
      </c>
      <c r="O102" s="74">
        <v>430313010</v>
      </c>
      <c r="P102" s="74">
        <v>430313010</v>
      </c>
      <c r="Q102" s="74">
        <v>430313010</v>
      </c>
      <c r="R102" s="74">
        <v>430275443</v>
      </c>
      <c r="S102" s="74">
        <v>61495493</v>
      </c>
      <c r="T102" s="75">
        <v>61495493</v>
      </c>
      <c r="U102" s="74">
        <v>61495493</v>
      </c>
      <c r="V102" s="279">
        <v>61495493</v>
      </c>
      <c r="W102" s="75"/>
      <c r="X102" s="75"/>
      <c r="Y102" s="83"/>
      <c r="Z102" s="89"/>
      <c r="AA102" s="89"/>
      <c r="AB102" s="89"/>
      <c r="AC102" s="89"/>
      <c r="AD102" s="46"/>
      <c r="AE102" s="198"/>
      <c r="AF102" s="75"/>
      <c r="AG102" s="75"/>
      <c r="AH102" s="75"/>
      <c r="AI102" s="75"/>
      <c r="AJ102" s="74">
        <v>53105859</v>
      </c>
      <c r="AK102" s="74">
        <v>61495493</v>
      </c>
      <c r="AL102" s="279">
        <v>61495493</v>
      </c>
      <c r="AM102" s="74"/>
      <c r="AN102" s="76">
        <f t="shared" ref="AN102:AN106" si="167">AL102/V102</f>
        <v>1</v>
      </c>
      <c r="AO102" s="96"/>
      <c r="AP102" s="588"/>
      <c r="AQ102" s="546"/>
      <c r="AR102" s="546"/>
      <c r="AS102" s="610"/>
      <c r="AT102" s="573"/>
      <c r="AU102" s="197"/>
      <c r="AV102" s="197"/>
      <c r="AW102" s="197"/>
      <c r="AX102" s="197"/>
    </row>
    <row r="103" spans="1:50" ht="46.5" customHeight="1" x14ac:dyDescent="0.25">
      <c r="A103" s="546"/>
      <c r="B103" s="546"/>
      <c r="C103" s="546"/>
      <c r="D103" s="546"/>
      <c r="E103" s="546"/>
      <c r="F103" s="642"/>
      <c r="G103" s="127" t="s">
        <v>191</v>
      </c>
      <c r="H103" s="133">
        <v>32000</v>
      </c>
      <c r="I103" s="106">
        <v>4000</v>
      </c>
      <c r="J103" s="106">
        <v>4000</v>
      </c>
      <c r="K103" s="106">
        <f>K99</f>
        <v>4667</v>
      </c>
      <c r="L103" s="106">
        <v>4667</v>
      </c>
      <c r="M103" s="91">
        <f t="shared" ref="M103:P103" si="168">+M99</f>
        <v>8000</v>
      </c>
      <c r="N103" s="91">
        <f t="shared" si="168"/>
        <v>8000</v>
      </c>
      <c r="O103" s="91">
        <f t="shared" si="168"/>
        <v>8000</v>
      </c>
      <c r="P103" s="91">
        <f t="shared" si="168"/>
        <v>8000</v>
      </c>
      <c r="Q103" s="91">
        <v>8000</v>
      </c>
      <c r="R103" s="53">
        <v>8028.1</v>
      </c>
      <c r="S103" s="106">
        <f>S99</f>
        <v>7333</v>
      </c>
      <c r="T103" s="106">
        <f t="shared" ref="T103:T104" si="169">+T99+T101</f>
        <v>7333</v>
      </c>
      <c r="U103" s="106">
        <v>7333</v>
      </c>
      <c r="V103" s="106">
        <f>V99</f>
        <v>7333</v>
      </c>
      <c r="W103" s="89"/>
      <c r="X103" s="46"/>
      <c r="Y103" s="106">
        <f t="shared" ref="Y103:Y104" si="170">Y99</f>
        <v>8000</v>
      </c>
      <c r="Z103" s="108"/>
      <c r="AA103" s="89"/>
      <c r="AB103" s="89"/>
      <c r="AC103" s="89"/>
      <c r="AD103" s="46"/>
      <c r="AE103" s="106">
        <f t="shared" ref="AE103:AE104" si="171">AE99</f>
        <v>3972</v>
      </c>
      <c r="AF103" s="108"/>
      <c r="AG103" s="89"/>
      <c r="AH103" s="89"/>
      <c r="AI103" s="46"/>
      <c r="AJ103" s="106">
        <f t="shared" ref="AJ103:AK103" si="172">AJ99+AJ101</f>
        <v>1625</v>
      </c>
      <c r="AK103" s="106">
        <f t="shared" si="172"/>
        <v>5208</v>
      </c>
      <c r="AL103" s="106">
        <f>AL99</f>
        <v>5396</v>
      </c>
      <c r="AM103" s="79"/>
      <c r="AN103" s="76">
        <f t="shared" si="167"/>
        <v>0.73585162961952821</v>
      </c>
      <c r="AO103" s="126">
        <f t="shared" ref="AO103:AO104" si="173">(L103+R103+AL103)/H103</f>
        <v>0.56534687499999992</v>
      </c>
      <c r="AP103" s="588"/>
      <c r="AQ103" s="546"/>
      <c r="AR103" s="546"/>
      <c r="AS103" s="610"/>
      <c r="AT103" s="573"/>
      <c r="AU103" s="196"/>
      <c r="AV103" s="196"/>
      <c r="AW103" s="196"/>
      <c r="AX103" s="196"/>
    </row>
    <row r="104" spans="1:50" ht="46.5" customHeight="1" x14ac:dyDescent="0.25">
      <c r="A104" s="546"/>
      <c r="B104" s="547"/>
      <c r="C104" s="547"/>
      <c r="D104" s="547"/>
      <c r="E104" s="547"/>
      <c r="F104" s="642"/>
      <c r="G104" s="142" t="s">
        <v>196</v>
      </c>
      <c r="H104" s="144">
        <f>+H100+H102</f>
        <v>2512149071</v>
      </c>
      <c r="I104" s="110">
        <f t="shared" ref="I104:K104" si="174">+I100</f>
        <v>544505819</v>
      </c>
      <c r="J104" s="110">
        <f t="shared" si="174"/>
        <v>544505819</v>
      </c>
      <c r="K104" s="110">
        <f t="shared" si="174"/>
        <v>544505819</v>
      </c>
      <c r="L104" s="110">
        <v>519164657</v>
      </c>
      <c r="M104" s="110">
        <f t="shared" ref="M104:R104" si="175">+M100+M102</f>
        <v>737544010</v>
      </c>
      <c r="N104" s="110">
        <f t="shared" si="175"/>
        <v>737544010</v>
      </c>
      <c r="O104" s="110">
        <f t="shared" si="175"/>
        <v>737544010</v>
      </c>
      <c r="P104" s="110">
        <f t="shared" si="175"/>
        <v>737544010</v>
      </c>
      <c r="Q104" s="110">
        <f t="shared" si="175"/>
        <v>689291572</v>
      </c>
      <c r="R104" s="110">
        <f t="shared" si="175"/>
        <v>673406166</v>
      </c>
      <c r="S104" s="110">
        <f>S100+S102</f>
        <v>586733248</v>
      </c>
      <c r="T104" s="157">
        <f t="shared" si="169"/>
        <v>586733248</v>
      </c>
      <c r="U104" s="157">
        <v>586733248</v>
      </c>
      <c r="V104" s="157">
        <f>V100+V102</f>
        <v>586733248</v>
      </c>
      <c r="W104" s="111"/>
      <c r="X104" s="111"/>
      <c r="Y104" s="110">
        <f t="shared" si="170"/>
        <v>429512000</v>
      </c>
      <c r="Z104" s="111"/>
      <c r="AA104" s="111"/>
      <c r="AB104" s="111"/>
      <c r="AC104" s="111"/>
      <c r="AD104" s="111"/>
      <c r="AE104" s="110">
        <f t="shared" si="171"/>
        <v>303333000</v>
      </c>
      <c r="AF104" s="111"/>
      <c r="AG104" s="111"/>
      <c r="AH104" s="111"/>
      <c r="AI104" s="111"/>
      <c r="AJ104" s="110">
        <f t="shared" ref="AJ104:AL104" si="176">AJ100+AJ102</f>
        <v>427026100</v>
      </c>
      <c r="AK104" s="110">
        <f t="shared" si="176"/>
        <v>514250824</v>
      </c>
      <c r="AL104" s="111">
        <f t="shared" si="176"/>
        <v>515892784</v>
      </c>
      <c r="AM104" s="110"/>
      <c r="AN104" s="76">
        <f t="shared" si="167"/>
        <v>0.87926291165282655</v>
      </c>
      <c r="AO104" s="112">
        <f t="shared" si="173"/>
        <v>0.68008050426717692</v>
      </c>
      <c r="AP104" s="591"/>
      <c r="AQ104" s="580"/>
      <c r="AR104" s="580"/>
      <c r="AS104" s="616"/>
      <c r="AT104" s="574"/>
      <c r="AU104" s="197"/>
      <c r="AV104" s="197"/>
      <c r="AW104" s="197"/>
      <c r="AX104" s="197"/>
    </row>
    <row r="105" spans="1:50" ht="46.5" customHeight="1" x14ac:dyDescent="0.25">
      <c r="A105" s="546"/>
      <c r="B105" s="545">
        <v>17</v>
      </c>
      <c r="C105" s="545" t="s">
        <v>264</v>
      </c>
      <c r="D105" s="545" t="s">
        <v>146</v>
      </c>
      <c r="E105" s="545">
        <v>521</v>
      </c>
      <c r="F105" s="642"/>
      <c r="G105" s="224" t="s">
        <v>119</v>
      </c>
      <c r="H105" s="225">
        <v>1</v>
      </c>
      <c r="I105" s="226">
        <v>0.1</v>
      </c>
      <c r="J105" s="226">
        <v>0.1</v>
      </c>
      <c r="K105" s="226">
        <v>0.1</v>
      </c>
      <c r="L105" s="227">
        <v>0.05</v>
      </c>
      <c r="M105" s="226">
        <v>0.4</v>
      </c>
      <c r="N105" s="226">
        <v>0.4</v>
      </c>
      <c r="O105" s="227">
        <v>0.4</v>
      </c>
      <c r="P105" s="227">
        <v>0.4</v>
      </c>
      <c r="Q105" s="227">
        <v>0.4</v>
      </c>
      <c r="R105" s="227">
        <v>0.25</v>
      </c>
      <c r="S105" s="226">
        <v>0.6</v>
      </c>
      <c r="T105" s="226">
        <f>+S105</f>
        <v>0.6</v>
      </c>
      <c r="U105" s="227">
        <v>0.6</v>
      </c>
      <c r="V105" s="338">
        <v>0.6</v>
      </c>
      <c r="W105" s="228"/>
      <c r="X105" s="229"/>
      <c r="Y105" s="226">
        <v>0.85</v>
      </c>
      <c r="Z105" s="242"/>
      <c r="AA105" s="228"/>
      <c r="AB105" s="228"/>
      <c r="AC105" s="228"/>
      <c r="AD105" s="229"/>
      <c r="AE105" s="226">
        <v>1</v>
      </c>
      <c r="AF105" s="242"/>
      <c r="AG105" s="228"/>
      <c r="AH105" s="228"/>
      <c r="AI105" s="229"/>
      <c r="AJ105" s="76">
        <f>0.25+0.0875</f>
        <v>0.33750000000000002</v>
      </c>
      <c r="AK105" s="76">
        <v>0.4</v>
      </c>
      <c r="AL105" s="281">
        <v>0.4</v>
      </c>
      <c r="AM105" s="227"/>
      <c r="AN105" s="76">
        <f t="shared" si="167"/>
        <v>0.66666666666666674</v>
      </c>
      <c r="AO105" s="126">
        <f>AL105/H105</f>
        <v>0.4</v>
      </c>
      <c r="AP105" s="607" t="s">
        <v>425</v>
      </c>
      <c r="AQ105" s="613" t="s">
        <v>426</v>
      </c>
      <c r="AR105" s="613" t="s">
        <v>427</v>
      </c>
      <c r="AS105" s="609" t="s">
        <v>428</v>
      </c>
      <c r="AT105" s="595" t="s">
        <v>429</v>
      </c>
      <c r="AU105" s="196"/>
      <c r="AV105" s="196"/>
      <c r="AW105" s="196"/>
      <c r="AX105" s="196"/>
    </row>
    <row r="106" spans="1:50" ht="46.5" customHeight="1" x14ac:dyDescent="0.25">
      <c r="A106" s="546"/>
      <c r="B106" s="546"/>
      <c r="C106" s="546"/>
      <c r="D106" s="546"/>
      <c r="E106" s="546"/>
      <c r="F106" s="642"/>
      <c r="G106" s="124" t="s">
        <v>153</v>
      </c>
      <c r="H106" s="125">
        <f>+L106+R106+S106+Y106+AE106</f>
        <v>1229701008</v>
      </c>
      <c r="I106" s="74">
        <v>409957828</v>
      </c>
      <c r="J106" s="74">
        <v>409957828</v>
      </c>
      <c r="K106" s="241">
        <v>409957828</v>
      </c>
      <c r="L106" s="74">
        <v>323441007</v>
      </c>
      <c r="M106" s="74">
        <v>232671999</v>
      </c>
      <c r="N106" s="74">
        <v>232672000</v>
      </c>
      <c r="O106" s="74">
        <v>232672000</v>
      </c>
      <c r="P106" s="74">
        <v>232672000</v>
      </c>
      <c r="Q106" s="279">
        <v>199362000</v>
      </c>
      <c r="R106" s="75">
        <v>187800001</v>
      </c>
      <c r="S106" s="75">
        <v>200000000</v>
      </c>
      <c r="T106" s="75">
        <v>200000000</v>
      </c>
      <c r="U106" s="74">
        <v>200000000</v>
      </c>
      <c r="V106" s="279">
        <v>200000000</v>
      </c>
      <c r="W106" s="75"/>
      <c r="X106" s="75"/>
      <c r="Y106" s="74">
        <v>303863000</v>
      </c>
      <c r="Z106" s="75"/>
      <c r="AA106" s="75"/>
      <c r="AB106" s="75"/>
      <c r="AC106" s="75"/>
      <c r="AD106" s="75"/>
      <c r="AE106" s="74">
        <v>214597000</v>
      </c>
      <c r="AF106" s="75"/>
      <c r="AG106" s="75"/>
      <c r="AH106" s="75"/>
      <c r="AI106" s="75"/>
      <c r="AJ106" s="74">
        <v>0</v>
      </c>
      <c r="AK106" s="74">
        <v>0</v>
      </c>
      <c r="AL106" s="74">
        <v>0</v>
      </c>
      <c r="AM106" s="74"/>
      <c r="AN106" s="281">
        <f t="shared" si="167"/>
        <v>0</v>
      </c>
      <c r="AO106" s="126">
        <f>(L106+R106+AL106)/H106</f>
        <v>0.41574415624127065</v>
      </c>
      <c r="AP106" s="588"/>
      <c r="AQ106" s="546"/>
      <c r="AR106" s="546"/>
      <c r="AS106" s="610"/>
      <c r="AT106" s="573"/>
      <c r="AU106" s="197"/>
      <c r="AV106" s="197"/>
      <c r="AW106" s="197"/>
      <c r="AX106" s="197"/>
    </row>
    <row r="107" spans="1:50" ht="46.5" customHeight="1" x14ac:dyDescent="0.25">
      <c r="A107" s="546"/>
      <c r="B107" s="546"/>
      <c r="C107" s="546"/>
      <c r="D107" s="546"/>
      <c r="E107" s="546"/>
      <c r="F107" s="642"/>
      <c r="G107" s="127" t="s">
        <v>160</v>
      </c>
      <c r="H107" s="167"/>
      <c r="I107" s="83"/>
      <c r="J107" s="83"/>
      <c r="K107" s="83"/>
      <c r="L107" s="83"/>
      <c r="M107" s="205"/>
      <c r="N107" s="205"/>
      <c r="O107" s="205"/>
      <c r="P107" s="205"/>
      <c r="Q107" s="205"/>
      <c r="R107" s="231"/>
      <c r="S107" s="83">
        <v>0</v>
      </c>
      <c r="T107" s="83">
        <v>0</v>
      </c>
      <c r="U107" s="83">
        <v>0</v>
      </c>
      <c r="V107" s="83"/>
      <c r="W107" s="89"/>
      <c r="X107" s="46"/>
      <c r="Y107" s="83"/>
      <c r="Z107" s="89"/>
      <c r="AA107" s="89"/>
      <c r="AB107" s="89"/>
      <c r="AC107" s="89"/>
      <c r="AD107" s="46"/>
      <c r="AE107" s="198"/>
      <c r="AF107" s="89"/>
      <c r="AG107" s="89"/>
      <c r="AH107" s="89"/>
      <c r="AI107" s="46"/>
      <c r="AJ107" s="83"/>
      <c r="AK107" s="83"/>
      <c r="AL107" s="83"/>
      <c r="AM107" s="42"/>
      <c r="AN107" s="95"/>
      <c r="AO107" s="96"/>
      <c r="AP107" s="588"/>
      <c r="AQ107" s="546"/>
      <c r="AR107" s="546"/>
      <c r="AS107" s="610"/>
      <c r="AT107" s="573"/>
      <c r="AU107" s="196"/>
      <c r="AV107" s="196"/>
      <c r="AW107" s="196"/>
      <c r="AX107" s="196"/>
    </row>
    <row r="108" spans="1:50" ht="46.5" customHeight="1" x14ac:dyDescent="0.25">
      <c r="A108" s="546"/>
      <c r="B108" s="546"/>
      <c r="C108" s="546"/>
      <c r="D108" s="546"/>
      <c r="E108" s="546"/>
      <c r="F108" s="642"/>
      <c r="G108" s="124" t="s">
        <v>180</v>
      </c>
      <c r="H108" s="125">
        <f>R108+S108</f>
        <v>316541985</v>
      </c>
      <c r="I108" s="99"/>
      <c r="J108" s="99"/>
      <c r="K108" s="99"/>
      <c r="L108" s="99"/>
      <c r="M108" s="74">
        <v>317414033</v>
      </c>
      <c r="N108" s="74">
        <v>317414034</v>
      </c>
      <c r="O108" s="74">
        <v>317414034</v>
      </c>
      <c r="P108" s="74">
        <v>317414034</v>
      </c>
      <c r="Q108" s="74">
        <v>317414034</v>
      </c>
      <c r="R108" s="74">
        <v>128741984</v>
      </c>
      <c r="S108" s="74">
        <v>187800001</v>
      </c>
      <c r="T108" s="75">
        <v>187800001</v>
      </c>
      <c r="U108" s="74">
        <v>187800001</v>
      </c>
      <c r="V108" s="279">
        <v>187800001</v>
      </c>
      <c r="W108" s="75"/>
      <c r="X108" s="75"/>
      <c r="Y108" s="83"/>
      <c r="Z108" s="89"/>
      <c r="AA108" s="89"/>
      <c r="AB108" s="89"/>
      <c r="AC108" s="89"/>
      <c r="AD108" s="46"/>
      <c r="AE108" s="198"/>
      <c r="AF108" s="89"/>
      <c r="AG108" s="89"/>
      <c r="AH108" s="89"/>
      <c r="AI108" s="46"/>
      <c r="AJ108" s="83"/>
      <c r="AK108" s="74">
        <v>150240000</v>
      </c>
      <c r="AL108" s="279">
        <v>150240000</v>
      </c>
      <c r="AM108" s="74"/>
      <c r="AN108" s="76">
        <f t="shared" ref="AN108:AN112" si="177">AL108/V108</f>
        <v>0.79999999574014913</v>
      </c>
      <c r="AO108" s="96"/>
      <c r="AP108" s="588"/>
      <c r="AQ108" s="546"/>
      <c r="AR108" s="546"/>
      <c r="AS108" s="610"/>
      <c r="AT108" s="573"/>
      <c r="AU108" s="197"/>
      <c r="AV108" s="197"/>
      <c r="AW108" s="197"/>
      <c r="AX108" s="197"/>
    </row>
    <row r="109" spans="1:50" ht="46.5" customHeight="1" x14ac:dyDescent="0.25">
      <c r="A109" s="546"/>
      <c r="B109" s="546"/>
      <c r="C109" s="546"/>
      <c r="D109" s="546"/>
      <c r="E109" s="546"/>
      <c r="F109" s="642"/>
      <c r="G109" s="127" t="s">
        <v>191</v>
      </c>
      <c r="H109" s="210">
        <v>1</v>
      </c>
      <c r="I109" s="211">
        <v>0.1</v>
      </c>
      <c r="J109" s="211">
        <v>0.1</v>
      </c>
      <c r="K109" s="211">
        <v>0.1</v>
      </c>
      <c r="L109" s="60">
        <v>0.1</v>
      </c>
      <c r="M109" s="60">
        <f t="shared" ref="M109:P109" si="178">+M105</f>
        <v>0.4</v>
      </c>
      <c r="N109" s="60">
        <f t="shared" si="178"/>
        <v>0.4</v>
      </c>
      <c r="O109" s="60">
        <f t="shared" si="178"/>
        <v>0.4</v>
      </c>
      <c r="P109" s="60">
        <f t="shared" si="178"/>
        <v>0.4</v>
      </c>
      <c r="Q109" s="60">
        <v>0.4</v>
      </c>
      <c r="R109" s="60">
        <f t="shared" ref="R109:S109" si="179">R105</f>
        <v>0.25</v>
      </c>
      <c r="S109" s="211">
        <f t="shared" si="179"/>
        <v>0.6</v>
      </c>
      <c r="T109" s="211">
        <f t="shared" ref="T109:T110" si="180">+T107+T105</f>
        <v>0.6</v>
      </c>
      <c r="U109" s="211">
        <v>0.6</v>
      </c>
      <c r="V109" s="211">
        <f>V105</f>
        <v>0.6</v>
      </c>
      <c r="W109" s="89"/>
      <c r="X109" s="46"/>
      <c r="Y109" s="211">
        <f t="shared" ref="Y109:Y110" si="181">Y105</f>
        <v>0.85</v>
      </c>
      <c r="Z109" s="212"/>
      <c r="AA109" s="89"/>
      <c r="AB109" s="89"/>
      <c r="AC109" s="89"/>
      <c r="AD109" s="46"/>
      <c r="AE109" s="211">
        <f t="shared" ref="AE109:AE110" si="182">AE105</f>
        <v>1</v>
      </c>
      <c r="AF109" s="212"/>
      <c r="AG109" s="89"/>
      <c r="AH109" s="89"/>
      <c r="AI109" s="46"/>
      <c r="AJ109" s="84">
        <f t="shared" ref="AJ109:AK109" si="183">AJ105+AJ107</f>
        <v>0.33750000000000002</v>
      </c>
      <c r="AK109" s="84">
        <f t="shared" si="183"/>
        <v>0.4</v>
      </c>
      <c r="AL109" s="84">
        <f>AL105</f>
        <v>0.4</v>
      </c>
      <c r="AM109" s="60"/>
      <c r="AN109" s="76">
        <f t="shared" si="177"/>
        <v>0.66666666666666674</v>
      </c>
      <c r="AO109" s="126">
        <f>AL109/H109</f>
        <v>0.4</v>
      </c>
      <c r="AP109" s="588"/>
      <c r="AQ109" s="546"/>
      <c r="AR109" s="546"/>
      <c r="AS109" s="610"/>
      <c r="AT109" s="573"/>
      <c r="AU109" s="196"/>
      <c r="AV109" s="196"/>
      <c r="AW109" s="196"/>
      <c r="AX109" s="196"/>
    </row>
    <row r="110" spans="1:50" ht="46.5" customHeight="1" x14ac:dyDescent="0.25">
      <c r="A110" s="546"/>
      <c r="B110" s="547"/>
      <c r="C110" s="547"/>
      <c r="D110" s="547"/>
      <c r="E110" s="547"/>
      <c r="F110" s="642"/>
      <c r="G110" s="233" t="s">
        <v>196</v>
      </c>
      <c r="H110" s="234">
        <f>+H106+H108</f>
        <v>1546242993</v>
      </c>
      <c r="I110" s="235">
        <v>409957828</v>
      </c>
      <c r="J110" s="235">
        <f t="shared" ref="J110:K110" si="184">+J106</f>
        <v>409957828</v>
      </c>
      <c r="K110" s="235">
        <f t="shared" si="184"/>
        <v>409957828</v>
      </c>
      <c r="L110" s="235">
        <v>323441007</v>
      </c>
      <c r="M110" s="235">
        <f t="shared" ref="M110:R110" si="185">+M106+M108</f>
        <v>550086032</v>
      </c>
      <c r="N110" s="235">
        <f t="shared" si="185"/>
        <v>550086034</v>
      </c>
      <c r="O110" s="235">
        <f t="shared" si="185"/>
        <v>550086034</v>
      </c>
      <c r="P110" s="235">
        <f t="shared" si="185"/>
        <v>550086034</v>
      </c>
      <c r="Q110" s="235">
        <f t="shared" si="185"/>
        <v>516776034</v>
      </c>
      <c r="R110" s="235">
        <f t="shared" si="185"/>
        <v>316541985</v>
      </c>
      <c r="S110" s="235">
        <f>S106+S108</f>
        <v>387800001</v>
      </c>
      <c r="T110" s="235">
        <f t="shared" si="180"/>
        <v>387800001</v>
      </c>
      <c r="U110" s="235">
        <v>387800001</v>
      </c>
      <c r="V110" s="235">
        <f>V106+V108</f>
        <v>387800001</v>
      </c>
      <c r="W110" s="236"/>
      <c r="X110" s="236"/>
      <c r="Y110" s="235">
        <f t="shared" si="181"/>
        <v>303863000</v>
      </c>
      <c r="Z110" s="236"/>
      <c r="AA110" s="236"/>
      <c r="AB110" s="236"/>
      <c r="AC110" s="236"/>
      <c r="AD110" s="236"/>
      <c r="AE110" s="235">
        <f t="shared" si="182"/>
        <v>214597000</v>
      </c>
      <c r="AF110" s="236"/>
      <c r="AG110" s="236"/>
      <c r="AH110" s="236"/>
      <c r="AI110" s="236"/>
      <c r="AJ110" s="235">
        <f t="shared" ref="AJ110:AL110" si="186">AJ106+AJ108</f>
        <v>0</v>
      </c>
      <c r="AK110" s="235">
        <f t="shared" si="186"/>
        <v>150240000</v>
      </c>
      <c r="AL110" s="235">
        <f t="shared" si="186"/>
        <v>150240000</v>
      </c>
      <c r="AM110" s="235"/>
      <c r="AN110" s="76">
        <f t="shared" si="177"/>
        <v>0.38741619291537854</v>
      </c>
      <c r="AO110" s="237">
        <f>(L110+R110+AL110)/H110</f>
        <v>0.5110600310413177</v>
      </c>
      <c r="AP110" s="589"/>
      <c r="AQ110" s="614"/>
      <c r="AR110" s="614"/>
      <c r="AS110" s="611"/>
      <c r="AT110" s="596"/>
      <c r="AU110" s="197"/>
      <c r="AV110" s="197"/>
      <c r="AW110" s="197"/>
      <c r="AX110" s="197"/>
    </row>
    <row r="111" spans="1:50" ht="46.5" customHeight="1" x14ac:dyDescent="0.25">
      <c r="A111" s="546"/>
      <c r="B111" s="545">
        <v>18</v>
      </c>
      <c r="C111" s="545" t="s">
        <v>275</v>
      </c>
      <c r="D111" s="545" t="s">
        <v>125</v>
      </c>
      <c r="E111" s="545">
        <v>521</v>
      </c>
      <c r="F111" s="642"/>
      <c r="G111" s="113" t="s">
        <v>119</v>
      </c>
      <c r="H111" s="199">
        <v>1</v>
      </c>
      <c r="I111" s="200">
        <v>1</v>
      </c>
      <c r="J111" s="200">
        <v>1</v>
      </c>
      <c r="K111" s="200">
        <v>1</v>
      </c>
      <c r="L111" s="201">
        <v>1</v>
      </c>
      <c r="M111" s="200">
        <v>0</v>
      </c>
      <c r="N111" s="200">
        <v>1</v>
      </c>
      <c r="O111" s="201">
        <v>1</v>
      </c>
      <c r="P111" s="201">
        <v>1</v>
      </c>
      <c r="Q111" s="201">
        <v>1</v>
      </c>
      <c r="R111" s="201">
        <v>1</v>
      </c>
      <c r="S111" s="200">
        <v>1</v>
      </c>
      <c r="T111" s="200">
        <f>+S111</f>
        <v>1</v>
      </c>
      <c r="U111" s="201">
        <v>1</v>
      </c>
      <c r="V111" s="334">
        <v>1</v>
      </c>
      <c r="W111" s="160"/>
      <c r="X111" s="62"/>
      <c r="Y111" s="200">
        <v>1</v>
      </c>
      <c r="Z111" s="219"/>
      <c r="AA111" s="160"/>
      <c r="AB111" s="160"/>
      <c r="AC111" s="160"/>
      <c r="AD111" s="62"/>
      <c r="AE111" s="200">
        <v>1</v>
      </c>
      <c r="AF111" s="219"/>
      <c r="AG111" s="160"/>
      <c r="AH111" s="160"/>
      <c r="AI111" s="62"/>
      <c r="AJ111" s="67">
        <v>0.1298</v>
      </c>
      <c r="AK111" s="67">
        <v>0.55840000000000001</v>
      </c>
      <c r="AL111" s="337">
        <v>0.8831</v>
      </c>
      <c r="AM111" s="201"/>
      <c r="AN111" s="76">
        <f t="shared" si="177"/>
        <v>0.8831</v>
      </c>
      <c r="AO111" s="216">
        <f>9/16</f>
        <v>0.5625</v>
      </c>
      <c r="AP111" s="606" t="s">
        <v>431</v>
      </c>
      <c r="AQ111" s="579" t="s">
        <v>101</v>
      </c>
      <c r="AR111" s="579" t="s">
        <v>104</v>
      </c>
      <c r="AS111" s="615" t="s">
        <v>432</v>
      </c>
      <c r="AT111" s="597" t="s">
        <v>433</v>
      </c>
      <c r="AU111" s="196"/>
      <c r="AV111" s="196"/>
      <c r="AW111" s="196"/>
      <c r="AX111" s="196"/>
    </row>
    <row r="112" spans="1:50" ht="46.5" customHeight="1" x14ac:dyDescent="0.25">
      <c r="A112" s="546"/>
      <c r="B112" s="546"/>
      <c r="C112" s="546"/>
      <c r="D112" s="546"/>
      <c r="E112" s="546"/>
      <c r="F112" s="642"/>
      <c r="G112" s="124" t="s">
        <v>153</v>
      </c>
      <c r="H112" s="125">
        <f>+L112+R112+S112+Y112+AE112</f>
        <v>1090407419</v>
      </c>
      <c r="I112" s="74">
        <v>110021167</v>
      </c>
      <c r="J112" s="74">
        <v>110021167</v>
      </c>
      <c r="K112" s="241">
        <v>110021167</v>
      </c>
      <c r="L112" s="74">
        <v>106600997</v>
      </c>
      <c r="M112" s="74">
        <v>217671000</v>
      </c>
      <c r="N112" s="74">
        <v>217671000</v>
      </c>
      <c r="O112" s="74">
        <v>217671000</v>
      </c>
      <c r="P112" s="74">
        <v>217671000</v>
      </c>
      <c r="Q112" s="74">
        <v>231190370</v>
      </c>
      <c r="R112" s="74">
        <v>222500537</v>
      </c>
      <c r="S112" s="74">
        <v>258611885</v>
      </c>
      <c r="T112" s="74">
        <v>258611885</v>
      </c>
      <c r="U112" s="74">
        <v>258611885</v>
      </c>
      <c r="V112" s="279">
        <v>258611885</v>
      </c>
      <c r="W112" s="75"/>
      <c r="X112" s="75"/>
      <c r="Y112" s="74">
        <v>294623000</v>
      </c>
      <c r="Z112" s="75"/>
      <c r="AA112" s="75"/>
      <c r="AB112" s="75"/>
      <c r="AC112" s="75"/>
      <c r="AD112" s="75"/>
      <c r="AE112" s="74">
        <v>208071000</v>
      </c>
      <c r="AF112" s="75"/>
      <c r="AG112" s="75"/>
      <c r="AH112" s="75"/>
      <c r="AI112" s="75"/>
      <c r="AJ112" s="74">
        <v>206069500</v>
      </c>
      <c r="AK112" s="74">
        <v>206069500</v>
      </c>
      <c r="AL112" s="279">
        <v>257727500</v>
      </c>
      <c r="AM112" s="74"/>
      <c r="AN112" s="76">
        <f t="shared" si="177"/>
        <v>0.99658026157614532</v>
      </c>
      <c r="AO112" s="217">
        <f>(L112+R112+AL112)/H112</f>
        <v>0.53817410242693886</v>
      </c>
      <c r="AP112" s="604"/>
      <c r="AQ112" s="546"/>
      <c r="AR112" s="546"/>
      <c r="AS112" s="610"/>
      <c r="AT112" s="573"/>
      <c r="AU112" s="197"/>
      <c r="AV112" s="197"/>
      <c r="AW112" s="197"/>
      <c r="AX112" s="197"/>
    </row>
    <row r="113" spans="1:50" ht="46.5" customHeight="1" x14ac:dyDescent="0.25">
      <c r="A113" s="546"/>
      <c r="B113" s="546"/>
      <c r="C113" s="546"/>
      <c r="D113" s="546"/>
      <c r="E113" s="546"/>
      <c r="F113" s="642"/>
      <c r="G113" s="127" t="s">
        <v>160</v>
      </c>
      <c r="H113" s="167"/>
      <c r="I113" s="83"/>
      <c r="J113" s="83"/>
      <c r="K113" s="83"/>
      <c r="L113" s="83"/>
      <c r="M113" s="83"/>
      <c r="N113" s="83"/>
      <c r="O113" s="83"/>
      <c r="P113" s="83"/>
      <c r="Q113" s="83"/>
      <c r="R113" s="82"/>
      <c r="S113" s="83">
        <v>0</v>
      </c>
      <c r="T113" s="83">
        <v>0</v>
      </c>
      <c r="U113" s="83">
        <v>0</v>
      </c>
      <c r="V113" s="83"/>
      <c r="W113" s="89"/>
      <c r="X113" s="46"/>
      <c r="Y113" s="83"/>
      <c r="Z113" s="89"/>
      <c r="AA113" s="89"/>
      <c r="AB113" s="89"/>
      <c r="AC113" s="89"/>
      <c r="AD113" s="46"/>
      <c r="AE113" s="198"/>
      <c r="AF113" s="89"/>
      <c r="AG113" s="89"/>
      <c r="AH113" s="89"/>
      <c r="AI113" s="46"/>
      <c r="AJ113" s="83"/>
      <c r="AK113" s="83"/>
      <c r="AL113" s="83"/>
      <c r="AM113" s="42"/>
      <c r="AN113" s="95"/>
      <c r="AO113" s="96"/>
      <c r="AP113" s="604"/>
      <c r="AQ113" s="546"/>
      <c r="AR113" s="546"/>
      <c r="AS113" s="610"/>
      <c r="AT113" s="573"/>
      <c r="AU113" s="196"/>
      <c r="AV113" s="196"/>
      <c r="AW113" s="196"/>
      <c r="AX113" s="196"/>
    </row>
    <row r="114" spans="1:50" ht="46.5" customHeight="1" x14ac:dyDescent="0.25">
      <c r="A114" s="546"/>
      <c r="B114" s="546"/>
      <c r="C114" s="546"/>
      <c r="D114" s="546"/>
      <c r="E114" s="546"/>
      <c r="F114" s="642"/>
      <c r="G114" s="124" t="s">
        <v>180</v>
      </c>
      <c r="H114" s="125">
        <f>R114+S114</f>
        <v>84874970</v>
      </c>
      <c r="I114" s="99"/>
      <c r="J114" s="99"/>
      <c r="K114" s="99"/>
      <c r="L114" s="74">
        <f>R114+S114+Y114</f>
        <v>84874970</v>
      </c>
      <c r="M114" s="74">
        <v>35311699</v>
      </c>
      <c r="N114" s="74">
        <v>35311699</v>
      </c>
      <c r="O114" s="74">
        <v>35311699</v>
      </c>
      <c r="P114" s="74">
        <v>35311699</v>
      </c>
      <c r="Q114" s="74">
        <v>35311699</v>
      </c>
      <c r="R114" s="74">
        <v>35311699</v>
      </c>
      <c r="S114" s="74">
        <v>49563271</v>
      </c>
      <c r="T114" s="75">
        <v>49563271</v>
      </c>
      <c r="U114" s="74">
        <v>49563271</v>
      </c>
      <c r="V114" s="279">
        <v>49563271</v>
      </c>
      <c r="W114" s="75"/>
      <c r="X114" s="75"/>
      <c r="Y114" s="83"/>
      <c r="Z114" s="89"/>
      <c r="AA114" s="89"/>
      <c r="AB114" s="89"/>
      <c r="AC114" s="89"/>
      <c r="AD114" s="46"/>
      <c r="AE114" s="198"/>
      <c r="AF114" s="75"/>
      <c r="AG114" s="75"/>
      <c r="AH114" s="75"/>
      <c r="AI114" s="75"/>
      <c r="AJ114" s="74">
        <v>24284267</v>
      </c>
      <c r="AK114" s="74">
        <v>40581267</v>
      </c>
      <c r="AL114" s="279">
        <v>47114134</v>
      </c>
      <c r="AM114" s="74"/>
      <c r="AN114" s="76">
        <f t="shared" ref="AN114:AN118" si="187">AL114/V114</f>
        <v>0.95058564637511511</v>
      </c>
      <c r="AO114" s="96"/>
      <c r="AP114" s="604"/>
      <c r="AQ114" s="546"/>
      <c r="AR114" s="546"/>
      <c r="AS114" s="610"/>
      <c r="AT114" s="573"/>
      <c r="AU114" s="197"/>
      <c r="AV114" s="197"/>
      <c r="AW114" s="197"/>
      <c r="AX114" s="197"/>
    </row>
    <row r="115" spans="1:50" ht="46.5" customHeight="1" x14ac:dyDescent="0.25">
      <c r="A115" s="546"/>
      <c r="B115" s="546"/>
      <c r="C115" s="546"/>
      <c r="D115" s="546"/>
      <c r="E115" s="546"/>
      <c r="F115" s="642"/>
      <c r="G115" s="127" t="s">
        <v>191</v>
      </c>
      <c r="H115" s="210">
        <v>1</v>
      </c>
      <c r="I115" s="211">
        <v>1</v>
      </c>
      <c r="J115" s="211">
        <v>1</v>
      </c>
      <c r="K115" s="243" t="s">
        <v>434</v>
      </c>
      <c r="L115" s="60">
        <v>1</v>
      </c>
      <c r="M115" s="60">
        <f t="shared" ref="M115:P115" si="188">+M111</f>
        <v>0</v>
      </c>
      <c r="N115" s="60">
        <f t="shared" si="188"/>
        <v>1</v>
      </c>
      <c r="O115" s="60">
        <f t="shared" si="188"/>
        <v>1</v>
      </c>
      <c r="P115" s="60">
        <f t="shared" si="188"/>
        <v>1</v>
      </c>
      <c r="Q115" s="91">
        <v>1</v>
      </c>
      <c r="R115" s="60">
        <v>1</v>
      </c>
      <c r="S115" s="211">
        <f>S111</f>
        <v>1</v>
      </c>
      <c r="T115" s="211">
        <f t="shared" ref="T115:T116" si="189">+T111+T113</f>
        <v>1</v>
      </c>
      <c r="U115" s="211">
        <v>1</v>
      </c>
      <c r="V115" s="211">
        <f>V111</f>
        <v>1</v>
      </c>
      <c r="W115" s="89"/>
      <c r="X115" s="46"/>
      <c r="Y115" s="211">
        <f t="shared" ref="Y115:Y116" si="190">Y111</f>
        <v>1</v>
      </c>
      <c r="Z115" s="212"/>
      <c r="AA115" s="89"/>
      <c r="AB115" s="89"/>
      <c r="AC115" s="89"/>
      <c r="AD115" s="46"/>
      <c r="AE115" s="211">
        <f t="shared" ref="AE115:AE116" si="191">AE111</f>
        <v>1</v>
      </c>
      <c r="AF115" s="212"/>
      <c r="AG115" s="89"/>
      <c r="AH115" s="89"/>
      <c r="AI115" s="46"/>
      <c r="AJ115" s="60">
        <f t="shared" ref="AJ115:AK115" si="192">AJ111+AJ113</f>
        <v>0.1298</v>
      </c>
      <c r="AK115" s="63">
        <f t="shared" si="192"/>
        <v>0.55840000000000001</v>
      </c>
      <c r="AL115" s="63">
        <f>AL111</f>
        <v>0.8831</v>
      </c>
      <c r="AM115" s="60"/>
      <c r="AN115" s="76">
        <f t="shared" si="187"/>
        <v>0.8831</v>
      </c>
      <c r="AO115" s="217">
        <f>9/16</f>
        <v>0.5625</v>
      </c>
      <c r="AP115" s="604"/>
      <c r="AQ115" s="546"/>
      <c r="AR115" s="546"/>
      <c r="AS115" s="610"/>
      <c r="AT115" s="573"/>
      <c r="AU115" s="196"/>
      <c r="AV115" s="196"/>
      <c r="AW115" s="196"/>
      <c r="AX115" s="196"/>
    </row>
    <row r="116" spans="1:50" ht="46.5" customHeight="1" x14ac:dyDescent="0.25">
      <c r="A116" s="547"/>
      <c r="B116" s="547"/>
      <c r="C116" s="547"/>
      <c r="D116" s="547"/>
      <c r="E116" s="547"/>
      <c r="F116" s="642"/>
      <c r="G116" s="142" t="s">
        <v>196</v>
      </c>
      <c r="H116" s="144">
        <f>+H112+H114</f>
        <v>1175282389</v>
      </c>
      <c r="I116" s="110">
        <v>110021167</v>
      </c>
      <c r="J116" s="110">
        <f t="shared" ref="J116:K116" si="193">+J112</f>
        <v>110021167</v>
      </c>
      <c r="K116" s="110">
        <f t="shared" si="193"/>
        <v>110021167</v>
      </c>
      <c r="L116" s="110">
        <v>106600997</v>
      </c>
      <c r="M116" s="110">
        <f t="shared" ref="M116:R116" si="194">+M112+M114</f>
        <v>252982699</v>
      </c>
      <c r="N116" s="110">
        <f t="shared" si="194"/>
        <v>252982699</v>
      </c>
      <c r="O116" s="110">
        <f t="shared" si="194"/>
        <v>252982699</v>
      </c>
      <c r="P116" s="110">
        <f t="shared" si="194"/>
        <v>252982699</v>
      </c>
      <c r="Q116" s="110">
        <f t="shared" si="194"/>
        <v>266502069</v>
      </c>
      <c r="R116" s="110">
        <f t="shared" si="194"/>
        <v>257812236</v>
      </c>
      <c r="S116" s="110">
        <f>S112+S114</f>
        <v>308175156</v>
      </c>
      <c r="T116" s="110">
        <f t="shared" si="189"/>
        <v>308175156</v>
      </c>
      <c r="U116" s="110">
        <v>308175156</v>
      </c>
      <c r="V116" s="110">
        <f>V112+V114</f>
        <v>308175156</v>
      </c>
      <c r="W116" s="111"/>
      <c r="X116" s="111"/>
      <c r="Y116" s="110">
        <f t="shared" si="190"/>
        <v>294623000</v>
      </c>
      <c r="Z116" s="111"/>
      <c r="AA116" s="111"/>
      <c r="AB116" s="111"/>
      <c r="AC116" s="111"/>
      <c r="AD116" s="111"/>
      <c r="AE116" s="110">
        <f t="shared" si="191"/>
        <v>208071000</v>
      </c>
      <c r="AF116" s="111"/>
      <c r="AG116" s="111"/>
      <c r="AH116" s="111"/>
      <c r="AI116" s="111"/>
      <c r="AJ116" s="110">
        <f t="shared" ref="AJ116:AL116" si="195">AJ112+AJ114</f>
        <v>230353767</v>
      </c>
      <c r="AK116" s="110">
        <f t="shared" si="195"/>
        <v>246650767</v>
      </c>
      <c r="AL116" s="110">
        <f t="shared" si="195"/>
        <v>304841634</v>
      </c>
      <c r="AM116" s="110"/>
      <c r="AN116" s="76">
        <f t="shared" si="187"/>
        <v>0.98918302810885894</v>
      </c>
      <c r="AO116" s="218">
        <f t="shared" ref="AO116:AO118" si="196">(L116+R116+AL116)/H116</f>
        <v>0.56944175566983668</v>
      </c>
      <c r="AP116" s="605"/>
      <c r="AQ116" s="580"/>
      <c r="AR116" s="580"/>
      <c r="AS116" s="616"/>
      <c r="AT116" s="574"/>
      <c r="AU116" s="197"/>
      <c r="AV116" s="197"/>
      <c r="AW116" s="197"/>
      <c r="AX116" s="197"/>
    </row>
    <row r="117" spans="1:50" ht="46.5" customHeight="1" x14ac:dyDescent="0.25">
      <c r="A117" s="545" t="s">
        <v>283</v>
      </c>
      <c r="B117" s="548">
        <v>19</v>
      </c>
      <c r="C117" s="545" t="s">
        <v>287</v>
      </c>
      <c r="D117" s="545" t="s">
        <v>110</v>
      </c>
      <c r="E117" s="545">
        <v>472</v>
      </c>
      <c r="F117" s="642"/>
      <c r="G117" s="224" t="s">
        <v>119</v>
      </c>
      <c r="H117" s="244">
        <f t="shared" ref="H117:H118" si="197">+L117+R117+S117+Y117+AE117</f>
        <v>770000</v>
      </c>
      <c r="I117" s="245">
        <v>0</v>
      </c>
      <c r="J117" s="246">
        <v>0</v>
      </c>
      <c r="K117" s="247">
        <v>106549</v>
      </c>
      <c r="L117" s="245">
        <v>106549</v>
      </c>
      <c r="M117" s="245">
        <v>350000</v>
      </c>
      <c r="N117" s="245">
        <v>350000</v>
      </c>
      <c r="O117" s="248">
        <v>350000</v>
      </c>
      <c r="P117" s="248">
        <v>350000</v>
      </c>
      <c r="Q117" s="248">
        <v>355398</v>
      </c>
      <c r="R117" s="248">
        <v>355398</v>
      </c>
      <c r="S117" s="248">
        <v>120000</v>
      </c>
      <c r="T117" s="248">
        <f>+S117</f>
        <v>120000</v>
      </c>
      <c r="U117" s="248">
        <v>120000</v>
      </c>
      <c r="V117" s="341">
        <v>150000</v>
      </c>
      <c r="W117" s="342"/>
      <c r="X117" s="343"/>
      <c r="Y117" s="341">
        <v>120000</v>
      </c>
      <c r="Z117" s="342"/>
      <c r="AA117" s="342"/>
      <c r="AB117" s="342"/>
      <c r="AC117" s="342"/>
      <c r="AD117" s="343"/>
      <c r="AE117" s="341">
        <f>103451-5398-30000</f>
        <v>68053</v>
      </c>
      <c r="AF117" s="228"/>
      <c r="AG117" s="228"/>
      <c r="AH117" s="228"/>
      <c r="AI117" s="229"/>
      <c r="AJ117" s="246">
        <f>57875.64+20.03</f>
        <v>57895.67</v>
      </c>
      <c r="AK117" s="249">
        <v>100955.68</v>
      </c>
      <c r="AL117" s="344">
        <f>44804.5+AK117</f>
        <v>145760.18</v>
      </c>
      <c r="AM117" s="247"/>
      <c r="AN117" s="281">
        <f t="shared" si="187"/>
        <v>0.97173453333333326</v>
      </c>
      <c r="AO117" s="126">
        <f t="shared" si="196"/>
        <v>0.78923010389610382</v>
      </c>
      <c r="AP117" s="587" t="s">
        <v>435</v>
      </c>
      <c r="AQ117" s="613" t="s">
        <v>101</v>
      </c>
      <c r="AR117" s="613" t="s">
        <v>104</v>
      </c>
      <c r="AS117" s="609" t="s">
        <v>436</v>
      </c>
      <c r="AT117" s="608" t="s">
        <v>437</v>
      </c>
      <c r="AU117" s="70"/>
      <c r="AV117" s="70"/>
      <c r="AW117" s="70"/>
      <c r="AX117" s="70"/>
    </row>
    <row r="118" spans="1:50" ht="46.5" customHeight="1" x14ac:dyDescent="0.25">
      <c r="A118" s="546"/>
      <c r="B118" s="546"/>
      <c r="C118" s="546"/>
      <c r="D118" s="546"/>
      <c r="E118" s="546"/>
      <c r="F118" s="642"/>
      <c r="G118" s="124" t="s">
        <v>153</v>
      </c>
      <c r="H118" s="125">
        <f t="shared" si="197"/>
        <v>1338656325</v>
      </c>
      <c r="I118" s="74">
        <v>213000000</v>
      </c>
      <c r="J118" s="74">
        <f t="shared" ref="J118:K118" si="198">117519000+95481000</f>
        <v>213000000</v>
      </c>
      <c r="K118" s="74">
        <f t="shared" si="198"/>
        <v>213000000</v>
      </c>
      <c r="L118" s="74">
        <v>207754758</v>
      </c>
      <c r="M118" s="74">
        <v>213000000</v>
      </c>
      <c r="N118" s="74">
        <v>213000000</v>
      </c>
      <c r="O118" s="74">
        <v>213000000</v>
      </c>
      <c r="P118" s="74">
        <v>213000000</v>
      </c>
      <c r="Q118" s="74">
        <v>213000000</v>
      </c>
      <c r="R118" s="74">
        <v>115901567</v>
      </c>
      <c r="S118" s="74">
        <v>165000000</v>
      </c>
      <c r="T118" s="74">
        <v>165000000</v>
      </c>
      <c r="U118" s="74">
        <v>165000000</v>
      </c>
      <c r="V118" s="279">
        <v>165000000</v>
      </c>
      <c r="W118" s="279"/>
      <c r="X118" s="279"/>
      <c r="Y118" s="279">
        <v>638000000</v>
      </c>
      <c r="Z118" s="279"/>
      <c r="AA118" s="279"/>
      <c r="AB118" s="279"/>
      <c r="AC118" s="279"/>
      <c r="AD118" s="279"/>
      <c r="AE118" s="279">
        <v>212000000</v>
      </c>
      <c r="AF118" s="75"/>
      <c r="AG118" s="75"/>
      <c r="AH118" s="75"/>
      <c r="AI118" s="75"/>
      <c r="AJ118" s="74">
        <v>114433000</v>
      </c>
      <c r="AK118" s="74">
        <v>114433000</v>
      </c>
      <c r="AL118" s="279">
        <v>114433000</v>
      </c>
      <c r="AM118" s="74"/>
      <c r="AN118" s="76">
        <f t="shared" si="187"/>
        <v>0.69353333333333333</v>
      </c>
      <c r="AO118" s="77">
        <f t="shared" si="196"/>
        <v>0.32726049010376135</v>
      </c>
      <c r="AP118" s="588"/>
      <c r="AQ118" s="546"/>
      <c r="AR118" s="546"/>
      <c r="AS118" s="610"/>
      <c r="AT118" s="573"/>
      <c r="AU118" s="105"/>
      <c r="AV118" s="105"/>
      <c r="AW118" s="105"/>
      <c r="AX118" s="105"/>
    </row>
    <row r="119" spans="1:50" ht="46.5" customHeight="1" x14ac:dyDescent="0.25">
      <c r="A119" s="546"/>
      <c r="B119" s="546"/>
      <c r="C119" s="546"/>
      <c r="D119" s="546"/>
      <c r="E119" s="546"/>
      <c r="F119" s="642"/>
      <c r="G119" s="127" t="s">
        <v>160</v>
      </c>
      <c r="H119" s="128"/>
      <c r="I119" s="81"/>
      <c r="J119" s="83"/>
      <c r="K119" s="83"/>
      <c r="L119" s="83"/>
      <c r="M119" s="83"/>
      <c r="N119" s="83"/>
      <c r="O119" s="83"/>
      <c r="P119" s="83"/>
      <c r="Q119" s="83"/>
      <c r="R119" s="82"/>
      <c r="S119" s="83">
        <v>0</v>
      </c>
      <c r="T119" s="193">
        <v>0</v>
      </c>
      <c r="U119" s="193">
        <v>0</v>
      </c>
      <c r="V119" s="193"/>
      <c r="W119" s="89"/>
      <c r="X119" s="89"/>
      <c r="Y119" s="193"/>
      <c r="Z119" s="89"/>
      <c r="AA119" s="89"/>
      <c r="AB119" s="89"/>
      <c r="AC119" s="89"/>
      <c r="AD119" s="46"/>
      <c r="AE119" s="250"/>
      <c r="AF119" s="89"/>
      <c r="AG119" s="89"/>
      <c r="AH119" s="89"/>
      <c r="AI119" s="46"/>
      <c r="AJ119" s="193"/>
      <c r="AK119" s="193"/>
      <c r="AL119" s="193"/>
      <c r="AM119" s="42"/>
      <c r="AN119" s="95"/>
      <c r="AO119" s="96"/>
      <c r="AP119" s="588"/>
      <c r="AQ119" s="546"/>
      <c r="AR119" s="546"/>
      <c r="AS119" s="610"/>
      <c r="AT119" s="573"/>
      <c r="AU119" s="70"/>
      <c r="AV119" s="70"/>
      <c r="AW119" s="70"/>
      <c r="AX119" s="70"/>
    </row>
    <row r="120" spans="1:50" ht="46.5" customHeight="1" x14ac:dyDescent="0.25">
      <c r="A120" s="546"/>
      <c r="B120" s="546"/>
      <c r="C120" s="546"/>
      <c r="D120" s="546"/>
      <c r="E120" s="546"/>
      <c r="F120" s="642"/>
      <c r="G120" s="124" t="s">
        <v>180</v>
      </c>
      <c r="H120" s="131">
        <f>R120+S120</f>
        <v>170156826</v>
      </c>
      <c r="I120" s="98"/>
      <c r="J120" s="99"/>
      <c r="K120" s="99"/>
      <c r="L120" s="99"/>
      <c r="M120" s="74">
        <v>151632088</v>
      </c>
      <c r="N120" s="74">
        <v>151632088</v>
      </c>
      <c r="O120" s="74">
        <v>151032326</v>
      </c>
      <c r="P120" s="74">
        <v>151032326</v>
      </c>
      <c r="Q120" s="74">
        <v>151032326</v>
      </c>
      <c r="R120" s="74">
        <v>151032326</v>
      </c>
      <c r="S120" s="74">
        <v>19124500</v>
      </c>
      <c r="T120" s="75">
        <v>19124500</v>
      </c>
      <c r="U120" s="74">
        <v>19124500</v>
      </c>
      <c r="V120" s="279">
        <v>10070000</v>
      </c>
      <c r="W120" s="279"/>
      <c r="X120" s="279"/>
      <c r="Y120" s="193"/>
      <c r="Z120" s="89"/>
      <c r="AA120" s="89"/>
      <c r="AB120" s="89"/>
      <c r="AC120" s="89"/>
      <c r="AD120" s="46"/>
      <c r="AE120" s="250"/>
      <c r="AF120" s="279"/>
      <c r="AG120" s="279"/>
      <c r="AH120" s="279"/>
      <c r="AI120" s="279"/>
      <c r="AJ120" s="279">
        <v>7085000</v>
      </c>
      <c r="AK120" s="279">
        <v>10070000</v>
      </c>
      <c r="AL120" s="279">
        <v>10070000</v>
      </c>
      <c r="AM120" s="103"/>
      <c r="AN120" s="76">
        <f t="shared" ref="AN120:AN124" si="199">AL120/V120</f>
        <v>1</v>
      </c>
      <c r="AO120" s="96"/>
      <c r="AP120" s="588"/>
      <c r="AQ120" s="546"/>
      <c r="AR120" s="546"/>
      <c r="AS120" s="610"/>
      <c r="AT120" s="573"/>
      <c r="AU120" s="105"/>
      <c r="AV120" s="105"/>
      <c r="AW120" s="105"/>
      <c r="AX120" s="105"/>
    </row>
    <row r="121" spans="1:50" ht="46.5" customHeight="1" x14ac:dyDescent="0.25">
      <c r="A121" s="546"/>
      <c r="B121" s="546"/>
      <c r="C121" s="546"/>
      <c r="D121" s="546"/>
      <c r="E121" s="546"/>
      <c r="F121" s="642"/>
      <c r="G121" s="127" t="s">
        <v>191</v>
      </c>
      <c r="H121" s="133">
        <f>+H117</f>
        <v>770000</v>
      </c>
      <c r="I121" s="106">
        <v>0</v>
      </c>
      <c r="J121" s="136">
        <v>0</v>
      </c>
      <c r="K121" s="136">
        <f>+K117</f>
        <v>106549</v>
      </c>
      <c r="L121" s="106">
        <v>106549</v>
      </c>
      <c r="M121" s="91">
        <f t="shared" ref="M121:P121" si="200">+M117</f>
        <v>350000</v>
      </c>
      <c r="N121" s="91">
        <f t="shared" si="200"/>
        <v>350000</v>
      </c>
      <c r="O121" s="91">
        <f t="shared" si="200"/>
        <v>350000</v>
      </c>
      <c r="P121" s="91">
        <f t="shared" si="200"/>
        <v>350000</v>
      </c>
      <c r="Q121" s="91">
        <v>350000</v>
      </c>
      <c r="R121" s="91">
        <f t="shared" ref="R121:S121" si="201">R117</f>
        <v>355398</v>
      </c>
      <c r="S121" s="91">
        <f t="shared" si="201"/>
        <v>120000</v>
      </c>
      <c r="T121" s="91">
        <f t="shared" ref="T121:T122" si="202">+T119+T117</f>
        <v>120000</v>
      </c>
      <c r="U121" s="91">
        <v>120000</v>
      </c>
      <c r="V121" s="322">
        <f>V117</f>
        <v>150000</v>
      </c>
      <c r="W121" s="322"/>
      <c r="X121" s="322"/>
      <c r="Y121" s="322">
        <f>Y117</f>
        <v>120000</v>
      </c>
      <c r="Z121" s="322"/>
      <c r="AA121" s="322"/>
      <c r="AB121" s="322"/>
      <c r="AC121" s="322"/>
      <c r="AD121" s="289"/>
      <c r="AE121" s="322">
        <f>AE117</f>
        <v>68053</v>
      </c>
      <c r="AF121" s="307"/>
      <c r="AG121" s="322"/>
      <c r="AH121" s="322"/>
      <c r="AI121" s="289"/>
      <c r="AJ121" s="322">
        <f t="shared" ref="AJ121:AK121" si="203">AJ117+AJ119</f>
        <v>57895.67</v>
      </c>
      <c r="AK121" s="307">
        <f t="shared" si="203"/>
        <v>100955.68</v>
      </c>
      <c r="AL121" s="307">
        <f>AL117</f>
        <v>145760.18</v>
      </c>
      <c r="AM121" s="120"/>
      <c r="AN121" s="76">
        <f t="shared" si="199"/>
        <v>0.97173453333333326</v>
      </c>
      <c r="AO121" s="77">
        <f t="shared" ref="AO121:AO122" si="204">(L121+R121+AL121)/H121</f>
        <v>0.78923010389610382</v>
      </c>
      <c r="AP121" s="588"/>
      <c r="AQ121" s="546"/>
      <c r="AR121" s="546"/>
      <c r="AS121" s="610"/>
      <c r="AT121" s="573"/>
      <c r="AU121" s="70"/>
      <c r="AV121" s="70"/>
      <c r="AW121" s="70"/>
      <c r="AX121" s="70"/>
    </row>
    <row r="122" spans="1:50" ht="46.5" customHeight="1" x14ac:dyDescent="0.25">
      <c r="A122" s="547"/>
      <c r="B122" s="547"/>
      <c r="C122" s="547"/>
      <c r="D122" s="547"/>
      <c r="E122" s="547"/>
      <c r="F122" s="642"/>
      <c r="G122" s="233" t="s">
        <v>196</v>
      </c>
      <c r="H122" s="234">
        <f>+H118+H120</f>
        <v>1508813151</v>
      </c>
      <c r="I122" s="235">
        <v>213000000</v>
      </c>
      <c r="J122" s="235">
        <f t="shared" ref="J122:K122" si="205">+J118</f>
        <v>213000000</v>
      </c>
      <c r="K122" s="235">
        <f t="shared" si="205"/>
        <v>213000000</v>
      </c>
      <c r="L122" s="235">
        <v>207754758</v>
      </c>
      <c r="M122" s="235">
        <f t="shared" ref="M122:P122" si="206">+M118+M120</f>
        <v>364632088</v>
      </c>
      <c r="N122" s="235">
        <f t="shared" si="206"/>
        <v>364632088</v>
      </c>
      <c r="O122" s="235">
        <f t="shared" si="206"/>
        <v>364032326</v>
      </c>
      <c r="P122" s="235">
        <f t="shared" si="206"/>
        <v>364032326</v>
      </c>
      <c r="Q122" s="235">
        <v>364032326</v>
      </c>
      <c r="R122" s="235">
        <f t="shared" ref="R122:S122" si="207">+R118+R120</f>
        <v>266933893</v>
      </c>
      <c r="S122" s="235">
        <f t="shared" si="207"/>
        <v>184124500</v>
      </c>
      <c r="T122" s="235">
        <f t="shared" si="202"/>
        <v>184124500</v>
      </c>
      <c r="U122" s="235">
        <v>184124500</v>
      </c>
      <c r="V122" s="340">
        <f>V118+V120</f>
        <v>175070000</v>
      </c>
      <c r="W122" s="345"/>
      <c r="X122" s="345"/>
      <c r="Y122" s="340">
        <f>+Y118</f>
        <v>638000000</v>
      </c>
      <c r="Z122" s="345"/>
      <c r="AA122" s="345"/>
      <c r="AB122" s="345"/>
      <c r="AC122" s="345"/>
      <c r="AD122" s="345"/>
      <c r="AE122" s="340">
        <f>+AE118</f>
        <v>212000000</v>
      </c>
      <c r="AF122" s="345"/>
      <c r="AG122" s="345"/>
      <c r="AH122" s="345"/>
      <c r="AI122" s="345"/>
      <c r="AJ122" s="345">
        <f t="shared" ref="AJ122:AL122" si="208">AJ118+AJ120</f>
        <v>121518000</v>
      </c>
      <c r="AK122" s="340">
        <f t="shared" si="208"/>
        <v>124503000</v>
      </c>
      <c r="AL122" s="340">
        <f t="shared" si="208"/>
        <v>124503000</v>
      </c>
      <c r="AM122" s="235"/>
      <c r="AN122" s="76">
        <f t="shared" si="199"/>
        <v>0.71116124978579998</v>
      </c>
      <c r="AO122" s="251">
        <f t="shared" si="204"/>
        <v>0.39712780247366758</v>
      </c>
      <c r="AP122" s="589"/>
      <c r="AQ122" s="614"/>
      <c r="AR122" s="614"/>
      <c r="AS122" s="611"/>
      <c r="AT122" s="573"/>
      <c r="AU122" s="105"/>
      <c r="AV122" s="105"/>
      <c r="AW122" s="105"/>
      <c r="AX122" s="105"/>
    </row>
    <row r="123" spans="1:50" ht="46.5" customHeight="1" x14ac:dyDescent="0.25">
      <c r="A123" s="545" t="s">
        <v>65</v>
      </c>
      <c r="B123" s="545">
        <v>20</v>
      </c>
      <c r="C123" s="545" t="s">
        <v>438</v>
      </c>
      <c r="D123" s="545" t="s">
        <v>146</v>
      </c>
      <c r="E123" s="545">
        <v>475</v>
      </c>
      <c r="F123" s="642"/>
      <c r="G123" s="113" t="s">
        <v>119</v>
      </c>
      <c r="H123" s="114">
        <v>100</v>
      </c>
      <c r="I123" s="115"/>
      <c r="J123" s="115"/>
      <c r="K123" s="252"/>
      <c r="L123" s="115"/>
      <c r="M123" s="57">
        <v>25</v>
      </c>
      <c r="N123" s="57">
        <v>25</v>
      </c>
      <c r="O123" s="59">
        <v>25</v>
      </c>
      <c r="P123" s="59">
        <v>25</v>
      </c>
      <c r="Q123" s="57">
        <v>30</v>
      </c>
      <c r="R123" s="59">
        <v>25</v>
      </c>
      <c r="S123" s="57">
        <v>50</v>
      </c>
      <c r="T123" s="92">
        <v>0.5</v>
      </c>
      <c r="U123" s="92">
        <v>0.5</v>
      </c>
      <c r="V123" s="346">
        <v>0.5</v>
      </c>
      <c r="W123" s="331"/>
      <c r="X123" s="278"/>
      <c r="Y123" s="331">
        <v>75</v>
      </c>
      <c r="Z123" s="331"/>
      <c r="AA123" s="331"/>
      <c r="AB123" s="331"/>
      <c r="AC123" s="331"/>
      <c r="AD123" s="278"/>
      <c r="AE123" s="331">
        <v>100</v>
      </c>
      <c r="AF123" s="331"/>
      <c r="AG123" s="331"/>
      <c r="AH123" s="331"/>
      <c r="AI123" s="278"/>
      <c r="AJ123" s="337">
        <v>0.3125</v>
      </c>
      <c r="AK123" s="337">
        <f>AJ123+6.25%</f>
        <v>0.375</v>
      </c>
      <c r="AL123" s="337">
        <v>0.4375</v>
      </c>
      <c r="AM123" s="253"/>
      <c r="AN123" s="76">
        <f t="shared" si="199"/>
        <v>0.875</v>
      </c>
      <c r="AO123" s="68">
        <f>AL123/H123</f>
        <v>4.3750000000000004E-3</v>
      </c>
      <c r="AP123" s="590" t="s">
        <v>82</v>
      </c>
      <c r="AQ123" s="579" t="s">
        <v>101</v>
      </c>
      <c r="AR123" s="579" t="s">
        <v>104</v>
      </c>
      <c r="AS123" s="612" t="s">
        <v>184</v>
      </c>
      <c r="AT123" s="572" t="s">
        <v>185</v>
      </c>
      <c r="AU123" s="70"/>
      <c r="AV123" s="70"/>
      <c r="AW123" s="70"/>
      <c r="AX123" s="70"/>
    </row>
    <row r="124" spans="1:50" ht="46.5" customHeight="1" x14ac:dyDescent="0.25">
      <c r="A124" s="546"/>
      <c r="B124" s="546"/>
      <c r="C124" s="546"/>
      <c r="D124" s="546"/>
      <c r="E124" s="546"/>
      <c r="F124" s="642"/>
      <c r="G124" s="124" t="s">
        <v>153</v>
      </c>
      <c r="H124" s="125">
        <f>+L124+R124+S124+Y124+AE124</f>
        <v>189420695</v>
      </c>
      <c r="I124" s="99"/>
      <c r="J124" s="99"/>
      <c r="K124" s="99"/>
      <c r="L124" s="99"/>
      <c r="M124" s="74">
        <v>39733000</v>
      </c>
      <c r="N124" s="74">
        <v>39733000</v>
      </c>
      <c r="O124" s="74">
        <v>39733000</v>
      </c>
      <c r="P124" s="74">
        <v>39733000</v>
      </c>
      <c r="Q124" s="74">
        <v>49965000</v>
      </c>
      <c r="R124" s="74">
        <v>49965000</v>
      </c>
      <c r="S124" s="74">
        <v>39455695</v>
      </c>
      <c r="T124" s="74">
        <v>39455695</v>
      </c>
      <c r="U124" s="74">
        <v>34407190</v>
      </c>
      <c r="V124" s="279">
        <v>30597600</v>
      </c>
      <c r="W124" s="279"/>
      <c r="X124" s="279"/>
      <c r="Y124" s="279">
        <v>50000000</v>
      </c>
      <c r="Z124" s="279"/>
      <c r="AA124" s="279"/>
      <c r="AB124" s="279"/>
      <c r="AC124" s="279"/>
      <c r="AD124" s="279"/>
      <c r="AE124" s="279">
        <v>50000000</v>
      </c>
      <c r="AF124" s="279"/>
      <c r="AG124" s="279"/>
      <c r="AH124" s="279"/>
      <c r="AI124" s="279"/>
      <c r="AJ124" s="279">
        <v>0</v>
      </c>
      <c r="AK124" s="279">
        <v>0</v>
      </c>
      <c r="AL124" s="279">
        <v>17320000</v>
      </c>
      <c r="AM124" s="74"/>
      <c r="AN124" s="76">
        <f t="shared" si="199"/>
        <v>0.56605746855962558</v>
      </c>
      <c r="AO124" s="126">
        <f>(L124+R124+AL124)/H124</f>
        <v>0.35521461897286355</v>
      </c>
      <c r="AP124" s="588"/>
      <c r="AQ124" s="546"/>
      <c r="AR124" s="546"/>
      <c r="AS124" s="546"/>
      <c r="AT124" s="573"/>
      <c r="AU124" s="105"/>
      <c r="AV124" s="105"/>
      <c r="AW124" s="105"/>
      <c r="AX124" s="105"/>
    </row>
    <row r="125" spans="1:50" ht="46.5" customHeight="1" x14ac:dyDescent="0.25">
      <c r="A125" s="546"/>
      <c r="B125" s="546"/>
      <c r="C125" s="546"/>
      <c r="D125" s="546"/>
      <c r="E125" s="546"/>
      <c r="F125" s="642"/>
      <c r="G125" s="127" t="s">
        <v>160</v>
      </c>
      <c r="H125" s="128">
        <v>0</v>
      </c>
      <c r="I125" s="81"/>
      <c r="J125" s="81"/>
      <c r="K125" s="82"/>
      <c r="L125" s="81"/>
      <c r="M125" s="83"/>
      <c r="N125" s="83"/>
      <c r="O125" s="81"/>
      <c r="P125" s="81"/>
      <c r="Q125" s="254"/>
      <c r="R125" s="82"/>
      <c r="S125" s="82">
        <v>0</v>
      </c>
      <c r="T125" s="82">
        <v>0</v>
      </c>
      <c r="U125" s="82">
        <v>0</v>
      </c>
      <c r="V125" s="82"/>
      <c r="W125" s="93"/>
      <c r="X125" s="46"/>
      <c r="Y125" s="81"/>
      <c r="Z125" s="93"/>
      <c r="AA125" s="93"/>
      <c r="AB125" s="93"/>
      <c r="AC125" s="93"/>
      <c r="AD125" s="46"/>
      <c r="AE125" s="168"/>
      <c r="AF125" s="93"/>
      <c r="AG125" s="93"/>
      <c r="AH125" s="93"/>
      <c r="AI125" s="46"/>
      <c r="AJ125" s="129"/>
      <c r="AK125" s="82"/>
      <c r="AL125" s="82"/>
      <c r="AM125" s="51"/>
      <c r="AN125" s="95"/>
      <c r="AO125" s="96"/>
      <c r="AP125" s="588"/>
      <c r="AQ125" s="546"/>
      <c r="AR125" s="546"/>
      <c r="AS125" s="546"/>
      <c r="AT125" s="573"/>
      <c r="AU125" s="70"/>
      <c r="AV125" s="70"/>
      <c r="AW125" s="70"/>
      <c r="AX125" s="70"/>
    </row>
    <row r="126" spans="1:50" ht="46.5" customHeight="1" x14ac:dyDescent="0.25">
      <c r="A126" s="546"/>
      <c r="B126" s="546"/>
      <c r="C126" s="546"/>
      <c r="D126" s="546"/>
      <c r="E126" s="546"/>
      <c r="F126" s="642"/>
      <c r="G126" s="124" t="s">
        <v>180</v>
      </c>
      <c r="H126" s="131">
        <f>R126+S126</f>
        <v>21762533</v>
      </c>
      <c r="I126" s="98"/>
      <c r="J126" s="98"/>
      <c r="K126" s="99"/>
      <c r="L126" s="98"/>
      <c r="M126" s="98"/>
      <c r="N126" s="98"/>
      <c r="O126" s="98"/>
      <c r="P126" s="98"/>
      <c r="Q126" s="98"/>
      <c r="R126" s="99"/>
      <c r="S126" s="74">
        <v>21762533</v>
      </c>
      <c r="T126" s="75">
        <v>21762533</v>
      </c>
      <c r="U126" s="75">
        <v>21762533</v>
      </c>
      <c r="V126" s="279">
        <v>21762533</v>
      </c>
      <c r="W126" s="347"/>
      <c r="X126" s="279"/>
      <c r="Y126" s="81"/>
      <c r="Z126" s="93"/>
      <c r="AA126" s="93"/>
      <c r="AB126" s="93"/>
      <c r="AC126" s="93"/>
      <c r="AD126" s="46"/>
      <c r="AE126" s="168"/>
      <c r="AF126" s="347"/>
      <c r="AG126" s="347"/>
      <c r="AH126" s="347"/>
      <c r="AI126" s="279"/>
      <c r="AJ126" s="279">
        <v>6662000</v>
      </c>
      <c r="AK126" s="279">
        <v>16655000</v>
      </c>
      <c r="AL126" s="279">
        <v>21762533</v>
      </c>
      <c r="AM126" s="74"/>
      <c r="AN126" s="76">
        <f t="shared" ref="AN126:AN131" si="209">AL126/V126</f>
        <v>1</v>
      </c>
      <c r="AO126" s="96"/>
      <c r="AP126" s="588"/>
      <c r="AQ126" s="546"/>
      <c r="AR126" s="546"/>
      <c r="AS126" s="546"/>
      <c r="AT126" s="573"/>
      <c r="AU126" s="105"/>
      <c r="AV126" s="105"/>
      <c r="AW126" s="105"/>
      <c r="AX126" s="105"/>
    </row>
    <row r="127" spans="1:50" ht="46.5" customHeight="1" x14ac:dyDescent="0.25">
      <c r="A127" s="546"/>
      <c r="B127" s="546"/>
      <c r="C127" s="546"/>
      <c r="D127" s="546"/>
      <c r="E127" s="546"/>
      <c r="F127" s="642"/>
      <c r="G127" s="127" t="s">
        <v>191</v>
      </c>
      <c r="H127" s="133">
        <v>100</v>
      </c>
      <c r="I127" s="134"/>
      <c r="J127" s="134"/>
      <c r="K127" s="82"/>
      <c r="L127" s="134"/>
      <c r="M127" s="107">
        <f t="shared" ref="M127:P127" si="210">+M123</f>
        <v>25</v>
      </c>
      <c r="N127" s="107">
        <f t="shared" si="210"/>
        <v>25</v>
      </c>
      <c r="O127" s="42">
        <f t="shared" si="210"/>
        <v>25</v>
      </c>
      <c r="P127" s="42">
        <f t="shared" si="210"/>
        <v>25</v>
      </c>
      <c r="Q127" s="106">
        <v>30</v>
      </c>
      <c r="R127" s="42">
        <v>25</v>
      </c>
      <c r="S127" s="106">
        <v>50</v>
      </c>
      <c r="T127" s="106">
        <f t="shared" ref="T127:T128" si="211">T123+T125</f>
        <v>0.5</v>
      </c>
      <c r="U127" s="106">
        <v>50</v>
      </c>
      <c r="V127" s="348">
        <f>V123</f>
        <v>0.5</v>
      </c>
      <c r="W127" s="348"/>
      <c r="X127" s="289"/>
      <c r="Y127" s="348">
        <v>75</v>
      </c>
      <c r="Z127" s="348"/>
      <c r="AA127" s="348"/>
      <c r="AB127" s="348"/>
      <c r="AC127" s="348"/>
      <c r="AD127" s="289"/>
      <c r="AE127" s="348">
        <v>100</v>
      </c>
      <c r="AF127" s="348"/>
      <c r="AG127" s="348"/>
      <c r="AH127" s="348"/>
      <c r="AI127" s="289"/>
      <c r="AJ127" s="349">
        <f t="shared" ref="AJ127:AK127" si="212">AJ123+AJ125</f>
        <v>0.3125</v>
      </c>
      <c r="AK127" s="349">
        <f t="shared" si="212"/>
        <v>0.375</v>
      </c>
      <c r="AL127" s="349">
        <f>AL123</f>
        <v>0.4375</v>
      </c>
      <c r="AM127" s="51"/>
      <c r="AN127" s="76">
        <f t="shared" si="209"/>
        <v>0.875</v>
      </c>
      <c r="AO127" s="126">
        <f>AL127/H127</f>
        <v>4.3750000000000004E-3</v>
      </c>
      <c r="AP127" s="588"/>
      <c r="AQ127" s="546"/>
      <c r="AR127" s="546"/>
      <c r="AS127" s="546"/>
      <c r="AT127" s="573"/>
      <c r="AU127" s="70"/>
      <c r="AV127" s="70"/>
      <c r="AW127" s="70"/>
      <c r="AX127" s="70"/>
    </row>
    <row r="128" spans="1:50" ht="46.5" customHeight="1" x14ac:dyDescent="0.25">
      <c r="A128" s="547"/>
      <c r="B128" s="547"/>
      <c r="C128" s="547"/>
      <c r="D128" s="547"/>
      <c r="E128" s="547"/>
      <c r="F128" s="643"/>
      <c r="G128" s="142" t="s">
        <v>196</v>
      </c>
      <c r="H128" s="144">
        <f>+H124+H126</f>
        <v>211183228</v>
      </c>
      <c r="I128" s="110">
        <f t="shared" ref="I128:P128" si="213">+I124</f>
        <v>0</v>
      </c>
      <c r="J128" s="110">
        <f t="shared" si="213"/>
        <v>0</v>
      </c>
      <c r="K128" s="110">
        <f t="shared" si="213"/>
        <v>0</v>
      </c>
      <c r="L128" s="110">
        <f t="shared" si="213"/>
        <v>0</v>
      </c>
      <c r="M128" s="110">
        <f t="shared" si="213"/>
        <v>39733000</v>
      </c>
      <c r="N128" s="110">
        <f t="shared" si="213"/>
        <v>39733000</v>
      </c>
      <c r="O128" s="110">
        <f t="shared" si="213"/>
        <v>39733000</v>
      </c>
      <c r="P128" s="110">
        <f t="shared" si="213"/>
        <v>39733000</v>
      </c>
      <c r="Q128" s="110">
        <f t="shared" ref="Q128:S128" si="214">+Q124+Q126</f>
        <v>49965000</v>
      </c>
      <c r="R128" s="110">
        <f t="shared" si="214"/>
        <v>49965000</v>
      </c>
      <c r="S128" s="110">
        <f t="shared" si="214"/>
        <v>61218228</v>
      </c>
      <c r="T128" s="157">
        <f t="shared" si="211"/>
        <v>61218228</v>
      </c>
      <c r="U128" s="157">
        <v>56169723</v>
      </c>
      <c r="V128" s="283">
        <f>V124+V126</f>
        <v>52360133</v>
      </c>
      <c r="W128" s="283"/>
      <c r="X128" s="283"/>
      <c r="Y128" s="283">
        <f>+Y124</f>
        <v>50000000</v>
      </c>
      <c r="Z128" s="283"/>
      <c r="AA128" s="283"/>
      <c r="AB128" s="283"/>
      <c r="AC128" s="283"/>
      <c r="AD128" s="283"/>
      <c r="AE128" s="283">
        <f>+AE124</f>
        <v>50000000</v>
      </c>
      <c r="AF128" s="283"/>
      <c r="AG128" s="283"/>
      <c r="AH128" s="283"/>
      <c r="AI128" s="283"/>
      <c r="AJ128" s="283">
        <f t="shared" ref="AJ128:AL128" si="215">AJ124+AJ126</f>
        <v>6662000</v>
      </c>
      <c r="AK128" s="283">
        <f t="shared" si="215"/>
        <v>16655000</v>
      </c>
      <c r="AL128" s="283">
        <f t="shared" si="215"/>
        <v>39082533</v>
      </c>
      <c r="AM128" s="110"/>
      <c r="AN128" s="76">
        <f t="shared" si="209"/>
        <v>0.74641775642548502</v>
      </c>
      <c r="AO128" s="112">
        <f t="shared" ref="AO128:AO131" si="216">(L128+R128+AL128)/H128</f>
        <v>0.42166006194393429</v>
      </c>
      <c r="AP128" s="591"/>
      <c r="AQ128" s="580"/>
      <c r="AR128" s="580"/>
      <c r="AS128" s="580"/>
      <c r="AT128" s="574"/>
      <c r="AU128" s="105"/>
      <c r="AV128" s="105"/>
      <c r="AW128" s="105"/>
      <c r="AX128" s="105"/>
    </row>
    <row r="129" spans="1:50" ht="46.5" customHeight="1" x14ac:dyDescent="0.25">
      <c r="A129" s="623" t="s">
        <v>441</v>
      </c>
      <c r="B129" s="624"/>
      <c r="C129" s="624"/>
      <c r="D129" s="624"/>
      <c r="E129" s="624"/>
      <c r="F129" s="625"/>
      <c r="G129" s="255" t="s">
        <v>153</v>
      </c>
      <c r="H129" s="256">
        <f t="shared" ref="H129:I129" si="217">H10+H16+H22+H28+H34+H40+H46+H52+H58+H64+H70+H76+H82+H88+H94+H100+H106+H112+H118+H124</f>
        <v>38876860538</v>
      </c>
      <c r="I129" s="256">
        <f t="shared" si="217"/>
        <v>4950635723</v>
      </c>
      <c r="J129" s="256">
        <f>J124+J10+J16+J22+J28+J34+J40+J46+J52+J58+J64+J70+J76+J82+J88+J94+J100+J106+J112+J118</f>
        <v>4950635724</v>
      </c>
      <c r="K129" s="256">
        <f t="shared" ref="K129:L129" si="218">K10+K16+K22+K28+K34+K40+K46+K52+K58+K64+K70+K76+K82+K88+K94+K100+K106+K112+K118</f>
        <v>4950635724</v>
      </c>
      <c r="L129" s="256">
        <f t="shared" si="218"/>
        <v>4488457677</v>
      </c>
      <c r="M129" s="256">
        <f t="shared" ref="M129:P129" si="219">M124+M10+M16+M22+M28+M34+M40+M46+M52+M58+M64+M70+M76+M82+M88+M94+M100+M106+M112+M118</f>
        <v>7801845999</v>
      </c>
      <c r="N129" s="256">
        <f t="shared" si="219"/>
        <v>7801846000</v>
      </c>
      <c r="O129" s="256">
        <f t="shared" si="219"/>
        <v>7801846000</v>
      </c>
      <c r="P129" s="256">
        <f t="shared" si="219"/>
        <v>7801846000</v>
      </c>
      <c r="Q129" s="256">
        <f t="shared" ref="Q129:AM129" si="220">Q10+Q16+Q22+Q28+Q34+Q40+Q46+Q52+Q58+Q64+Q70+Q76+Q82+Q88+Q94+Q100+Q106+Q112+Q118+Q124</f>
        <v>7705009704</v>
      </c>
      <c r="R129" s="256">
        <f t="shared" si="220"/>
        <v>6829858511</v>
      </c>
      <c r="S129" s="257">
        <f t="shared" si="220"/>
        <v>8755709000</v>
      </c>
      <c r="T129" s="257">
        <f t="shared" si="220"/>
        <v>8755709000</v>
      </c>
      <c r="U129" s="256">
        <f t="shared" si="220"/>
        <v>8755709000</v>
      </c>
      <c r="V129" s="350">
        <f t="shared" si="220"/>
        <v>8755709000</v>
      </c>
      <c r="W129" s="350">
        <f t="shared" si="220"/>
        <v>0</v>
      </c>
      <c r="X129" s="350">
        <f t="shared" si="220"/>
        <v>0</v>
      </c>
      <c r="Y129" s="350">
        <f t="shared" si="220"/>
        <v>11336000175</v>
      </c>
      <c r="Z129" s="350">
        <f t="shared" si="220"/>
        <v>0</v>
      </c>
      <c r="AA129" s="350">
        <f t="shared" si="220"/>
        <v>0</v>
      </c>
      <c r="AB129" s="350">
        <f t="shared" si="220"/>
        <v>0</v>
      </c>
      <c r="AC129" s="350">
        <f t="shared" si="220"/>
        <v>0</v>
      </c>
      <c r="AD129" s="350">
        <f t="shared" si="220"/>
        <v>0</v>
      </c>
      <c r="AE129" s="350">
        <f t="shared" si="220"/>
        <v>7466835175</v>
      </c>
      <c r="AF129" s="350">
        <f t="shared" si="220"/>
        <v>0</v>
      </c>
      <c r="AG129" s="350">
        <f t="shared" si="220"/>
        <v>0</v>
      </c>
      <c r="AH129" s="350">
        <f t="shared" si="220"/>
        <v>0</v>
      </c>
      <c r="AI129" s="350">
        <f t="shared" si="220"/>
        <v>0</v>
      </c>
      <c r="AJ129" s="350">
        <f t="shared" si="220"/>
        <v>4579876625</v>
      </c>
      <c r="AK129" s="350">
        <f t="shared" si="220"/>
        <v>5074030703</v>
      </c>
      <c r="AL129" s="350">
        <f t="shared" si="220"/>
        <v>5822936396</v>
      </c>
      <c r="AM129" s="256">
        <f t="shared" si="220"/>
        <v>0</v>
      </c>
      <c r="AN129" s="76">
        <f t="shared" si="209"/>
        <v>0.66504453220178972</v>
      </c>
      <c r="AO129" s="204">
        <f t="shared" si="216"/>
        <v>0.44091144055331744</v>
      </c>
      <c r="AP129" s="258"/>
      <c r="AQ129" s="259"/>
      <c r="AR129" s="259"/>
      <c r="AS129" s="259"/>
      <c r="AT129" s="260"/>
      <c r="AU129" s="261"/>
      <c r="AV129" s="261"/>
      <c r="AW129" s="261"/>
      <c r="AX129" s="261"/>
    </row>
    <row r="130" spans="1:50" ht="46.5" customHeight="1" x14ac:dyDescent="0.25">
      <c r="A130" s="626"/>
      <c r="B130" s="627"/>
      <c r="C130" s="627"/>
      <c r="D130" s="627"/>
      <c r="E130" s="627"/>
      <c r="F130" s="628"/>
      <c r="G130" s="43" t="s">
        <v>180</v>
      </c>
      <c r="H130" s="97">
        <f>H12+H18+H24+H30+H36+H42+H48+H54+H60+H66+H72+H78+H84+H90+H96+H102+H108+H114+H120+H126</f>
        <v>5881784348</v>
      </c>
      <c r="I130" s="262"/>
      <c r="J130" s="98"/>
      <c r="K130" s="98"/>
      <c r="L130" s="98"/>
      <c r="M130" s="73">
        <f t="shared" ref="M130:R130" si="221">+M12+M24+M30+M36+M42+M48+M54+M60+M66+M72+M78+M84+M90+M96+M102+M108+M114+M120</f>
        <v>2809659210</v>
      </c>
      <c r="N130" s="73">
        <f t="shared" si="221"/>
        <v>2809659211</v>
      </c>
      <c r="O130" s="73">
        <f t="shared" si="221"/>
        <v>2809059449</v>
      </c>
      <c r="P130" s="73">
        <f t="shared" si="221"/>
        <v>2809059449</v>
      </c>
      <c r="Q130" s="73">
        <f t="shared" si="221"/>
        <v>2809059449</v>
      </c>
      <c r="R130" s="73">
        <f t="shared" si="221"/>
        <v>2620187650</v>
      </c>
      <c r="S130" s="263">
        <f t="shared" ref="S130:U130" si="222">+S12+S18+S24+S30+S36+S42+S48+S54+S60+S66+S72+S78+S84+S90+S96+S102+S108+S114+S120+S126</f>
        <v>2969610298</v>
      </c>
      <c r="T130" s="263">
        <f t="shared" si="222"/>
        <v>2967884564</v>
      </c>
      <c r="U130" s="73">
        <f t="shared" si="222"/>
        <v>2949961197</v>
      </c>
      <c r="V130" s="351">
        <f>V12+V18+V24+V30+V36+V42+V48+V54+V60+V66+V72+V78+V84+V90+V96+V102+V108+V114+V120+V126</f>
        <v>2921143430</v>
      </c>
      <c r="W130" s="351">
        <f t="shared" ref="W130:AK130" si="223">+W12+W18+W24+W30+W36+W42+W48+W54+W60+W66+W72+W78+W84+W90+W96+W102+W108+W114+W120+W126</f>
        <v>0</v>
      </c>
      <c r="X130" s="351">
        <f t="shared" si="223"/>
        <v>0</v>
      </c>
      <c r="Y130" s="351">
        <f t="shared" si="223"/>
        <v>1145757098</v>
      </c>
      <c r="Z130" s="351">
        <f t="shared" si="223"/>
        <v>0</v>
      </c>
      <c r="AA130" s="351">
        <f t="shared" si="223"/>
        <v>0</v>
      </c>
      <c r="AB130" s="351">
        <f t="shared" si="223"/>
        <v>0</v>
      </c>
      <c r="AC130" s="351">
        <f t="shared" si="223"/>
        <v>0</v>
      </c>
      <c r="AD130" s="351">
        <f t="shared" si="223"/>
        <v>0</v>
      </c>
      <c r="AE130" s="351">
        <f t="shared" si="223"/>
        <v>1145757098</v>
      </c>
      <c r="AF130" s="351">
        <f t="shared" si="223"/>
        <v>0</v>
      </c>
      <c r="AG130" s="351">
        <f t="shared" si="223"/>
        <v>0</v>
      </c>
      <c r="AH130" s="351">
        <f t="shared" si="223"/>
        <v>0</v>
      </c>
      <c r="AI130" s="351">
        <f t="shared" si="223"/>
        <v>0</v>
      </c>
      <c r="AJ130" s="351">
        <f t="shared" si="223"/>
        <v>1751257829</v>
      </c>
      <c r="AK130" s="351">
        <f t="shared" si="223"/>
        <v>2228272435</v>
      </c>
      <c r="AL130" s="351">
        <f>AL12+AL18+AL24+AL30+AL36+AL42+AL48+AL54+AL60+AL66+AL72+AL78+AL84+AL90+AL96+AL102+AL108+AL114+AL120+AL126</f>
        <v>2566539360</v>
      </c>
      <c r="AM130" s="73">
        <f>+AM12+AM18+AM24+AM30+AM36+AM42+AM48+AM54+AM60+AM66+AM72+AM78+AM84+AM90+AM96+AM102+AM108+AM114+AM120+AM126</f>
        <v>0</v>
      </c>
      <c r="AN130" s="76">
        <f t="shared" si="209"/>
        <v>0.87860778544516727</v>
      </c>
      <c r="AO130" s="204">
        <f t="shared" si="216"/>
        <v>0.88182883001544554</v>
      </c>
      <c r="AP130" s="264"/>
      <c r="AQ130" s="265"/>
      <c r="AR130" s="265"/>
      <c r="AS130" s="265"/>
      <c r="AT130" s="266"/>
      <c r="AU130" s="5"/>
      <c r="AV130" s="5"/>
      <c r="AW130" s="5"/>
      <c r="AX130" s="5"/>
    </row>
    <row r="131" spans="1:50" ht="46.5" customHeight="1" x14ac:dyDescent="0.25">
      <c r="A131" s="629"/>
      <c r="B131" s="630"/>
      <c r="C131" s="630"/>
      <c r="D131" s="630"/>
      <c r="E131" s="630"/>
      <c r="F131" s="631"/>
      <c r="G131" s="267" t="s">
        <v>441</v>
      </c>
      <c r="H131" s="73">
        <f t="shared" ref="H131:I131" si="224">H129+H130</f>
        <v>44758644886</v>
      </c>
      <c r="I131" s="73">
        <f t="shared" si="224"/>
        <v>4950635723</v>
      </c>
      <c r="J131" s="73">
        <f t="shared" ref="J131:L131" si="225">+J129</f>
        <v>4950635724</v>
      </c>
      <c r="K131" s="73">
        <f t="shared" si="225"/>
        <v>4950635724</v>
      </c>
      <c r="L131" s="73">
        <f t="shared" si="225"/>
        <v>4488457677</v>
      </c>
      <c r="M131" s="73">
        <f t="shared" ref="M131:AM131" si="226">+M129+M130</f>
        <v>10611505209</v>
      </c>
      <c r="N131" s="73">
        <f t="shared" si="226"/>
        <v>10611505211</v>
      </c>
      <c r="O131" s="73">
        <f t="shared" si="226"/>
        <v>10610905449</v>
      </c>
      <c r="P131" s="73">
        <f t="shared" si="226"/>
        <v>10610905449</v>
      </c>
      <c r="Q131" s="73">
        <f t="shared" si="226"/>
        <v>10514069153</v>
      </c>
      <c r="R131" s="73">
        <f t="shared" si="226"/>
        <v>9450046161</v>
      </c>
      <c r="S131" s="73">
        <f t="shared" si="226"/>
        <v>11725319298</v>
      </c>
      <c r="T131" s="73">
        <f t="shared" si="226"/>
        <v>11723593564</v>
      </c>
      <c r="U131" s="73">
        <f t="shared" si="226"/>
        <v>11705670197</v>
      </c>
      <c r="V131" s="73">
        <f t="shared" si="226"/>
        <v>11676852430</v>
      </c>
      <c r="W131" s="73">
        <f t="shared" si="226"/>
        <v>0</v>
      </c>
      <c r="X131" s="73">
        <f t="shared" si="226"/>
        <v>0</v>
      </c>
      <c r="Y131" s="73">
        <f t="shared" si="226"/>
        <v>12481757273</v>
      </c>
      <c r="Z131" s="73">
        <f t="shared" si="226"/>
        <v>0</v>
      </c>
      <c r="AA131" s="73">
        <f t="shared" si="226"/>
        <v>0</v>
      </c>
      <c r="AB131" s="73">
        <f t="shared" si="226"/>
        <v>0</v>
      </c>
      <c r="AC131" s="73">
        <f t="shared" si="226"/>
        <v>0</v>
      </c>
      <c r="AD131" s="73">
        <f t="shared" si="226"/>
        <v>0</v>
      </c>
      <c r="AE131" s="73">
        <f t="shared" si="226"/>
        <v>8612592273</v>
      </c>
      <c r="AF131" s="73">
        <f t="shared" si="226"/>
        <v>0</v>
      </c>
      <c r="AG131" s="73">
        <f t="shared" si="226"/>
        <v>0</v>
      </c>
      <c r="AH131" s="73">
        <f t="shared" si="226"/>
        <v>0</v>
      </c>
      <c r="AI131" s="73">
        <f t="shared" si="226"/>
        <v>0</v>
      </c>
      <c r="AJ131" s="73">
        <f t="shared" si="226"/>
        <v>6331134454</v>
      </c>
      <c r="AK131" s="73">
        <f t="shared" si="226"/>
        <v>7302303138</v>
      </c>
      <c r="AL131" s="73">
        <f t="shared" si="226"/>
        <v>8389475756</v>
      </c>
      <c r="AM131" s="73">
        <f t="shared" si="226"/>
        <v>0</v>
      </c>
      <c r="AN131" s="76">
        <f t="shared" si="209"/>
        <v>0.71847065005684929</v>
      </c>
      <c r="AO131" s="204">
        <f t="shared" si="216"/>
        <v>0.49885289536511279</v>
      </c>
      <c r="AP131" s="258"/>
      <c r="AQ131" s="259"/>
      <c r="AR131" s="259"/>
      <c r="AS131" s="259"/>
      <c r="AT131" s="268"/>
      <c r="AU131" s="261"/>
      <c r="AV131" s="261"/>
      <c r="AW131" s="261"/>
      <c r="AX131" s="261"/>
    </row>
    <row r="132" spans="1:50" ht="46.5" customHeight="1" x14ac:dyDescent="0.25">
      <c r="A132" s="622" t="s">
        <v>290</v>
      </c>
      <c r="B132" s="491"/>
      <c r="C132" s="491"/>
      <c r="D132" s="491"/>
      <c r="E132" s="491"/>
      <c r="F132" s="491"/>
      <c r="G132" s="491"/>
      <c r="H132" s="491"/>
      <c r="I132" s="491"/>
      <c r="J132" s="491"/>
      <c r="K132" s="491"/>
      <c r="L132" s="491"/>
      <c r="M132" s="491"/>
      <c r="N132" s="491"/>
      <c r="O132" s="491"/>
      <c r="P132" s="491"/>
      <c r="Q132" s="491"/>
      <c r="R132" s="491"/>
      <c r="S132" s="491"/>
      <c r="T132" s="491"/>
      <c r="U132" s="491"/>
      <c r="V132" s="491"/>
      <c r="W132" s="491"/>
      <c r="X132" s="491"/>
      <c r="Y132" s="491"/>
      <c r="Z132" s="491"/>
      <c r="AA132" s="491"/>
      <c r="AB132" s="491"/>
      <c r="AC132" s="491"/>
      <c r="AD132" s="491"/>
      <c r="AE132" s="491"/>
      <c r="AF132" s="491"/>
      <c r="AG132" s="491"/>
      <c r="AH132" s="491"/>
      <c r="AI132" s="491"/>
      <c r="AJ132" s="491"/>
      <c r="AK132" s="491"/>
      <c r="AL132" s="491"/>
      <c r="AM132" s="491"/>
      <c r="AN132" s="491"/>
      <c r="AO132" s="491"/>
      <c r="AP132" s="491"/>
      <c r="AQ132" s="491"/>
      <c r="AR132" s="491"/>
      <c r="AS132" s="491"/>
      <c r="AT132" s="506"/>
      <c r="AU132" s="5"/>
      <c r="AV132" s="5"/>
      <c r="AW132" s="5"/>
      <c r="AX132" s="5"/>
    </row>
    <row r="133" spans="1:50" ht="46.5" customHeight="1" x14ac:dyDescent="0.25">
      <c r="I133" s="132"/>
      <c r="M133" s="132"/>
      <c r="Q133" s="132"/>
      <c r="R133" s="132"/>
      <c r="S133" s="132"/>
      <c r="T133" s="5"/>
      <c r="Y133" s="132"/>
      <c r="AN133" s="269"/>
      <c r="AO133" s="269"/>
      <c r="AP133" s="270"/>
    </row>
    <row r="134" spans="1:50" ht="46.5" customHeight="1" x14ac:dyDescent="0.25">
      <c r="I134" s="132"/>
      <c r="M134" s="132"/>
      <c r="Q134" s="132"/>
      <c r="R134" s="132"/>
      <c r="S134" s="132"/>
      <c r="T134" s="5"/>
      <c r="Y134" s="132"/>
      <c r="AN134" s="269"/>
      <c r="AO134" s="269"/>
      <c r="AP134" s="270"/>
    </row>
    <row r="135" spans="1:50" ht="46.5" customHeight="1" x14ac:dyDescent="0.25">
      <c r="I135" s="132"/>
      <c r="M135" s="132"/>
      <c r="Q135" s="132"/>
      <c r="R135" s="132"/>
      <c r="S135" s="132"/>
      <c r="T135" s="5"/>
      <c r="Y135" s="132"/>
      <c r="AN135" s="269"/>
      <c r="AO135" s="269"/>
      <c r="AP135" s="270"/>
    </row>
    <row r="136" spans="1:50" ht="46.5" customHeight="1" x14ac:dyDescent="0.25">
      <c r="I136" s="132"/>
      <c r="M136" s="132"/>
      <c r="Q136" s="132"/>
      <c r="R136" s="132"/>
      <c r="S136" s="132"/>
      <c r="T136" s="5"/>
      <c r="Y136" s="132"/>
      <c r="AN136" s="269"/>
      <c r="AO136" s="269"/>
      <c r="AP136" s="270"/>
    </row>
    <row r="137" spans="1:50" ht="46.5" customHeight="1" x14ac:dyDescent="0.25">
      <c r="I137" s="132"/>
      <c r="M137" s="132"/>
      <c r="Q137" s="132"/>
      <c r="R137" s="132"/>
      <c r="S137" s="132"/>
      <c r="T137" s="5"/>
      <c r="Y137" s="132"/>
      <c r="AN137" s="269"/>
      <c r="AO137" s="269"/>
      <c r="AP137" s="270"/>
    </row>
    <row r="138" spans="1:50" ht="46.5" customHeight="1" x14ac:dyDescent="0.25">
      <c r="I138" s="132"/>
      <c r="M138" s="132"/>
      <c r="Q138" s="132"/>
      <c r="R138" s="132"/>
      <c r="S138" s="132"/>
      <c r="T138" s="5"/>
      <c r="Y138" s="132"/>
      <c r="AN138" s="269"/>
      <c r="AO138" s="269"/>
      <c r="AP138" s="270"/>
    </row>
    <row r="139" spans="1:50" ht="46.5" customHeight="1" x14ac:dyDescent="0.25">
      <c r="I139" s="132"/>
      <c r="M139" s="132"/>
      <c r="Q139" s="132"/>
      <c r="R139" s="132"/>
      <c r="S139" s="132"/>
      <c r="T139" s="5"/>
      <c r="Y139" s="132"/>
      <c r="AN139" s="269"/>
      <c r="AO139" s="269"/>
      <c r="AP139" s="270"/>
    </row>
    <row r="140" spans="1:50" ht="46.5" customHeight="1" x14ac:dyDescent="0.25">
      <c r="I140" s="132"/>
      <c r="M140" s="132"/>
      <c r="Q140" s="132"/>
      <c r="R140" s="132"/>
      <c r="S140" s="132"/>
      <c r="T140" s="5"/>
      <c r="Y140" s="132"/>
      <c r="AN140" s="269"/>
      <c r="AO140" s="269"/>
      <c r="AP140" s="270"/>
    </row>
    <row r="141" spans="1:50" ht="46.5" customHeight="1" x14ac:dyDescent="0.25">
      <c r="I141" s="132"/>
      <c r="M141" s="132"/>
      <c r="Q141" s="132"/>
      <c r="R141" s="132"/>
      <c r="S141" s="132"/>
      <c r="T141" s="5"/>
      <c r="Y141" s="132"/>
      <c r="AN141" s="269"/>
      <c r="AO141" s="269"/>
      <c r="AP141" s="270"/>
    </row>
    <row r="142" spans="1:50" ht="46.5" customHeight="1" x14ac:dyDescent="0.25">
      <c r="I142" s="132"/>
      <c r="M142" s="132"/>
      <c r="Q142" s="132"/>
      <c r="R142" s="132"/>
      <c r="S142" s="132"/>
      <c r="T142" s="5"/>
      <c r="Y142" s="132"/>
      <c r="AN142" s="269"/>
      <c r="AO142" s="269"/>
      <c r="AP142" s="270"/>
    </row>
    <row r="143" spans="1:50" ht="46.5" customHeight="1" x14ac:dyDescent="0.25">
      <c r="I143" s="132"/>
      <c r="M143" s="132"/>
      <c r="Q143" s="132"/>
      <c r="R143" s="132"/>
      <c r="S143" s="132"/>
      <c r="T143" s="5"/>
      <c r="Y143" s="132"/>
      <c r="AN143" s="269"/>
      <c r="AO143" s="269"/>
      <c r="AP143" s="270"/>
    </row>
    <row r="144" spans="1:50" ht="46.5" customHeight="1" x14ac:dyDescent="0.25">
      <c r="I144" s="132"/>
      <c r="M144" s="132"/>
      <c r="Q144" s="132"/>
      <c r="R144" s="132"/>
      <c r="S144" s="132"/>
      <c r="T144" s="5"/>
      <c r="Y144" s="132"/>
      <c r="AN144" s="269"/>
      <c r="AO144" s="269"/>
      <c r="AP144" s="270"/>
    </row>
    <row r="145" spans="9:42" ht="46.5" customHeight="1" x14ac:dyDescent="0.25">
      <c r="I145" s="132"/>
      <c r="M145" s="132"/>
      <c r="Q145" s="132"/>
      <c r="R145" s="132"/>
      <c r="S145" s="132"/>
      <c r="T145" s="5"/>
      <c r="Y145" s="132"/>
      <c r="AN145" s="269"/>
      <c r="AO145" s="269"/>
      <c r="AP145" s="270"/>
    </row>
    <row r="146" spans="9:42" ht="46.5" customHeight="1" x14ac:dyDescent="0.25">
      <c r="I146" s="132"/>
      <c r="M146" s="132"/>
      <c r="Q146" s="132"/>
      <c r="R146" s="132"/>
      <c r="S146" s="132"/>
      <c r="T146" s="5"/>
      <c r="Y146" s="132"/>
      <c r="AN146" s="269"/>
      <c r="AO146" s="269"/>
      <c r="AP146" s="270"/>
    </row>
    <row r="147" spans="9:42" ht="46.5" customHeight="1" x14ac:dyDescent="0.25">
      <c r="I147" s="132"/>
      <c r="M147" s="132"/>
      <c r="Q147" s="132"/>
      <c r="R147" s="132"/>
      <c r="S147" s="132"/>
      <c r="T147" s="5"/>
      <c r="Y147" s="132"/>
      <c r="AN147" s="269"/>
      <c r="AO147" s="269"/>
      <c r="AP147" s="270"/>
    </row>
    <row r="148" spans="9:42" ht="46.5" customHeight="1" x14ac:dyDescent="0.25">
      <c r="I148" s="132"/>
      <c r="M148" s="132"/>
      <c r="Q148" s="132"/>
      <c r="R148" s="132"/>
      <c r="S148" s="132"/>
      <c r="T148" s="5"/>
      <c r="Y148" s="132"/>
      <c r="AN148" s="269"/>
      <c r="AO148" s="269"/>
      <c r="AP148" s="270"/>
    </row>
    <row r="149" spans="9:42" ht="46.5" customHeight="1" x14ac:dyDescent="0.25">
      <c r="I149" s="132"/>
      <c r="M149" s="132"/>
      <c r="Q149" s="132"/>
      <c r="R149" s="132"/>
      <c r="S149" s="132"/>
      <c r="T149" s="5"/>
      <c r="Y149" s="132"/>
      <c r="AN149" s="269"/>
      <c r="AO149" s="269"/>
      <c r="AP149" s="270"/>
    </row>
    <row r="150" spans="9:42" ht="46.5" customHeight="1" x14ac:dyDescent="0.25">
      <c r="I150" s="132"/>
      <c r="M150" s="132"/>
      <c r="Q150" s="132"/>
      <c r="R150" s="132"/>
      <c r="S150" s="132"/>
      <c r="T150" s="5"/>
      <c r="Y150" s="132"/>
      <c r="AN150" s="269"/>
      <c r="AO150" s="269"/>
      <c r="AP150" s="270"/>
    </row>
    <row r="151" spans="9:42" ht="46.5" customHeight="1" x14ac:dyDescent="0.25">
      <c r="I151" s="132"/>
      <c r="M151" s="132"/>
      <c r="Q151" s="132"/>
      <c r="R151" s="132"/>
      <c r="S151" s="132"/>
      <c r="T151" s="5"/>
      <c r="Y151" s="132"/>
      <c r="AN151" s="269"/>
      <c r="AO151" s="269"/>
      <c r="AP151" s="270"/>
    </row>
    <row r="152" spans="9:42" ht="46.5" customHeight="1" x14ac:dyDescent="0.25">
      <c r="I152" s="132"/>
      <c r="M152" s="132"/>
      <c r="Q152" s="132"/>
      <c r="R152" s="132"/>
      <c r="S152" s="132"/>
      <c r="T152" s="5"/>
      <c r="Y152" s="132"/>
      <c r="AN152" s="269"/>
      <c r="AO152" s="269"/>
      <c r="AP152" s="270"/>
    </row>
    <row r="153" spans="9:42" ht="46.5" customHeight="1" x14ac:dyDescent="0.25">
      <c r="I153" s="132"/>
      <c r="M153" s="132"/>
      <c r="Q153" s="132"/>
      <c r="R153" s="132"/>
      <c r="S153" s="132"/>
      <c r="T153" s="5"/>
      <c r="Y153" s="132"/>
      <c r="AN153" s="269"/>
      <c r="AO153" s="269"/>
      <c r="AP153" s="270"/>
    </row>
    <row r="154" spans="9:42" ht="46.5" customHeight="1" x14ac:dyDescent="0.25">
      <c r="I154" s="132"/>
      <c r="M154" s="132"/>
      <c r="Q154" s="132"/>
      <c r="R154" s="132"/>
      <c r="S154" s="132"/>
      <c r="T154" s="5"/>
      <c r="Y154" s="132"/>
      <c r="AN154" s="269"/>
      <c r="AO154" s="269"/>
      <c r="AP154" s="270"/>
    </row>
    <row r="155" spans="9:42" ht="46.5" customHeight="1" x14ac:dyDescent="0.25">
      <c r="I155" s="132"/>
      <c r="M155" s="132"/>
      <c r="Q155" s="132"/>
      <c r="R155" s="132"/>
      <c r="S155" s="132"/>
      <c r="T155" s="5"/>
      <c r="Y155" s="132"/>
      <c r="AN155" s="269"/>
      <c r="AO155" s="269"/>
      <c r="AP155" s="270"/>
    </row>
    <row r="156" spans="9:42" ht="46.5" customHeight="1" x14ac:dyDescent="0.25">
      <c r="I156" s="132"/>
      <c r="M156" s="132"/>
      <c r="Q156" s="132"/>
      <c r="R156" s="132"/>
      <c r="S156" s="132"/>
      <c r="T156" s="5"/>
      <c r="Y156" s="132"/>
      <c r="AN156" s="269"/>
      <c r="AO156" s="269"/>
      <c r="AP156" s="270"/>
    </row>
    <row r="157" spans="9:42" ht="46.5" customHeight="1" x14ac:dyDescent="0.25">
      <c r="I157" s="132"/>
      <c r="M157" s="132"/>
      <c r="Q157" s="132"/>
      <c r="R157" s="132"/>
      <c r="S157" s="132"/>
      <c r="T157" s="5"/>
      <c r="Y157" s="132"/>
      <c r="AN157" s="269"/>
      <c r="AO157" s="269"/>
      <c r="AP157" s="270"/>
    </row>
    <row r="158" spans="9:42" ht="46.5" customHeight="1" x14ac:dyDescent="0.25">
      <c r="I158" s="132"/>
      <c r="M158" s="132"/>
      <c r="Q158" s="132"/>
      <c r="R158" s="132"/>
      <c r="S158" s="132"/>
      <c r="T158" s="5"/>
      <c r="Y158" s="132"/>
      <c r="AN158" s="269"/>
      <c r="AO158" s="269"/>
      <c r="AP158" s="270"/>
    </row>
    <row r="159" spans="9:42" ht="46.5" customHeight="1" x14ac:dyDescent="0.25">
      <c r="I159" s="132"/>
      <c r="M159" s="132"/>
      <c r="Q159" s="132"/>
      <c r="R159" s="132"/>
      <c r="S159" s="132"/>
      <c r="T159" s="5"/>
      <c r="Y159" s="132"/>
      <c r="AN159" s="269"/>
      <c r="AO159" s="269"/>
      <c r="AP159" s="270"/>
    </row>
    <row r="160" spans="9:42" ht="46.5" customHeight="1" x14ac:dyDescent="0.25">
      <c r="I160" s="132"/>
      <c r="M160" s="132"/>
      <c r="Q160" s="132"/>
      <c r="R160" s="132"/>
      <c r="S160" s="132"/>
      <c r="T160" s="5"/>
      <c r="Y160" s="132"/>
      <c r="AN160" s="269"/>
      <c r="AO160" s="269"/>
      <c r="AP160" s="270"/>
    </row>
    <row r="161" spans="9:42" ht="46.5" customHeight="1" x14ac:dyDescent="0.25">
      <c r="I161" s="132"/>
      <c r="M161" s="132"/>
      <c r="Q161" s="132"/>
      <c r="R161" s="132"/>
      <c r="S161" s="132"/>
      <c r="T161" s="5"/>
      <c r="Y161" s="132"/>
      <c r="AN161" s="269"/>
      <c r="AO161" s="269"/>
      <c r="AP161" s="270"/>
    </row>
    <row r="162" spans="9:42" ht="46.5" customHeight="1" x14ac:dyDescent="0.25">
      <c r="I162" s="132"/>
      <c r="M162" s="132"/>
      <c r="Q162" s="132"/>
      <c r="R162" s="132"/>
      <c r="S162" s="132"/>
      <c r="T162" s="5"/>
      <c r="Y162" s="132"/>
      <c r="AN162" s="269"/>
      <c r="AO162" s="269"/>
      <c r="AP162" s="270"/>
    </row>
    <row r="163" spans="9:42" ht="46.5" customHeight="1" x14ac:dyDescent="0.25">
      <c r="I163" s="132"/>
      <c r="M163" s="132"/>
      <c r="Q163" s="132"/>
      <c r="R163" s="132"/>
      <c r="S163" s="132"/>
      <c r="T163" s="5"/>
      <c r="Y163" s="132"/>
      <c r="AN163" s="269"/>
      <c r="AO163" s="269"/>
      <c r="AP163" s="270"/>
    </row>
    <row r="164" spans="9:42" ht="46.5" customHeight="1" x14ac:dyDescent="0.25">
      <c r="I164" s="132"/>
      <c r="M164" s="132"/>
      <c r="Q164" s="132"/>
      <c r="R164" s="132"/>
      <c r="S164" s="132"/>
      <c r="T164" s="5"/>
      <c r="Y164" s="132"/>
      <c r="AN164" s="269"/>
      <c r="AO164" s="269"/>
      <c r="AP164" s="270"/>
    </row>
    <row r="165" spans="9:42" ht="46.5" customHeight="1" x14ac:dyDescent="0.25">
      <c r="I165" s="132"/>
      <c r="M165" s="132"/>
      <c r="Q165" s="132"/>
      <c r="R165" s="132"/>
      <c r="S165" s="132"/>
      <c r="T165" s="5"/>
      <c r="Y165" s="132"/>
      <c r="AN165" s="269"/>
      <c r="AO165" s="269"/>
      <c r="AP165" s="270"/>
    </row>
    <row r="166" spans="9:42" ht="46.5" customHeight="1" x14ac:dyDescent="0.25">
      <c r="I166" s="132"/>
      <c r="M166" s="132"/>
      <c r="Q166" s="132"/>
      <c r="R166" s="132"/>
      <c r="S166" s="132"/>
      <c r="T166" s="5"/>
      <c r="Y166" s="132"/>
      <c r="AN166" s="269"/>
      <c r="AO166" s="269"/>
      <c r="AP166" s="270"/>
    </row>
    <row r="167" spans="9:42" ht="46.5" customHeight="1" x14ac:dyDescent="0.25">
      <c r="I167" s="132"/>
      <c r="M167" s="132"/>
      <c r="Q167" s="132"/>
      <c r="R167" s="132"/>
      <c r="S167" s="132"/>
      <c r="T167" s="5"/>
      <c r="Y167" s="132"/>
      <c r="AN167" s="269"/>
      <c r="AO167" s="269"/>
      <c r="AP167" s="270"/>
    </row>
    <row r="168" spans="9:42" ht="46.5" customHeight="1" x14ac:dyDescent="0.25">
      <c r="I168" s="132"/>
      <c r="M168" s="132"/>
      <c r="Q168" s="132"/>
      <c r="R168" s="132"/>
      <c r="S168" s="132"/>
      <c r="T168" s="5"/>
      <c r="Y168" s="132"/>
      <c r="AN168" s="269"/>
      <c r="AO168" s="269"/>
      <c r="AP168" s="270"/>
    </row>
    <row r="169" spans="9:42" ht="46.5" customHeight="1" x14ac:dyDescent="0.25">
      <c r="I169" s="132"/>
      <c r="M169" s="132"/>
      <c r="Q169" s="132"/>
      <c r="R169" s="132"/>
      <c r="S169" s="132"/>
      <c r="T169" s="5"/>
      <c r="Y169" s="132"/>
      <c r="AN169" s="269"/>
      <c r="AO169" s="269"/>
      <c r="AP169" s="270"/>
    </row>
    <row r="170" spans="9:42" ht="46.5" customHeight="1" x14ac:dyDescent="0.25">
      <c r="I170" s="132"/>
      <c r="M170" s="132"/>
      <c r="Q170" s="132"/>
      <c r="R170" s="132"/>
      <c r="S170" s="132"/>
      <c r="T170" s="5"/>
      <c r="Y170" s="132"/>
      <c r="AN170" s="269"/>
      <c r="AO170" s="269"/>
      <c r="AP170" s="270"/>
    </row>
    <row r="171" spans="9:42" ht="46.5" customHeight="1" x14ac:dyDescent="0.25">
      <c r="I171" s="132"/>
      <c r="M171" s="132"/>
      <c r="Q171" s="132"/>
      <c r="R171" s="132"/>
      <c r="S171" s="132"/>
      <c r="T171" s="5"/>
      <c r="Y171" s="132"/>
      <c r="AN171" s="269"/>
      <c r="AO171" s="269"/>
      <c r="AP171" s="270"/>
    </row>
    <row r="172" spans="9:42" ht="46.5" customHeight="1" x14ac:dyDescent="0.25">
      <c r="I172" s="132"/>
      <c r="M172" s="132"/>
      <c r="Q172" s="132"/>
      <c r="R172" s="132"/>
      <c r="S172" s="132"/>
      <c r="T172" s="5"/>
      <c r="Y172" s="132"/>
      <c r="AN172" s="269"/>
      <c r="AO172" s="269"/>
      <c r="AP172" s="270"/>
    </row>
    <row r="173" spans="9:42" ht="46.5" customHeight="1" x14ac:dyDescent="0.25">
      <c r="I173" s="132"/>
      <c r="M173" s="132"/>
      <c r="Q173" s="132"/>
      <c r="R173" s="132"/>
      <c r="S173" s="132"/>
      <c r="T173" s="5"/>
      <c r="Y173" s="132"/>
      <c r="AN173" s="269"/>
      <c r="AO173" s="269"/>
      <c r="AP173" s="270"/>
    </row>
    <row r="174" spans="9:42" ht="46.5" customHeight="1" x14ac:dyDescent="0.25">
      <c r="I174" s="132"/>
      <c r="M174" s="132"/>
      <c r="Q174" s="132"/>
      <c r="R174" s="132"/>
      <c r="S174" s="132"/>
      <c r="T174" s="5"/>
      <c r="Y174" s="132"/>
      <c r="AN174" s="269"/>
      <c r="AO174" s="269"/>
      <c r="AP174" s="270"/>
    </row>
    <row r="175" spans="9:42" ht="46.5" customHeight="1" x14ac:dyDescent="0.25">
      <c r="I175" s="132"/>
      <c r="M175" s="132"/>
      <c r="Q175" s="132"/>
      <c r="R175" s="132"/>
      <c r="S175" s="132"/>
      <c r="T175" s="5"/>
      <c r="Y175" s="132"/>
      <c r="AN175" s="269"/>
      <c r="AO175" s="269"/>
      <c r="AP175" s="270"/>
    </row>
    <row r="176" spans="9:42" ht="46.5" customHeight="1" x14ac:dyDescent="0.25">
      <c r="I176" s="132"/>
      <c r="M176" s="132"/>
      <c r="Q176" s="132"/>
      <c r="R176" s="132"/>
      <c r="S176" s="132"/>
      <c r="T176" s="5"/>
      <c r="Y176" s="132"/>
      <c r="AN176" s="269"/>
      <c r="AO176" s="269"/>
      <c r="AP176" s="270"/>
    </row>
    <row r="177" spans="9:42" ht="46.5" customHeight="1" x14ac:dyDescent="0.25">
      <c r="I177" s="132"/>
      <c r="M177" s="132"/>
      <c r="Q177" s="132"/>
      <c r="R177" s="132"/>
      <c r="S177" s="132"/>
      <c r="T177" s="5"/>
      <c r="Y177" s="132"/>
      <c r="AN177" s="269"/>
      <c r="AO177" s="269"/>
      <c r="AP177" s="270"/>
    </row>
    <row r="178" spans="9:42" ht="46.5" customHeight="1" x14ac:dyDescent="0.25">
      <c r="I178" s="132"/>
      <c r="M178" s="132"/>
      <c r="Q178" s="132"/>
      <c r="R178" s="132"/>
      <c r="S178" s="132"/>
      <c r="T178" s="5"/>
      <c r="Y178" s="132"/>
      <c r="AN178" s="269"/>
      <c r="AO178" s="269"/>
      <c r="AP178" s="270"/>
    </row>
    <row r="179" spans="9:42" ht="46.5" customHeight="1" x14ac:dyDescent="0.25">
      <c r="I179" s="132"/>
      <c r="M179" s="132"/>
      <c r="Q179" s="132"/>
      <c r="R179" s="132"/>
      <c r="S179" s="132"/>
      <c r="T179" s="5"/>
      <c r="Y179" s="132"/>
      <c r="AN179" s="269"/>
      <c r="AO179" s="269"/>
      <c r="AP179" s="270"/>
    </row>
    <row r="180" spans="9:42" ht="46.5" customHeight="1" x14ac:dyDescent="0.25">
      <c r="I180" s="132"/>
      <c r="M180" s="132"/>
      <c r="Q180" s="132"/>
      <c r="R180" s="132"/>
      <c r="S180" s="132"/>
      <c r="T180" s="5"/>
      <c r="Y180" s="132"/>
      <c r="AN180" s="269"/>
      <c r="AO180" s="269"/>
      <c r="AP180" s="270"/>
    </row>
    <row r="181" spans="9:42" ht="46.5" customHeight="1" x14ac:dyDescent="0.25">
      <c r="I181" s="132"/>
      <c r="M181" s="132"/>
      <c r="Q181" s="132"/>
      <c r="R181" s="132"/>
      <c r="S181" s="132"/>
      <c r="T181" s="5"/>
      <c r="Y181" s="132"/>
      <c r="AN181" s="269"/>
      <c r="AO181" s="269"/>
      <c r="AP181" s="270"/>
    </row>
    <row r="182" spans="9:42" ht="46.5" customHeight="1" x14ac:dyDescent="0.25">
      <c r="I182" s="132"/>
      <c r="M182" s="132"/>
      <c r="Q182" s="132"/>
      <c r="R182" s="132"/>
      <c r="S182" s="132"/>
      <c r="T182" s="5"/>
      <c r="Y182" s="132"/>
      <c r="AN182" s="269"/>
      <c r="AO182" s="269"/>
      <c r="AP182" s="270"/>
    </row>
    <row r="183" spans="9:42" ht="46.5" customHeight="1" x14ac:dyDescent="0.25">
      <c r="I183" s="132"/>
      <c r="M183" s="132"/>
      <c r="Q183" s="132"/>
      <c r="R183" s="132"/>
      <c r="S183" s="132"/>
      <c r="T183" s="5"/>
      <c r="Y183" s="132"/>
      <c r="AN183" s="269"/>
      <c r="AO183" s="269"/>
      <c r="AP183" s="270"/>
    </row>
    <row r="184" spans="9:42" ht="46.5" customHeight="1" x14ac:dyDescent="0.25">
      <c r="I184" s="132"/>
      <c r="M184" s="132"/>
      <c r="Q184" s="132"/>
      <c r="R184" s="132"/>
      <c r="S184" s="132"/>
      <c r="T184" s="5"/>
      <c r="Y184" s="132"/>
      <c r="AN184" s="269"/>
      <c r="AO184" s="269"/>
      <c r="AP184" s="270"/>
    </row>
    <row r="185" spans="9:42" ht="46.5" customHeight="1" x14ac:dyDescent="0.25">
      <c r="I185" s="132"/>
      <c r="M185" s="132"/>
      <c r="Q185" s="132"/>
      <c r="R185" s="132"/>
      <c r="S185" s="132"/>
      <c r="T185" s="5"/>
      <c r="Y185" s="132"/>
      <c r="AN185" s="269"/>
      <c r="AO185" s="269"/>
      <c r="AP185" s="270"/>
    </row>
    <row r="186" spans="9:42" ht="46.5" customHeight="1" x14ac:dyDescent="0.25">
      <c r="I186" s="132"/>
      <c r="M186" s="132"/>
      <c r="Q186" s="132"/>
      <c r="R186" s="132"/>
      <c r="S186" s="132"/>
      <c r="T186" s="5"/>
      <c r="Y186" s="132"/>
      <c r="AN186" s="269"/>
      <c r="AO186" s="269"/>
      <c r="AP186" s="270"/>
    </row>
    <row r="187" spans="9:42" ht="46.5" customHeight="1" x14ac:dyDescent="0.25">
      <c r="I187" s="132"/>
      <c r="M187" s="132"/>
      <c r="Q187" s="132"/>
      <c r="R187" s="132"/>
      <c r="S187" s="132"/>
      <c r="T187" s="5"/>
      <c r="Y187" s="132"/>
      <c r="AN187" s="269"/>
      <c r="AO187" s="269"/>
      <c r="AP187" s="270"/>
    </row>
    <row r="188" spans="9:42" ht="46.5" customHeight="1" x14ac:dyDescent="0.25">
      <c r="I188" s="132"/>
      <c r="M188" s="132"/>
      <c r="Q188" s="132"/>
      <c r="R188" s="132"/>
      <c r="S188" s="132"/>
      <c r="T188" s="5"/>
      <c r="Y188" s="132"/>
      <c r="AN188" s="269"/>
      <c r="AO188" s="269"/>
      <c r="AP188" s="270"/>
    </row>
    <row r="189" spans="9:42" ht="46.5" customHeight="1" x14ac:dyDescent="0.25">
      <c r="I189" s="132"/>
      <c r="M189" s="132"/>
      <c r="Q189" s="132"/>
      <c r="R189" s="132"/>
      <c r="S189" s="132"/>
      <c r="T189" s="5"/>
      <c r="Y189" s="132"/>
      <c r="AN189" s="269"/>
      <c r="AO189" s="269"/>
      <c r="AP189" s="270"/>
    </row>
    <row r="190" spans="9:42" ht="46.5" customHeight="1" x14ac:dyDescent="0.25">
      <c r="I190" s="132"/>
      <c r="M190" s="132"/>
      <c r="Q190" s="132"/>
      <c r="R190" s="132"/>
      <c r="S190" s="132"/>
      <c r="T190" s="5"/>
      <c r="Y190" s="132"/>
      <c r="AN190" s="269"/>
      <c r="AO190" s="269"/>
      <c r="AP190" s="270"/>
    </row>
    <row r="191" spans="9:42" ht="46.5" customHeight="1" x14ac:dyDescent="0.25">
      <c r="I191" s="132"/>
      <c r="M191" s="132"/>
      <c r="Q191" s="132"/>
      <c r="R191" s="132"/>
      <c r="S191" s="132"/>
      <c r="T191" s="5"/>
      <c r="Y191" s="132"/>
      <c r="AN191" s="269"/>
      <c r="AO191" s="269"/>
      <c r="AP191" s="270"/>
    </row>
    <row r="192" spans="9:42" ht="46.5" customHeight="1" x14ac:dyDescent="0.25">
      <c r="I192" s="132"/>
      <c r="M192" s="132"/>
      <c r="Q192" s="132"/>
      <c r="R192" s="132"/>
      <c r="S192" s="132"/>
      <c r="T192" s="5"/>
      <c r="Y192" s="132"/>
      <c r="AN192" s="269"/>
      <c r="AO192" s="269"/>
      <c r="AP192" s="270"/>
    </row>
    <row r="193" spans="9:42" ht="46.5" customHeight="1" x14ac:dyDescent="0.25">
      <c r="I193" s="132"/>
      <c r="M193" s="132"/>
      <c r="Q193" s="132"/>
      <c r="R193" s="132"/>
      <c r="S193" s="132"/>
      <c r="T193" s="5"/>
      <c r="Y193" s="132"/>
      <c r="AN193" s="269"/>
      <c r="AO193" s="269"/>
      <c r="AP193" s="270"/>
    </row>
    <row r="194" spans="9:42" ht="46.5" customHeight="1" x14ac:dyDescent="0.25">
      <c r="I194" s="132"/>
      <c r="M194" s="132"/>
      <c r="Q194" s="132"/>
      <c r="R194" s="132"/>
      <c r="S194" s="132"/>
      <c r="T194" s="5"/>
      <c r="Y194" s="132"/>
      <c r="AN194" s="269"/>
      <c r="AO194" s="269"/>
      <c r="AP194" s="270"/>
    </row>
    <row r="195" spans="9:42" ht="46.5" customHeight="1" x14ac:dyDescent="0.25">
      <c r="I195" s="132"/>
      <c r="M195" s="132"/>
      <c r="Q195" s="132"/>
      <c r="R195" s="132"/>
      <c r="S195" s="132"/>
      <c r="T195" s="5"/>
      <c r="Y195" s="132"/>
      <c r="AN195" s="269"/>
      <c r="AO195" s="269"/>
      <c r="AP195" s="270"/>
    </row>
    <row r="196" spans="9:42" ht="46.5" customHeight="1" x14ac:dyDescent="0.25">
      <c r="I196" s="132"/>
      <c r="M196" s="132"/>
      <c r="Q196" s="132"/>
      <c r="R196" s="132"/>
      <c r="S196" s="132"/>
      <c r="T196" s="5"/>
      <c r="Y196" s="132"/>
      <c r="AN196" s="269"/>
      <c r="AO196" s="269"/>
      <c r="AP196" s="270"/>
    </row>
    <row r="197" spans="9:42" ht="46.5" customHeight="1" x14ac:dyDescent="0.25">
      <c r="I197" s="132"/>
      <c r="M197" s="132"/>
      <c r="Q197" s="132"/>
      <c r="R197" s="132"/>
      <c r="S197" s="132"/>
      <c r="T197" s="5"/>
      <c r="Y197" s="132"/>
      <c r="AN197" s="269"/>
      <c r="AO197" s="269"/>
      <c r="AP197" s="270"/>
    </row>
    <row r="198" spans="9:42" ht="46.5" customHeight="1" x14ac:dyDescent="0.25">
      <c r="I198" s="132"/>
      <c r="M198" s="132"/>
      <c r="Q198" s="132"/>
      <c r="R198" s="132"/>
      <c r="S198" s="132"/>
      <c r="T198" s="5"/>
      <c r="Y198" s="132"/>
      <c r="AN198" s="269"/>
      <c r="AO198" s="269"/>
      <c r="AP198" s="270"/>
    </row>
    <row r="199" spans="9:42" ht="46.5" customHeight="1" x14ac:dyDescent="0.25">
      <c r="I199" s="132"/>
      <c r="M199" s="132"/>
      <c r="Q199" s="132"/>
      <c r="R199" s="132"/>
      <c r="S199" s="132"/>
      <c r="T199" s="5"/>
      <c r="Y199" s="132"/>
      <c r="AN199" s="269"/>
      <c r="AO199" s="269"/>
      <c r="AP199" s="270"/>
    </row>
    <row r="200" spans="9:42" ht="46.5" customHeight="1" x14ac:dyDescent="0.25">
      <c r="I200" s="132"/>
      <c r="M200" s="132"/>
      <c r="Q200" s="132"/>
      <c r="R200" s="132"/>
      <c r="S200" s="132"/>
      <c r="T200" s="5"/>
      <c r="Y200" s="132"/>
      <c r="AN200" s="269"/>
      <c r="AO200" s="269"/>
      <c r="AP200" s="270"/>
    </row>
    <row r="201" spans="9:42" ht="46.5" customHeight="1" x14ac:dyDescent="0.25">
      <c r="I201" s="132"/>
      <c r="M201" s="132"/>
      <c r="Q201" s="132"/>
      <c r="R201" s="132"/>
      <c r="S201" s="132"/>
      <c r="T201" s="5"/>
      <c r="Y201" s="132"/>
      <c r="AN201" s="269"/>
      <c r="AO201" s="269"/>
      <c r="AP201" s="270"/>
    </row>
    <row r="202" spans="9:42" ht="46.5" customHeight="1" x14ac:dyDescent="0.25">
      <c r="I202" s="132"/>
      <c r="M202" s="132"/>
      <c r="Q202" s="132"/>
      <c r="R202" s="132"/>
      <c r="S202" s="132"/>
      <c r="T202" s="5"/>
      <c r="Y202" s="132"/>
      <c r="AN202" s="269"/>
      <c r="AO202" s="269"/>
      <c r="AP202" s="270"/>
    </row>
    <row r="203" spans="9:42" ht="46.5" customHeight="1" x14ac:dyDescent="0.25">
      <c r="I203" s="132"/>
      <c r="M203" s="132"/>
      <c r="Q203" s="132"/>
      <c r="R203" s="132"/>
      <c r="S203" s="132"/>
      <c r="T203" s="5"/>
      <c r="Y203" s="132"/>
      <c r="AN203" s="269"/>
      <c r="AO203" s="269"/>
      <c r="AP203" s="270"/>
    </row>
    <row r="204" spans="9:42" ht="46.5" customHeight="1" x14ac:dyDescent="0.25">
      <c r="I204" s="132"/>
      <c r="M204" s="132"/>
      <c r="Q204" s="132"/>
      <c r="R204" s="132"/>
      <c r="S204" s="132"/>
      <c r="T204" s="5"/>
      <c r="Y204" s="132"/>
      <c r="AN204" s="269"/>
      <c r="AO204" s="269"/>
      <c r="AP204" s="270"/>
    </row>
    <row r="205" spans="9:42" ht="46.5" customHeight="1" x14ac:dyDescent="0.25">
      <c r="I205" s="132"/>
      <c r="M205" s="132"/>
      <c r="Q205" s="132"/>
      <c r="R205" s="132"/>
      <c r="S205" s="132"/>
      <c r="T205" s="5"/>
      <c r="Y205" s="132"/>
      <c r="AN205" s="269"/>
      <c r="AO205" s="269"/>
      <c r="AP205" s="270"/>
    </row>
    <row r="206" spans="9:42" ht="46.5" customHeight="1" x14ac:dyDescent="0.25">
      <c r="I206" s="132"/>
      <c r="M206" s="132"/>
      <c r="Q206" s="132"/>
      <c r="R206" s="132"/>
      <c r="S206" s="132"/>
      <c r="T206" s="5"/>
      <c r="Y206" s="132"/>
      <c r="AN206" s="269"/>
      <c r="AO206" s="269"/>
      <c r="AP206" s="270"/>
    </row>
    <row r="207" spans="9:42" ht="46.5" customHeight="1" x14ac:dyDescent="0.25">
      <c r="I207" s="132"/>
      <c r="M207" s="132"/>
      <c r="Q207" s="132"/>
      <c r="R207" s="132"/>
      <c r="S207" s="132"/>
      <c r="T207" s="5"/>
      <c r="Y207" s="132"/>
      <c r="AN207" s="269"/>
      <c r="AO207" s="269"/>
      <c r="AP207" s="270"/>
    </row>
    <row r="208" spans="9:42" ht="46.5" customHeight="1" x14ac:dyDescent="0.25">
      <c r="I208" s="132"/>
      <c r="M208" s="132"/>
      <c r="Q208" s="132"/>
      <c r="R208" s="132"/>
      <c r="S208" s="132"/>
      <c r="T208" s="5"/>
      <c r="Y208" s="132"/>
      <c r="AN208" s="269"/>
      <c r="AO208" s="269"/>
      <c r="AP208" s="270"/>
    </row>
    <row r="209" spans="9:42" ht="46.5" customHeight="1" x14ac:dyDescent="0.25">
      <c r="I209" s="132"/>
      <c r="M209" s="132"/>
      <c r="Q209" s="132"/>
      <c r="R209" s="132"/>
      <c r="S209" s="132"/>
      <c r="T209" s="5"/>
      <c r="Y209" s="132"/>
      <c r="AN209" s="269"/>
      <c r="AO209" s="269"/>
      <c r="AP209" s="270"/>
    </row>
    <row r="210" spans="9:42" ht="46.5" customHeight="1" x14ac:dyDescent="0.25">
      <c r="I210" s="132"/>
      <c r="M210" s="132"/>
      <c r="Q210" s="132"/>
      <c r="R210" s="132"/>
      <c r="S210" s="132"/>
      <c r="T210" s="5"/>
      <c r="Y210" s="132"/>
      <c r="AN210" s="269"/>
      <c r="AO210" s="269"/>
      <c r="AP210" s="270"/>
    </row>
    <row r="211" spans="9:42" ht="46.5" customHeight="1" x14ac:dyDescent="0.25">
      <c r="I211" s="132"/>
      <c r="M211" s="132"/>
      <c r="Q211" s="132"/>
      <c r="R211" s="132"/>
      <c r="S211" s="132"/>
      <c r="T211" s="5"/>
      <c r="Y211" s="132"/>
      <c r="AN211" s="269"/>
      <c r="AO211" s="269"/>
      <c r="AP211" s="270"/>
    </row>
    <row r="212" spans="9:42" ht="46.5" customHeight="1" x14ac:dyDescent="0.25">
      <c r="I212" s="132"/>
      <c r="M212" s="132"/>
      <c r="Q212" s="132"/>
      <c r="R212" s="132"/>
      <c r="S212" s="132"/>
      <c r="T212" s="5"/>
      <c r="Y212" s="132"/>
      <c r="AN212" s="269"/>
      <c r="AO212" s="269"/>
      <c r="AP212" s="270"/>
    </row>
    <row r="213" spans="9:42" ht="46.5" customHeight="1" x14ac:dyDescent="0.25">
      <c r="I213" s="132"/>
      <c r="M213" s="132"/>
      <c r="Q213" s="132"/>
      <c r="R213" s="132"/>
      <c r="S213" s="132"/>
      <c r="T213" s="5"/>
      <c r="Y213" s="132"/>
      <c r="AN213" s="269"/>
      <c r="AO213" s="269"/>
      <c r="AP213" s="270"/>
    </row>
    <row r="214" spans="9:42" ht="46.5" customHeight="1" x14ac:dyDescent="0.25">
      <c r="I214" s="132"/>
      <c r="M214" s="132"/>
      <c r="Q214" s="132"/>
      <c r="R214" s="132"/>
      <c r="S214" s="132"/>
      <c r="T214" s="5"/>
      <c r="Y214" s="132"/>
      <c r="AN214" s="269"/>
      <c r="AO214" s="269"/>
      <c r="AP214" s="270"/>
    </row>
    <row r="215" spans="9:42" ht="46.5" customHeight="1" x14ac:dyDescent="0.25">
      <c r="I215" s="132"/>
      <c r="M215" s="132"/>
      <c r="Q215" s="132"/>
      <c r="R215" s="132"/>
      <c r="S215" s="132"/>
      <c r="T215" s="5"/>
      <c r="Y215" s="132"/>
      <c r="AN215" s="269"/>
      <c r="AO215" s="269"/>
      <c r="AP215" s="270"/>
    </row>
    <row r="216" spans="9:42" ht="46.5" customHeight="1" x14ac:dyDescent="0.25">
      <c r="I216" s="132"/>
      <c r="M216" s="132"/>
      <c r="Q216" s="132"/>
      <c r="R216" s="132"/>
      <c r="S216" s="132"/>
      <c r="T216" s="5"/>
      <c r="Y216" s="132"/>
      <c r="AN216" s="269"/>
      <c r="AO216" s="269"/>
      <c r="AP216" s="270"/>
    </row>
    <row r="217" spans="9:42" ht="46.5" customHeight="1" x14ac:dyDescent="0.25">
      <c r="I217" s="132"/>
      <c r="M217" s="132"/>
      <c r="Q217" s="132"/>
      <c r="R217" s="132"/>
      <c r="S217" s="132"/>
      <c r="T217" s="5"/>
      <c r="Y217" s="132"/>
      <c r="AN217" s="269"/>
      <c r="AO217" s="269"/>
      <c r="AP217" s="270"/>
    </row>
    <row r="218" spans="9:42" ht="46.5" customHeight="1" x14ac:dyDescent="0.25">
      <c r="I218" s="132"/>
      <c r="M218" s="132"/>
      <c r="Q218" s="132"/>
      <c r="R218" s="132"/>
      <c r="S218" s="132"/>
      <c r="T218" s="5"/>
      <c r="Y218" s="132"/>
      <c r="AN218" s="269"/>
      <c r="AO218" s="269"/>
      <c r="AP218" s="270"/>
    </row>
    <row r="219" spans="9:42" ht="46.5" customHeight="1" x14ac:dyDescent="0.25">
      <c r="I219" s="132"/>
      <c r="M219" s="132"/>
      <c r="Q219" s="132"/>
      <c r="R219" s="132"/>
      <c r="S219" s="132"/>
      <c r="T219" s="5"/>
      <c r="Y219" s="132"/>
      <c r="AN219" s="269"/>
      <c r="AO219" s="269"/>
      <c r="AP219" s="270"/>
    </row>
    <row r="220" spans="9:42" ht="46.5" customHeight="1" x14ac:dyDescent="0.25">
      <c r="I220" s="132"/>
      <c r="M220" s="132"/>
      <c r="Q220" s="132"/>
      <c r="R220" s="132"/>
      <c r="S220" s="132"/>
      <c r="T220" s="5"/>
      <c r="Y220" s="132"/>
      <c r="AN220" s="269"/>
      <c r="AO220" s="269"/>
      <c r="AP220" s="270"/>
    </row>
    <row r="221" spans="9:42" ht="46.5" customHeight="1" x14ac:dyDescent="0.25">
      <c r="I221" s="132"/>
      <c r="M221" s="132"/>
      <c r="Q221" s="132"/>
      <c r="R221" s="132"/>
      <c r="S221" s="132"/>
      <c r="T221" s="5"/>
      <c r="Y221" s="132"/>
      <c r="AN221" s="269"/>
      <c r="AO221" s="269"/>
      <c r="AP221" s="270"/>
    </row>
    <row r="222" spans="9:42" ht="46.5" customHeight="1" x14ac:dyDescent="0.25">
      <c r="I222" s="132"/>
      <c r="M222" s="132"/>
      <c r="Q222" s="132"/>
      <c r="R222" s="132"/>
      <c r="S222" s="132"/>
      <c r="T222" s="5"/>
      <c r="Y222" s="132"/>
      <c r="AN222" s="269"/>
      <c r="AO222" s="269"/>
      <c r="AP222" s="270"/>
    </row>
    <row r="223" spans="9:42" ht="46.5" customHeight="1" x14ac:dyDescent="0.25">
      <c r="I223" s="132"/>
      <c r="M223" s="132"/>
      <c r="Q223" s="132"/>
      <c r="R223" s="132"/>
      <c r="S223" s="132"/>
      <c r="T223" s="5"/>
      <c r="Y223" s="132"/>
      <c r="AN223" s="269"/>
      <c r="AO223" s="269"/>
      <c r="AP223" s="270"/>
    </row>
    <row r="224" spans="9:42" ht="46.5" customHeight="1" x14ac:dyDescent="0.25">
      <c r="I224" s="132"/>
      <c r="M224" s="132"/>
      <c r="Q224" s="132"/>
      <c r="R224" s="132"/>
      <c r="S224" s="132"/>
      <c r="T224" s="5"/>
      <c r="Y224" s="132"/>
      <c r="AN224" s="269"/>
      <c r="AO224" s="269"/>
      <c r="AP224" s="270"/>
    </row>
    <row r="225" spans="9:42" ht="46.5" customHeight="1" x14ac:dyDescent="0.25">
      <c r="I225" s="132"/>
      <c r="M225" s="132"/>
      <c r="Q225" s="132"/>
      <c r="R225" s="132"/>
      <c r="S225" s="132"/>
      <c r="T225" s="5"/>
      <c r="Y225" s="132"/>
      <c r="AN225" s="269"/>
      <c r="AO225" s="269"/>
      <c r="AP225" s="270"/>
    </row>
    <row r="226" spans="9:42" ht="46.5" customHeight="1" x14ac:dyDescent="0.25">
      <c r="I226" s="132"/>
      <c r="M226" s="132"/>
      <c r="Q226" s="132"/>
      <c r="R226" s="132"/>
      <c r="S226" s="132"/>
      <c r="T226" s="5"/>
      <c r="Y226" s="132"/>
      <c r="AN226" s="269"/>
      <c r="AO226" s="269"/>
      <c r="AP226" s="270"/>
    </row>
    <row r="227" spans="9:42" ht="46.5" customHeight="1" x14ac:dyDescent="0.25">
      <c r="I227" s="132"/>
      <c r="M227" s="132"/>
      <c r="Q227" s="132"/>
      <c r="R227" s="132"/>
      <c r="S227" s="132"/>
      <c r="T227" s="5"/>
      <c r="Y227" s="132"/>
      <c r="AN227" s="269"/>
      <c r="AO227" s="269"/>
      <c r="AP227" s="270"/>
    </row>
    <row r="228" spans="9:42" ht="46.5" customHeight="1" x14ac:dyDescent="0.25">
      <c r="I228" s="132"/>
      <c r="M228" s="132"/>
      <c r="Q228" s="132"/>
      <c r="R228" s="132"/>
      <c r="S228" s="132"/>
      <c r="T228" s="5"/>
      <c r="Y228" s="132"/>
      <c r="AN228" s="269"/>
      <c r="AO228" s="269"/>
      <c r="AP228" s="270"/>
    </row>
    <row r="229" spans="9:42" ht="46.5" customHeight="1" x14ac:dyDescent="0.25">
      <c r="I229" s="132"/>
      <c r="M229" s="132"/>
      <c r="Q229" s="132"/>
      <c r="R229" s="132"/>
      <c r="S229" s="132"/>
      <c r="T229" s="5"/>
      <c r="Y229" s="132"/>
      <c r="AN229" s="269"/>
      <c r="AO229" s="269"/>
      <c r="AP229" s="270"/>
    </row>
    <row r="230" spans="9:42" ht="46.5" customHeight="1" x14ac:dyDescent="0.25">
      <c r="I230" s="132"/>
      <c r="M230" s="132"/>
      <c r="Q230" s="132"/>
      <c r="R230" s="132"/>
      <c r="S230" s="132"/>
      <c r="T230" s="5"/>
      <c r="Y230" s="132"/>
      <c r="AN230" s="269"/>
      <c r="AO230" s="269"/>
      <c r="AP230" s="270"/>
    </row>
    <row r="231" spans="9:42" ht="46.5" customHeight="1" x14ac:dyDescent="0.25">
      <c r="I231" s="132"/>
      <c r="M231" s="132"/>
      <c r="Q231" s="132"/>
      <c r="R231" s="132"/>
      <c r="S231" s="132"/>
      <c r="T231" s="5"/>
      <c r="Y231" s="132"/>
      <c r="AN231" s="269"/>
      <c r="AO231" s="269"/>
      <c r="AP231" s="270"/>
    </row>
    <row r="232" spans="9:42" ht="46.5" customHeight="1" x14ac:dyDescent="0.25">
      <c r="I232" s="132"/>
      <c r="M232" s="132"/>
      <c r="Q232" s="132"/>
      <c r="R232" s="132"/>
      <c r="S232" s="132"/>
      <c r="T232" s="5"/>
      <c r="Y232" s="132"/>
      <c r="AN232" s="269"/>
      <c r="AO232" s="269"/>
      <c r="AP232" s="270"/>
    </row>
    <row r="233" spans="9:42" ht="46.5" customHeight="1" x14ac:dyDescent="0.25">
      <c r="I233" s="132"/>
      <c r="M233" s="132"/>
      <c r="Q233" s="132"/>
      <c r="R233" s="132"/>
      <c r="S233" s="132"/>
      <c r="T233" s="5"/>
      <c r="Y233" s="132"/>
      <c r="AN233" s="269"/>
      <c r="AO233" s="269"/>
      <c r="AP233" s="270"/>
    </row>
    <row r="234" spans="9:42" ht="46.5" customHeight="1" x14ac:dyDescent="0.25">
      <c r="I234" s="132"/>
      <c r="M234" s="132"/>
      <c r="Q234" s="132"/>
      <c r="R234" s="132"/>
      <c r="S234" s="132"/>
      <c r="T234" s="5"/>
      <c r="Y234" s="132"/>
      <c r="AN234" s="269"/>
      <c r="AO234" s="269"/>
      <c r="AP234" s="270"/>
    </row>
    <row r="235" spans="9:42" ht="46.5" customHeight="1" x14ac:dyDescent="0.25">
      <c r="I235" s="132"/>
      <c r="M235" s="132"/>
      <c r="Q235" s="132"/>
      <c r="R235" s="132"/>
      <c r="S235" s="132"/>
      <c r="T235" s="5"/>
      <c r="Y235" s="132"/>
      <c r="AN235" s="269"/>
      <c r="AO235" s="269"/>
      <c r="AP235" s="270"/>
    </row>
    <row r="236" spans="9:42" ht="46.5" customHeight="1" x14ac:dyDescent="0.25">
      <c r="I236" s="132"/>
      <c r="M236" s="132"/>
      <c r="Q236" s="132"/>
      <c r="R236" s="132"/>
      <c r="S236" s="132"/>
      <c r="T236" s="5"/>
      <c r="Y236" s="132"/>
      <c r="AN236" s="269"/>
      <c r="AO236" s="269"/>
      <c r="AP236" s="270"/>
    </row>
    <row r="237" spans="9:42" ht="46.5" customHeight="1" x14ac:dyDescent="0.25">
      <c r="I237" s="132"/>
      <c r="M237" s="132"/>
      <c r="Q237" s="132"/>
      <c r="R237" s="132"/>
      <c r="S237" s="132"/>
      <c r="T237" s="5"/>
      <c r="Y237" s="132"/>
      <c r="AN237" s="269"/>
      <c r="AO237" s="269"/>
      <c r="AP237" s="270"/>
    </row>
    <row r="238" spans="9:42" ht="46.5" customHeight="1" x14ac:dyDescent="0.25">
      <c r="I238" s="132"/>
      <c r="M238" s="132"/>
      <c r="Q238" s="132"/>
      <c r="R238" s="132"/>
      <c r="S238" s="132"/>
      <c r="T238" s="5"/>
      <c r="Y238" s="132"/>
      <c r="AN238" s="269"/>
      <c r="AO238" s="269"/>
      <c r="AP238" s="270"/>
    </row>
    <row r="239" spans="9:42" ht="46.5" customHeight="1" x14ac:dyDescent="0.25">
      <c r="I239" s="132"/>
      <c r="M239" s="132"/>
      <c r="Q239" s="132"/>
      <c r="R239" s="132"/>
      <c r="S239" s="132"/>
      <c r="T239" s="5"/>
      <c r="Y239" s="132"/>
      <c r="AN239" s="269"/>
      <c r="AO239" s="269"/>
      <c r="AP239" s="270"/>
    </row>
    <row r="240" spans="9:42" ht="46.5" customHeight="1" x14ac:dyDescent="0.25">
      <c r="I240" s="132"/>
      <c r="M240" s="132"/>
      <c r="Q240" s="132"/>
      <c r="R240" s="132"/>
      <c r="S240" s="132"/>
      <c r="T240" s="5"/>
      <c r="Y240" s="132"/>
      <c r="AN240" s="269"/>
      <c r="AO240" s="269"/>
      <c r="AP240" s="270"/>
    </row>
    <row r="241" spans="9:42" ht="46.5" customHeight="1" x14ac:dyDescent="0.25">
      <c r="I241" s="132"/>
      <c r="M241" s="132"/>
      <c r="Q241" s="132"/>
      <c r="R241" s="132"/>
      <c r="S241" s="132"/>
      <c r="T241" s="5"/>
      <c r="Y241" s="132"/>
      <c r="AN241" s="269"/>
      <c r="AO241" s="269"/>
      <c r="AP241" s="270"/>
    </row>
    <row r="242" spans="9:42" ht="46.5" customHeight="1" x14ac:dyDescent="0.25">
      <c r="I242" s="132"/>
      <c r="M242" s="132"/>
      <c r="Q242" s="132"/>
      <c r="R242" s="132"/>
      <c r="S242" s="132"/>
      <c r="T242" s="5"/>
      <c r="Y242" s="132"/>
      <c r="AN242" s="269"/>
      <c r="AO242" s="269"/>
      <c r="AP242" s="270"/>
    </row>
    <row r="243" spans="9:42" ht="46.5" customHeight="1" x14ac:dyDescent="0.25">
      <c r="I243" s="132"/>
      <c r="M243" s="132"/>
      <c r="Q243" s="132"/>
      <c r="R243" s="132"/>
      <c r="S243" s="132"/>
      <c r="T243" s="5"/>
      <c r="Y243" s="132"/>
      <c r="AN243" s="269"/>
      <c r="AO243" s="269"/>
      <c r="AP243" s="270"/>
    </row>
    <row r="244" spans="9:42" ht="46.5" customHeight="1" x14ac:dyDescent="0.25">
      <c r="I244" s="132"/>
      <c r="M244" s="132"/>
      <c r="Q244" s="132"/>
      <c r="R244" s="132"/>
      <c r="S244" s="132"/>
      <c r="T244" s="5"/>
      <c r="Y244" s="132"/>
      <c r="AN244" s="269"/>
      <c r="AO244" s="269"/>
      <c r="AP244" s="270"/>
    </row>
    <row r="245" spans="9:42" ht="46.5" customHeight="1" x14ac:dyDescent="0.25">
      <c r="I245" s="132"/>
      <c r="M245" s="132"/>
      <c r="Q245" s="132"/>
      <c r="R245" s="132"/>
      <c r="S245" s="132"/>
      <c r="T245" s="5"/>
      <c r="Y245" s="132"/>
      <c r="AN245" s="269"/>
      <c r="AO245" s="269"/>
      <c r="AP245" s="270"/>
    </row>
    <row r="246" spans="9:42" ht="46.5" customHeight="1" x14ac:dyDescent="0.25">
      <c r="I246" s="132"/>
      <c r="M246" s="132"/>
      <c r="Q246" s="132"/>
      <c r="R246" s="132"/>
      <c r="S246" s="132"/>
      <c r="T246" s="5"/>
      <c r="Y246" s="132"/>
      <c r="AN246" s="269"/>
      <c r="AO246" s="269"/>
      <c r="AP246" s="270"/>
    </row>
    <row r="247" spans="9:42" ht="46.5" customHeight="1" x14ac:dyDescent="0.25">
      <c r="I247" s="132"/>
      <c r="M247" s="132"/>
      <c r="Q247" s="132"/>
      <c r="R247" s="132"/>
      <c r="S247" s="132"/>
      <c r="T247" s="5"/>
      <c r="Y247" s="132"/>
      <c r="AN247" s="269"/>
      <c r="AO247" s="269"/>
      <c r="AP247" s="270"/>
    </row>
    <row r="248" spans="9:42" ht="46.5" customHeight="1" x14ac:dyDescent="0.25">
      <c r="I248" s="132"/>
      <c r="M248" s="132"/>
      <c r="Q248" s="132"/>
      <c r="R248" s="132"/>
      <c r="S248" s="132"/>
      <c r="T248" s="5"/>
      <c r="Y248" s="132"/>
      <c r="AN248" s="269"/>
      <c r="AO248" s="269"/>
      <c r="AP248" s="270"/>
    </row>
    <row r="249" spans="9:42" ht="46.5" customHeight="1" x14ac:dyDescent="0.25">
      <c r="I249" s="132"/>
      <c r="M249" s="132"/>
      <c r="Q249" s="132"/>
      <c r="R249" s="132"/>
      <c r="S249" s="132"/>
      <c r="T249" s="5"/>
      <c r="Y249" s="132"/>
      <c r="AN249" s="269"/>
      <c r="AO249" s="269"/>
      <c r="AP249" s="270"/>
    </row>
    <row r="250" spans="9:42" ht="46.5" customHeight="1" x14ac:dyDescent="0.25">
      <c r="I250" s="132"/>
      <c r="M250" s="132"/>
      <c r="Q250" s="132"/>
      <c r="R250" s="132"/>
      <c r="S250" s="132"/>
      <c r="T250" s="5"/>
      <c r="Y250" s="132"/>
      <c r="AN250" s="269"/>
      <c r="AO250" s="269"/>
      <c r="AP250" s="270"/>
    </row>
    <row r="251" spans="9:42" ht="46.5" customHeight="1" x14ac:dyDescent="0.25">
      <c r="I251" s="132"/>
      <c r="M251" s="132"/>
      <c r="Q251" s="132"/>
      <c r="R251" s="132"/>
      <c r="S251" s="132"/>
      <c r="T251" s="5"/>
      <c r="Y251" s="132"/>
      <c r="AN251" s="269"/>
      <c r="AO251" s="269"/>
      <c r="AP251" s="270"/>
    </row>
    <row r="252" spans="9:42" ht="46.5" customHeight="1" x14ac:dyDescent="0.25">
      <c r="I252" s="132"/>
      <c r="M252" s="132"/>
      <c r="Q252" s="132"/>
      <c r="R252" s="132"/>
      <c r="S252" s="132"/>
      <c r="T252" s="5"/>
      <c r="Y252" s="132"/>
      <c r="AN252" s="269"/>
      <c r="AO252" s="269"/>
      <c r="AP252" s="270"/>
    </row>
    <row r="253" spans="9:42" ht="46.5" customHeight="1" x14ac:dyDescent="0.25">
      <c r="I253" s="132"/>
      <c r="M253" s="132"/>
      <c r="Q253" s="132"/>
      <c r="R253" s="132"/>
      <c r="S253" s="132"/>
      <c r="T253" s="5"/>
      <c r="Y253" s="132"/>
      <c r="AN253" s="269"/>
      <c r="AO253" s="269"/>
      <c r="AP253" s="270"/>
    </row>
    <row r="254" spans="9:42" ht="46.5" customHeight="1" x14ac:dyDescent="0.25">
      <c r="I254" s="132"/>
      <c r="M254" s="132"/>
      <c r="Q254" s="132"/>
      <c r="R254" s="132"/>
      <c r="S254" s="132"/>
      <c r="T254" s="5"/>
      <c r="Y254" s="132"/>
      <c r="AN254" s="269"/>
      <c r="AO254" s="269"/>
      <c r="AP254" s="270"/>
    </row>
    <row r="255" spans="9:42" ht="46.5" customHeight="1" x14ac:dyDescent="0.25">
      <c r="I255" s="132"/>
      <c r="M255" s="132"/>
      <c r="Q255" s="132"/>
      <c r="R255" s="132"/>
      <c r="S255" s="132"/>
      <c r="T255" s="5"/>
      <c r="Y255" s="132"/>
      <c r="AN255" s="269"/>
      <c r="AO255" s="269"/>
      <c r="AP255" s="270"/>
    </row>
    <row r="256" spans="9:42" ht="46.5" customHeight="1" x14ac:dyDescent="0.25">
      <c r="I256" s="132"/>
      <c r="M256" s="132"/>
      <c r="Q256" s="132"/>
      <c r="R256" s="132"/>
      <c r="S256" s="132"/>
      <c r="T256" s="5"/>
      <c r="Y256" s="132"/>
      <c r="AN256" s="269"/>
      <c r="AO256" s="269"/>
      <c r="AP256" s="270"/>
    </row>
    <row r="257" spans="9:42" ht="46.5" customHeight="1" x14ac:dyDescent="0.25">
      <c r="I257" s="132"/>
      <c r="M257" s="132"/>
      <c r="Q257" s="132"/>
      <c r="R257" s="132"/>
      <c r="S257" s="132"/>
      <c r="T257" s="5"/>
      <c r="Y257" s="132"/>
      <c r="AN257" s="269"/>
      <c r="AO257" s="269"/>
      <c r="AP257" s="270"/>
    </row>
    <row r="258" spans="9:42" ht="46.5" customHeight="1" x14ac:dyDescent="0.25">
      <c r="I258" s="132"/>
      <c r="M258" s="132"/>
      <c r="Q258" s="132"/>
      <c r="R258" s="132"/>
      <c r="S258" s="132"/>
      <c r="T258" s="5"/>
      <c r="Y258" s="132"/>
      <c r="AN258" s="269"/>
      <c r="AO258" s="269"/>
      <c r="AP258" s="270"/>
    </row>
    <row r="259" spans="9:42" ht="46.5" customHeight="1" x14ac:dyDescent="0.25">
      <c r="I259" s="132"/>
      <c r="M259" s="132"/>
      <c r="Q259" s="132"/>
      <c r="R259" s="132"/>
      <c r="S259" s="132"/>
      <c r="T259" s="5"/>
      <c r="Y259" s="132"/>
      <c r="AN259" s="269"/>
      <c r="AO259" s="269"/>
      <c r="AP259" s="270"/>
    </row>
    <row r="260" spans="9:42" ht="46.5" customHeight="1" x14ac:dyDescent="0.25">
      <c r="I260" s="132"/>
      <c r="M260" s="132"/>
      <c r="Q260" s="132"/>
      <c r="R260" s="132"/>
      <c r="S260" s="132"/>
      <c r="T260" s="5"/>
      <c r="Y260" s="132"/>
      <c r="AN260" s="269"/>
      <c r="AO260" s="269"/>
      <c r="AP260" s="270"/>
    </row>
    <row r="261" spans="9:42" ht="46.5" customHeight="1" x14ac:dyDescent="0.25">
      <c r="I261" s="132"/>
      <c r="M261" s="132"/>
      <c r="Q261" s="132"/>
      <c r="R261" s="132"/>
      <c r="S261" s="132"/>
      <c r="T261" s="5"/>
      <c r="Y261" s="132"/>
      <c r="AN261" s="269"/>
      <c r="AO261" s="269"/>
      <c r="AP261" s="270"/>
    </row>
    <row r="262" spans="9:42" ht="46.5" customHeight="1" x14ac:dyDescent="0.25">
      <c r="I262" s="132"/>
      <c r="M262" s="132"/>
      <c r="Q262" s="132"/>
      <c r="R262" s="132"/>
      <c r="S262" s="132"/>
      <c r="T262" s="5"/>
      <c r="Y262" s="132"/>
      <c r="AN262" s="269"/>
      <c r="AO262" s="269"/>
      <c r="AP262" s="270"/>
    </row>
    <row r="263" spans="9:42" ht="46.5" customHeight="1" x14ac:dyDescent="0.25">
      <c r="I263" s="132"/>
      <c r="M263" s="132"/>
      <c r="Q263" s="132"/>
      <c r="R263" s="132"/>
      <c r="S263" s="132"/>
      <c r="T263" s="5"/>
      <c r="Y263" s="132"/>
      <c r="AN263" s="269"/>
      <c r="AO263" s="269"/>
      <c r="AP263" s="270"/>
    </row>
    <row r="264" spans="9:42" ht="46.5" customHeight="1" x14ac:dyDescent="0.25">
      <c r="I264" s="132"/>
      <c r="M264" s="132"/>
      <c r="Q264" s="132"/>
      <c r="R264" s="132"/>
      <c r="S264" s="132"/>
      <c r="T264" s="5"/>
      <c r="Y264" s="132"/>
      <c r="AN264" s="269"/>
      <c r="AO264" s="269"/>
      <c r="AP264" s="270"/>
    </row>
    <row r="265" spans="9:42" ht="46.5" customHeight="1" x14ac:dyDescent="0.25">
      <c r="I265" s="132"/>
      <c r="M265" s="132"/>
      <c r="Q265" s="132"/>
      <c r="R265" s="132"/>
      <c r="S265" s="132"/>
      <c r="T265" s="5"/>
      <c r="Y265" s="132"/>
      <c r="AN265" s="269"/>
      <c r="AO265" s="269"/>
      <c r="AP265" s="270"/>
    </row>
    <row r="266" spans="9:42" ht="46.5" customHeight="1" x14ac:dyDescent="0.25">
      <c r="I266" s="132"/>
      <c r="M266" s="132"/>
      <c r="Q266" s="132"/>
      <c r="R266" s="132"/>
      <c r="S266" s="132"/>
      <c r="T266" s="5"/>
      <c r="Y266" s="132"/>
      <c r="AN266" s="269"/>
      <c r="AO266" s="269"/>
      <c r="AP266" s="270"/>
    </row>
    <row r="267" spans="9:42" ht="46.5" customHeight="1" x14ac:dyDescent="0.25">
      <c r="I267" s="132"/>
      <c r="M267" s="132"/>
      <c r="Q267" s="132"/>
      <c r="R267" s="132"/>
      <c r="S267" s="132"/>
      <c r="T267" s="5"/>
      <c r="Y267" s="132"/>
      <c r="AN267" s="269"/>
      <c r="AO267" s="269"/>
      <c r="AP267" s="270"/>
    </row>
    <row r="268" spans="9:42" ht="46.5" customHeight="1" x14ac:dyDescent="0.25">
      <c r="I268" s="132"/>
      <c r="M268" s="132"/>
      <c r="Q268" s="132"/>
      <c r="R268" s="132"/>
      <c r="S268" s="132"/>
      <c r="T268" s="5"/>
      <c r="Y268" s="132"/>
      <c r="AN268" s="269"/>
      <c r="AO268" s="269"/>
      <c r="AP268" s="270"/>
    </row>
    <row r="269" spans="9:42" ht="46.5" customHeight="1" x14ac:dyDescent="0.25">
      <c r="I269" s="132"/>
      <c r="M269" s="132"/>
      <c r="Q269" s="132"/>
      <c r="R269" s="132"/>
      <c r="S269" s="132"/>
      <c r="T269" s="5"/>
      <c r="Y269" s="132"/>
      <c r="AN269" s="269"/>
      <c r="AO269" s="269"/>
      <c r="AP269" s="270"/>
    </row>
    <row r="270" spans="9:42" ht="46.5" customHeight="1" x14ac:dyDescent="0.25">
      <c r="I270" s="132"/>
      <c r="M270" s="132"/>
      <c r="Q270" s="132"/>
      <c r="R270" s="132"/>
      <c r="S270" s="132"/>
      <c r="T270" s="5"/>
      <c r="Y270" s="132"/>
      <c r="AN270" s="269"/>
      <c r="AO270" s="269"/>
      <c r="AP270" s="270"/>
    </row>
    <row r="271" spans="9:42" ht="46.5" customHeight="1" x14ac:dyDescent="0.25">
      <c r="I271" s="132"/>
      <c r="M271" s="132"/>
      <c r="Q271" s="132"/>
      <c r="R271" s="132"/>
      <c r="S271" s="132"/>
      <c r="T271" s="5"/>
      <c r="Y271" s="132"/>
      <c r="AN271" s="269"/>
      <c r="AO271" s="269"/>
      <c r="AP271" s="270"/>
    </row>
    <row r="272" spans="9:42" ht="46.5" customHeight="1" x14ac:dyDescent="0.25">
      <c r="I272" s="132"/>
      <c r="M272" s="132"/>
      <c r="Q272" s="132"/>
      <c r="R272" s="132"/>
      <c r="S272" s="132"/>
      <c r="T272" s="5"/>
      <c r="Y272" s="132"/>
      <c r="AN272" s="269"/>
      <c r="AO272" s="269"/>
      <c r="AP272" s="270"/>
    </row>
    <row r="273" spans="9:42" ht="46.5" customHeight="1" x14ac:dyDescent="0.25">
      <c r="I273" s="132"/>
      <c r="M273" s="132"/>
      <c r="Q273" s="132"/>
      <c r="R273" s="132"/>
      <c r="S273" s="132"/>
      <c r="T273" s="5"/>
      <c r="Y273" s="132"/>
      <c r="AN273" s="269"/>
      <c r="AO273" s="269"/>
      <c r="AP273" s="270"/>
    </row>
    <row r="274" spans="9:42" ht="46.5" customHeight="1" x14ac:dyDescent="0.25">
      <c r="I274" s="132"/>
      <c r="M274" s="132"/>
      <c r="Q274" s="132"/>
      <c r="R274" s="132"/>
      <c r="S274" s="132"/>
      <c r="T274" s="5"/>
      <c r="Y274" s="132"/>
      <c r="AN274" s="269"/>
      <c r="AO274" s="269"/>
      <c r="AP274" s="270"/>
    </row>
    <row r="275" spans="9:42" ht="46.5" customHeight="1" x14ac:dyDescent="0.25">
      <c r="I275" s="132"/>
      <c r="M275" s="132"/>
      <c r="Q275" s="132"/>
      <c r="R275" s="132"/>
      <c r="S275" s="132"/>
      <c r="T275" s="5"/>
      <c r="Y275" s="132"/>
      <c r="AN275" s="269"/>
      <c r="AO275" s="269"/>
      <c r="AP275" s="270"/>
    </row>
    <row r="276" spans="9:42" ht="46.5" customHeight="1" x14ac:dyDescent="0.25">
      <c r="I276" s="132"/>
      <c r="M276" s="132"/>
      <c r="Q276" s="132"/>
      <c r="R276" s="132"/>
      <c r="S276" s="132"/>
      <c r="T276" s="5"/>
      <c r="Y276" s="132"/>
      <c r="AN276" s="269"/>
      <c r="AO276" s="269"/>
      <c r="AP276" s="270"/>
    </row>
    <row r="277" spans="9:42" ht="46.5" customHeight="1" x14ac:dyDescent="0.25">
      <c r="I277" s="132"/>
      <c r="M277" s="132"/>
      <c r="Q277" s="132"/>
      <c r="R277" s="132"/>
      <c r="S277" s="132"/>
      <c r="T277" s="5"/>
      <c r="Y277" s="132"/>
      <c r="AN277" s="269"/>
      <c r="AO277" s="269"/>
      <c r="AP277" s="270"/>
    </row>
    <row r="278" spans="9:42" ht="46.5" customHeight="1" x14ac:dyDescent="0.25">
      <c r="I278" s="132"/>
      <c r="M278" s="132"/>
      <c r="Q278" s="132"/>
      <c r="R278" s="132"/>
      <c r="S278" s="132"/>
      <c r="T278" s="5"/>
      <c r="Y278" s="132"/>
      <c r="AN278" s="269"/>
      <c r="AO278" s="269"/>
      <c r="AP278" s="270"/>
    </row>
    <row r="279" spans="9:42" ht="46.5" customHeight="1" x14ac:dyDescent="0.25">
      <c r="I279" s="132"/>
      <c r="M279" s="132"/>
      <c r="Q279" s="132"/>
      <c r="R279" s="132"/>
      <c r="S279" s="132"/>
      <c r="T279" s="5"/>
      <c r="Y279" s="132"/>
      <c r="AN279" s="269"/>
      <c r="AO279" s="269"/>
      <c r="AP279" s="270"/>
    </row>
    <row r="280" spans="9:42" ht="46.5" customHeight="1" x14ac:dyDescent="0.25">
      <c r="I280" s="132"/>
      <c r="M280" s="132"/>
      <c r="Q280" s="132"/>
      <c r="R280" s="132"/>
      <c r="S280" s="132"/>
      <c r="T280" s="5"/>
      <c r="Y280" s="132"/>
      <c r="AN280" s="269"/>
      <c r="AO280" s="269"/>
      <c r="AP280" s="270"/>
    </row>
    <row r="281" spans="9:42" ht="46.5" customHeight="1" x14ac:dyDescent="0.25">
      <c r="I281" s="132"/>
      <c r="M281" s="132"/>
      <c r="Q281" s="132"/>
      <c r="R281" s="132"/>
      <c r="S281" s="132"/>
      <c r="T281" s="5"/>
      <c r="Y281" s="132"/>
      <c r="AN281" s="269"/>
      <c r="AO281" s="269"/>
      <c r="AP281" s="270"/>
    </row>
    <row r="282" spans="9:42" ht="46.5" customHeight="1" x14ac:dyDescent="0.25">
      <c r="I282" s="132"/>
      <c r="M282" s="132"/>
      <c r="Q282" s="132"/>
      <c r="R282" s="132"/>
      <c r="S282" s="132"/>
      <c r="T282" s="5"/>
      <c r="Y282" s="132"/>
      <c r="AN282" s="269"/>
      <c r="AO282" s="269"/>
      <c r="AP282" s="270"/>
    </row>
    <row r="283" spans="9:42" ht="46.5" customHeight="1" x14ac:dyDescent="0.25">
      <c r="I283" s="132"/>
      <c r="M283" s="132"/>
      <c r="Q283" s="132"/>
      <c r="R283" s="132"/>
      <c r="S283" s="132"/>
      <c r="T283" s="5"/>
      <c r="Y283" s="132"/>
      <c r="AN283" s="269"/>
      <c r="AO283" s="269"/>
      <c r="AP283" s="270"/>
    </row>
    <row r="284" spans="9:42" ht="46.5" customHeight="1" x14ac:dyDescent="0.25">
      <c r="I284" s="132"/>
      <c r="M284" s="132"/>
      <c r="Q284" s="132"/>
      <c r="R284" s="132"/>
      <c r="S284" s="132"/>
      <c r="T284" s="5"/>
      <c r="Y284" s="132"/>
      <c r="AN284" s="269"/>
      <c r="AO284" s="269"/>
      <c r="AP284" s="270"/>
    </row>
    <row r="285" spans="9:42" ht="46.5" customHeight="1" x14ac:dyDescent="0.25">
      <c r="I285" s="132"/>
      <c r="M285" s="132"/>
      <c r="Q285" s="132"/>
      <c r="R285" s="132"/>
      <c r="S285" s="132"/>
      <c r="T285" s="5"/>
      <c r="Y285" s="132"/>
      <c r="AN285" s="269"/>
      <c r="AO285" s="269"/>
      <c r="AP285" s="270"/>
    </row>
    <row r="286" spans="9:42" ht="46.5" customHeight="1" x14ac:dyDescent="0.25">
      <c r="I286" s="132"/>
      <c r="M286" s="132"/>
      <c r="Q286" s="132"/>
      <c r="R286" s="132"/>
      <c r="S286" s="132"/>
      <c r="T286" s="5"/>
      <c r="Y286" s="132"/>
      <c r="AN286" s="269"/>
      <c r="AO286" s="269"/>
      <c r="AP286" s="270"/>
    </row>
    <row r="287" spans="9:42" ht="46.5" customHeight="1" x14ac:dyDescent="0.25">
      <c r="I287" s="132"/>
      <c r="M287" s="132"/>
      <c r="Q287" s="132"/>
      <c r="R287" s="132"/>
      <c r="S287" s="132"/>
      <c r="T287" s="5"/>
      <c r="Y287" s="132"/>
      <c r="AN287" s="269"/>
      <c r="AO287" s="269"/>
      <c r="AP287" s="270"/>
    </row>
    <row r="288" spans="9:42" ht="46.5" customHeight="1" x14ac:dyDescent="0.25">
      <c r="I288" s="132"/>
      <c r="M288" s="132"/>
      <c r="Q288" s="132"/>
      <c r="R288" s="132"/>
      <c r="S288" s="132"/>
      <c r="T288" s="5"/>
      <c r="Y288" s="132"/>
      <c r="AN288" s="269"/>
      <c r="AO288" s="269"/>
      <c r="AP288" s="270"/>
    </row>
    <row r="289" spans="9:42" ht="46.5" customHeight="1" x14ac:dyDescent="0.25">
      <c r="I289" s="132"/>
      <c r="M289" s="132"/>
      <c r="Q289" s="132"/>
      <c r="R289" s="132"/>
      <c r="S289" s="132"/>
      <c r="T289" s="5"/>
      <c r="Y289" s="132"/>
      <c r="AN289" s="269"/>
      <c r="AO289" s="269"/>
      <c r="AP289" s="270"/>
    </row>
    <row r="290" spans="9:42" ht="46.5" customHeight="1" x14ac:dyDescent="0.25">
      <c r="I290" s="132"/>
      <c r="M290" s="132"/>
      <c r="Q290" s="132"/>
      <c r="R290" s="132"/>
      <c r="S290" s="132"/>
      <c r="T290" s="5"/>
      <c r="Y290" s="132"/>
      <c r="AN290" s="269"/>
      <c r="AO290" s="269"/>
      <c r="AP290" s="270"/>
    </row>
    <row r="291" spans="9:42" ht="46.5" customHeight="1" x14ac:dyDescent="0.25">
      <c r="I291" s="132"/>
      <c r="M291" s="132"/>
      <c r="Q291" s="132"/>
      <c r="R291" s="132"/>
      <c r="S291" s="132"/>
      <c r="T291" s="5"/>
      <c r="Y291" s="132"/>
      <c r="AN291" s="269"/>
      <c r="AO291" s="269"/>
      <c r="AP291" s="270"/>
    </row>
    <row r="292" spans="9:42" ht="46.5" customHeight="1" x14ac:dyDescent="0.25">
      <c r="I292" s="132"/>
      <c r="M292" s="132"/>
      <c r="Q292" s="132"/>
      <c r="R292" s="132"/>
      <c r="S292" s="132"/>
      <c r="T292" s="5"/>
      <c r="Y292" s="132"/>
      <c r="AN292" s="269"/>
      <c r="AO292" s="269"/>
      <c r="AP292" s="270"/>
    </row>
    <row r="293" spans="9:42" ht="46.5" customHeight="1" x14ac:dyDescent="0.25">
      <c r="I293" s="132"/>
      <c r="M293" s="132"/>
      <c r="Q293" s="132"/>
      <c r="R293" s="132"/>
      <c r="S293" s="132"/>
      <c r="T293" s="5"/>
      <c r="Y293" s="132"/>
      <c r="AN293" s="269"/>
      <c r="AO293" s="269"/>
      <c r="AP293" s="270"/>
    </row>
    <row r="294" spans="9:42" ht="46.5" customHeight="1" x14ac:dyDescent="0.25">
      <c r="I294" s="132"/>
      <c r="M294" s="132"/>
      <c r="Q294" s="132"/>
      <c r="R294" s="132"/>
      <c r="S294" s="132"/>
      <c r="T294" s="5"/>
      <c r="Y294" s="132"/>
      <c r="AN294" s="269"/>
      <c r="AO294" s="269"/>
      <c r="AP294" s="270"/>
    </row>
    <row r="295" spans="9:42" ht="46.5" customHeight="1" x14ac:dyDescent="0.25">
      <c r="I295" s="132"/>
      <c r="M295" s="132"/>
      <c r="Q295" s="132"/>
      <c r="R295" s="132"/>
      <c r="S295" s="132"/>
      <c r="T295" s="5"/>
      <c r="Y295" s="132"/>
      <c r="AN295" s="269"/>
      <c r="AO295" s="269"/>
      <c r="AP295" s="270"/>
    </row>
    <row r="296" spans="9:42" ht="46.5" customHeight="1" x14ac:dyDescent="0.25">
      <c r="I296" s="132"/>
      <c r="M296" s="132"/>
      <c r="Q296" s="132"/>
      <c r="R296" s="132"/>
      <c r="S296" s="132"/>
      <c r="T296" s="5"/>
      <c r="Y296" s="132"/>
      <c r="AN296" s="269"/>
      <c r="AO296" s="269"/>
      <c r="AP296" s="270"/>
    </row>
    <row r="297" spans="9:42" ht="46.5" customHeight="1" x14ac:dyDescent="0.25">
      <c r="I297" s="132"/>
      <c r="M297" s="132"/>
      <c r="Q297" s="132"/>
      <c r="R297" s="132"/>
      <c r="S297" s="132"/>
      <c r="T297" s="5"/>
      <c r="Y297" s="132"/>
      <c r="AN297" s="269"/>
      <c r="AO297" s="269"/>
      <c r="AP297" s="270"/>
    </row>
    <row r="298" spans="9:42" ht="46.5" customHeight="1" x14ac:dyDescent="0.25">
      <c r="I298" s="132"/>
      <c r="M298" s="132"/>
      <c r="Q298" s="132"/>
      <c r="R298" s="132"/>
      <c r="S298" s="132"/>
      <c r="T298" s="5"/>
      <c r="Y298" s="132"/>
      <c r="AN298" s="269"/>
      <c r="AO298" s="269"/>
      <c r="AP298" s="270"/>
    </row>
    <row r="299" spans="9:42" ht="46.5" customHeight="1" x14ac:dyDescent="0.25">
      <c r="I299" s="132"/>
      <c r="M299" s="132"/>
      <c r="Q299" s="132"/>
      <c r="R299" s="132"/>
      <c r="S299" s="132"/>
      <c r="T299" s="5"/>
      <c r="Y299" s="132"/>
      <c r="AN299" s="269"/>
      <c r="AO299" s="269"/>
      <c r="AP299" s="270"/>
    </row>
    <row r="300" spans="9:42" ht="46.5" customHeight="1" x14ac:dyDescent="0.25">
      <c r="I300" s="132"/>
      <c r="M300" s="132"/>
      <c r="Q300" s="132"/>
      <c r="R300" s="132"/>
      <c r="S300" s="132"/>
      <c r="T300" s="5"/>
      <c r="Y300" s="132"/>
      <c r="AN300" s="269"/>
      <c r="AO300" s="269"/>
      <c r="AP300" s="270"/>
    </row>
    <row r="301" spans="9:42" ht="46.5" customHeight="1" x14ac:dyDescent="0.25">
      <c r="I301" s="132"/>
      <c r="M301" s="132"/>
      <c r="Q301" s="132"/>
      <c r="R301" s="132"/>
      <c r="S301" s="132"/>
      <c r="T301" s="5"/>
      <c r="Y301" s="132"/>
      <c r="AN301" s="269"/>
      <c r="AO301" s="269"/>
      <c r="AP301" s="270"/>
    </row>
    <row r="302" spans="9:42" ht="46.5" customHeight="1" x14ac:dyDescent="0.25">
      <c r="I302" s="132"/>
      <c r="M302" s="132"/>
      <c r="Q302" s="132"/>
      <c r="R302" s="132"/>
      <c r="S302" s="132"/>
      <c r="T302" s="5"/>
      <c r="Y302" s="132"/>
      <c r="AN302" s="269"/>
      <c r="AO302" s="269"/>
      <c r="AP302" s="270"/>
    </row>
    <row r="303" spans="9:42" ht="46.5" customHeight="1" x14ac:dyDescent="0.25">
      <c r="I303" s="132"/>
      <c r="M303" s="132"/>
      <c r="Q303" s="132"/>
      <c r="R303" s="132"/>
      <c r="S303" s="132"/>
      <c r="T303" s="5"/>
      <c r="Y303" s="132"/>
      <c r="AN303" s="269"/>
      <c r="AO303" s="269"/>
      <c r="AP303" s="270"/>
    </row>
    <row r="304" spans="9:42" ht="46.5" customHeight="1" x14ac:dyDescent="0.25">
      <c r="I304" s="132"/>
      <c r="M304" s="132"/>
      <c r="Q304" s="132"/>
      <c r="R304" s="132"/>
      <c r="S304" s="132"/>
      <c r="T304" s="5"/>
      <c r="Y304" s="132"/>
      <c r="AN304" s="269"/>
      <c r="AO304" s="269"/>
      <c r="AP304" s="270"/>
    </row>
    <row r="305" spans="9:42" ht="46.5" customHeight="1" x14ac:dyDescent="0.25">
      <c r="I305" s="132"/>
      <c r="M305" s="132"/>
      <c r="Q305" s="132"/>
      <c r="R305" s="132"/>
      <c r="S305" s="132"/>
      <c r="T305" s="5"/>
      <c r="Y305" s="132"/>
      <c r="AN305" s="269"/>
      <c r="AO305" s="269"/>
      <c r="AP305" s="270"/>
    </row>
    <row r="306" spans="9:42" ht="46.5" customHeight="1" x14ac:dyDescent="0.25">
      <c r="I306" s="132"/>
      <c r="M306" s="132"/>
      <c r="Q306" s="132"/>
      <c r="R306" s="132"/>
      <c r="S306" s="132"/>
      <c r="T306" s="5"/>
      <c r="Y306" s="132"/>
      <c r="AN306" s="269"/>
      <c r="AO306" s="269"/>
      <c r="AP306" s="270"/>
    </row>
    <row r="307" spans="9:42" ht="46.5" customHeight="1" x14ac:dyDescent="0.25">
      <c r="I307" s="132"/>
      <c r="M307" s="132"/>
      <c r="Q307" s="132"/>
      <c r="R307" s="132"/>
      <c r="S307" s="132"/>
      <c r="T307" s="5"/>
      <c r="Y307" s="132"/>
      <c r="AN307" s="269"/>
      <c r="AO307" s="269"/>
      <c r="AP307" s="270"/>
    </row>
    <row r="308" spans="9:42" ht="46.5" customHeight="1" x14ac:dyDescent="0.25">
      <c r="I308" s="132"/>
      <c r="M308" s="132"/>
      <c r="Q308" s="132"/>
      <c r="R308" s="132"/>
      <c r="S308" s="132"/>
      <c r="T308" s="5"/>
      <c r="Y308" s="132"/>
      <c r="AN308" s="269"/>
      <c r="AO308" s="269"/>
      <c r="AP308" s="270"/>
    </row>
    <row r="309" spans="9:42" ht="46.5" customHeight="1" x14ac:dyDescent="0.25">
      <c r="I309" s="132"/>
      <c r="M309" s="132"/>
      <c r="Q309" s="132"/>
      <c r="R309" s="132"/>
      <c r="S309" s="132"/>
      <c r="T309" s="5"/>
      <c r="Y309" s="132"/>
      <c r="AN309" s="269"/>
      <c r="AO309" s="269"/>
      <c r="AP309" s="270"/>
    </row>
    <row r="310" spans="9:42" ht="46.5" customHeight="1" x14ac:dyDescent="0.25">
      <c r="I310" s="132"/>
      <c r="M310" s="132"/>
      <c r="Q310" s="132"/>
      <c r="R310" s="132"/>
      <c r="S310" s="132"/>
      <c r="T310" s="5"/>
      <c r="Y310" s="132"/>
      <c r="AN310" s="269"/>
      <c r="AO310" s="269"/>
      <c r="AP310" s="270"/>
    </row>
    <row r="311" spans="9:42" ht="46.5" customHeight="1" x14ac:dyDescent="0.25">
      <c r="I311" s="132"/>
      <c r="M311" s="132"/>
      <c r="Q311" s="132"/>
      <c r="R311" s="132"/>
      <c r="S311" s="132"/>
      <c r="T311" s="5"/>
      <c r="Y311" s="132"/>
      <c r="AN311" s="269"/>
      <c r="AO311" s="269"/>
      <c r="AP311" s="270"/>
    </row>
    <row r="312" spans="9:42" ht="46.5" customHeight="1" x14ac:dyDescent="0.25">
      <c r="I312" s="132"/>
      <c r="M312" s="132"/>
      <c r="Q312" s="132"/>
      <c r="R312" s="132"/>
      <c r="S312" s="132"/>
      <c r="T312" s="5"/>
      <c r="Y312" s="132"/>
      <c r="AN312" s="269"/>
      <c r="AO312" s="269"/>
      <c r="AP312" s="270"/>
    </row>
    <row r="313" spans="9:42" ht="46.5" customHeight="1" x14ac:dyDescent="0.25">
      <c r="I313" s="132"/>
      <c r="M313" s="132"/>
      <c r="Q313" s="132"/>
      <c r="R313" s="132"/>
      <c r="S313" s="132"/>
      <c r="T313" s="5"/>
      <c r="Y313" s="132"/>
      <c r="AN313" s="269"/>
      <c r="AO313" s="269"/>
      <c r="AP313" s="270"/>
    </row>
    <row r="314" spans="9:42" ht="46.5" customHeight="1" x14ac:dyDescent="0.25">
      <c r="I314" s="132"/>
      <c r="M314" s="132"/>
      <c r="Q314" s="132"/>
      <c r="R314" s="132"/>
      <c r="S314" s="132"/>
      <c r="T314" s="5"/>
      <c r="Y314" s="132"/>
      <c r="AN314" s="269"/>
      <c r="AO314" s="269"/>
      <c r="AP314" s="270"/>
    </row>
    <row r="315" spans="9:42" ht="46.5" customHeight="1" x14ac:dyDescent="0.25">
      <c r="I315" s="132"/>
      <c r="M315" s="132"/>
      <c r="Q315" s="132"/>
      <c r="R315" s="132"/>
      <c r="S315" s="132"/>
      <c r="T315" s="5"/>
      <c r="Y315" s="132"/>
      <c r="AN315" s="269"/>
      <c r="AO315" s="269"/>
      <c r="AP315" s="270"/>
    </row>
    <row r="316" spans="9:42" ht="46.5" customHeight="1" x14ac:dyDescent="0.25">
      <c r="I316" s="132"/>
      <c r="M316" s="132"/>
      <c r="Q316" s="132"/>
      <c r="R316" s="132"/>
      <c r="S316" s="132"/>
      <c r="T316" s="5"/>
      <c r="Y316" s="132"/>
      <c r="AN316" s="269"/>
      <c r="AO316" s="269"/>
      <c r="AP316" s="270"/>
    </row>
    <row r="317" spans="9:42" ht="46.5" customHeight="1" x14ac:dyDescent="0.25">
      <c r="I317" s="132"/>
      <c r="M317" s="132"/>
      <c r="Q317" s="132"/>
      <c r="R317" s="132"/>
      <c r="S317" s="132"/>
      <c r="T317" s="5"/>
      <c r="Y317" s="132"/>
      <c r="AN317" s="269"/>
      <c r="AO317" s="269"/>
      <c r="AP317" s="270"/>
    </row>
    <row r="318" spans="9:42" ht="46.5" customHeight="1" x14ac:dyDescent="0.25">
      <c r="I318" s="132"/>
      <c r="M318" s="132"/>
      <c r="Q318" s="132"/>
      <c r="R318" s="132"/>
      <c r="S318" s="132"/>
      <c r="T318" s="5"/>
      <c r="Y318" s="132"/>
      <c r="AN318" s="269"/>
      <c r="AO318" s="269"/>
      <c r="AP318" s="270"/>
    </row>
    <row r="319" spans="9:42" ht="46.5" customHeight="1" x14ac:dyDescent="0.25">
      <c r="I319" s="132"/>
      <c r="M319" s="132"/>
      <c r="Q319" s="132"/>
      <c r="R319" s="132"/>
      <c r="S319" s="132"/>
      <c r="T319" s="5"/>
      <c r="Y319" s="132"/>
      <c r="AN319" s="269"/>
      <c r="AO319" s="269"/>
      <c r="AP319" s="270"/>
    </row>
    <row r="320" spans="9:42" ht="46.5" customHeight="1" x14ac:dyDescent="0.25">
      <c r="I320" s="132"/>
      <c r="M320" s="132"/>
      <c r="Q320" s="132"/>
      <c r="R320" s="132"/>
      <c r="S320" s="132"/>
      <c r="T320" s="5"/>
      <c r="Y320" s="132"/>
      <c r="AN320" s="269"/>
      <c r="AO320" s="269"/>
      <c r="AP320" s="270"/>
    </row>
    <row r="321" spans="9:42" ht="46.5" customHeight="1" x14ac:dyDescent="0.25">
      <c r="I321" s="132"/>
      <c r="M321" s="132"/>
      <c r="Q321" s="132"/>
      <c r="R321" s="132"/>
      <c r="S321" s="132"/>
      <c r="T321" s="5"/>
      <c r="Y321" s="132"/>
      <c r="AN321" s="269"/>
      <c r="AO321" s="269"/>
      <c r="AP321" s="270"/>
    </row>
    <row r="322" spans="9:42" ht="46.5" customHeight="1" x14ac:dyDescent="0.25">
      <c r="I322" s="132"/>
      <c r="M322" s="132"/>
      <c r="Q322" s="132"/>
      <c r="R322" s="132"/>
      <c r="S322" s="132"/>
      <c r="T322" s="5"/>
      <c r="Y322" s="132"/>
      <c r="AN322" s="269"/>
      <c r="AO322" s="269"/>
      <c r="AP322" s="270"/>
    </row>
    <row r="323" spans="9:42" ht="46.5" customHeight="1" x14ac:dyDescent="0.25">
      <c r="I323" s="132"/>
      <c r="M323" s="132"/>
      <c r="Q323" s="132"/>
      <c r="R323" s="132"/>
      <c r="S323" s="132"/>
      <c r="T323" s="5"/>
      <c r="Y323" s="132"/>
      <c r="AN323" s="269"/>
      <c r="AO323" s="269"/>
      <c r="AP323" s="270"/>
    </row>
    <row r="324" spans="9:42" ht="46.5" customHeight="1" x14ac:dyDescent="0.25">
      <c r="I324" s="132"/>
      <c r="M324" s="132"/>
      <c r="Q324" s="132"/>
      <c r="R324" s="132"/>
      <c r="S324" s="132"/>
      <c r="T324" s="5"/>
      <c r="Y324" s="132"/>
      <c r="AN324" s="269"/>
      <c r="AO324" s="269"/>
      <c r="AP324" s="270"/>
    </row>
    <row r="325" spans="9:42" ht="46.5" customHeight="1" x14ac:dyDescent="0.25">
      <c r="I325" s="132"/>
      <c r="M325" s="132"/>
      <c r="Q325" s="132"/>
      <c r="R325" s="132"/>
      <c r="S325" s="132"/>
      <c r="T325" s="5"/>
      <c r="Y325" s="132"/>
      <c r="AN325" s="269"/>
      <c r="AO325" s="269"/>
      <c r="AP325" s="270"/>
    </row>
    <row r="326" spans="9:42" ht="46.5" customHeight="1" x14ac:dyDescent="0.25">
      <c r="I326" s="132"/>
      <c r="M326" s="132"/>
      <c r="Q326" s="132"/>
      <c r="R326" s="132"/>
      <c r="S326" s="132"/>
      <c r="T326" s="5"/>
      <c r="Y326" s="132"/>
      <c r="AN326" s="269"/>
      <c r="AO326" s="269"/>
      <c r="AP326" s="270"/>
    </row>
    <row r="327" spans="9:42" ht="46.5" customHeight="1" x14ac:dyDescent="0.25">
      <c r="I327" s="132"/>
      <c r="M327" s="132"/>
      <c r="Q327" s="132"/>
      <c r="R327" s="132"/>
      <c r="S327" s="132"/>
      <c r="T327" s="5"/>
      <c r="Y327" s="132"/>
      <c r="AN327" s="269"/>
      <c r="AO327" s="269"/>
      <c r="AP327" s="270"/>
    </row>
    <row r="328" spans="9:42" ht="46.5" customHeight="1" x14ac:dyDescent="0.25">
      <c r="I328" s="132"/>
      <c r="M328" s="132"/>
      <c r="Q328" s="132"/>
      <c r="R328" s="132"/>
      <c r="S328" s="132"/>
      <c r="T328" s="5"/>
      <c r="Y328" s="132"/>
      <c r="AN328" s="269"/>
      <c r="AO328" s="269"/>
      <c r="AP328" s="270"/>
    </row>
    <row r="329" spans="9:42" ht="46.5" customHeight="1" x14ac:dyDescent="0.25">
      <c r="I329" s="132"/>
      <c r="M329" s="132"/>
      <c r="Q329" s="132"/>
      <c r="R329" s="132"/>
      <c r="S329" s="132"/>
      <c r="T329" s="5"/>
      <c r="Y329" s="132"/>
      <c r="AN329" s="269"/>
      <c r="AO329" s="269"/>
      <c r="AP329" s="270"/>
    </row>
    <row r="330" spans="9:42" ht="46.5" customHeight="1" x14ac:dyDescent="0.25">
      <c r="I330" s="132"/>
      <c r="M330" s="132"/>
      <c r="Q330" s="132"/>
      <c r="R330" s="132"/>
      <c r="S330" s="132"/>
      <c r="T330" s="5"/>
      <c r="Y330" s="132"/>
      <c r="AN330" s="269"/>
      <c r="AO330" s="269"/>
      <c r="AP330" s="270"/>
    </row>
    <row r="331" spans="9:42" ht="46.5" customHeight="1" x14ac:dyDescent="0.25">
      <c r="I331" s="132"/>
      <c r="M331" s="132"/>
      <c r="Q331" s="132"/>
      <c r="R331" s="132"/>
      <c r="S331" s="132"/>
      <c r="T331" s="5"/>
      <c r="Y331" s="132"/>
      <c r="AN331" s="269"/>
      <c r="AO331" s="269"/>
      <c r="AP331" s="270"/>
    </row>
    <row r="332" spans="9:42" ht="46.5" customHeight="1" x14ac:dyDescent="0.25">
      <c r="I332" s="132"/>
      <c r="M332" s="132"/>
      <c r="Q332" s="132"/>
      <c r="R332" s="132"/>
      <c r="S332" s="132"/>
      <c r="T332" s="5"/>
      <c r="Y332" s="132"/>
      <c r="AN332" s="269"/>
      <c r="AO332" s="269"/>
      <c r="AP332" s="270"/>
    </row>
  </sheetData>
  <mergeCells count="219">
    <mergeCell ref="C81:C86"/>
    <mergeCell ref="D81:D86"/>
    <mergeCell ref="C87:C92"/>
    <mergeCell ref="B87:B92"/>
    <mergeCell ref="B93:B98"/>
    <mergeCell ref="C93:C98"/>
    <mergeCell ref="AQ75:AQ80"/>
    <mergeCell ref="AQ69:AQ74"/>
    <mergeCell ref="AP75:AP80"/>
    <mergeCell ref="AP69:AP74"/>
    <mergeCell ref="F9:F128"/>
    <mergeCell ref="D9:D14"/>
    <mergeCell ref="E21:E26"/>
    <mergeCell ref="C15:C20"/>
    <mergeCell ref="D21:D26"/>
    <mergeCell ref="C39:C44"/>
    <mergeCell ref="C33:C38"/>
    <mergeCell ref="C21:C26"/>
    <mergeCell ref="B9:B14"/>
    <mergeCell ref="B15:B20"/>
    <mergeCell ref="C69:C74"/>
    <mergeCell ref="C75:C80"/>
    <mergeCell ref="C57:C62"/>
    <mergeCell ref="C51:C56"/>
    <mergeCell ref="C45:C50"/>
    <mergeCell ref="C63:C68"/>
    <mergeCell ref="C27:C32"/>
    <mergeCell ref="AR57:AR62"/>
    <mergeCell ref="AR51:AR56"/>
    <mergeCell ref="AP51:AP56"/>
    <mergeCell ref="E57:E62"/>
    <mergeCell ref="D57:D62"/>
    <mergeCell ref="D69:D74"/>
    <mergeCell ref="D63:D68"/>
    <mergeCell ref="C123:C128"/>
    <mergeCell ref="C117:C122"/>
    <mergeCell ref="A123:A128"/>
    <mergeCell ref="A117:A122"/>
    <mergeCell ref="C105:C110"/>
    <mergeCell ref="C111:C116"/>
    <mergeCell ref="B105:B110"/>
    <mergeCell ref="B111:B116"/>
    <mergeCell ref="B117:B122"/>
    <mergeCell ref="B123:B128"/>
    <mergeCell ref="A99:A116"/>
    <mergeCell ref="B99:B104"/>
    <mergeCell ref="C99:C104"/>
    <mergeCell ref="AR99:AR104"/>
    <mergeCell ref="AS99:AS104"/>
    <mergeCell ref="AR87:AR92"/>
    <mergeCell ref="AR81:AR86"/>
    <mergeCell ref="A132:AT132"/>
    <mergeCell ref="A129:F131"/>
    <mergeCell ref="AS51:AS56"/>
    <mergeCell ref="AS33:AS38"/>
    <mergeCell ref="AS27:AS32"/>
    <mergeCell ref="AP33:AP38"/>
    <mergeCell ref="AQ33:AQ38"/>
    <mergeCell ref="AQ45:AQ50"/>
    <mergeCell ref="AP45:AP50"/>
    <mergeCell ref="AQ57:AQ62"/>
    <mergeCell ref="E93:E98"/>
    <mergeCell ref="E87:E92"/>
    <mergeCell ref="D93:D98"/>
    <mergeCell ref="D87:D92"/>
    <mergeCell ref="D33:D38"/>
    <mergeCell ref="D39:D44"/>
    <mergeCell ref="D51:D56"/>
    <mergeCell ref="D45:D50"/>
    <mergeCell ref="D111:D116"/>
    <mergeCell ref="D117:D122"/>
    <mergeCell ref="AT45:AT50"/>
    <mergeCell ref="AS45:AS50"/>
    <mergeCell ref="AP81:AP86"/>
    <mergeCell ref="AQ81:AQ86"/>
    <mergeCell ref="AR105:AR110"/>
    <mergeCell ref="AQ105:AQ110"/>
    <mergeCell ref="AP93:AP98"/>
    <mergeCell ref="AP87:AP92"/>
    <mergeCell ref="AS69:AS74"/>
    <mergeCell ref="AS57:AS62"/>
    <mergeCell ref="AS75:AS80"/>
    <mergeCell ref="AS63:AS68"/>
    <mergeCell ref="AR63:AR68"/>
    <mergeCell ref="AT63:AT68"/>
    <mergeCell ref="AT69:AT74"/>
    <mergeCell ref="AR69:AR74"/>
    <mergeCell ref="AT93:AT98"/>
    <mergeCell ref="AT87:AT92"/>
    <mergeCell ref="AT99:AT104"/>
    <mergeCell ref="AT75:AT80"/>
    <mergeCell ref="AT81:AT86"/>
    <mergeCell ref="AS87:AS92"/>
    <mergeCell ref="AS81:AS86"/>
    <mergeCell ref="AR75:AR80"/>
    <mergeCell ref="AT15:AT20"/>
    <mergeCell ref="AS15:AS20"/>
    <mergeCell ref="AT27:AT32"/>
    <mergeCell ref="AT123:AT128"/>
    <mergeCell ref="AT117:AT122"/>
    <mergeCell ref="AS117:AS122"/>
    <mergeCell ref="AS123:AS128"/>
    <mergeCell ref="AQ123:AQ128"/>
    <mergeCell ref="AQ117:AQ122"/>
    <mergeCell ref="AR117:AR122"/>
    <mergeCell ref="AR123:AR128"/>
    <mergeCell ref="AQ39:AQ44"/>
    <mergeCell ref="AR111:AR116"/>
    <mergeCell ref="AS111:AS116"/>
    <mergeCell ref="AQ111:AQ116"/>
    <mergeCell ref="AQ99:AQ104"/>
    <mergeCell ref="AQ27:AQ32"/>
    <mergeCell ref="AQ21:AQ26"/>
    <mergeCell ref="AQ87:AQ92"/>
    <mergeCell ref="AS93:AS98"/>
    <mergeCell ref="AR93:AR98"/>
    <mergeCell ref="AQ93:AQ98"/>
    <mergeCell ref="AS105:AS110"/>
    <mergeCell ref="AQ63:AQ68"/>
    <mergeCell ref="AP117:AP122"/>
    <mergeCell ref="AP123:AP128"/>
    <mergeCell ref="AQ51:AQ56"/>
    <mergeCell ref="AT57:AT62"/>
    <mergeCell ref="AR45:AR50"/>
    <mergeCell ref="AT105:AT110"/>
    <mergeCell ref="AT111:AT116"/>
    <mergeCell ref="AS21:AS26"/>
    <mergeCell ref="AT21:AT26"/>
    <mergeCell ref="AR33:AR38"/>
    <mergeCell ref="AR27:AR32"/>
    <mergeCell ref="AT33:AT38"/>
    <mergeCell ref="AT39:AT44"/>
    <mergeCell ref="AS39:AS44"/>
    <mergeCell ref="AR39:AR44"/>
    <mergeCell ref="AP21:AP26"/>
    <mergeCell ref="AP27:AP32"/>
    <mergeCell ref="AP39:AP44"/>
    <mergeCell ref="AP111:AP116"/>
    <mergeCell ref="AP99:AP104"/>
    <mergeCell ref="AP105:AP110"/>
    <mergeCell ref="AP57:AP62"/>
    <mergeCell ref="AP63:AP68"/>
    <mergeCell ref="AT51:AT56"/>
    <mergeCell ref="AO6:AO8"/>
    <mergeCell ref="AR15:AR20"/>
    <mergeCell ref="AR21:AR26"/>
    <mergeCell ref="AJ7:AM7"/>
    <mergeCell ref="AE7:AI7"/>
    <mergeCell ref="AQ9:AQ14"/>
    <mergeCell ref="AR6:AR8"/>
    <mergeCell ref="AR9:AR14"/>
    <mergeCell ref="AP9:AP14"/>
    <mergeCell ref="AQ15:AQ20"/>
    <mergeCell ref="AP15:AP20"/>
    <mergeCell ref="D75:D80"/>
    <mergeCell ref="D123:D128"/>
    <mergeCell ref="E69:E74"/>
    <mergeCell ref="E63:E68"/>
    <mergeCell ref="E45:E50"/>
    <mergeCell ref="E51:E56"/>
    <mergeCell ref="D27:D32"/>
    <mergeCell ref="E75:E80"/>
    <mergeCell ref="E33:E38"/>
    <mergeCell ref="E39:E44"/>
    <mergeCell ref="E27:E32"/>
    <mergeCell ref="E99:E104"/>
    <mergeCell ref="E123:E128"/>
    <mergeCell ref="E117:E122"/>
    <mergeCell ref="E81:E86"/>
    <mergeCell ref="D105:D110"/>
    <mergeCell ref="D99:D104"/>
    <mergeCell ref="E105:E110"/>
    <mergeCell ref="E111:E116"/>
    <mergeCell ref="A51:A68"/>
    <mergeCell ref="A69:A98"/>
    <mergeCell ref="B81:B86"/>
    <mergeCell ref="B75:B80"/>
    <mergeCell ref="B57:B62"/>
    <mergeCell ref="B51:B56"/>
    <mergeCell ref="B45:B50"/>
    <mergeCell ref="A45:A50"/>
    <mergeCell ref="B63:B68"/>
    <mergeCell ref="B69:B74"/>
    <mergeCell ref="I7:L7"/>
    <mergeCell ref="M7:R7"/>
    <mergeCell ref="S7:X7"/>
    <mergeCell ref="Y7:AD7"/>
    <mergeCell ref="D15:D20"/>
    <mergeCell ref="H6:H8"/>
    <mergeCell ref="Q3:AT3"/>
    <mergeCell ref="F2:AT2"/>
    <mergeCell ref="F1:AT1"/>
    <mergeCell ref="AS9:AS14"/>
    <mergeCell ref="Q4:AT4"/>
    <mergeCell ref="F6:F8"/>
    <mergeCell ref="G6:G8"/>
    <mergeCell ref="E15:E20"/>
    <mergeCell ref="F3:P3"/>
    <mergeCell ref="F4:P4"/>
    <mergeCell ref="AP6:AP8"/>
    <mergeCell ref="AS6:AS8"/>
    <mergeCell ref="I6:AI6"/>
    <mergeCell ref="AJ6:AM6"/>
    <mergeCell ref="AT9:AT14"/>
    <mergeCell ref="AQ6:AQ8"/>
    <mergeCell ref="AN6:AN8"/>
    <mergeCell ref="AT6:AT8"/>
    <mergeCell ref="A27:A44"/>
    <mergeCell ref="B21:B26"/>
    <mergeCell ref="E6:E8"/>
    <mergeCell ref="E9:E14"/>
    <mergeCell ref="B6:D7"/>
    <mergeCell ref="A9:A26"/>
    <mergeCell ref="A6:A8"/>
    <mergeCell ref="C9:C14"/>
    <mergeCell ref="A1:E4"/>
    <mergeCell ref="B27:B32"/>
    <mergeCell ref="B39:B44"/>
    <mergeCell ref="B33:B38"/>
  </mergeCells>
  <printOptions horizontalCentered="1" verticalCentered="1"/>
  <pageMargins left="0.23622047244094491" right="0.23622047244094491" top="0.19685039370078741" bottom="0.15748031496062992" header="0.31496062992125984" footer="0.31496062992125984"/>
  <pageSetup scale="50" orientation="landscape" r:id="rId1"/>
  <rowBreaks count="3" manualBreakCount="3">
    <brk id="98" man="1"/>
    <brk id="131" man="1"/>
    <brk id="74"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zoomScale="89" zoomScaleNormal="89" workbookViewId="0">
      <selection activeCell="F11" sqref="F11"/>
    </sheetView>
  </sheetViews>
  <sheetFormatPr baseColWidth="10" defaultColWidth="14.42578125" defaultRowHeight="15" customHeight="1" x14ac:dyDescent="0.25"/>
  <cols>
    <col min="1" max="1" width="15.42578125" customWidth="1"/>
    <col min="2" max="2" width="35.42578125" customWidth="1"/>
    <col min="3" max="3" width="37.5703125" customWidth="1"/>
    <col min="4" max="4" width="8" customWidth="1"/>
    <col min="5" max="5" width="7.5703125" customWidth="1"/>
    <col min="6" max="6" width="13.28515625" customWidth="1"/>
    <col min="7" max="9" width="8.7109375" customWidth="1"/>
    <col min="10" max="10" width="9.140625" customWidth="1"/>
    <col min="11" max="18" width="8.7109375" customWidth="1"/>
    <col min="19" max="19" width="13.28515625" customWidth="1"/>
    <col min="20" max="20" width="13" customWidth="1"/>
    <col min="21" max="21" width="12.7109375" customWidth="1"/>
    <col min="22" max="22" width="75" customWidth="1"/>
    <col min="23" max="23" width="19.140625" customWidth="1"/>
    <col min="24" max="24" width="21.140625" customWidth="1"/>
    <col min="25" max="26" width="14.7109375" customWidth="1"/>
  </cols>
  <sheetData>
    <row r="1" spans="1:26" ht="33" customHeight="1" x14ac:dyDescent="0.25">
      <c r="A1" s="676"/>
      <c r="B1" s="550"/>
      <c r="C1" s="664" t="s">
        <v>0</v>
      </c>
      <c r="D1" s="494"/>
      <c r="E1" s="494"/>
      <c r="F1" s="494"/>
      <c r="G1" s="494"/>
      <c r="H1" s="494"/>
      <c r="I1" s="494"/>
      <c r="J1" s="494"/>
      <c r="K1" s="494"/>
      <c r="L1" s="494"/>
      <c r="M1" s="494"/>
      <c r="N1" s="494"/>
      <c r="O1" s="494"/>
      <c r="P1" s="494"/>
      <c r="Q1" s="494"/>
      <c r="R1" s="494"/>
      <c r="S1" s="494"/>
      <c r="T1" s="494"/>
      <c r="U1" s="494"/>
      <c r="V1" s="511"/>
      <c r="W1" s="4"/>
      <c r="X1" s="4"/>
      <c r="Y1" s="4"/>
      <c r="Z1" s="4"/>
    </row>
    <row r="2" spans="1:26" ht="26.25" customHeight="1" x14ac:dyDescent="0.25">
      <c r="A2" s="499"/>
      <c r="B2" s="558"/>
      <c r="C2" s="673" t="s">
        <v>3</v>
      </c>
      <c r="D2" s="491"/>
      <c r="E2" s="491"/>
      <c r="F2" s="491"/>
      <c r="G2" s="491"/>
      <c r="H2" s="491"/>
      <c r="I2" s="491"/>
      <c r="J2" s="491"/>
      <c r="K2" s="491"/>
      <c r="L2" s="491"/>
      <c r="M2" s="491"/>
      <c r="N2" s="491"/>
      <c r="O2" s="491"/>
      <c r="P2" s="491"/>
      <c r="Q2" s="491"/>
      <c r="R2" s="491"/>
      <c r="S2" s="491"/>
      <c r="T2" s="491"/>
      <c r="U2" s="491"/>
      <c r="V2" s="563"/>
      <c r="W2" s="4"/>
      <c r="X2" s="4"/>
      <c r="Y2" s="4"/>
      <c r="Z2" s="4"/>
    </row>
    <row r="3" spans="1:26" ht="27.75" customHeight="1" x14ac:dyDescent="0.25">
      <c r="A3" s="499"/>
      <c r="B3" s="558"/>
      <c r="C3" s="6" t="s">
        <v>4</v>
      </c>
      <c r="D3" s="672" t="s">
        <v>5</v>
      </c>
      <c r="E3" s="491"/>
      <c r="F3" s="491"/>
      <c r="G3" s="491"/>
      <c r="H3" s="491"/>
      <c r="I3" s="491"/>
      <c r="J3" s="491"/>
      <c r="K3" s="491"/>
      <c r="L3" s="491"/>
      <c r="M3" s="491"/>
      <c r="N3" s="491"/>
      <c r="O3" s="491"/>
      <c r="P3" s="491"/>
      <c r="Q3" s="491"/>
      <c r="R3" s="491"/>
      <c r="S3" s="491"/>
      <c r="T3" s="491"/>
      <c r="U3" s="491"/>
      <c r="V3" s="563"/>
      <c r="W3" s="4"/>
      <c r="X3" s="4"/>
      <c r="Y3" s="4"/>
      <c r="Z3" s="4"/>
    </row>
    <row r="4" spans="1:26" ht="27.75" customHeight="1" x14ac:dyDescent="0.25">
      <c r="A4" s="502"/>
      <c r="B4" s="559"/>
      <c r="C4" s="7" t="s">
        <v>6</v>
      </c>
      <c r="D4" s="666" t="s">
        <v>9</v>
      </c>
      <c r="E4" s="508"/>
      <c r="F4" s="508"/>
      <c r="G4" s="508"/>
      <c r="H4" s="508"/>
      <c r="I4" s="508"/>
      <c r="J4" s="508"/>
      <c r="K4" s="508"/>
      <c r="L4" s="508"/>
      <c r="M4" s="508"/>
      <c r="N4" s="508"/>
      <c r="O4" s="508"/>
      <c r="P4" s="508"/>
      <c r="Q4" s="508"/>
      <c r="R4" s="508"/>
      <c r="S4" s="508"/>
      <c r="T4" s="508"/>
      <c r="U4" s="508"/>
      <c r="V4" s="509"/>
      <c r="W4" s="4"/>
      <c r="X4" s="4"/>
      <c r="Y4" s="4"/>
      <c r="Z4" s="4"/>
    </row>
    <row r="5" spans="1:26" ht="22.5" customHeight="1" thickBot="1" x14ac:dyDescent="0.3">
      <c r="A5" s="13"/>
      <c r="B5" s="4"/>
      <c r="C5" s="14"/>
      <c r="D5" s="4"/>
      <c r="E5" s="4"/>
      <c r="F5" s="4"/>
      <c r="G5" s="4"/>
      <c r="H5" s="4"/>
      <c r="I5" s="4"/>
      <c r="J5" s="4"/>
      <c r="K5" s="4"/>
      <c r="L5" s="4"/>
      <c r="M5" s="4"/>
      <c r="N5" s="15"/>
      <c r="O5" s="16"/>
      <c r="P5" s="16"/>
      <c r="Q5" s="16"/>
      <c r="R5" s="16"/>
      <c r="S5" s="16"/>
      <c r="T5" s="16"/>
      <c r="U5" s="16"/>
      <c r="V5" s="18"/>
      <c r="W5" s="4"/>
      <c r="X5" s="4"/>
      <c r="Y5" s="4"/>
      <c r="Z5" s="4"/>
    </row>
    <row r="6" spans="1:26" ht="42.75" customHeight="1" x14ac:dyDescent="0.25">
      <c r="A6" s="644" t="s">
        <v>13</v>
      </c>
      <c r="B6" s="646" t="s">
        <v>15</v>
      </c>
      <c r="C6" s="646" t="s">
        <v>16</v>
      </c>
      <c r="D6" s="667" t="s">
        <v>17</v>
      </c>
      <c r="E6" s="538"/>
      <c r="F6" s="665" t="s">
        <v>18</v>
      </c>
      <c r="G6" s="494"/>
      <c r="H6" s="494"/>
      <c r="I6" s="494"/>
      <c r="J6" s="494"/>
      <c r="K6" s="494"/>
      <c r="L6" s="494"/>
      <c r="M6" s="494"/>
      <c r="N6" s="494"/>
      <c r="O6" s="494"/>
      <c r="P6" s="494"/>
      <c r="Q6" s="494"/>
      <c r="R6" s="494"/>
      <c r="S6" s="538"/>
      <c r="T6" s="665" t="s">
        <v>20</v>
      </c>
      <c r="U6" s="538"/>
      <c r="V6" s="668" t="s">
        <v>563</v>
      </c>
      <c r="W6" s="29"/>
      <c r="X6" s="29"/>
      <c r="Y6" s="29"/>
      <c r="Z6" s="29"/>
    </row>
    <row r="7" spans="1:26" ht="44.25" customHeight="1" thickBot="1" x14ac:dyDescent="0.3">
      <c r="A7" s="645"/>
      <c r="B7" s="516"/>
      <c r="C7" s="647"/>
      <c r="D7" s="30" t="s">
        <v>30</v>
      </c>
      <c r="E7" s="30" t="s">
        <v>31</v>
      </c>
      <c r="F7" s="32" t="s">
        <v>32</v>
      </c>
      <c r="G7" s="33" t="s">
        <v>34</v>
      </c>
      <c r="H7" s="33" t="s">
        <v>37</v>
      </c>
      <c r="I7" s="33" t="s">
        <v>38</v>
      </c>
      <c r="J7" s="33" t="s">
        <v>39</v>
      </c>
      <c r="K7" s="33" t="s">
        <v>40</v>
      </c>
      <c r="L7" s="33" t="s">
        <v>41</v>
      </c>
      <c r="M7" s="33" t="s">
        <v>42</v>
      </c>
      <c r="N7" s="34" t="s">
        <v>43</v>
      </c>
      <c r="O7" s="34" t="s">
        <v>47</v>
      </c>
      <c r="P7" s="33" t="s">
        <v>53</v>
      </c>
      <c r="Q7" s="33" t="s">
        <v>54</v>
      </c>
      <c r="R7" s="33" t="s">
        <v>55</v>
      </c>
      <c r="S7" s="36" t="s">
        <v>56</v>
      </c>
      <c r="T7" s="38" t="s">
        <v>63</v>
      </c>
      <c r="U7" s="38" t="s">
        <v>64</v>
      </c>
      <c r="V7" s="669"/>
      <c r="W7" s="29"/>
      <c r="X7" s="29"/>
      <c r="Y7" s="29"/>
      <c r="Z7" s="29"/>
    </row>
    <row r="8" spans="1:26" ht="50.1" customHeight="1" x14ac:dyDescent="0.25">
      <c r="A8" s="677" t="s">
        <v>65</v>
      </c>
      <c r="B8" s="651" t="s">
        <v>66</v>
      </c>
      <c r="C8" s="654" t="s">
        <v>70</v>
      </c>
      <c r="D8" s="660" t="s">
        <v>72</v>
      </c>
      <c r="E8" s="660" t="s">
        <v>72</v>
      </c>
      <c r="F8" s="40" t="s">
        <v>74</v>
      </c>
      <c r="G8" s="41"/>
      <c r="H8" s="369"/>
      <c r="I8" s="369">
        <v>0.25</v>
      </c>
      <c r="J8" s="369"/>
      <c r="K8" s="369"/>
      <c r="L8" s="369">
        <v>0.25</v>
      </c>
      <c r="M8" s="369"/>
      <c r="N8" s="369"/>
      <c r="O8" s="369">
        <v>0.25</v>
      </c>
      <c r="P8" s="369"/>
      <c r="Q8" s="369"/>
      <c r="R8" s="369">
        <v>0.25</v>
      </c>
      <c r="S8" s="40">
        <f t="shared" ref="S8:S20" si="0">SUM(G8:R8)</f>
        <v>1</v>
      </c>
      <c r="T8" s="658">
        <v>0.01</v>
      </c>
      <c r="U8" s="658">
        <v>0.01</v>
      </c>
      <c r="V8" s="670" t="s">
        <v>82</v>
      </c>
      <c r="W8" s="29"/>
      <c r="X8" s="29"/>
      <c r="Y8" s="29"/>
      <c r="Z8" s="29"/>
    </row>
    <row r="9" spans="1:26" ht="50.1" customHeight="1" x14ac:dyDescent="0.25">
      <c r="A9" s="499"/>
      <c r="B9" s="653"/>
      <c r="C9" s="580"/>
      <c r="D9" s="566"/>
      <c r="E9" s="566"/>
      <c r="F9" s="44" t="s">
        <v>85</v>
      </c>
      <c r="G9" s="45"/>
      <c r="H9" s="271"/>
      <c r="I9" s="271">
        <v>0.25</v>
      </c>
      <c r="J9" s="271"/>
      <c r="K9" s="271"/>
      <c r="L9" s="271">
        <v>0.25</v>
      </c>
      <c r="M9" s="271"/>
      <c r="N9" s="271"/>
      <c r="O9" s="271">
        <v>0.25</v>
      </c>
      <c r="P9" s="271"/>
      <c r="Q9" s="271"/>
      <c r="R9" s="271"/>
      <c r="S9" s="44">
        <f t="shared" si="0"/>
        <v>0.75</v>
      </c>
      <c r="T9" s="566"/>
      <c r="U9" s="566"/>
      <c r="V9" s="671"/>
      <c r="W9" s="29"/>
      <c r="X9" s="29"/>
      <c r="Y9" s="29"/>
      <c r="Z9" s="29"/>
    </row>
    <row r="10" spans="1:26" ht="50.1" customHeight="1" x14ac:dyDescent="0.25">
      <c r="A10" s="499"/>
      <c r="B10" s="651" t="s">
        <v>88</v>
      </c>
      <c r="C10" s="654" t="s">
        <v>91</v>
      </c>
      <c r="D10" s="660" t="s">
        <v>72</v>
      </c>
      <c r="E10" s="660" t="s">
        <v>72</v>
      </c>
      <c r="F10" s="40" t="s">
        <v>74</v>
      </c>
      <c r="G10" s="41"/>
      <c r="H10" s="369"/>
      <c r="I10" s="369">
        <v>0.25</v>
      </c>
      <c r="J10" s="369"/>
      <c r="K10" s="369"/>
      <c r="L10" s="369">
        <v>0.25</v>
      </c>
      <c r="M10" s="369"/>
      <c r="N10" s="369"/>
      <c r="O10" s="369">
        <v>0.25</v>
      </c>
      <c r="P10" s="369"/>
      <c r="Q10" s="369"/>
      <c r="R10" s="369">
        <v>0.25</v>
      </c>
      <c r="S10" s="40">
        <f t="shared" si="0"/>
        <v>1</v>
      </c>
      <c r="T10" s="658">
        <v>0.08</v>
      </c>
      <c r="U10" s="658">
        <v>0.08</v>
      </c>
      <c r="V10" s="670" t="s">
        <v>139</v>
      </c>
      <c r="W10" s="29"/>
      <c r="X10" s="29"/>
      <c r="Y10" s="29"/>
      <c r="Z10" s="29"/>
    </row>
    <row r="11" spans="1:26" ht="50.1" customHeight="1" x14ac:dyDescent="0.25">
      <c r="A11" s="499"/>
      <c r="B11" s="653"/>
      <c r="C11" s="580"/>
      <c r="D11" s="566"/>
      <c r="E11" s="566"/>
      <c r="F11" s="44" t="s">
        <v>85</v>
      </c>
      <c r="G11" s="45"/>
      <c r="H11" s="271"/>
      <c r="I11" s="271">
        <v>0.19</v>
      </c>
      <c r="J11" s="271"/>
      <c r="K11" s="271"/>
      <c r="L11" s="271">
        <v>0.30499999999999999</v>
      </c>
      <c r="M11" s="271"/>
      <c r="N11" s="271"/>
      <c r="O11" s="271">
        <v>0.255</v>
      </c>
      <c r="P11" s="271"/>
      <c r="Q11" s="271"/>
      <c r="R11" s="271"/>
      <c r="S11" s="44">
        <f t="shared" si="0"/>
        <v>0.75</v>
      </c>
      <c r="T11" s="566"/>
      <c r="U11" s="566"/>
      <c r="V11" s="671"/>
      <c r="W11" s="29"/>
      <c r="X11" s="29"/>
      <c r="Y11" s="29"/>
      <c r="Z11" s="29"/>
    </row>
    <row r="12" spans="1:26" ht="50.1" customHeight="1" x14ac:dyDescent="0.25">
      <c r="A12" s="499"/>
      <c r="B12" s="651" t="s">
        <v>99</v>
      </c>
      <c r="C12" s="654" t="s">
        <v>100</v>
      </c>
      <c r="D12" s="660" t="s">
        <v>72</v>
      </c>
      <c r="E12" s="660" t="s">
        <v>72</v>
      </c>
      <c r="F12" s="40" t="s">
        <v>74</v>
      </c>
      <c r="G12" s="41"/>
      <c r="H12" s="369"/>
      <c r="I12" s="369">
        <v>0</v>
      </c>
      <c r="J12" s="369"/>
      <c r="K12" s="369"/>
      <c r="L12" s="369">
        <v>0</v>
      </c>
      <c r="M12" s="369"/>
      <c r="N12" s="369"/>
      <c r="O12" s="369">
        <v>0</v>
      </c>
      <c r="P12" s="369"/>
      <c r="Q12" s="369"/>
      <c r="R12" s="369">
        <v>1</v>
      </c>
      <c r="S12" s="40">
        <f t="shared" si="0"/>
        <v>1</v>
      </c>
      <c r="T12" s="658">
        <v>0.11</v>
      </c>
      <c r="U12" s="658">
        <v>0.11</v>
      </c>
      <c r="V12" s="670" t="str">
        <f>+INVERSIÓN!AP15</f>
        <v xml:space="preserve">El acumulado ejecutado en la última fecha de reporte para el cuatrienio corresponde a 0,12%. 
LA SDA suscribió el convenio 1353 de 2017 con la Empresa de Acueducto en Bogotá-EAB con el fin de realizar los diseños detallados del Sistema Urbano de Drenaje Sostenible-SUDS, en el Rio Tunjuelo, el cual dio inicio en enero de 2018. La SDA y la EAB trabajaron en la elaboración de los estudios previos y propuesta económica del convenio. Se han realizado dos suspensiones temporales a la ejecución de actividades del convenio, por demoras en la incorporación de recursos por parte de la EAB ESP través de la aprobación del comité CONFIS, sin embargo posteriormente se logró aclarar que  la EAB no requiere de la celebración del CONFIS para la apropiación de los recursos para abrir el proceso contractual y llevar a cabo la elaboración de los diseños (Decreto 816 de 2017).  Se han realizado a la fecha cuatro (4) comités técnicos operativos del convenio (01/02/2018, 17/04/2018, 10/08/2018 y 24/09/2018) donde se ha hecho seguimiento al proceso contractual de consultoría de diseños del SUDS y se ha dado a conocer la premura del avance de este proceso para dar cumplimiento a metas Plan de Desarrollo.
</v>
      </c>
      <c r="W12" s="29"/>
      <c r="X12" s="29"/>
      <c r="Y12" s="29"/>
      <c r="Z12" s="29"/>
    </row>
    <row r="13" spans="1:26" ht="50.1" customHeight="1" x14ac:dyDescent="0.25">
      <c r="A13" s="499"/>
      <c r="B13" s="653"/>
      <c r="C13" s="580"/>
      <c r="D13" s="566"/>
      <c r="E13" s="566"/>
      <c r="F13" s="44" t="s">
        <v>85</v>
      </c>
      <c r="G13" s="45"/>
      <c r="H13" s="271"/>
      <c r="I13" s="271">
        <v>0</v>
      </c>
      <c r="J13" s="271"/>
      <c r="K13" s="271"/>
      <c r="L13" s="271">
        <v>0</v>
      </c>
      <c r="M13" s="271"/>
      <c r="N13" s="271"/>
      <c r="O13" s="271">
        <v>0</v>
      </c>
      <c r="P13" s="271"/>
      <c r="Q13" s="271"/>
      <c r="R13" s="271"/>
      <c r="S13" s="44">
        <f t="shared" si="0"/>
        <v>0</v>
      </c>
      <c r="T13" s="566"/>
      <c r="U13" s="566"/>
      <c r="V13" s="671"/>
      <c r="W13" s="29"/>
      <c r="X13" s="29"/>
      <c r="Y13" s="29"/>
      <c r="Z13" s="29"/>
    </row>
    <row r="14" spans="1:26" ht="50.1" customHeight="1" x14ac:dyDescent="0.25">
      <c r="A14" s="499"/>
      <c r="B14" s="651" t="s">
        <v>102</v>
      </c>
      <c r="C14" s="654" t="s">
        <v>103</v>
      </c>
      <c r="D14" s="660" t="s">
        <v>72</v>
      </c>
      <c r="E14" s="660" t="s">
        <v>72</v>
      </c>
      <c r="F14" s="40" t="s">
        <v>74</v>
      </c>
      <c r="G14" s="41"/>
      <c r="H14" s="369"/>
      <c r="I14" s="369">
        <v>0.25</v>
      </c>
      <c r="J14" s="369"/>
      <c r="K14" s="369"/>
      <c r="L14" s="369">
        <v>0.25</v>
      </c>
      <c r="M14" s="369"/>
      <c r="N14" s="369"/>
      <c r="O14" s="369">
        <v>0.25</v>
      </c>
      <c r="P14" s="369"/>
      <c r="Q14" s="369"/>
      <c r="R14" s="369">
        <v>0.25</v>
      </c>
      <c r="S14" s="40">
        <f t="shared" si="0"/>
        <v>1</v>
      </c>
      <c r="T14" s="658">
        <v>0.02</v>
      </c>
      <c r="U14" s="658">
        <v>0.02</v>
      </c>
      <c r="V14" s="670" t="s">
        <v>295</v>
      </c>
      <c r="W14" s="29"/>
      <c r="X14" s="29"/>
      <c r="Y14" s="29"/>
      <c r="Z14" s="29"/>
    </row>
    <row r="15" spans="1:26" ht="50.1" customHeight="1" x14ac:dyDescent="0.25">
      <c r="A15" s="678"/>
      <c r="B15" s="653"/>
      <c r="C15" s="580"/>
      <c r="D15" s="566"/>
      <c r="E15" s="566"/>
      <c r="F15" s="44" t="s">
        <v>85</v>
      </c>
      <c r="G15" s="45"/>
      <c r="H15" s="271"/>
      <c r="I15" s="370">
        <v>0.25</v>
      </c>
      <c r="J15" s="271"/>
      <c r="K15" s="271"/>
      <c r="L15" s="271">
        <v>0.252</v>
      </c>
      <c r="M15" s="271"/>
      <c r="N15" s="271"/>
      <c r="O15" s="271">
        <v>0.25</v>
      </c>
      <c r="P15" s="271"/>
      <c r="Q15" s="271"/>
      <c r="R15" s="271"/>
      <c r="S15" s="44">
        <f t="shared" si="0"/>
        <v>0.752</v>
      </c>
      <c r="T15" s="566"/>
      <c r="U15" s="566"/>
      <c r="V15" s="671"/>
      <c r="W15" s="29"/>
      <c r="X15" s="29"/>
      <c r="Y15" s="29"/>
      <c r="Z15" s="29"/>
    </row>
    <row r="16" spans="1:26" ht="50.1" customHeight="1" x14ac:dyDescent="0.25">
      <c r="A16" s="677" t="s">
        <v>114</v>
      </c>
      <c r="B16" s="651" t="s">
        <v>115</v>
      </c>
      <c r="C16" s="654" t="s">
        <v>116</v>
      </c>
      <c r="D16" s="660" t="s">
        <v>72</v>
      </c>
      <c r="E16" s="660" t="s">
        <v>72</v>
      </c>
      <c r="F16" s="40" t="s">
        <v>74</v>
      </c>
      <c r="G16" s="41"/>
      <c r="H16" s="369"/>
      <c r="I16" s="369">
        <v>0</v>
      </c>
      <c r="J16" s="369"/>
      <c r="K16" s="369"/>
      <c r="L16" s="369">
        <v>0.1</v>
      </c>
      <c r="M16" s="369"/>
      <c r="N16" s="369"/>
      <c r="O16" s="369">
        <v>0.3</v>
      </c>
      <c r="P16" s="369"/>
      <c r="Q16" s="369"/>
      <c r="R16" s="369">
        <v>0.6</v>
      </c>
      <c r="S16" s="40">
        <f t="shared" si="0"/>
        <v>1</v>
      </c>
      <c r="T16" s="658">
        <v>0.15</v>
      </c>
      <c r="U16" s="658">
        <v>0.1</v>
      </c>
      <c r="V16" s="670" t="s">
        <v>117</v>
      </c>
      <c r="W16" s="29"/>
      <c r="X16" s="29"/>
      <c r="Y16" s="29"/>
      <c r="Z16" s="29"/>
    </row>
    <row r="17" spans="1:26" ht="50.1" customHeight="1" x14ac:dyDescent="0.25">
      <c r="A17" s="499"/>
      <c r="B17" s="652"/>
      <c r="C17" s="547"/>
      <c r="D17" s="540"/>
      <c r="E17" s="540"/>
      <c r="F17" s="50" t="s">
        <v>85</v>
      </c>
      <c r="G17" s="52"/>
      <c r="H17" s="272"/>
      <c r="I17" s="272">
        <v>0</v>
      </c>
      <c r="J17" s="272"/>
      <c r="K17" s="272"/>
      <c r="L17" s="272">
        <v>0.1</v>
      </c>
      <c r="M17" s="272"/>
      <c r="N17" s="272"/>
      <c r="O17" s="371">
        <v>0.18</v>
      </c>
      <c r="P17" s="272"/>
      <c r="Q17" s="272"/>
      <c r="R17" s="272"/>
      <c r="S17" s="50">
        <f t="shared" si="0"/>
        <v>0.28000000000000003</v>
      </c>
      <c r="T17" s="515"/>
      <c r="U17" s="540"/>
      <c r="V17" s="686"/>
      <c r="W17" s="29"/>
      <c r="X17" s="29"/>
      <c r="Y17" s="29"/>
      <c r="Z17" s="29"/>
    </row>
    <row r="18" spans="1:26" ht="50.1" customHeight="1" x14ac:dyDescent="0.25">
      <c r="A18" s="499"/>
      <c r="B18" s="652"/>
      <c r="C18" s="656" t="s">
        <v>120</v>
      </c>
      <c r="D18" s="659" t="s">
        <v>72</v>
      </c>
      <c r="E18" s="659" t="s">
        <v>72</v>
      </c>
      <c r="F18" s="54" t="s">
        <v>74</v>
      </c>
      <c r="G18" s="52"/>
      <c r="H18" s="272"/>
      <c r="I18" s="272">
        <v>0.05</v>
      </c>
      <c r="J18" s="272"/>
      <c r="K18" s="272"/>
      <c r="L18" s="272">
        <v>0.15</v>
      </c>
      <c r="M18" s="272"/>
      <c r="N18" s="272"/>
      <c r="O18" s="272">
        <v>0.4</v>
      </c>
      <c r="P18" s="272"/>
      <c r="Q18" s="272"/>
      <c r="R18" s="272">
        <v>0.4</v>
      </c>
      <c r="S18" s="54">
        <f t="shared" si="0"/>
        <v>1</v>
      </c>
      <c r="T18" s="515"/>
      <c r="U18" s="662">
        <v>0.05</v>
      </c>
      <c r="V18" s="685" t="s">
        <v>126</v>
      </c>
      <c r="W18" s="29"/>
      <c r="X18" s="29"/>
      <c r="Y18" s="29"/>
      <c r="Z18" s="29"/>
    </row>
    <row r="19" spans="1:26" ht="50.1" customHeight="1" x14ac:dyDescent="0.25">
      <c r="A19" s="499"/>
      <c r="B19" s="653"/>
      <c r="C19" s="580"/>
      <c r="D19" s="566"/>
      <c r="E19" s="566"/>
      <c r="F19" s="44" t="s">
        <v>85</v>
      </c>
      <c r="G19" s="45"/>
      <c r="H19" s="271"/>
      <c r="I19" s="271">
        <v>0.05</v>
      </c>
      <c r="J19" s="271"/>
      <c r="K19" s="271"/>
      <c r="L19" s="271">
        <v>0.15</v>
      </c>
      <c r="M19" s="271"/>
      <c r="N19" s="271"/>
      <c r="O19" s="271">
        <v>0.4</v>
      </c>
      <c r="P19" s="271"/>
      <c r="Q19" s="271"/>
      <c r="R19" s="271"/>
      <c r="S19" s="44">
        <f t="shared" si="0"/>
        <v>0.60000000000000009</v>
      </c>
      <c r="T19" s="566"/>
      <c r="U19" s="566"/>
      <c r="V19" s="671"/>
      <c r="W19" s="29"/>
      <c r="X19" s="29"/>
      <c r="Y19" s="29"/>
      <c r="Z19" s="29"/>
    </row>
    <row r="20" spans="1:26" ht="50.1" customHeight="1" x14ac:dyDescent="0.25">
      <c r="A20" s="499"/>
      <c r="B20" s="651" t="s">
        <v>127</v>
      </c>
      <c r="C20" s="654" t="s">
        <v>128</v>
      </c>
      <c r="D20" s="660" t="s">
        <v>72</v>
      </c>
      <c r="E20" s="660" t="s">
        <v>72</v>
      </c>
      <c r="F20" s="40" t="s">
        <v>74</v>
      </c>
      <c r="G20" s="41"/>
      <c r="H20" s="369"/>
      <c r="I20" s="369">
        <v>0.2</v>
      </c>
      <c r="J20" s="369"/>
      <c r="K20" s="369"/>
      <c r="L20" s="369">
        <v>0.2</v>
      </c>
      <c r="M20" s="369"/>
      <c r="N20" s="369"/>
      <c r="O20" s="369">
        <v>0.25</v>
      </c>
      <c r="P20" s="369"/>
      <c r="Q20" s="369"/>
      <c r="R20" s="369">
        <v>0.35</v>
      </c>
      <c r="S20" s="40">
        <f t="shared" si="0"/>
        <v>1</v>
      </c>
      <c r="T20" s="658">
        <v>7.0000000000000007E-2</v>
      </c>
      <c r="U20" s="658">
        <v>7.0000000000000007E-2</v>
      </c>
      <c r="V20" s="670" t="s">
        <v>301</v>
      </c>
      <c r="W20" s="29"/>
      <c r="X20" s="29"/>
      <c r="Y20" s="29"/>
      <c r="Z20" s="29"/>
    </row>
    <row r="21" spans="1:26" ht="50.1" customHeight="1" x14ac:dyDescent="0.25">
      <c r="A21" s="499"/>
      <c r="B21" s="653"/>
      <c r="C21" s="580"/>
      <c r="D21" s="566"/>
      <c r="E21" s="566"/>
      <c r="F21" s="44" t="s">
        <v>85</v>
      </c>
      <c r="G21" s="45"/>
      <c r="H21" s="271"/>
      <c r="I21" s="271">
        <v>0.1</v>
      </c>
      <c r="J21" s="271"/>
      <c r="K21" s="271"/>
      <c r="L21" s="271">
        <v>0.2</v>
      </c>
      <c r="M21" s="271"/>
      <c r="N21" s="271"/>
      <c r="O21" s="271">
        <v>0.25</v>
      </c>
      <c r="P21" s="271"/>
      <c r="Q21" s="271"/>
      <c r="R21" s="271"/>
      <c r="S21" s="44">
        <f>I21+L21+O21</f>
        <v>0.55000000000000004</v>
      </c>
      <c r="T21" s="566"/>
      <c r="U21" s="566"/>
      <c r="V21" s="671"/>
      <c r="W21" s="29"/>
      <c r="X21" s="29"/>
      <c r="Y21" s="29"/>
      <c r="Z21" s="29"/>
    </row>
    <row r="22" spans="1:26" ht="50.1" customHeight="1" x14ac:dyDescent="0.25">
      <c r="A22" s="499"/>
      <c r="B22" s="651" t="s">
        <v>129</v>
      </c>
      <c r="C22" s="654" t="s">
        <v>130</v>
      </c>
      <c r="D22" s="660" t="s">
        <v>72</v>
      </c>
      <c r="E22" s="660"/>
      <c r="F22" s="40" t="s">
        <v>74</v>
      </c>
      <c r="G22" s="41"/>
      <c r="H22" s="369"/>
      <c r="I22" s="369">
        <v>0.25</v>
      </c>
      <c r="J22" s="369"/>
      <c r="K22" s="369"/>
      <c r="L22" s="369">
        <v>0.25</v>
      </c>
      <c r="M22" s="369"/>
      <c r="N22" s="369"/>
      <c r="O22" s="369">
        <v>0.25</v>
      </c>
      <c r="P22" s="369"/>
      <c r="Q22" s="369"/>
      <c r="R22" s="369">
        <v>0.25</v>
      </c>
      <c r="S22" s="40">
        <f t="shared" ref="S22:S24" si="1">SUM(G22:R22)</f>
        <v>1</v>
      </c>
      <c r="T22" s="658">
        <v>0.02</v>
      </c>
      <c r="U22" s="658">
        <v>0.02</v>
      </c>
      <c r="V22" s="692" t="s">
        <v>131</v>
      </c>
      <c r="W22" s="29"/>
      <c r="X22" s="29"/>
      <c r="Y22" s="29"/>
      <c r="Z22" s="29"/>
    </row>
    <row r="23" spans="1:26" ht="50.1" customHeight="1" x14ac:dyDescent="0.25">
      <c r="A23" s="678"/>
      <c r="B23" s="653"/>
      <c r="C23" s="580"/>
      <c r="D23" s="566"/>
      <c r="E23" s="566"/>
      <c r="F23" s="44" t="s">
        <v>85</v>
      </c>
      <c r="G23" s="45"/>
      <c r="H23" s="271"/>
      <c r="I23" s="271">
        <v>0.25</v>
      </c>
      <c r="J23" s="271"/>
      <c r="K23" s="271"/>
      <c r="L23" s="271">
        <v>0.1</v>
      </c>
      <c r="M23" s="271"/>
      <c r="N23" s="271"/>
      <c r="O23" s="271">
        <v>0.05</v>
      </c>
      <c r="P23" s="271"/>
      <c r="Q23" s="271"/>
      <c r="R23" s="271"/>
      <c r="S23" s="65">
        <f t="shared" si="1"/>
        <v>0.39999999999999997</v>
      </c>
      <c r="T23" s="566"/>
      <c r="U23" s="566"/>
      <c r="V23" s="671"/>
      <c r="W23" s="29"/>
      <c r="X23" s="29"/>
      <c r="Y23" s="29"/>
      <c r="Z23" s="29"/>
    </row>
    <row r="24" spans="1:26" ht="50.1" customHeight="1" x14ac:dyDescent="0.25">
      <c r="A24" s="677" t="s">
        <v>133</v>
      </c>
      <c r="B24" s="651" t="s">
        <v>134</v>
      </c>
      <c r="C24" s="654" t="s">
        <v>135</v>
      </c>
      <c r="D24" s="660" t="s">
        <v>72</v>
      </c>
      <c r="E24" s="660" t="s">
        <v>72</v>
      </c>
      <c r="F24" s="40" t="s">
        <v>74</v>
      </c>
      <c r="G24" s="41"/>
      <c r="H24" s="369"/>
      <c r="I24" s="369">
        <v>0.2</v>
      </c>
      <c r="J24" s="369"/>
      <c r="K24" s="369"/>
      <c r="L24" s="369">
        <v>0.25</v>
      </c>
      <c r="M24" s="369"/>
      <c r="N24" s="369"/>
      <c r="O24" s="369">
        <v>0.25</v>
      </c>
      <c r="P24" s="369"/>
      <c r="Q24" s="369"/>
      <c r="R24" s="369">
        <v>0.3</v>
      </c>
      <c r="S24" s="40">
        <f t="shared" si="1"/>
        <v>1</v>
      </c>
      <c r="T24" s="674">
        <v>0.05</v>
      </c>
      <c r="U24" s="675">
        <v>1.9E-2</v>
      </c>
      <c r="V24" s="670" t="s">
        <v>136</v>
      </c>
      <c r="W24" s="29"/>
      <c r="X24" s="29"/>
      <c r="Y24" s="29"/>
      <c r="Z24" s="29"/>
    </row>
    <row r="25" spans="1:26" ht="50.1" customHeight="1" x14ac:dyDescent="0.25">
      <c r="A25" s="499"/>
      <c r="B25" s="652"/>
      <c r="C25" s="547"/>
      <c r="D25" s="540"/>
      <c r="E25" s="540"/>
      <c r="F25" s="50" t="s">
        <v>85</v>
      </c>
      <c r="G25" s="52"/>
      <c r="H25" s="272"/>
      <c r="I25" s="272">
        <v>0.14000000000000001</v>
      </c>
      <c r="J25" s="272"/>
      <c r="K25" s="272"/>
      <c r="L25" s="272">
        <v>0.2</v>
      </c>
      <c r="M25" s="272"/>
      <c r="N25" s="272"/>
      <c r="O25" s="272">
        <v>0.24</v>
      </c>
      <c r="P25" s="272"/>
      <c r="Q25" s="272"/>
      <c r="R25" s="272"/>
      <c r="S25" s="50">
        <f>+R25+O25+L25+I25</f>
        <v>0.58000000000000007</v>
      </c>
      <c r="T25" s="515"/>
      <c r="U25" s="540"/>
      <c r="V25" s="686"/>
      <c r="W25" s="29"/>
      <c r="X25" s="29"/>
      <c r="Y25" s="29"/>
      <c r="Z25" s="29"/>
    </row>
    <row r="26" spans="1:26" ht="50.1" customHeight="1" x14ac:dyDescent="0.25">
      <c r="A26" s="499"/>
      <c r="B26" s="652"/>
      <c r="C26" s="656" t="s">
        <v>138</v>
      </c>
      <c r="D26" s="659" t="s">
        <v>72</v>
      </c>
      <c r="E26" s="659" t="s">
        <v>72</v>
      </c>
      <c r="F26" s="54" t="s">
        <v>74</v>
      </c>
      <c r="G26" s="52"/>
      <c r="H26" s="272"/>
      <c r="I26" s="272">
        <v>0.2</v>
      </c>
      <c r="J26" s="272"/>
      <c r="K26" s="272"/>
      <c r="L26" s="272">
        <v>0.25</v>
      </c>
      <c r="M26" s="272"/>
      <c r="N26" s="272"/>
      <c r="O26" s="272">
        <v>0.25</v>
      </c>
      <c r="P26" s="272"/>
      <c r="Q26" s="272"/>
      <c r="R26" s="272">
        <v>0.3</v>
      </c>
      <c r="S26" s="54">
        <f t="shared" ref="S26:S83" si="2">SUM(G26:R26)</f>
        <v>1</v>
      </c>
      <c r="T26" s="515"/>
      <c r="U26" s="663">
        <v>1.2E-2</v>
      </c>
      <c r="V26" s="685" t="s">
        <v>143</v>
      </c>
      <c r="W26" s="29"/>
      <c r="X26" s="29"/>
      <c r="Y26" s="29"/>
      <c r="Z26" s="29"/>
    </row>
    <row r="27" spans="1:26" ht="50.1" customHeight="1" x14ac:dyDescent="0.25">
      <c r="A27" s="499"/>
      <c r="B27" s="652"/>
      <c r="C27" s="547"/>
      <c r="D27" s="540"/>
      <c r="E27" s="540"/>
      <c r="F27" s="50" t="s">
        <v>85</v>
      </c>
      <c r="G27" s="52"/>
      <c r="H27" s="272"/>
      <c r="I27" s="272">
        <v>0.05</v>
      </c>
      <c r="J27" s="272"/>
      <c r="K27" s="272"/>
      <c r="L27" s="272">
        <v>0.2</v>
      </c>
      <c r="M27" s="272"/>
      <c r="N27" s="272"/>
      <c r="O27" s="272">
        <v>0.33</v>
      </c>
      <c r="P27" s="272"/>
      <c r="Q27" s="272"/>
      <c r="R27" s="272"/>
      <c r="S27" s="50">
        <f t="shared" si="2"/>
        <v>0.58000000000000007</v>
      </c>
      <c r="T27" s="515"/>
      <c r="U27" s="540"/>
      <c r="V27" s="686"/>
      <c r="W27" s="29"/>
      <c r="X27" s="29"/>
      <c r="Y27" s="29"/>
      <c r="Z27" s="29"/>
    </row>
    <row r="28" spans="1:26" ht="50.1" customHeight="1" x14ac:dyDescent="0.25">
      <c r="A28" s="499"/>
      <c r="B28" s="652"/>
      <c r="C28" s="656" t="s">
        <v>155</v>
      </c>
      <c r="D28" s="659" t="s">
        <v>72</v>
      </c>
      <c r="E28" s="659" t="s">
        <v>72</v>
      </c>
      <c r="F28" s="54" t="s">
        <v>74</v>
      </c>
      <c r="G28" s="52"/>
      <c r="H28" s="272"/>
      <c r="I28" s="272">
        <v>0.2</v>
      </c>
      <c r="J28" s="272"/>
      <c r="K28" s="272"/>
      <c r="L28" s="272">
        <v>0.25</v>
      </c>
      <c r="M28" s="272"/>
      <c r="N28" s="272"/>
      <c r="O28" s="272">
        <v>0.25</v>
      </c>
      <c r="P28" s="272"/>
      <c r="Q28" s="272"/>
      <c r="R28" s="272">
        <v>0.3</v>
      </c>
      <c r="S28" s="54">
        <f t="shared" si="2"/>
        <v>1</v>
      </c>
      <c r="T28" s="515"/>
      <c r="U28" s="663">
        <v>1.9E-2</v>
      </c>
      <c r="V28" s="685" t="s">
        <v>156</v>
      </c>
      <c r="W28" s="29"/>
      <c r="X28" s="29"/>
      <c r="Y28" s="29"/>
      <c r="Z28" s="29"/>
    </row>
    <row r="29" spans="1:26" ht="50.1" customHeight="1" x14ac:dyDescent="0.25">
      <c r="A29" s="678"/>
      <c r="B29" s="653"/>
      <c r="C29" s="580"/>
      <c r="D29" s="566"/>
      <c r="E29" s="566"/>
      <c r="F29" s="44" t="s">
        <v>85</v>
      </c>
      <c r="G29" s="45"/>
      <c r="H29" s="271"/>
      <c r="I29" s="271">
        <v>0.15</v>
      </c>
      <c r="J29" s="271"/>
      <c r="K29" s="271"/>
      <c r="L29" s="271">
        <v>0.2</v>
      </c>
      <c r="M29" s="271"/>
      <c r="N29" s="271"/>
      <c r="O29" s="271">
        <v>0.23</v>
      </c>
      <c r="P29" s="271"/>
      <c r="Q29" s="271"/>
      <c r="R29" s="271"/>
      <c r="S29" s="44">
        <f t="shared" si="2"/>
        <v>0.57999999999999996</v>
      </c>
      <c r="T29" s="566"/>
      <c r="U29" s="566"/>
      <c r="V29" s="671"/>
      <c r="W29" s="29"/>
      <c r="X29" s="29"/>
      <c r="Y29" s="29"/>
      <c r="Z29" s="29"/>
    </row>
    <row r="30" spans="1:26" ht="50.1" customHeight="1" x14ac:dyDescent="0.25">
      <c r="A30" s="677" t="s">
        <v>157</v>
      </c>
      <c r="B30" s="651" t="s">
        <v>108</v>
      </c>
      <c r="C30" s="654" t="s">
        <v>158</v>
      </c>
      <c r="D30" s="660" t="s">
        <v>72</v>
      </c>
      <c r="E30" s="660" t="s">
        <v>72</v>
      </c>
      <c r="F30" s="40" t="s">
        <v>74</v>
      </c>
      <c r="G30" s="41"/>
      <c r="H30" s="369"/>
      <c r="I30" s="369">
        <v>0.2</v>
      </c>
      <c r="J30" s="369"/>
      <c r="K30" s="369"/>
      <c r="L30" s="369">
        <v>0.2</v>
      </c>
      <c r="M30" s="369"/>
      <c r="N30" s="369"/>
      <c r="O30" s="369">
        <v>0.25</v>
      </c>
      <c r="P30" s="369"/>
      <c r="Q30" s="369"/>
      <c r="R30" s="369">
        <v>0.35</v>
      </c>
      <c r="S30" s="40">
        <f t="shared" si="2"/>
        <v>1</v>
      </c>
      <c r="T30" s="675">
        <v>0.06</v>
      </c>
      <c r="U30" s="675">
        <v>1.4999999999999999E-2</v>
      </c>
      <c r="V30" s="693" t="s">
        <v>159</v>
      </c>
      <c r="W30" s="688"/>
      <c r="X30" s="689"/>
      <c r="Y30" s="29"/>
      <c r="Z30" s="29"/>
    </row>
    <row r="31" spans="1:26" ht="50.1" customHeight="1" x14ac:dyDescent="0.25">
      <c r="A31" s="499"/>
      <c r="B31" s="652"/>
      <c r="C31" s="547"/>
      <c r="D31" s="540"/>
      <c r="E31" s="540"/>
      <c r="F31" s="50" t="s">
        <v>85</v>
      </c>
      <c r="G31" s="52"/>
      <c r="H31" s="272"/>
      <c r="I31" s="272">
        <v>0.15</v>
      </c>
      <c r="J31" s="272"/>
      <c r="K31" s="272"/>
      <c r="L31" s="272">
        <v>0.2</v>
      </c>
      <c r="M31" s="272"/>
      <c r="N31" s="272"/>
      <c r="O31" s="272">
        <v>0.25</v>
      </c>
      <c r="P31" s="272"/>
      <c r="Q31" s="272"/>
      <c r="R31" s="272"/>
      <c r="S31" s="50">
        <f t="shared" si="2"/>
        <v>0.6</v>
      </c>
      <c r="T31" s="515"/>
      <c r="U31" s="540"/>
      <c r="V31" s="686"/>
      <c r="W31" s="690"/>
      <c r="X31" s="691"/>
      <c r="Y31" s="29"/>
      <c r="Z31" s="29"/>
    </row>
    <row r="32" spans="1:26" ht="50.1" customHeight="1" x14ac:dyDescent="0.25">
      <c r="A32" s="499"/>
      <c r="B32" s="652"/>
      <c r="C32" s="656" t="s">
        <v>161</v>
      </c>
      <c r="D32" s="659" t="s">
        <v>72</v>
      </c>
      <c r="E32" s="659" t="s">
        <v>72</v>
      </c>
      <c r="F32" s="54" t="s">
        <v>74</v>
      </c>
      <c r="G32" s="52">
        <v>0.04</v>
      </c>
      <c r="H32" s="272">
        <v>0.06</v>
      </c>
      <c r="I32" s="272">
        <v>0.08</v>
      </c>
      <c r="J32" s="272">
        <v>0.08</v>
      </c>
      <c r="K32" s="272">
        <v>0.08</v>
      </c>
      <c r="L32" s="272">
        <v>0.08</v>
      </c>
      <c r="M32" s="272">
        <v>0.08</v>
      </c>
      <c r="N32" s="272">
        <v>0.1</v>
      </c>
      <c r="O32" s="272">
        <v>0.1</v>
      </c>
      <c r="P32" s="272">
        <v>0.1</v>
      </c>
      <c r="Q32" s="272">
        <v>0.1</v>
      </c>
      <c r="R32" s="272">
        <v>0.1</v>
      </c>
      <c r="S32" s="54">
        <f t="shared" si="2"/>
        <v>0.99999999999999989</v>
      </c>
      <c r="T32" s="515"/>
      <c r="U32" s="663">
        <v>0.03</v>
      </c>
      <c r="V32" s="694" t="s">
        <v>164</v>
      </c>
      <c r="W32" s="85"/>
      <c r="X32" s="85"/>
      <c r="Y32" s="29"/>
      <c r="Z32" s="29"/>
    </row>
    <row r="33" spans="1:26" ht="50.1" customHeight="1" x14ac:dyDescent="0.25">
      <c r="A33" s="499"/>
      <c r="B33" s="652"/>
      <c r="C33" s="547"/>
      <c r="D33" s="540"/>
      <c r="E33" s="540"/>
      <c r="F33" s="50" t="s">
        <v>85</v>
      </c>
      <c r="G33" s="52">
        <v>0.04</v>
      </c>
      <c r="H33" s="272">
        <v>0.06</v>
      </c>
      <c r="I33" s="272">
        <v>0.08</v>
      </c>
      <c r="J33" s="272">
        <v>0.08</v>
      </c>
      <c r="K33" s="272">
        <v>0.08</v>
      </c>
      <c r="L33" s="272">
        <v>0.08</v>
      </c>
      <c r="M33" s="272">
        <v>0.08</v>
      </c>
      <c r="N33" s="272">
        <v>0.1</v>
      </c>
      <c r="O33" s="272">
        <v>0.1</v>
      </c>
      <c r="P33" s="272"/>
      <c r="Q33" s="272"/>
      <c r="R33" s="272"/>
      <c r="S33" s="50">
        <f t="shared" si="2"/>
        <v>0.7</v>
      </c>
      <c r="T33" s="515"/>
      <c r="U33" s="540"/>
      <c r="V33" s="686"/>
      <c r="W33" s="85"/>
      <c r="X33" s="85"/>
      <c r="Y33" s="29"/>
      <c r="Z33" s="29"/>
    </row>
    <row r="34" spans="1:26" ht="50.1" customHeight="1" x14ac:dyDescent="0.25">
      <c r="A34" s="499"/>
      <c r="B34" s="652"/>
      <c r="C34" s="656" t="s">
        <v>167</v>
      </c>
      <c r="D34" s="659" t="s">
        <v>72</v>
      </c>
      <c r="E34" s="659" t="s">
        <v>72</v>
      </c>
      <c r="F34" s="54" t="s">
        <v>74</v>
      </c>
      <c r="G34" s="52">
        <v>0.04</v>
      </c>
      <c r="H34" s="272">
        <v>0.06</v>
      </c>
      <c r="I34" s="272">
        <v>0.08</v>
      </c>
      <c r="J34" s="272">
        <v>0.08</v>
      </c>
      <c r="K34" s="272">
        <v>0.08</v>
      </c>
      <c r="L34" s="272">
        <v>0.08</v>
      </c>
      <c r="M34" s="272">
        <v>0.08</v>
      </c>
      <c r="N34" s="272">
        <v>0.1</v>
      </c>
      <c r="O34" s="272">
        <v>0.1</v>
      </c>
      <c r="P34" s="272">
        <v>0.1</v>
      </c>
      <c r="Q34" s="272">
        <v>0.1</v>
      </c>
      <c r="R34" s="272">
        <v>0.1</v>
      </c>
      <c r="S34" s="54">
        <f t="shared" si="2"/>
        <v>0.99999999999999989</v>
      </c>
      <c r="T34" s="515"/>
      <c r="U34" s="663">
        <v>1.4999999999999999E-2</v>
      </c>
      <c r="V34" s="687" t="s">
        <v>172</v>
      </c>
      <c r="W34" s="85"/>
      <c r="X34" s="85"/>
      <c r="Y34" s="29"/>
      <c r="Z34" s="29"/>
    </row>
    <row r="35" spans="1:26" ht="50.1" customHeight="1" x14ac:dyDescent="0.25">
      <c r="A35" s="499"/>
      <c r="B35" s="653"/>
      <c r="C35" s="580"/>
      <c r="D35" s="566"/>
      <c r="E35" s="566"/>
      <c r="F35" s="44" t="s">
        <v>85</v>
      </c>
      <c r="G35" s="45">
        <v>0</v>
      </c>
      <c r="H35" s="271">
        <v>0</v>
      </c>
      <c r="I35" s="271">
        <v>0</v>
      </c>
      <c r="J35" s="271">
        <v>0.08</v>
      </c>
      <c r="K35" s="271">
        <v>0.08</v>
      </c>
      <c r="L35" s="271">
        <v>0.08</v>
      </c>
      <c r="M35" s="271">
        <v>0.08</v>
      </c>
      <c r="N35" s="271">
        <v>0.1</v>
      </c>
      <c r="O35" s="271">
        <v>0.1</v>
      </c>
      <c r="P35" s="271"/>
      <c r="Q35" s="271"/>
      <c r="R35" s="271"/>
      <c r="S35" s="44">
        <f t="shared" si="2"/>
        <v>0.52</v>
      </c>
      <c r="T35" s="566"/>
      <c r="U35" s="566"/>
      <c r="V35" s="671"/>
      <c r="W35" s="85"/>
      <c r="X35" s="85"/>
      <c r="Y35" s="29"/>
      <c r="Z35" s="29"/>
    </row>
    <row r="36" spans="1:26" ht="50.1" customHeight="1" x14ac:dyDescent="0.25">
      <c r="A36" s="499"/>
      <c r="B36" s="651" t="s">
        <v>178</v>
      </c>
      <c r="C36" s="654" t="s">
        <v>179</v>
      </c>
      <c r="D36" s="90" t="s">
        <v>72</v>
      </c>
      <c r="E36" s="90" t="s">
        <v>72</v>
      </c>
      <c r="F36" s="40" t="s">
        <v>74</v>
      </c>
      <c r="G36" s="41">
        <v>0.04</v>
      </c>
      <c r="H36" s="369">
        <v>0.06</v>
      </c>
      <c r="I36" s="369">
        <v>0.08</v>
      </c>
      <c r="J36" s="369">
        <v>0.08</v>
      </c>
      <c r="K36" s="369">
        <v>0.08</v>
      </c>
      <c r="L36" s="369">
        <v>0.08</v>
      </c>
      <c r="M36" s="369">
        <v>0.08</v>
      </c>
      <c r="N36" s="369">
        <v>0.1</v>
      </c>
      <c r="O36" s="369">
        <v>0.1</v>
      </c>
      <c r="P36" s="369">
        <v>0.1</v>
      </c>
      <c r="Q36" s="369">
        <v>0.1</v>
      </c>
      <c r="R36" s="369">
        <v>0.1</v>
      </c>
      <c r="S36" s="40">
        <f t="shared" si="2"/>
        <v>0.99999999999999989</v>
      </c>
      <c r="T36" s="658">
        <v>0.02</v>
      </c>
      <c r="U36" s="92">
        <v>0.01</v>
      </c>
      <c r="V36" s="693" t="s">
        <v>551</v>
      </c>
      <c r="W36" s="29"/>
      <c r="X36" s="29"/>
      <c r="Y36" s="29"/>
      <c r="Z36" s="29"/>
    </row>
    <row r="37" spans="1:26" ht="50.1" customHeight="1" x14ac:dyDescent="0.25">
      <c r="A37" s="499"/>
      <c r="B37" s="652"/>
      <c r="C37" s="547"/>
      <c r="D37" s="94"/>
      <c r="E37" s="94"/>
      <c r="F37" s="50" t="s">
        <v>85</v>
      </c>
      <c r="G37" s="52">
        <v>0.04</v>
      </c>
      <c r="H37" s="272">
        <v>6.9000000000000006E-2</v>
      </c>
      <c r="I37" s="272">
        <v>0.08</v>
      </c>
      <c r="J37" s="272">
        <v>0.08</v>
      </c>
      <c r="K37" s="272">
        <v>0.08</v>
      </c>
      <c r="L37" s="272">
        <v>0.08</v>
      </c>
      <c r="M37" s="272">
        <v>7.8E-2</v>
      </c>
      <c r="N37" s="272">
        <v>0.04</v>
      </c>
      <c r="O37" s="272">
        <v>0.08</v>
      </c>
      <c r="P37" s="272"/>
      <c r="Q37" s="272"/>
      <c r="R37" s="272"/>
      <c r="S37" s="50">
        <f t="shared" si="2"/>
        <v>0.627</v>
      </c>
      <c r="T37" s="515"/>
      <c r="U37" s="100"/>
      <c r="V37" s="686"/>
      <c r="W37" s="29"/>
      <c r="X37" s="29"/>
      <c r="Y37" s="29"/>
      <c r="Z37" s="29"/>
    </row>
    <row r="38" spans="1:26" ht="50.1" customHeight="1" x14ac:dyDescent="0.25">
      <c r="A38" s="499"/>
      <c r="B38" s="652"/>
      <c r="C38" s="657" t="s">
        <v>181</v>
      </c>
      <c r="D38" s="659" t="s">
        <v>72</v>
      </c>
      <c r="E38" s="659" t="s">
        <v>72</v>
      </c>
      <c r="F38" s="54" t="s">
        <v>74</v>
      </c>
      <c r="G38" s="52">
        <v>0.04</v>
      </c>
      <c r="H38" s="272">
        <v>0.06</v>
      </c>
      <c r="I38" s="272">
        <v>0.08</v>
      </c>
      <c r="J38" s="272">
        <v>0.08</v>
      </c>
      <c r="K38" s="272">
        <v>0.08</v>
      </c>
      <c r="L38" s="272">
        <v>0.08</v>
      </c>
      <c r="M38" s="272">
        <v>0.08</v>
      </c>
      <c r="N38" s="272">
        <v>0.1</v>
      </c>
      <c r="O38" s="272">
        <v>0.1</v>
      </c>
      <c r="P38" s="272">
        <v>0.1</v>
      </c>
      <c r="Q38" s="272">
        <v>0.1</v>
      </c>
      <c r="R38" s="272">
        <v>0.1</v>
      </c>
      <c r="S38" s="54">
        <f t="shared" si="2"/>
        <v>0.99999999999999989</v>
      </c>
      <c r="T38" s="515"/>
      <c r="U38" s="663">
        <v>0.01</v>
      </c>
      <c r="V38" s="687" t="s">
        <v>182</v>
      </c>
      <c r="W38" s="104"/>
      <c r="X38" s="104"/>
      <c r="Y38" s="104"/>
      <c r="Z38" s="29"/>
    </row>
    <row r="39" spans="1:26" ht="50.1" customHeight="1" x14ac:dyDescent="0.25">
      <c r="A39" s="499"/>
      <c r="B39" s="653"/>
      <c r="C39" s="586"/>
      <c r="D39" s="566"/>
      <c r="E39" s="566"/>
      <c r="F39" s="44" t="s">
        <v>85</v>
      </c>
      <c r="G39" s="45">
        <v>0.04</v>
      </c>
      <c r="H39" s="271">
        <v>0.06</v>
      </c>
      <c r="I39" s="271">
        <v>0.08</v>
      </c>
      <c r="J39" s="271">
        <v>0.08</v>
      </c>
      <c r="K39" s="271">
        <v>0.08</v>
      </c>
      <c r="L39" s="271">
        <v>0.08</v>
      </c>
      <c r="M39" s="271">
        <v>0.08</v>
      </c>
      <c r="N39" s="271">
        <v>0.1</v>
      </c>
      <c r="O39" s="271">
        <v>0.1</v>
      </c>
      <c r="P39" s="271"/>
      <c r="Q39" s="271"/>
      <c r="R39" s="271"/>
      <c r="S39" s="44">
        <f t="shared" si="2"/>
        <v>0.7</v>
      </c>
      <c r="T39" s="566"/>
      <c r="U39" s="566"/>
      <c r="V39" s="671"/>
      <c r="W39" s="104"/>
      <c r="X39" s="104"/>
      <c r="Y39" s="104"/>
      <c r="Z39" s="29"/>
    </row>
    <row r="40" spans="1:26" ht="50.1" customHeight="1" x14ac:dyDescent="0.25">
      <c r="A40" s="499"/>
      <c r="B40" s="651" t="s">
        <v>189</v>
      </c>
      <c r="C40" s="654" t="s">
        <v>190</v>
      </c>
      <c r="D40" s="660" t="s">
        <v>72</v>
      </c>
      <c r="E40" s="660"/>
      <c r="F40" s="40" t="s">
        <v>74</v>
      </c>
      <c r="G40" s="41"/>
      <c r="H40" s="369"/>
      <c r="I40" s="369">
        <v>0.05</v>
      </c>
      <c r="J40" s="372"/>
      <c r="K40" s="369"/>
      <c r="L40" s="369">
        <v>0.15</v>
      </c>
      <c r="M40" s="372"/>
      <c r="N40" s="369"/>
      <c r="O40" s="369">
        <v>0.4</v>
      </c>
      <c r="P40" s="372"/>
      <c r="Q40" s="369"/>
      <c r="R40" s="369">
        <v>0.4</v>
      </c>
      <c r="S40" s="40">
        <f t="shared" si="2"/>
        <v>1</v>
      </c>
      <c r="T40" s="675">
        <v>0.02</v>
      </c>
      <c r="U40" s="675">
        <v>0.02</v>
      </c>
      <c r="V40" s="670" t="s">
        <v>192</v>
      </c>
      <c r="W40" s="29"/>
      <c r="X40" s="29"/>
      <c r="Y40" s="29"/>
      <c r="Z40" s="29"/>
    </row>
    <row r="41" spans="1:26" ht="50.1" customHeight="1" x14ac:dyDescent="0.25">
      <c r="A41" s="678"/>
      <c r="B41" s="653"/>
      <c r="C41" s="580"/>
      <c r="D41" s="566"/>
      <c r="E41" s="566"/>
      <c r="F41" s="44" t="s">
        <v>85</v>
      </c>
      <c r="G41" s="45"/>
      <c r="H41" s="271"/>
      <c r="I41" s="271">
        <v>0.05</v>
      </c>
      <c r="J41" s="271"/>
      <c r="K41" s="271"/>
      <c r="L41" s="271">
        <v>0.15</v>
      </c>
      <c r="M41" s="271"/>
      <c r="N41" s="271"/>
      <c r="O41" s="271">
        <v>0.02</v>
      </c>
      <c r="P41" s="271"/>
      <c r="Q41" s="271"/>
      <c r="R41" s="271"/>
      <c r="S41" s="44">
        <f t="shared" si="2"/>
        <v>0.22</v>
      </c>
      <c r="T41" s="566"/>
      <c r="U41" s="566"/>
      <c r="V41" s="671"/>
      <c r="W41" s="29"/>
      <c r="X41" s="29"/>
      <c r="Y41" s="29"/>
      <c r="Z41" s="29"/>
    </row>
    <row r="42" spans="1:26" ht="50.1" customHeight="1" x14ac:dyDescent="0.25">
      <c r="A42" s="677" t="s">
        <v>193</v>
      </c>
      <c r="B42" s="651" t="s">
        <v>194</v>
      </c>
      <c r="C42" s="654" t="s">
        <v>195</v>
      </c>
      <c r="D42" s="660" t="s">
        <v>72</v>
      </c>
      <c r="E42" s="660" t="s">
        <v>72</v>
      </c>
      <c r="F42" s="40" t="s">
        <v>74</v>
      </c>
      <c r="G42" s="41">
        <v>0.04</v>
      </c>
      <c r="H42" s="369">
        <v>0.06</v>
      </c>
      <c r="I42" s="369">
        <v>0.08</v>
      </c>
      <c r="J42" s="369">
        <v>0.08</v>
      </c>
      <c r="K42" s="369">
        <v>0.08</v>
      </c>
      <c r="L42" s="369">
        <v>0.08</v>
      </c>
      <c r="M42" s="369">
        <v>0.08</v>
      </c>
      <c r="N42" s="369">
        <v>0.1</v>
      </c>
      <c r="O42" s="369">
        <v>0.1</v>
      </c>
      <c r="P42" s="369">
        <v>0.1</v>
      </c>
      <c r="Q42" s="369">
        <v>0.1</v>
      </c>
      <c r="R42" s="369">
        <v>0.1</v>
      </c>
      <c r="S42" s="40">
        <f t="shared" si="2"/>
        <v>0.99999999999999989</v>
      </c>
      <c r="T42" s="661">
        <v>0.09</v>
      </c>
      <c r="U42" s="675">
        <f>T42/4</f>
        <v>2.2499999999999999E-2</v>
      </c>
      <c r="V42" s="670" t="s">
        <v>197</v>
      </c>
      <c r="W42" s="29"/>
      <c r="X42" s="29"/>
      <c r="Y42" s="29"/>
      <c r="Z42" s="29"/>
    </row>
    <row r="43" spans="1:26" ht="50.1" customHeight="1" x14ac:dyDescent="0.25">
      <c r="A43" s="499"/>
      <c r="B43" s="652"/>
      <c r="C43" s="547"/>
      <c r="D43" s="540"/>
      <c r="E43" s="540"/>
      <c r="F43" s="50" t="s">
        <v>85</v>
      </c>
      <c r="G43" s="52">
        <v>0.04</v>
      </c>
      <c r="H43" s="272">
        <v>0.06</v>
      </c>
      <c r="I43" s="272">
        <v>0.08</v>
      </c>
      <c r="J43" s="272">
        <v>0.08</v>
      </c>
      <c r="K43" s="272">
        <v>0.08</v>
      </c>
      <c r="L43" s="272">
        <v>0.08</v>
      </c>
      <c r="M43" s="272">
        <v>0.3</v>
      </c>
      <c r="N43" s="272">
        <v>0.23</v>
      </c>
      <c r="O43" s="272">
        <v>0.05</v>
      </c>
      <c r="P43" s="272"/>
      <c r="Q43" s="272"/>
      <c r="R43" s="272"/>
      <c r="S43" s="50">
        <f t="shared" si="2"/>
        <v>1</v>
      </c>
      <c r="T43" s="515"/>
      <c r="U43" s="540"/>
      <c r="V43" s="686"/>
      <c r="W43" s="29"/>
      <c r="X43" s="29"/>
      <c r="Y43" s="29"/>
      <c r="Z43" s="29"/>
    </row>
    <row r="44" spans="1:26" ht="50.1" customHeight="1" x14ac:dyDescent="0.25">
      <c r="A44" s="499"/>
      <c r="B44" s="652"/>
      <c r="C44" s="656" t="s">
        <v>198</v>
      </c>
      <c r="D44" s="659" t="s">
        <v>72</v>
      </c>
      <c r="E44" s="659" t="s">
        <v>72</v>
      </c>
      <c r="F44" s="54" t="s">
        <v>74</v>
      </c>
      <c r="G44" s="52">
        <v>0.04</v>
      </c>
      <c r="H44" s="272">
        <v>0.06</v>
      </c>
      <c r="I44" s="272">
        <v>0.08</v>
      </c>
      <c r="J44" s="272">
        <v>0.08</v>
      </c>
      <c r="K44" s="272">
        <v>0.08</v>
      </c>
      <c r="L44" s="272">
        <v>0.08</v>
      </c>
      <c r="M44" s="272">
        <v>0.08</v>
      </c>
      <c r="N44" s="272">
        <v>0.1</v>
      </c>
      <c r="O44" s="272">
        <v>0.1</v>
      </c>
      <c r="P44" s="272">
        <v>0.1</v>
      </c>
      <c r="Q44" s="272">
        <v>0.1</v>
      </c>
      <c r="R44" s="272">
        <v>0.1</v>
      </c>
      <c r="S44" s="54">
        <f t="shared" si="2"/>
        <v>0.99999999999999989</v>
      </c>
      <c r="T44" s="515"/>
      <c r="U44" s="663">
        <v>2.2499999999999999E-2</v>
      </c>
      <c r="V44" s="685" t="s">
        <v>199</v>
      </c>
      <c r="W44" s="29"/>
      <c r="X44" s="29"/>
      <c r="Y44" s="29"/>
      <c r="Z44" s="29"/>
    </row>
    <row r="45" spans="1:26" ht="50.1" customHeight="1" x14ac:dyDescent="0.25">
      <c r="A45" s="499"/>
      <c r="B45" s="652"/>
      <c r="C45" s="547"/>
      <c r="D45" s="540"/>
      <c r="E45" s="540"/>
      <c r="F45" s="50" t="s">
        <v>85</v>
      </c>
      <c r="G45" s="52">
        <v>0.04</v>
      </c>
      <c r="H45" s="272">
        <v>0.06</v>
      </c>
      <c r="I45" s="272">
        <v>0.08</v>
      </c>
      <c r="J45" s="272">
        <v>0.08</v>
      </c>
      <c r="K45" s="272">
        <v>0.08</v>
      </c>
      <c r="L45" s="272">
        <v>0.08</v>
      </c>
      <c r="M45" s="272">
        <v>0.08</v>
      </c>
      <c r="N45" s="272">
        <v>0.1</v>
      </c>
      <c r="O45" s="272">
        <v>0.1</v>
      </c>
      <c r="P45" s="272"/>
      <c r="Q45" s="272"/>
      <c r="R45" s="272"/>
      <c r="S45" s="50">
        <f t="shared" si="2"/>
        <v>0.7</v>
      </c>
      <c r="T45" s="515"/>
      <c r="U45" s="540"/>
      <c r="V45" s="686"/>
      <c r="W45" s="29"/>
      <c r="X45" s="29"/>
      <c r="Y45" s="29"/>
      <c r="Z45" s="29"/>
    </row>
    <row r="46" spans="1:26" ht="50.1" customHeight="1" x14ac:dyDescent="0.25">
      <c r="A46" s="499"/>
      <c r="B46" s="652"/>
      <c r="C46" s="656" t="s">
        <v>200</v>
      </c>
      <c r="D46" s="659" t="s">
        <v>72</v>
      </c>
      <c r="E46" s="659" t="s">
        <v>72</v>
      </c>
      <c r="F46" s="54" t="s">
        <v>74</v>
      </c>
      <c r="G46" s="52">
        <v>0.04</v>
      </c>
      <c r="H46" s="272">
        <v>0.06</v>
      </c>
      <c r="I46" s="272">
        <v>0.08</v>
      </c>
      <c r="J46" s="272">
        <v>0.08</v>
      </c>
      <c r="K46" s="272">
        <v>0.08</v>
      </c>
      <c r="L46" s="272">
        <v>0.08</v>
      </c>
      <c r="M46" s="272">
        <v>0.08</v>
      </c>
      <c r="N46" s="272">
        <v>0.1</v>
      </c>
      <c r="O46" s="272">
        <v>0.1</v>
      </c>
      <c r="P46" s="272">
        <v>0.1</v>
      </c>
      <c r="Q46" s="272">
        <v>0.1</v>
      </c>
      <c r="R46" s="272">
        <v>0.1</v>
      </c>
      <c r="S46" s="54">
        <f t="shared" si="2"/>
        <v>0.99999999999999989</v>
      </c>
      <c r="T46" s="515"/>
      <c r="U46" s="663">
        <v>2.2499999999999999E-2</v>
      </c>
      <c r="V46" s="685" t="s">
        <v>202</v>
      </c>
      <c r="W46" s="29"/>
      <c r="X46" s="29"/>
      <c r="Y46" s="29"/>
      <c r="Z46" s="29"/>
    </row>
    <row r="47" spans="1:26" ht="50.1" customHeight="1" x14ac:dyDescent="0.25">
      <c r="A47" s="499"/>
      <c r="B47" s="652"/>
      <c r="C47" s="547"/>
      <c r="D47" s="540"/>
      <c r="E47" s="540"/>
      <c r="F47" s="50" t="s">
        <v>85</v>
      </c>
      <c r="G47" s="52">
        <v>0.04</v>
      </c>
      <c r="H47" s="272">
        <v>0.06</v>
      </c>
      <c r="I47" s="272">
        <v>0.08</v>
      </c>
      <c r="J47" s="272">
        <v>0.08</v>
      </c>
      <c r="K47" s="272">
        <v>0.08</v>
      </c>
      <c r="L47" s="272">
        <v>0.08</v>
      </c>
      <c r="M47" s="272">
        <v>0.08</v>
      </c>
      <c r="N47" s="272">
        <v>0.1</v>
      </c>
      <c r="O47" s="272">
        <v>0.1</v>
      </c>
      <c r="P47" s="272"/>
      <c r="Q47" s="272"/>
      <c r="R47" s="272"/>
      <c r="S47" s="50">
        <f t="shared" si="2"/>
        <v>0.7</v>
      </c>
      <c r="T47" s="515"/>
      <c r="U47" s="540"/>
      <c r="V47" s="686"/>
      <c r="W47" s="29"/>
      <c r="X47" s="29"/>
      <c r="Y47" s="29"/>
      <c r="Z47" s="29"/>
    </row>
    <row r="48" spans="1:26" ht="50.1" customHeight="1" x14ac:dyDescent="0.25">
      <c r="A48" s="499"/>
      <c r="B48" s="652"/>
      <c r="C48" s="656" t="s">
        <v>203</v>
      </c>
      <c r="D48" s="659" t="s">
        <v>72</v>
      </c>
      <c r="E48" s="659" t="s">
        <v>72</v>
      </c>
      <c r="F48" s="54" t="s">
        <v>74</v>
      </c>
      <c r="G48" s="52">
        <v>0.04</v>
      </c>
      <c r="H48" s="272">
        <v>0.06</v>
      </c>
      <c r="I48" s="272">
        <v>0.08</v>
      </c>
      <c r="J48" s="272">
        <v>0.08</v>
      </c>
      <c r="K48" s="272">
        <v>0.08</v>
      </c>
      <c r="L48" s="272">
        <v>0.08</v>
      </c>
      <c r="M48" s="272">
        <v>0.08</v>
      </c>
      <c r="N48" s="272">
        <v>0.1</v>
      </c>
      <c r="O48" s="272">
        <v>0.1</v>
      </c>
      <c r="P48" s="272">
        <v>0.1</v>
      </c>
      <c r="Q48" s="272">
        <v>0.1</v>
      </c>
      <c r="R48" s="272">
        <v>0.1</v>
      </c>
      <c r="S48" s="54">
        <f t="shared" si="2"/>
        <v>0.99999999999999989</v>
      </c>
      <c r="T48" s="515"/>
      <c r="U48" s="663">
        <v>2.2499999999999999E-2</v>
      </c>
      <c r="V48" s="685" t="s">
        <v>209</v>
      </c>
      <c r="W48" s="29"/>
      <c r="X48" s="29"/>
      <c r="Y48" s="29"/>
      <c r="Z48" s="29"/>
    </row>
    <row r="49" spans="1:26" ht="50.1" customHeight="1" x14ac:dyDescent="0.25">
      <c r="A49" s="499"/>
      <c r="B49" s="653"/>
      <c r="C49" s="580"/>
      <c r="D49" s="566"/>
      <c r="E49" s="566"/>
      <c r="F49" s="44" t="s">
        <v>85</v>
      </c>
      <c r="G49" s="45">
        <v>0.04</v>
      </c>
      <c r="H49" s="271">
        <v>0.06</v>
      </c>
      <c r="I49" s="271">
        <v>0.08</v>
      </c>
      <c r="J49" s="271">
        <v>0.08</v>
      </c>
      <c r="K49" s="271">
        <v>0.08</v>
      </c>
      <c r="L49" s="271">
        <v>0.08</v>
      </c>
      <c r="M49" s="271">
        <v>0.08</v>
      </c>
      <c r="N49" s="271">
        <v>0.1</v>
      </c>
      <c r="O49" s="271">
        <v>0.1</v>
      </c>
      <c r="P49" s="271"/>
      <c r="Q49" s="271"/>
      <c r="R49" s="271"/>
      <c r="S49" s="44">
        <f t="shared" si="2"/>
        <v>0.7</v>
      </c>
      <c r="T49" s="566"/>
      <c r="U49" s="566"/>
      <c r="V49" s="671"/>
      <c r="W49" s="29"/>
      <c r="X49" s="29"/>
      <c r="Y49" s="29"/>
      <c r="Z49" s="29"/>
    </row>
    <row r="50" spans="1:26" ht="50.1" customHeight="1" x14ac:dyDescent="0.25">
      <c r="A50" s="499"/>
      <c r="B50" s="651" t="s">
        <v>210</v>
      </c>
      <c r="C50" s="654" t="s">
        <v>211</v>
      </c>
      <c r="D50" s="660" t="s">
        <v>72</v>
      </c>
      <c r="E50" s="660" t="s">
        <v>72</v>
      </c>
      <c r="F50" s="40" t="s">
        <v>74</v>
      </c>
      <c r="G50" s="41">
        <v>0.04</v>
      </c>
      <c r="H50" s="369">
        <v>0.06</v>
      </c>
      <c r="I50" s="369">
        <v>0.08</v>
      </c>
      <c r="J50" s="369">
        <v>0.08</v>
      </c>
      <c r="K50" s="369">
        <v>0.08</v>
      </c>
      <c r="L50" s="369">
        <v>0.08</v>
      </c>
      <c r="M50" s="369">
        <v>0.08</v>
      </c>
      <c r="N50" s="369">
        <v>0.1</v>
      </c>
      <c r="O50" s="369">
        <v>0.1</v>
      </c>
      <c r="P50" s="369">
        <v>0.1</v>
      </c>
      <c r="Q50" s="369">
        <v>0.1</v>
      </c>
      <c r="R50" s="369">
        <v>0.1</v>
      </c>
      <c r="S50" s="40">
        <f t="shared" si="2"/>
        <v>0.99999999999999989</v>
      </c>
      <c r="T50" s="661">
        <v>0.01</v>
      </c>
      <c r="U50" s="658">
        <v>5.0000000000000001E-3</v>
      </c>
      <c r="V50" s="693" t="s">
        <v>212</v>
      </c>
      <c r="W50" s="29"/>
      <c r="X50" s="29"/>
      <c r="Y50" s="29"/>
      <c r="Z50" s="29"/>
    </row>
    <row r="51" spans="1:26" ht="50.1" customHeight="1" x14ac:dyDescent="0.25">
      <c r="A51" s="499"/>
      <c r="B51" s="652"/>
      <c r="C51" s="547"/>
      <c r="D51" s="540"/>
      <c r="E51" s="540"/>
      <c r="F51" s="50" t="s">
        <v>85</v>
      </c>
      <c r="G51" s="52">
        <v>0.04</v>
      </c>
      <c r="H51" s="272">
        <v>0.06</v>
      </c>
      <c r="I51" s="272">
        <v>0.08</v>
      </c>
      <c r="J51" s="272">
        <v>0.08</v>
      </c>
      <c r="K51" s="272">
        <v>0.08</v>
      </c>
      <c r="L51" s="272">
        <v>0.08</v>
      </c>
      <c r="M51" s="272">
        <v>0.08</v>
      </c>
      <c r="N51" s="272">
        <v>0.1</v>
      </c>
      <c r="O51" s="272">
        <v>0.1</v>
      </c>
      <c r="P51" s="272"/>
      <c r="Q51" s="272"/>
      <c r="R51" s="272"/>
      <c r="S51" s="50">
        <f t="shared" si="2"/>
        <v>0.7</v>
      </c>
      <c r="T51" s="515"/>
      <c r="U51" s="540"/>
      <c r="V51" s="686"/>
      <c r="W51" s="29"/>
      <c r="X51" s="29"/>
      <c r="Y51" s="29"/>
      <c r="Z51" s="29"/>
    </row>
    <row r="52" spans="1:26" ht="50.1" customHeight="1" x14ac:dyDescent="0.25">
      <c r="A52" s="499"/>
      <c r="B52" s="652"/>
      <c r="C52" s="656" t="s">
        <v>219</v>
      </c>
      <c r="D52" s="659" t="s">
        <v>72</v>
      </c>
      <c r="E52" s="659" t="s">
        <v>72</v>
      </c>
      <c r="F52" s="54" t="s">
        <v>74</v>
      </c>
      <c r="G52" s="52">
        <v>0.04</v>
      </c>
      <c r="H52" s="272">
        <v>0.06</v>
      </c>
      <c r="I52" s="272">
        <v>0.08</v>
      </c>
      <c r="J52" s="272">
        <v>0.08</v>
      </c>
      <c r="K52" s="272">
        <v>0.08</v>
      </c>
      <c r="L52" s="272">
        <v>0.08</v>
      </c>
      <c r="M52" s="272">
        <v>0.08</v>
      </c>
      <c r="N52" s="272">
        <v>0.1</v>
      </c>
      <c r="O52" s="272">
        <v>0.1</v>
      </c>
      <c r="P52" s="272">
        <v>0.1</v>
      </c>
      <c r="Q52" s="272">
        <v>0.1</v>
      </c>
      <c r="R52" s="272">
        <v>0.1</v>
      </c>
      <c r="S52" s="54">
        <f t="shared" si="2"/>
        <v>0.99999999999999989</v>
      </c>
      <c r="T52" s="515"/>
      <c r="U52" s="663">
        <v>5.0000000000000001E-3</v>
      </c>
      <c r="V52" s="687" t="s">
        <v>220</v>
      </c>
      <c r="W52" s="29"/>
      <c r="X52" s="29"/>
      <c r="Y52" s="29"/>
      <c r="Z52" s="29"/>
    </row>
    <row r="53" spans="1:26" ht="50.1" customHeight="1" x14ac:dyDescent="0.25">
      <c r="A53" s="499"/>
      <c r="B53" s="653"/>
      <c r="C53" s="580"/>
      <c r="D53" s="566"/>
      <c r="E53" s="566"/>
      <c r="F53" s="44" t="s">
        <v>85</v>
      </c>
      <c r="G53" s="45">
        <v>0.04</v>
      </c>
      <c r="H53" s="271">
        <v>0.06</v>
      </c>
      <c r="I53" s="271">
        <v>0.08</v>
      </c>
      <c r="J53" s="271">
        <v>0.08</v>
      </c>
      <c r="K53" s="271">
        <v>0.08</v>
      </c>
      <c r="L53" s="271">
        <v>0.08</v>
      </c>
      <c r="M53" s="271">
        <v>0.08</v>
      </c>
      <c r="N53" s="271">
        <v>0.1</v>
      </c>
      <c r="O53" s="271">
        <v>0.1</v>
      </c>
      <c r="P53" s="271"/>
      <c r="Q53" s="271"/>
      <c r="R53" s="271"/>
      <c r="S53" s="44">
        <f t="shared" si="2"/>
        <v>0.7</v>
      </c>
      <c r="T53" s="566"/>
      <c r="U53" s="566"/>
      <c r="V53" s="671"/>
      <c r="W53" s="29"/>
      <c r="X53" s="29"/>
      <c r="Y53" s="29"/>
      <c r="Z53" s="29"/>
    </row>
    <row r="54" spans="1:26" ht="50.1" customHeight="1" x14ac:dyDescent="0.25">
      <c r="A54" s="499"/>
      <c r="B54" s="651" t="s">
        <v>221</v>
      </c>
      <c r="C54" s="655" t="s">
        <v>222</v>
      </c>
      <c r="D54" s="660" t="s">
        <v>72</v>
      </c>
      <c r="E54" s="660" t="s">
        <v>72</v>
      </c>
      <c r="F54" s="40" t="s">
        <v>74</v>
      </c>
      <c r="G54" s="41">
        <v>0.04</v>
      </c>
      <c r="H54" s="369">
        <v>0.06</v>
      </c>
      <c r="I54" s="369">
        <v>0.08</v>
      </c>
      <c r="J54" s="369">
        <v>0.08</v>
      </c>
      <c r="K54" s="369">
        <v>0.08</v>
      </c>
      <c r="L54" s="369">
        <v>0.08</v>
      </c>
      <c r="M54" s="369">
        <v>0.08</v>
      </c>
      <c r="N54" s="369">
        <v>0.1</v>
      </c>
      <c r="O54" s="369">
        <v>0.1</v>
      </c>
      <c r="P54" s="369">
        <v>0.1</v>
      </c>
      <c r="Q54" s="369">
        <v>0.1</v>
      </c>
      <c r="R54" s="369">
        <v>0.1</v>
      </c>
      <c r="S54" s="40">
        <f t="shared" si="2"/>
        <v>0.99999999999999989</v>
      </c>
      <c r="T54" s="661">
        <v>0.08</v>
      </c>
      <c r="U54" s="658">
        <v>0.08</v>
      </c>
      <c r="V54" s="670" t="s">
        <v>223</v>
      </c>
      <c r="W54" s="29"/>
      <c r="X54" s="29"/>
      <c r="Y54" s="29"/>
      <c r="Z54" s="29"/>
    </row>
    <row r="55" spans="1:26" ht="50.1" customHeight="1" x14ac:dyDescent="0.25">
      <c r="A55" s="499"/>
      <c r="B55" s="653"/>
      <c r="C55" s="586"/>
      <c r="D55" s="566"/>
      <c r="E55" s="566"/>
      <c r="F55" s="44" t="s">
        <v>85</v>
      </c>
      <c r="G55" s="45">
        <v>0.04</v>
      </c>
      <c r="H55" s="271">
        <v>0.06</v>
      </c>
      <c r="I55" s="271">
        <v>0.08</v>
      </c>
      <c r="J55" s="271">
        <v>0.08</v>
      </c>
      <c r="K55" s="271">
        <v>0.08</v>
      </c>
      <c r="L55" s="271">
        <v>0.08</v>
      </c>
      <c r="M55" s="271">
        <v>0.08</v>
      </c>
      <c r="N55" s="271">
        <v>0.1</v>
      </c>
      <c r="O55" s="271">
        <v>0.1</v>
      </c>
      <c r="P55" s="271"/>
      <c r="Q55" s="271"/>
      <c r="R55" s="271"/>
      <c r="S55" s="44">
        <f t="shared" si="2"/>
        <v>0.7</v>
      </c>
      <c r="T55" s="566"/>
      <c r="U55" s="566"/>
      <c r="V55" s="671"/>
      <c r="W55" s="29"/>
      <c r="X55" s="29"/>
      <c r="Y55" s="29"/>
      <c r="Z55" s="29"/>
    </row>
    <row r="56" spans="1:26" ht="50.1" customHeight="1" x14ac:dyDescent="0.25">
      <c r="A56" s="499"/>
      <c r="B56" s="651" t="s">
        <v>226</v>
      </c>
      <c r="C56" s="654" t="s">
        <v>227</v>
      </c>
      <c r="D56" s="660" t="s">
        <v>72</v>
      </c>
      <c r="E56" s="660" t="s">
        <v>72</v>
      </c>
      <c r="F56" s="40" t="s">
        <v>74</v>
      </c>
      <c r="G56" s="41">
        <v>0.04</v>
      </c>
      <c r="H56" s="369">
        <v>0.06</v>
      </c>
      <c r="I56" s="369">
        <v>0.08</v>
      </c>
      <c r="J56" s="369">
        <v>0.08</v>
      </c>
      <c r="K56" s="369">
        <v>0.08</v>
      </c>
      <c r="L56" s="369">
        <v>0.08</v>
      </c>
      <c r="M56" s="369">
        <v>0.08</v>
      </c>
      <c r="N56" s="369">
        <v>0.1</v>
      </c>
      <c r="O56" s="369">
        <v>0.1</v>
      </c>
      <c r="P56" s="369">
        <v>0.1</v>
      </c>
      <c r="Q56" s="369">
        <v>0.1</v>
      </c>
      <c r="R56" s="369">
        <v>0.1</v>
      </c>
      <c r="S56" s="40">
        <f t="shared" si="2"/>
        <v>0.99999999999999989</v>
      </c>
      <c r="T56" s="661">
        <v>7.0000000000000007E-2</v>
      </c>
      <c r="U56" s="658">
        <v>2.5000000000000001E-2</v>
      </c>
      <c r="V56" s="670" t="s">
        <v>543</v>
      </c>
      <c r="W56" s="29"/>
      <c r="X56" s="29"/>
      <c r="Y56" s="29"/>
      <c r="Z56" s="29"/>
    </row>
    <row r="57" spans="1:26" ht="50.1" customHeight="1" x14ac:dyDescent="0.25">
      <c r="A57" s="499"/>
      <c r="B57" s="652"/>
      <c r="C57" s="547"/>
      <c r="D57" s="540"/>
      <c r="E57" s="540"/>
      <c r="F57" s="50" t="s">
        <v>85</v>
      </c>
      <c r="G57" s="52">
        <v>0.04</v>
      </c>
      <c r="H57" s="272">
        <v>0.04</v>
      </c>
      <c r="I57" s="272">
        <v>4.1200000000000001E-2</v>
      </c>
      <c r="J57" s="272">
        <v>0.08</v>
      </c>
      <c r="K57" s="272">
        <v>0.08</v>
      </c>
      <c r="L57" s="272">
        <v>0.08</v>
      </c>
      <c r="M57" s="272">
        <v>7.0000000000000007E-2</v>
      </c>
      <c r="N57" s="272">
        <v>7.0000000000000007E-2</v>
      </c>
      <c r="O57" s="272">
        <v>4.9599999999999998E-2</v>
      </c>
      <c r="P57" s="272"/>
      <c r="Q57" s="272"/>
      <c r="R57" s="272"/>
      <c r="S57" s="117">
        <f t="shared" si="2"/>
        <v>0.55080000000000007</v>
      </c>
      <c r="T57" s="515"/>
      <c r="U57" s="540"/>
      <c r="V57" s="686"/>
      <c r="W57" s="29"/>
      <c r="X57" s="29"/>
      <c r="Y57" s="29"/>
      <c r="Z57" s="29"/>
    </row>
    <row r="58" spans="1:26" ht="50.1" customHeight="1" x14ac:dyDescent="0.25">
      <c r="A58" s="499"/>
      <c r="B58" s="652"/>
      <c r="C58" s="656" t="s">
        <v>232</v>
      </c>
      <c r="D58" s="659" t="s">
        <v>72</v>
      </c>
      <c r="E58" s="659" t="s">
        <v>72</v>
      </c>
      <c r="F58" s="54" t="s">
        <v>74</v>
      </c>
      <c r="G58" s="52">
        <v>0.04</v>
      </c>
      <c r="H58" s="272">
        <v>0.06</v>
      </c>
      <c r="I58" s="272">
        <v>0.08</v>
      </c>
      <c r="J58" s="272">
        <v>0.08</v>
      </c>
      <c r="K58" s="272">
        <v>0.08</v>
      </c>
      <c r="L58" s="272">
        <v>0.08</v>
      </c>
      <c r="M58" s="272">
        <v>0.08</v>
      </c>
      <c r="N58" s="272">
        <v>0.1</v>
      </c>
      <c r="O58" s="272">
        <v>0.1</v>
      </c>
      <c r="P58" s="272">
        <v>0.1</v>
      </c>
      <c r="Q58" s="272">
        <v>0.1</v>
      </c>
      <c r="R58" s="272">
        <v>0.1</v>
      </c>
      <c r="S58" s="54">
        <f t="shared" si="2"/>
        <v>0.99999999999999989</v>
      </c>
      <c r="T58" s="515"/>
      <c r="U58" s="662">
        <v>2.5000000000000001E-2</v>
      </c>
      <c r="V58" s="685" t="s">
        <v>234</v>
      </c>
      <c r="W58" s="29"/>
      <c r="X58" s="29"/>
      <c r="Y58" s="29"/>
      <c r="Z58" s="29"/>
    </row>
    <row r="59" spans="1:26" ht="50.1" customHeight="1" x14ac:dyDescent="0.25">
      <c r="A59" s="499"/>
      <c r="B59" s="652"/>
      <c r="C59" s="547"/>
      <c r="D59" s="540"/>
      <c r="E59" s="540"/>
      <c r="F59" s="50" t="s">
        <v>85</v>
      </c>
      <c r="G59" s="52">
        <v>0.04</v>
      </c>
      <c r="H59" s="272">
        <v>0.06</v>
      </c>
      <c r="I59" s="272">
        <v>0.08</v>
      </c>
      <c r="J59" s="272">
        <v>0.08</v>
      </c>
      <c r="K59" s="272">
        <v>0.08</v>
      </c>
      <c r="L59" s="272">
        <v>0.08</v>
      </c>
      <c r="M59" s="272">
        <v>0.08</v>
      </c>
      <c r="N59" s="272">
        <v>0.1</v>
      </c>
      <c r="O59" s="272">
        <v>0.1</v>
      </c>
      <c r="P59" s="272"/>
      <c r="Q59" s="272"/>
      <c r="R59" s="272"/>
      <c r="S59" s="50">
        <f t="shared" si="2"/>
        <v>0.7</v>
      </c>
      <c r="T59" s="515"/>
      <c r="U59" s="540"/>
      <c r="V59" s="686"/>
      <c r="W59" s="29"/>
      <c r="X59" s="29"/>
      <c r="Y59" s="29"/>
      <c r="Z59" s="29"/>
    </row>
    <row r="60" spans="1:26" ht="50.1" customHeight="1" x14ac:dyDescent="0.25">
      <c r="A60" s="499"/>
      <c r="B60" s="652"/>
      <c r="C60" s="657" t="s">
        <v>235</v>
      </c>
      <c r="D60" s="659" t="s">
        <v>72</v>
      </c>
      <c r="E60" s="659" t="s">
        <v>72</v>
      </c>
      <c r="F60" s="54" t="s">
        <v>74</v>
      </c>
      <c r="G60" s="52">
        <v>0.04</v>
      </c>
      <c r="H60" s="272">
        <v>0.06</v>
      </c>
      <c r="I60" s="272">
        <v>0.08</v>
      </c>
      <c r="J60" s="272">
        <v>0.08</v>
      </c>
      <c r="K60" s="272">
        <v>0.08</v>
      </c>
      <c r="L60" s="272">
        <v>0.08</v>
      </c>
      <c r="M60" s="272">
        <v>0.08</v>
      </c>
      <c r="N60" s="272">
        <v>0.1</v>
      </c>
      <c r="O60" s="272">
        <v>0.1</v>
      </c>
      <c r="P60" s="272">
        <v>0.1</v>
      </c>
      <c r="Q60" s="272">
        <v>0.1</v>
      </c>
      <c r="R60" s="272">
        <v>0.1</v>
      </c>
      <c r="S60" s="54">
        <f t="shared" si="2"/>
        <v>0.99999999999999989</v>
      </c>
      <c r="T60" s="515"/>
      <c r="U60" s="662">
        <v>0.02</v>
      </c>
      <c r="V60" s="685" t="s">
        <v>236</v>
      </c>
      <c r="W60" s="29"/>
      <c r="X60" s="29"/>
      <c r="Y60" s="29"/>
      <c r="Z60" s="29"/>
    </row>
    <row r="61" spans="1:26" ht="50.1" customHeight="1" x14ac:dyDescent="0.25">
      <c r="A61" s="499"/>
      <c r="B61" s="653"/>
      <c r="C61" s="586"/>
      <c r="D61" s="566"/>
      <c r="E61" s="566"/>
      <c r="F61" s="44" t="s">
        <v>85</v>
      </c>
      <c r="G61" s="45">
        <v>0.04</v>
      </c>
      <c r="H61" s="271">
        <v>0.06</v>
      </c>
      <c r="I61" s="271">
        <v>0.08</v>
      </c>
      <c r="J61" s="271">
        <v>0.08</v>
      </c>
      <c r="K61" s="271">
        <v>0.08</v>
      </c>
      <c r="L61" s="271">
        <v>0.08</v>
      </c>
      <c r="M61" s="271">
        <v>0.08</v>
      </c>
      <c r="N61" s="271">
        <v>0.1</v>
      </c>
      <c r="O61" s="271">
        <v>0.1</v>
      </c>
      <c r="P61" s="271"/>
      <c r="Q61" s="271"/>
      <c r="R61" s="271"/>
      <c r="S61" s="44">
        <f t="shared" si="2"/>
        <v>0.7</v>
      </c>
      <c r="T61" s="566"/>
      <c r="U61" s="566"/>
      <c r="V61" s="671"/>
      <c r="W61" s="29"/>
      <c r="X61" s="29"/>
      <c r="Y61" s="29"/>
      <c r="Z61" s="29"/>
    </row>
    <row r="62" spans="1:26" ht="50.1" customHeight="1" x14ac:dyDescent="0.25">
      <c r="A62" s="499"/>
      <c r="B62" s="651" t="s">
        <v>237</v>
      </c>
      <c r="C62" s="654" t="s">
        <v>238</v>
      </c>
      <c r="D62" s="660" t="s">
        <v>72</v>
      </c>
      <c r="E62" s="660"/>
      <c r="F62" s="40" t="s">
        <v>74</v>
      </c>
      <c r="G62" s="41"/>
      <c r="H62" s="369"/>
      <c r="I62" s="369">
        <v>0.05</v>
      </c>
      <c r="J62" s="369"/>
      <c r="K62" s="369"/>
      <c r="L62" s="369">
        <v>0.05</v>
      </c>
      <c r="M62" s="369"/>
      <c r="N62" s="369"/>
      <c r="O62" s="369">
        <v>0.4</v>
      </c>
      <c r="P62" s="369"/>
      <c r="Q62" s="369"/>
      <c r="R62" s="369">
        <v>0.5</v>
      </c>
      <c r="S62" s="40">
        <f t="shared" si="2"/>
        <v>1</v>
      </c>
      <c r="T62" s="661">
        <v>0.01</v>
      </c>
      <c r="U62" s="658">
        <v>0.01</v>
      </c>
      <c r="V62" s="670" t="s">
        <v>240</v>
      </c>
      <c r="W62" s="29"/>
      <c r="X62" s="29"/>
      <c r="Y62" s="29"/>
      <c r="Z62" s="29"/>
    </row>
    <row r="63" spans="1:26" ht="50.1" customHeight="1" x14ac:dyDescent="0.25">
      <c r="A63" s="678"/>
      <c r="B63" s="653"/>
      <c r="C63" s="580"/>
      <c r="D63" s="566"/>
      <c r="E63" s="566"/>
      <c r="F63" s="44" t="s">
        <v>85</v>
      </c>
      <c r="G63" s="45"/>
      <c r="H63" s="271"/>
      <c r="I63" s="271">
        <v>0.05</v>
      </c>
      <c r="J63" s="271"/>
      <c r="K63" s="271"/>
      <c r="L63" s="271">
        <v>0.05</v>
      </c>
      <c r="M63" s="271"/>
      <c r="N63" s="271"/>
      <c r="O63" s="271">
        <v>0.05</v>
      </c>
      <c r="P63" s="271"/>
      <c r="Q63" s="271"/>
      <c r="R63" s="271"/>
      <c r="S63" s="44">
        <f t="shared" si="2"/>
        <v>0.15000000000000002</v>
      </c>
      <c r="T63" s="566"/>
      <c r="U63" s="566"/>
      <c r="V63" s="671"/>
      <c r="W63" s="29"/>
      <c r="X63" s="29"/>
      <c r="Y63" s="29"/>
      <c r="Z63" s="29"/>
    </row>
    <row r="64" spans="1:26" ht="50.1" customHeight="1" x14ac:dyDescent="0.25">
      <c r="A64" s="677" t="s">
        <v>244</v>
      </c>
      <c r="B64" s="651" t="s">
        <v>246</v>
      </c>
      <c r="C64" s="654" t="s">
        <v>247</v>
      </c>
      <c r="D64" s="660" t="s">
        <v>72</v>
      </c>
      <c r="E64" s="660" t="s">
        <v>72</v>
      </c>
      <c r="F64" s="40" t="s">
        <v>74</v>
      </c>
      <c r="G64" s="41">
        <v>0.04</v>
      </c>
      <c r="H64" s="369">
        <v>0.06</v>
      </c>
      <c r="I64" s="369">
        <v>0.08</v>
      </c>
      <c r="J64" s="369">
        <v>0.08</v>
      </c>
      <c r="K64" s="369">
        <v>0.08</v>
      </c>
      <c r="L64" s="369">
        <v>0.08</v>
      </c>
      <c r="M64" s="369">
        <v>0.08</v>
      </c>
      <c r="N64" s="369">
        <v>0.1</v>
      </c>
      <c r="O64" s="369">
        <v>0.1</v>
      </c>
      <c r="P64" s="369">
        <v>0.1</v>
      </c>
      <c r="Q64" s="369">
        <v>0.1</v>
      </c>
      <c r="R64" s="369">
        <v>0.1</v>
      </c>
      <c r="S64" s="40">
        <f t="shared" si="2"/>
        <v>0.99999999999999989</v>
      </c>
      <c r="T64" s="661">
        <v>0.06</v>
      </c>
      <c r="U64" s="658">
        <v>0.02</v>
      </c>
      <c r="V64" s="670" t="s">
        <v>248</v>
      </c>
      <c r="W64" s="29"/>
      <c r="X64" s="29"/>
      <c r="Y64" s="29"/>
      <c r="Z64" s="29"/>
    </row>
    <row r="65" spans="1:26" ht="50.1" customHeight="1" x14ac:dyDescent="0.25">
      <c r="A65" s="499"/>
      <c r="B65" s="652"/>
      <c r="C65" s="547"/>
      <c r="D65" s="540"/>
      <c r="E65" s="540"/>
      <c r="F65" s="50" t="s">
        <v>85</v>
      </c>
      <c r="G65" s="52">
        <v>0.04</v>
      </c>
      <c r="H65" s="272">
        <v>0.06</v>
      </c>
      <c r="I65" s="272">
        <v>0.08</v>
      </c>
      <c r="J65" s="272">
        <v>0.08</v>
      </c>
      <c r="K65" s="272">
        <v>0.08</v>
      </c>
      <c r="L65" s="272">
        <v>0.08</v>
      </c>
      <c r="M65" s="272">
        <v>0.08</v>
      </c>
      <c r="N65" s="272">
        <v>0.1</v>
      </c>
      <c r="O65" s="272">
        <v>0.1358</v>
      </c>
      <c r="P65" s="272"/>
      <c r="Q65" s="272"/>
      <c r="R65" s="272"/>
      <c r="S65" s="50">
        <f t="shared" si="2"/>
        <v>0.73580000000000001</v>
      </c>
      <c r="T65" s="515"/>
      <c r="U65" s="540"/>
      <c r="V65" s="686"/>
      <c r="W65" s="29"/>
      <c r="X65" s="29"/>
      <c r="Y65" s="29"/>
      <c r="Z65" s="29"/>
    </row>
    <row r="66" spans="1:26" ht="50.1" customHeight="1" x14ac:dyDescent="0.25">
      <c r="A66" s="499"/>
      <c r="B66" s="652"/>
      <c r="C66" s="656" t="s">
        <v>249</v>
      </c>
      <c r="D66" s="659" t="s">
        <v>72</v>
      </c>
      <c r="E66" s="659" t="s">
        <v>72</v>
      </c>
      <c r="F66" s="54" t="s">
        <v>74</v>
      </c>
      <c r="G66" s="52">
        <v>0.04</v>
      </c>
      <c r="H66" s="272">
        <v>0.06</v>
      </c>
      <c r="I66" s="373">
        <v>0.08</v>
      </c>
      <c r="J66" s="373">
        <v>0.08</v>
      </c>
      <c r="K66" s="373">
        <v>0.08</v>
      </c>
      <c r="L66" s="373">
        <v>0.08</v>
      </c>
      <c r="M66" s="373">
        <v>0.08</v>
      </c>
      <c r="N66" s="373">
        <v>0.1</v>
      </c>
      <c r="O66" s="373">
        <v>0.1</v>
      </c>
      <c r="P66" s="373">
        <v>0.1</v>
      </c>
      <c r="Q66" s="272">
        <v>0.1</v>
      </c>
      <c r="R66" s="272">
        <v>0.1</v>
      </c>
      <c r="S66" s="54">
        <f t="shared" si="2"/>
        <v>0.99999999999999989</v>
      </c>
      <c r="T66" s="515"/>
      <c r="U66" s="662">
        <v>0.02</v>
      </c>
      <c r="V66" s="685" t="s">
        <v>251</v>
      </c>
      <c r="W66" s="29"/>
      <c r="X66" s="29"/>
      <c r="Y66" s="29"/>
      <c r="Z66" s="29"/>
    </row>
    <row r="67" spans="1:26" ht="50.1" customHeight="1" x14ac:dyDescent="0.25">
      <c r="A67" s="499"/>
      <c r="B67" s="652"/>
      <c r="C67" s="547"/>
      <c r="D67" s="540"/>
      <c r="E67" s="540"/>
      <c r="F67" s="50" t="s">
        <v>85</v>
      </c>
      <c r="G67" s="52">
        <v>0.04</v>
      </c>
      <c r="H67" s="272">
        <v>0.06</v>
      </c>
      <c r="I67" s="373">
        <v>0.08</v>
      </c>
      <c r="J67" s="374">
        <v>8.3000000000000004E-2</v>
      </c>
      <c r="K67" s="374">
        <v>8.3000000000000004E-2</v>
      </c>
      <c r="L67" s="374">
        <v>8.3000000000000004E-2</v>
      </c>
      <c r="M67" s="373">
        <v>0.1</v>
      </c>
      <c r="N67" s="373">
        <v>0.1</v>
      </c>
      <c r="O67" s="373">
        <v>0.107</v>
      </c>
      <c r="P67" s="374"/>
      <c r="Q67" s="375"/>
      <c r="R67" s="375"/>
      <c r="S67" s="117">
        <f t="shared" si="2"/>
        <v>0.73599999999999999</v>
      </c>
      <c r="T67" s="515"/>
      <c r="U67" s="540"/>
      <c r="V67" s="686"/>
      <c r="W67" s="29"/>
      <c r="X67" s="29"/>
      <c r="Y67" s="29"/>
      <c r="Z67" s="29"/>
    </row>
    <row r="68" spans="1:26" ht="50.1" customHeight="1" x14ac:dyDescent="0.25">
      <c r="A68" s="499"/>
      <c r="B68" s="652"/>
      <c r="C68" s="656" t="s">
        <v>256</v>
      </c>
      <c r="D68" s="659" t="s">
        <v>72</v>
      </c>
      <c r="E68" s="659" t="s">
        <v>72</v>
      </c>
      <c r="F68" s="54" t="s">
        <v>74</v>
      </c>
      <c r="G68" s="52">
        <v>0.04</v>
      </c>
      <c r="H68" s="272">
        <v>0.06</v>
      </c>
      <c r="I68" s="272">
        <v>0.08</v>
      </c>
      <c r="J68" s="272">
        <v>0.08</v>
      </c>
      <c r="K68" s="272">
        <v>0.08</v>
      </c>
      <c r="L68" s="272">
        <v>0.08</v>
      </c>
      <c r="M68" s="272">
        <v>0.08</v>
      </c>
      <c r="N68" s="272">
        <v>0.1</v>
      </c>
      <c r="O68" s="272">
        <v>0.1</v>
      </c>
      <c r="P68" s="272">
        <v>0.1</v>
      </c>
      <c r="Q68" s="272">
        <v>0.1</v>
      </c>
      <c r="R68" s="272">
        <v>0.1</v>
      </c>
      <c r="S68" s="54">
        <f t="shared" si="2"/>
        <v>0.99999999999999989</v>
      </c>
      <c r="T68" s="515"/>
      <c r="U68" s="662">
        <v>5.0000000000000001E-3</v>
      </c>
      <c r="V68" s="685" t="s">
        <v>258</v>
      </c>
      <c r="W68" s="29"/>
      <c r="X68" s="29"/>
      <c r="Y68" s="29"/>
      <c r="Z68" s="29"/>
    </row>
    <row r="69" spans="1:26" ht="50.1" customHeight="1" x14ac:dyDescent="0.25">
      <c r="A69" s="499"/>
      <c r="B69" s="652"/>
      <c r="C69" s="547"/>
      <c r="D69" s="540"/>
      <c r="E69" s="540"/>
      <c r="F69" s="50" t="s">
        <v>85</v>
      </c>
      <c r="G69" s="52">
        <v>0</v>
      </c>
      <c r="H69" s="272">
        <v>0</v>
      </c>
      <c r="I69" s="272">
        <v>0</v>
      </c>
      <c r="J69" s="272">
        <v>0.08</v>
      </c>
      <c r="K69" s="272">
        <v>0.08</v>
      </c>
      <c r="L69" s="272">
        <v>0.08</v>
      </c>
      <c r="M69" s="272">
        <v>0.08</v>
      </c>
      <c r="N69" s="272">
        <v>0.1</v>
      </c>
      <c r="O69" s="272">
        <v>0.1</v>
      </c>
      <c r="P69" s="272"/>
      <c r="Q69" s="272"/>
      <c r="R69" s="272"/>
      <c r="S69" s="50">
        <f t="shared" si="2"/>
        <v>0.52</v>
      </c>
      <c r="T69" s="515"/>
      <c r="U69" s="540"/>
      <c r="V69" s="686"/>
      <c r="W69" s="29"/>
      <c r="X69" s="29"/>
      <c r="Y69" s="29"/>
      <c r="Z69" s="29"/>
    </row>
    <row r="70" spans="1:26" ht="50.1" customHeight="1" x14ac:dyDescent="0.25">
      <c r="A70" s="499"/>
      <c r="B70" s="652"/>
      <c r="C70" s="656" t="s">
        <v>263</v>
      </c>
      <c r="D70" s="659" t="s">
        <v>72</v>
      </c>
      <c r="E70" s="659" t="s">
        <v>72</v>
      </c>
      <c r="F70" s="54" t="s">
        <v>74</v>
      </c>
      <c r="G70" s="52">
        <v>0.04</v>
      </c>
      <c r="H70" s="272">
        <v>0.06</v>
      </c>
      <c r="I70" s="272">
        <v>0.08</v>
      </c>
      <c r="J70" s="272">
        <v>0.08</v>
      </c>
      <c r="K70" s="272">
        <v>0.08</v>
      </c>
      <c r="L70" s="272">
        <v>0.08</v>
      </c>
      <c r="M70" s="272">
        <v>0.08</v>
      </c>
      <c r="N70" s="272">
        <v>0.1</v>
      </c>
      <c r="O70" s="272">
        <v>0.1</v>
      </c>
      <c r="P70" s="272">
        <v>0.1</v>
      </c>
      <c r="Q70" s="272">
        <v>0.1</v>
      </c>
      <c r="R70" s="272">
        <v>0.1</v>
      </c>
      <c r="S70" s="54">
        <f t="shared" si="2"/>
        <v>0.99999999999999989</v>
      </c>
      <c r="T70" s="515"/>
      <c r="U70" s="662">
        <v>1.4999999999999999E-2</v>
      </c>
      <c r="V70" s="685" t="s">
        <v>542</v>
      </c>
      <c r="W70" s="29"/>
      <c r="X70" s="29"/>
      <c r="Y70" s="29"/>
      <c r="Z70" s="29"/>
    </row>
    <row r="71" spans="1:26" ht="50.1" customHeight="1" x14ac:dyDescent="0.25">
      <c r="A71" s="499"/>
      <c r="B71" s="653"/>
      <c r="C71" s="580"/>
      <c r="D71" s="566"/>
      <c r="E71" s="566"/>
      <c r="F71" s="44" t="s">
        <v>85</v>
      </c>
      <c r="G71" s="45">
        <v>0.04</v>
      </c>
      <c r="H71" s="271">
        <v>0.06</v>
      </c>
      <c r="I71" s="271">
        <v>0.08</v>
      </c>
      <c r="J71" s="271">
        <v>0.08</v>
      </c>
      <c r="K71" s="271">
        <v>0.08</v>
      </c>
      <c r="L71" s="271">
        <v>0.08</v>
      </c>
      <c r="M71" s="271">
        <v>0.08</v>
      </c>
      <c r="N71" s="271">
        <v>0.1</v>
      </c>
      <c r="O71" s="271">
        <v>0.1</v>
      </c>
      <c r="P71" s="271"/>
      <c r="Q71" s="271"/>
      <c r="R71" s="271"/>
      <c r="S71" s="44">
        <f t="shared" si="2"/>
        <v>0.7</v>
      </c>
      <c r="T71" s="566"/>
      <c r="U71" s="566"/>
      <c r="V71" s="671"/>
      <c r="W71" s="29"/>
      <c r="X71" s="29"/>
      <c r="Y71" s="29"/>
      <c r="Z71" s="29"/>
    </row>
    <row r="72" spans="1:26" ht="50.1" customHeight="1" x14ac:dyDescent="0.25">
      <c r="A72" s="499"/>
      <c r="B72" s="651" t="s">
        <v>264</v>
      </c>
      <c r="C72" s="655" t="s">
        <v>265</v>
      </c>
      <c r="D72" s="660" t="s">
        <v>72</v>
      </c>
      <c r="E72" s="660" t="s">
        <v>72</v>
      </c>
      <c r="F72" s="40" t="s">
        <v>74</v>
      </c>
      <c r="G72" s="41">
        <v>0.16600000000000001</v>
      </c>
      <c r="H72" s="369">
        <v>0.16600000000000001</v>
      </c>
      <c r="I72" s="369">
        <v>0.16600000000000001</v>
      </c>
      <c r="J72" s="369">
        <v>0.16600000000000001</v>
      </c>
      <c r="K72" s="369">
        <v>0.16600000000000001</v>
      </c>
      <c r="L72" s="369">
        <v>0.17</v>
      </c>
      <c r="M72" s="369"/>
      <c r="N72" s="369"/>
      <c r="O72" s="369"/>
      <c r="P72" s="369"/>
      <c r="Q72" s="369"/>
      <c r="R72" s="369"/>
      <c r="S72" s="40">
        <f t="shared" si="2"/>
        <v>1</v>
      </c>
      <c r="T72" s="674">
        <v>0.02</v>
      </c>
      <c r="U72" s="675">
        <v>0.01</v>
      </c>
      <c r="V72" s="670" t="s">
        <v>268</v>
      </c>
      <c r="W72" s="29"/>
      <c r="X72" s="29"/>
      <c r="Y72" s="29"/>
      <c r="Z72" s="29"/>
    </row>
    <row r="73" spans="1:26" ht="50.1" customHeight="1" x14ac:dyDescent="0.25">
      <c r="A73" s="499"/>
      <c r="B73" s="652"/>
      <c r="C73" s="684"/>
      <c r="D73" s="540"/>
      <c r="E73" s="540"/>
      <c r="F73" s="50" t="s">
        <v>85</v>
      </c>
      <c r="G73" s="52">
        <v>0.16600000000000001</v>
      </c>
      <c r="H73" s="272">
        <v>0.16600000000000001</v>
      </c>
      <c r="I73" s="272">
        <v>0.16600000000000001</v>
      </c>
      <c r="J73" s="272">
        <v>0.12</v>
      </c>
      <c r="K73" s="272">
        <v>0.1</v>
      </c>
      <c r="L73" s="272">
        <v>8.2000000000000003E-2</v>
      </c>
      <c r="M73" s="272"/>
      <c r="N73" s="272"/>
      <c r="O73" s="272"/>
      <c r="P73" s="272"/>
      <c r="Q73" s="272"/>
      <c r="R73" s="272"/>
      <c r="S73" s="50">
        <f t="shared" si="2"/>
        <v>0.79999999999999993</v>
      </c>
      <c r="T73" s="515"/>
      <c r="U73" s="540"/>
      <c r="V73" s="686"/>
      <c r="W73" s="29"/>
      <c r="X73" s="29"/>
      <c r="Y73" s="29"/>
      <c r="Z73" s="29"/>
    </row>
    <row r="74" spans="1:26" ht="50.1" customHeight="1" x14ac:dyDescent="0.25">
      <c r="A74" s="499"/>
      <c r="B74" s="652"/>
      <c r="C74" s="656" t="s">
        <v>271</v>
      </c>
      <c r="D74" s="659" t="s">
        <v>72</v>
      </c>
      <c r="E74" s="659" t="s">
        <v>72</v>
      </c>
      <c r="F74" s="54" t="s">
        <v>74</v>
      </c>
      <c r="G74" s="52"/>
      <c r="H74" s="272"/>
      <c r="I74" s="272">
        <v>0.05</v>
      </c>
      <c r="J74" s="272"/>
      <c r="K74" s="272"/>
      <c r="L74" s="272">
        <v>0.25</v>
      </c>
      <c r="M74" s="272"/>
      <c r="N74" s="272"/>
      <c r="O74" s="272">
        <v>0.3</v>
      </c>
      <c r="P74" s="272"/>
      <c r="Q74" s="272"/>
      <c r="R74" s="272">
        <v>0.4</v>
      </c>
      <c r="S74" s="54">
        <f t="shared" si="2"/>
        <v>1</v>
      </c>
      <c r="T74" s="515"/>
      <c r="U74" s="663">
        <v>0.01</v>
      </c>
      <c r="V74" s="685" t="s">
        <v>274</v>
      </c>
      <c r="W74" s="29"/>
      <c r="X74" s="29"/>
      <c r="Y74" s="29"/>
      <c r="Z74" s="29"/>
    </row>
    <row r="75" spans="1:26" ht="50.1" customHeight="1" x14ac:dyDescent="0.25">
      <c r="A75" s="499"/>
      <c r="B75" s="653"/>
      <c r="C75" s="580"/>
      <c r="D75" s="566"/>
      <c r="E75" s="566"/>
      <c r="F75" s="44" t="s">
        <v>85</v>
      </c>
      <c r="G75" s="45"/>
      <c r="H75" s="271"/>
      <c r="I75" s="271">
        <v>0</v>
      </c>
      <c r="J75" s="271"/>
      <c r="K75" s="271"/>
      <c r="L75" s="271">
        <v>0</v>
      </c>
      <c r="M75" s="271"/>
      <c r="N75" s="271"/>
      <c r="O75" s="271">
        <v>0</v>
      </c>
      <c r="P75" s="271"/>
      <c r="Q75" s="271"/>
      <c r="R75" s="271"/>
      <c r="S75" s="44">
        <f t="shared" si="2"/>
        <v>0</v>
      </c>
      <c r="T75" s="566"/>
      <c r="U75" s="566"/>
      <c r="V75" s="671"/>
      <c r="W75" s="29"/>
      <c r="X75" s="29"/>
      <c r="Y75" s="29"/>
      <c r="Z75" s="29"/>
    </row>
    <row r="76" spans="1:26" ht="50.1" customHeight="1" x14ac:dyDescent="0.25">
      <c r="A76" s="499"/>
      <c r="B76" s="651" t="s">
        <v>275</v>
      </c>
      <c r="C76" s="654" t="s">
        <v>277</v>
      </c>
      <c r="D76" s="660" t="s">
        <v>72</v>
      </c>
      <c r="E76" s="660" t="s">
        <v>72</v>
      </c>
      <c r="F76" s="40" t="s">
        <v>74</v>
      </c>
      <c r="G76" s="41">
        <v>0.04</v>
      </c>
      <c r="H76" s="369">
        <v>0.06</v>
      </c>
      <c r="I76" s="369">
        <v>0.08</v>
      </c>
      <c r="J76" s="369">
        <v>0.16200000000000001</v>
      </c>
      <c r="K76" s="369">
        <v>0.126</v>
      </c>
      <c r="L76" s="369">
        <v>9.0999999999999998E-2</v>
      </c>
      <c r="M76" s="369">
        <v>0.05</v>
      </c>
      <c r="N76" s="369">
        <v>0.05</v>
      </c>
      <c r="O76" s="369">
        <v>0.08</v>
      </c>
      <c r="P76" s="369">
        <v>0.08</v>
      </c>
      <c r="Q76" s="369">
        <v>8.1000000000000003E-2</v>
      </c>
      <c r="R76" s="369">
        <v>0.1</v>
      </c>
      <c r="S76" s="40">
        <f t="shared" si="2"/>
        <v>0.99999999999999989</v>
      </c>
      <c r="T76" s="674">
        <v>0.03</v>
      </c>
      <c r="U76" s="675">
        <v>0.03</v>
      </c>
      <c r="V76" s="670" t="s">
        <v>280</v>
      </c>
      <c r="W76" s="29"/>
      <c r="X76" s="29"/>
      <c r="Y76" s="29"/>
      <c r="Z76" s="29"/>
    </row>
    <row r="77" spans="1:26" ht="50.1" customHeight="1" x14ac:dyDescent="0.25">
      <c r="A77" s="678"/>
      <c r="B77" s="653"/>
      <c r="C77" s="580"/>
      <c r="D77" s="566"/>
      <c r="E77" s="566"/>
      <c r="F77" s="44" t="s">
        <v>85</v>
      </c>
      <c r="G77" s="45">
        <v>0.04</v>
      </c>
      <c r="H77" s="271">
        <v>0.06</v>
      </c>
      <c r="I77" s="271">
        <v>0.08</v>
      </c>
      <c r="J77" s="271">
        <v>0.16170000000000001</v>
      </c>
      <c r="K77" s="271">
        <v>0.1258</v>
      </c>
      <c r="L77" s="271">
        <v>9.0899999999999995E-2</v>
      </c>
      <c r="M77" s="271">
        <v>0.1</v>
      </c>
      <c r="N77" s="271">
        <v>0.11</v>
      </c>
      <c r="O77" s="271">
        <v>0.1149</v>
      </c>
      <c r="P77" s="271"/>
      <c r="Q77" s="271"/>
      <c r="R77" s="271"/>
      <c r="S77" s="287">
        <f t="shared" si="2"/>
        <v>0.88329999999999997</v>
      </c>
      <c r="T77" s="566"/>
      <c r="U77" s="566"/>
      <c r="V77" s="671"/>
      <c r="W77" s="29"/>
      <c r="X77" s="29"/>
      <c r="Y77" s="29"/>
      <c r="Z77" s="29"/>
    </row>
    <row r="78" spans="1:26" ht="50.1" customHeight="1" x14ac:dyDescent="0.25">
      <c r="A78" s="681" t="s">
        <v>283</v>
      </c>
      <c r="B78" s="651" t="s">
        <v>287</v>
      </c>
      <c r="C78" s="654" t="s">
        <v>288</v>
      </c>
      <c r="D78" s="660" t="s">
        <v>72</v>
      </c>
      <c r="E78" s="660" t="s">
        <v>72</v>
      </c>
      <c r="F78" s="40" t="s">
        <v>74</v>
      </c>
      <c r="G78" s="41">
        <v>0.08</v>
      </c>
      <c r="H78" s="369">
        <v>0.08</v>
      </c>
      <c r="I78" s="369">
        <v>0.08</v>
      </c>
      <c r="J78" s="369">
        <v>0.09</v>
      </c>
      <c r="K78" s="369">
        <v>0.08</v>
      </c>
      <c r="L78" s="369">
        <v>0.08</v>
      </c>
      <c r="M78" s="369">
        <v>0.08</v>
      </c>
      <c r="N78" s="369">
        <v>0.09</v>
      </c>
      <c r="O78" s="369">
        <v>0.08</v>
      </c>
      <c r="P78" s="369">
        <v>0.08</v>
      </c>
      <c r="Q78" s="369">
        <v>0.08</v>
      </c>
      <c r="R78" s="369">
        <v>0.1</v>
      </c>
      <c r="S78" s="40">
        <f t="shared" si="2"/>
        <v>0.99999999999999978</v>
      </c>
      <c r="T78" s="674">
        <v>0.02</v>
      </c>
      <c r="U78" s="675">
        <v>0.01</v>
      </c>
      <c r="V78" s="670" t="s">
        <v>289</v>
      </c>
      <c r="W78" s="29"/>
      <c r="X78" s="29"/>
      <c r="Y78" s="29"/>
      <c r="Z78" s="29"/>
    </row>
    <row r="79" spans="1:26" ht="50.1" customHeight="1" x14ac:dyDescent="0.25">
      <c r="A79" s="682"/>
      <c r="B79" s="652"/>
      <c r="C79" s="547"/>
      <c r="D79" s="540"/>
      <c r="E79" s="540"/>
      <c r="F79" s="50" t="s">
        <v>85</v>
      </c>
      <c r="G79" s="52">
        <v>0</v>
      </c>
      <c r="H79" s="272">
        <v>0.08</v>
      </c>
      <c r="I79" s="272">
        <v>0.08</v>
      </c>
      <c r="J79" s="272">
        <v>0.09</v>
      </c>
      <c r="K79" s="272">
        <v>0.08</v>
      </c>
      <c r="L79" s="272">
        <v>0.08</v>
      </c>
      <c r="M79" s="272">
        <v>0.08</v>
      </c>
      <c r="N79" s="272">
        <v>0.08</v>
      </c>
      <c r="O79" s="272">
        <v>0.08</v>
      </c>
      <c r="P79" s="272"/>
      <c r="Q79" s="272"/>
      <c r="R79" s="272"/>
      <c r="S79" s="50">
        <f t="shared" si="2"/>
        <v>0.65</v>
      </c>
      <c r="T79" s="515"/>
      <c r="U79" s="540"/>
      <c r="V79" s="686"/>
      <c r="W79" s="29"/>
      <c r="X79" s="29"/>
      <c r="Y79" s="29"/>
      <c r="Z79" s="29"/>
    </row>
    <row r="80" spans="1:26" ht="50.1" customHeight="1" x14ac:dyDescent="0.25">
      <c r="A80" s="682"/>
      <c r="B80" s="652"/>
      <c r="C80" s="656" t="s">
        <v>291</v>
      </c>
      <c r="D80" s="659" t="s">
        <v>72</v>
      </c>
      <c r="E80" s="659" t="s">
        <v>72</v>
      </c>
      <c r="F80" s="54" t="s">
        <v>74</v>
      </c>
      <c r="G80" s="52"/>
      <c r="H80" s="272"/>
      <c r="I80" s="272"/>
      <c r="J80" s="272"/>
      <c r="K80" s="272"/>
      <c r="L80" s="272"/>
      <c r="M80" s="272"/>
      <c r="N80" s="272">
        <v>0.5</v>
      </c>
      <c r="O80" s="272"/>
      <c r="P80" s="272"/>
      <c r="Q80" s="272"/>
      <c r="R80" s="272">
        <v>0.5</v>
      </c>
      <c r="S80" s="54">
        <f t="shared" si="2"/>
        <v>1</v>
      </c>
      <c r="T80" s="515"/>
      <c r="U80" s="663">
        <v>5.0000000000000001E-3</v>
      </c>
      <c r="V80" s="685" t="s">
        <v>546</v>
      </c>
      <c r="W80" s="29"/>
      <c r="X80" s="29"/>
      <c r="Y80" s="29"/>
      <c r="Z80" s="29"/>
    </row>
    <row r="81" spans="1:26" ht="50.1" customHeight="1" x14ac:dyDescent="0.25">
      <c r="A81" s="682"/>
      <c r="B81" s="652"/>
      <c r="C81" s="547"/>
      <c r="D81" s="540"/>
      <c r="E81" s="540"/>
      <c r="F81" s="50" t="s">
        <v>85</v>
      </c>
      <c r="G81" s="52"/>
      <c r="H81" s="272"/>
      <c r="I81" s="272"/>
      <c r="J81" s="272"/>
      <c r="K81" s="272"/>
      <c r="L81" s="272"/>
      <c r="M81" s="272"/>
      <c r="N81" s="272">
        <v>0.5</v>
      </c>
      <c r="O81" s="272"/>
      <c r="P81" s="272"/>
      <c r="Q81" s="272"/>
      <c r="R81" s="272"/>
      <c r="S81" s="50">
        <f t="shared" si="2"/>
        <v>0.5</v>
      </c>
      <c r="T81" s="515"/>
      <c r="U81" s="540"/>
      <c r="V81" s="686"/>
      <c r="W81" s="29"/>
      <c r="X81" s="29"/>
      <c r="Y81" s="29"/>
      <c r="Z81" s="29"/>
    </row>
    <row r="82" spans="1:26" ht="50.1" customHeight="1" x14ac:dyDescent="0.25">
      <c r="A82" s="682"/>
      <c r="B82" s="652"/>
      <c r="C82" s="656" t="s">
        <v>292</v>
      </c>
      <c r="D82" s="659" t="s">
        <v>72</v>
      </c>
      <c r="E82" s="659" t="s">
        <v>72</v>
      </c>
      <c r="F82" s="54" t="s">
        <v>74</v>
      </c>
      <c r="G82" s="52"/>
      <c r="H82" s="272"/>
      <c r="I82" s="272"/>
      <c r="J82" s="272"/>
      <c r="K82" s="272"/>
      <c r="L82" s="272"/>
      <c r="M82" s="272"/>
      <c r="N82" s="272"/>
      <c r="O82" s="272">
        <v>0.8</v>
      </c>
      <c r="P82" s="272"/>
      <c r="Q82" s="272"/>
      <c r="R82" s="272">
        <v>0.2</v>
      </c>
      <c r="S82" s="54">
        <f t="shared" si="2"/>
        <v>1</v>
      </c>
      <c r="T82" s="515"/>
      <c r="U82" s="663">
        <v>5.0000000000000001E-3</v>
      </c>
      <c r="V82" s="685" t="s">
        <v>293</v>
      </c>
      <c r="W82" s="29"/>
      <c r="X82" s="29"/>
      <c r="Y82" s="29"/>
      <c r="Z82" s="29"/>
    </row>
    <row r="83" spans="1:26" ht="50.1" customHeight="1" thickBot="1" x14ac:dyDescent="0.3">
      <c r="A83" s="683"/>
      <c r="B83" s="653"/>
      <c r="C83" s="580"/>
      <c r="D83" s="566"/>
      <c r="E83" s="566"/>
      <c r="F83" s="44" t="s">
        <v>85</v>
      </c>
      <c r="G83" s="45"/>
      <c r="H83" s="271"/>
      <c r="I83" s="271"/>
      <c r="J83" s="271"/>
      <c r="K83" s="271"/>
      <c r="L83" s="271"/>
      <c r="M83" s="271"/>
      <c r="N83" s="271"/>
      <c r="O83" s="271">
        <v>0.8</v>
      </c>
      <c r="P83" s="271"/>
      <c r="Q83" s="271"/>
      <c r="R83" s="271"/>
      <c r="S83" s="44">
        <f t="shared" si="2"/>
        <v>0.8</v>
      </c>
      <c r="T83" s="566"/>
      <c r="U83" s="566"/>
      <c r="V83" s="671"/>
      <c r="W83" s="29"/>
      <c r="X83" s="29"/>
      <c r="Y83" s="29"/>
      <c r="Z83" s="29"/>
    </row>
    <row r="84" spans="1:26" ht="63.75" customHeight="1" thickBot="1" x14ac:dyDescent="0.3">
      <c r="A84" s="679" t="s">
        <v>294</v>
      </c>
      <c r="B84" s="680"/>
      <c r="C84" s="648"/>
      <c r="D84" s="649"/>
      <c r="E84" s="649"/>
      <c r="F84" s="649"/>
      <c r="G84" s="649"/>
      <c r="H84" s="649"/>
      <c r="I84" s="649"/>
      <c r="J84" s="649"/>
      <c r="K84" s="649"/>
      <c r="L84" s="649"/>
      <c r="M84" s="649"/>
      <c r="N84" s="649"/>
      <c r="O84" s="649"/>
      <c r="P84" s="649"/>
      <c r="Q84" s="649"/>
      <c r="R84" s="649"/>
      <c r="S84" s="650"/>
      <c r="T84" s="141">
        <f t="shared" ref="T84:U84" si="3">SUM(T8:T83)</f>
        <v>1.0000000000000002</v>
      </c>
      <c r="U84" s="141">
        <f t="shared" si="3"/>
        <v>1</v>
      </c>
      <c r="V84" s="143"/>
      <c r="W84" s="145"/>
      <c r="X84" s="145"/>
      <c r="Y84" s="145"/>
      <c r="Z84" s="145"/>
    </row>
    <row r="85" spans="1:26" ht="30.75" customHeight="1" x14ac:dyDescent="0.25">
      <c r="A85" s="147"/>
      <c r="B85" s="148"/>
      <c r="C85" s="149"/>
      <c r="D85" s="147"/>
      <c r="E85" s="147"/>
      <c r="F85" s="147"/>
      <c r="G85" s="148"/>
      <c r="H85" s="148"/>
      <c r="I85" s="148"/>
      <c r="J85" s="148"/>
      <c r="K85" s="148"/>
      <c r="L85" s="148"/>
      <c r="M85" s="148"/>
      <c r="N85" s="150"/>
      <c r="O85" s="148"/>
      <c r="P85" s="148"/>
      <c r="Q85" s="148"/>
      <c r="R85" s="148"/>
      <c r="S85" s="148"/>
      <c r="T85" s="151"/>
      <c r="U85" s="151"/>
      <c r="V85" s="489" t="s">
        <v>290</v>
      </c>
      <c r="W85" s="145"/>
      <c r="X85" s="145"/>
      <c r="Y85" s="145"/>
      <c r="Z85" s="145"/>
    </row>
    <row r="86" spans="1:26" ht="15.75" customHeight="1" x14ac:dyDescent="0.25">
      <c r="A86" s="132"/>
      <c r="B86" s="152"/>
      <c r="C86" s="153"/>
      <c r="D86" s="132"/>
      <c r="E86" s="132"/>
      <c r="F86" s="132"/>
      <c r="G86" s="132"/>
      <c r="H86" s="132"/>
      <c r="I86" s="132"/>
      <c r="J86" s="132"/>
      <c r="K86" s="132"/>
      <c r="L86" s="132"/>
      <c r="M86" s="132"/>
      <c r="N86" s="154"/>
      <c r="O86" s="132"/>
      <c r="P86" s="132"/>
      <c r="Q86" s="132"/>
      <c r="R86" s="132"/>
      <c r="S86" s="132"/>
      <c r="T86" s="132"/>
      <c r="U86" s="132"/>
      <c r="V86" s="132"/>
      <c r="W86" s="132"/>
      <c r="X86" s="132"/>
      <c r="Y86" s="132"/>
      <c r="Z86" s="132"/>
    </row>
    <row r="87" spans="1:26" ht="15.75" customHeight="1" x14ac:dyDescent="0.25">
      <c r="A87" s="132"/>
      <c r="B87" s="152"/>
      <c r="C87" s="153"/>
      <c r="D87" s="132"/>
      <c r="E87" s="132"/>
      <c r="F87" s="132"/>
      <c r="G87" s="132"/>
      <c r="H87" s="132"/>
      <c r="I87" s="132"/>
      <c r="J87" s="132"/>
      <c r="K87" s="132"/>
      <c r="L87" s="132"/>
      <c r="M87" s="132"/>
      <c r="N87" s="154"/>
      <c r="O87" s="132"/>
      <c r="P87" s="132"/>
      <c r="Q87" s="132"/>
      <c r="R87" s="132"/>
      <c r="S87" s="132"/>
      <c r="T87" s="132"/>
      <c r="U87" s="132"/>
      <c r="V87" s="132"/>
      <c r="W87" s="132"/>
      <c r="X87" s="132"/>
      <c r="Y87" s="132"/>
      <c r="Z87" s="132"/>
    </row>
    <row r="88" spans="1:26" ht="15.75" customHeight="1" x14ac:dyDescent="0.25">
      <c r="A88" s="132"/>
      <c r="B88" s="152"/>
      <c r="C88" s="153"/>
      <c r="D88" s="132"/>
      <c r="E88" s="132"/>
      <c r="F88" s="132"/>
      <c r="G88" s="132"/>
      <c r="H88" s="132"/>
      <c r="I88" s="132"/>
      <c r="J88" s="132"/>
      <c r="K88" s="132"/>
      <c r="L88" s="132"/>
      <c r="M88" s="132"/>
      <c r="N88" s="154"/>
      <c r="O88" s="132"/>
      <c r="P88" s="132"/>
      <c r="Q88" s="132"/>
      <c r="R88" s="132"/>
      <c r="S88" s="132"/>
      <c r="T88" s="132"/>
      <c r="U88" s="132"/>
      <c r="V88" s="132"/>
      <c r="W88" s="132"/>
      <c r="X88" s="132"/>
      <c r="Y88" s="132"/>
      <c r="Z88" s="132"/>
    </row>
    <row r="89" spans="1:26" ht="15.75" customHeight="1" x14ac:dyDescent="0.25">
      <c r="A89" s="132"/>
      <c r="B89" s="152"/>
      <c r="C89" s="153"/>
      <c r="D89" s="132"/>
      <c r="E89" s="132"/>
      <c r="F89" s="132"/>
      <c r="G89" s="132"/>
      <c r="H89" s="132"/>
      <c r="I89" s="132"/>
      <c r="J89" s="132"/>
      <c r="K89" s="132"/>
      <c r="L89" s="132"/>
      <c r="M89" s="132"/>
      <c r="N89" s="154"/>
      <c r="O89" s="132"/>
      <c r="P89" s="132"/>
      <c r="Q89" s="132"/>
      <c r="R89" s="132"/>
      <c r="S89" s="132"/>
      <c r="T89" s="132"/>
      <c r="U89" s="132"/>
      <c r="V89" s="132"/>
      <c r="W89" s="132"/>
      <c r="X89" s="132"/>
      <c r="Y89" s="132"/>
      <c r="Z89" s="132"/>
    </row>
    <row r="90" spans="1:26" ht="15.75" customHeight="1" x14ac:dyDescent="0.25">
      <c r="A90" s="132"/>
      <c r="B90" s="152"/>
      <c r="C90" s="153"/>
      <c r="D90" s="132"/>
      <c r="E90" s="132"/>
      <c r="F90" s="132"/>
      <c r="G90" s="132"/>
      <c r="H90" s="132"/>
      <c r="I90" s="132"/>
      <c r="J90" s="132"/>
      <c r="K90" s="132"/>
      <c r="L90" s="132"/>
      <c r="M90" s="132"/>
      <c r="N90" s="154"/>
      <c r="O90" s="132"/>
      <c r="P90" s="132"/>
      <c r="Q90" s="132"/>
      <c r="R90" s="132"/>
      <c r="S90" s="132"/>
      <c r="T90" s="132"/>
      <c r="U90" s="132"/>
      <c r="V90" s="132"/>
      <c r="W90" s="132"/>
      <c r="X90" s="132"/>
      <c r="Y90" s="132"/>
      <c r="Z90" s="132"/>
    </row>
    <row r="91" spans="1:26" ht="15.75" customHeight="1" x14ac:dyDescent="0.25">
      <c r="A91" s="132"/>
      <c r="B91" s="152"/>
      <c r="C91" s="153"/>
      <c r="D91" s="132"/>
      <c r="E91" s="132"/>
      <c r="F91" s="132"/>
      <c r="G91" s="132"/>
      <c r="H91" s="132"/>
      <c r="I91" s="132"/>
      <c r="J91" s="132"/>
      <c r="K91" s="132"/>
      <c r="L91" s="132"/>
      <c r="M91" s="132"/>
      <c r="N91" s="154"/>
      <c r="O91" s="132"/>
      <c r="P91" s="132"/>
      <c r="Q91" s="132"/>
      <c r="R91" s="132"/>
      <c r="S91" s="132"/>
      <c r="T91" s="132"/>
      <c r="U91" s="132"/>
      <c r="V91" s="132"/>
      <c r="W91" s="132"/>
      <c r="X91" s="132"/>
      <c r="Y91" s="132"/>
      <c r="Z91" s="132"/>
    </row>
    <row r="92" spans="1:26" ht="15.75" customHeight="1" x14ac:dyDescent="0.25">
      <c r="A92" s="132"/>
      <c r="B92" s="152"/>
      <c r="C92" s="153"/>
      <c r="D92" s="132"/>
      <c r="E92" s="132"/>
      <c r="F92" s="132"/>
      <c r="G92" s="132"/>
      <c r="H92" s="132"/>
      <c r="I92" s="132"/>
      <c r="J92" s="132"/>
      <c r="K92" s="132"/>
      <c r="L92" s="132"/>
      <c r="M92" s="132"/>
      <c r="N92" s="154"/>
      <c r="O92" s="132"/>
      <c r="P92" s="132"/>
      <c r="Q92" s="132"/>
      <c r="R92" s="132"/>
      <c r="S92" s="132"/>
      <c r="T92" s="132"/>
      <c r="U92" s="132"/>
      <c r="V92" s="132"/>
      <c r="W92" s="132"/>
      <c r="X92" s="132"/>
      <c r="Y92" s="132"/>
      <c r="Z92" s="132"/>
    </row>
    <row r="93" spans="1:26" ht="15.75" customHeight="1" x14ac:dyDescent="0.25">
      <c r="A93" s="132"/>
      <c r="B93" s="152"/>
      <c r="C93" s="153"/>
      <c r="D93" s="132"/>
      <c r="E93" s="132"/>
      <c r="F93" s="132"/>
      <c r="G93" s="132"/>
      <c r="H93" s="132"/>
      <c r="I93" s="132"/>
      <c r="J93" s="132"/>
      <c r="K93" s="132"/>
      <c r="L93" s="132"/>
      <c r="M93" s="132"/>
      <c r="N93" s="154"/>
      <c r="O93" s="132"/>
      <c r="P93" s="132"/>
      <c r="Q93" s="132"/>
      <c r="R93" s="132"/>
      <c r="S93" s="132"/>
      <c r="T93" s="132"/>
      <c r="U93" s="132"/>
      <c r="V93" s="132"/>
      <c r="W93" s="132"/>
      <c r="X93" s="132"/>
      <c r="Y93" s="132"/>
      <c r="Z93" s="132"/>
    </row>
    <row r="94" spans="1:26" ht="15.75" customHeight="1" x14ac:dyDescent="0.25">
      <c r="A94" s="132"/>
      <c r="B94" s="152"/>
      <c r="C94" s="153"/>
      <c r="D94" s="132"/>
      <c r="E94" s="132"/>
      <c r="F94" s="132"/>
      <c r="G94" s="132"/>
      <c r="H94" s="132"/>
      <c r="I94" s="132"/>
      <c r="J94" s="132"/>
      <c r="K94" s="132"/>
      <c r="L94" s="132"/>
      <c r="M94" s="132"/>
      <c r="N94" s="154"/>
      <c r="O94" s="132"/>
      <c r="P94" s="132"/>
      <c r="Q94" s="132"/>
      <c r="R94" s="132"/>
      <c r="S94" s="132"/>
      <c r="T94" s="132"/>
      <c r="U94" s="132"/>
      <c r="V94" s="132"/>
      <c r="W94" s="132"/>
      <c r="X94" s="132"/>
      <c r="Y94" s="132"/>
      <c r="Z94" s="132"/>
    </row>
    <row r="95" spans="1:26" ht="15.75" customHeight="1" x14ac:dyDescent="0.25">
      <c r="A95" s="132"/>
      <c r="B95" s="152"/>
      <c r="C95" s="153"/>
      <c r="D95" s="132"/>
      <c r="E95" s="132"/>
      <c r="F95" s="132"/>
      <c r="G95" s="132"/>
      <c r="H95" s="132"/>
      <c r="I95" s="132"/>
      <c r="J95" s="132"/>
      <c r="K95" s="132"/>
      <c r="L95" s="132"/>
      <c r="M95" s="132"/>
      <c r="N95" s="154"/>
      <c r="O95" s="132"/>
      <c r="P95" s="132"/>
      <c r="Q95" s="132"/>
      <c r="R95" s="132"/>
      <c r="S95" s="132"/>
      <c r="T95" s="132"/>
      <c r="U95" s="132"/>
      <c r="V95" s="132"/>
      <c r="W95" s="132"/>
      <c r="X95" s="132"/>
      <c r="Y95" s="132"/>
      <c r="Z95" s="132"/>
    </row>
    <row r="96" spans="1:26" ht="15.75" customHeight="1" x14ac:dyDescent="0.25">
      <c r="A96" s="132"/>
      <c r="B96" s="152"/>
      <c r="C96" s="153"/>
      <c r="D96" s="132"/>
      <c r="E96" s="132"/>
      <c r="F96" s="132"/>
      <c r="G96" s="132"/>
      <c r="H96" s="132"/>
      <c r="I96" s="132"/>
      <c r="J96" s="132"/>
      <c r="K96" s="132"/>
      <c r="L96" s="132"/>
      <c r="M96" s="132"/>
      <c r="N96" s="154"/>
      <c r="O96" s="132"/>
      <c r="P96" s="132"/>
      <c r="Q96" s="132"/>
      <c r="R96" s="132"/>
      <c r="S96" s="132"/>
      <c r="T96" s="132"/>
      <c r="U96" s="132"/>
      <c r="V96" s="132"/>
      <c r="W96" s="132"/>
      <c r="X96" s="132"/>
      <c r="Y96" s="132"/>
      <c r="Z96" s="132"/>
    </row>
    <row r="97" spans="1:26" ht="15.75" customHeight="1" x14ac:dyDescent="0.25">
      <c r="A97" s="132"/>
      <c r="B97" s="152"/>
      <c r="C97" s="153"/>
      <c r="D97" s="132"/>
      <c r="E97" s="132"/>
      <c r="F97" s="132"/>
      <c r="G97" s="132"/>
      <c r="H97" s="132"/>
      <c r="I97" s="132"/>
      <c r="J97" s="132"/>
      <c r="K97" s="132"/>
      <c r="L97" s="132"/>
      <c r="M97" s="132"/>
      <c r="N97" s="154"/>
      <c r="O97" s="132"/>
      <c r="P97" s="132"/>
      <c r="Q97" s="132"/>
      <c r="R97" s="132"/>
      <c r="S97" s="132"/>
      <c r="T97" s="132"/>
      <c r="U97" s="132"/>
      <c r="V97" s="132"/>
      <c r="W97" s="132"/>
      <c r="X97" s="132"/>
      <c r="Y97" s="132"/>
      <c r="Z97" s="132"/>
    </row>
    <row r="98" spans="1:26" ht="15.75" customHeight="1" x14ac:dyDescent="0.25">
      <c r="A98" s="132"/>
      <c r="B98" s="152"/>
      <c r="C98" s="153"/>
      <c r="D98" s="132"/>
      <c r="E98" s="132"/>
      <c r="F98" s="132"/>
      <c r="G98" s="132"/>
      <c r="H98" s="132"/>
      <c r="I98" s="132"/>
      <c r="J98" s="132"/>
      <c r="K98" s="132"/>
      <c r="L98" s="132"/>
      <c r="M98" s="132"/>
      <c r="N98" s="154"/>
      <c r="O98" s="132"/>
      <c r="P98" s="132"/>
      <c r="Q98" s="132"/>
      <c r="R98" s="132"/>
      <c r="S98" s="132"/>
      <c r="T98" s="132"/>
      <c r="U98" s="132"/>
      <c r="V98" s="132"/>
      <c r="W98" s="132"/>
      <c r="X98" s="132"/>
      <c r="Y98" s="132"/>
      <c r="Z98" s="132"/>
    </row>
    <row r="99" spans="1:26" ht="15.75" customHeight="1" x14ac:dyDescent="0.25">
      <c r="A99" s="132"/>
      <c r="B99" s="152"/>
      <c r="C99" s="153"/>
      <c r="D99" s="132"/>
      <c r="E99" s="132"/>
      <c r="F99" s="132"/>
      <c r="G99" s="132"/>
      <c r="H99" s="132"/>
      <c r="I99" s="132"/>
      <c r="J99" s="132"/>
      <c r="K99" s="132"/>
      <c r="L99" s="132"/>
      <c r="M99" s="132"/>
      <c r="N99" s="154"/>
      <c r="O99" s="132"/>
      <c r="P99" s="132"/>
      <c r="Q99" s="132"/>
      <c r="R99" s="132"/>
      <c r="S99" s="132"/>
      <c r="T99" s="132"/>
      <c r="U99" s="132"/>
      <c r="V99" s="132"/>
      <c r="W99" s="132"/>
      <c r="X99" s="132"/>
      <c r="Y99" s="132"/>
      <c r="Z99" s="132"/>
    </row>
    <row r="100" spans="1:26" ht="15.75" customHeight="1" x14ac:dyDescent="0.25">
      <c r="A100" s="132"/>
      <c r="B100" s="152"/>
      <c r="C100" s="153"/>
      <c r="D100" s="132"/>
      <c r="E100" s="132"/>
      <c r="F100" s="132"/>
      <c r="G100" s="132"/>
      <c r="H100" s="132"/>
      <c r="I100" s="132"/>
      <c r="J100" s="132"/>
      <c r="K100" s="132"/>
      <c r="L100" s="132"/>
      <c r="M100" s="132"/>
      <c r="N100" s="154"/>
      <c r="O100" s="132"/>
      <c r="P100" s="132"/>
      <c r="Q100" s="132"/>
      <c r="R100" s="132"/>
      <c r="S100" s="132"/>
      <c r="T100" s="132"/>
      <c r="U100" s="132"/>
      <c r="V100" s="132"/>
      <c r="W100" s="132"/>
      <c r="X100" s="132"/>
      <c r="Y100" s="132"/>
      <c r="Z100" s="132"/>
    </row>
    <row r="101" spans="1:26" ht="15.75" customHeight="1" x14ac:dyDescent="0.25">
      <c r="A101" s="132"/>
      <c r="B101" s="152"/>
      <c r="C101" s="153"/>
      <c r="D101" s="132"/>
      <c r="E101" s="132"/>
      <c r="F101" s="132"/>
      <c r="G101" s="132"/>
      <c r="H101" s="132"/>
      <c r="I101" s="132"/>
      <c r="J101" s="132"/>
      <c r="K101" s="132"/>
      <c r="L101" s="132"/>
      <c r="M101" s="132"/>
      <c r="N101" s="154"/>
      <c r="O101" s="132"/>
      <c r="P101" s="132"/>
      <c r="Q101" s="132"/>
      <c r="R101" s="132"/>
      <c r="S101" s="132"/>
      <c r="T101" s="132"/>
      <c r="U101" s="132"/>
      <c r="V101" s="132"/>
      <c r="W101" s="132"/>
      <c r="X101" s="132"/>
      <c r="Y101" s="132"/>
      <c r="Z101" s="132"/>
    </row>
    <row r="102" spans="1:26" ht="15.75" customHeight="1" x14ac:dyDescent="0.25">
      <c r="A102" s="132"/>
      <c r="B102" s="152"/>
      <c r="C102" s="153"/>
      <c r="D102" s="132"/>
      <c r="E102" s="132"/>
      <c r="F102" s="132"/>
      <c r="G102" s="132"/>
      <c r="H102" s="132"/>
      <c r="I102" s="132"/>
      <c r="J102" s="132"/>
      <c r="K102" s="132"/>
      <c r="L102" s="132"/>
      <c r="M102" s="132"/>
      <c r="N102" s="154"/>
      <c r="O102" s="132"/>
      <c r="P102" s="132"/>
      <c r="Q102" s="132"/>
      <c r="R102" s="132"/>
      <c r="S102" s="132"/>
      <c r="T102" s="132"/>
      <c r="U102" s="132"/>
      <c r="V102" s="132"/>
      <c r="W102" s="132"/>
      <c r="X102" s="132"/>
      <c r="Y102" s="132"/>
      <c r="Z102" s="132"/>
    </row>
    <row r="103" spans="1:26" ht="15.75" customHeight="1" x14ac:dyDescent="0.25">
      <c r="A103" s="132"/>
      <c r="B103" s="152"/>
      <c r="C103" s="153"/>
      <c r="D103" s="132"/>
      <c r="E103" s="132"/>
      <c r="F103" s="132"/>
      <c r="G103" s="132"/>
      <c r="H103" s="132"/>
      <c r="I103" s="132"/>
      <c r="J103" s="132"/>
      <c r="K103" s="132"/>
      <c r="L103" s="132"/>
      <c r="M103" s="132"/>
      <c r="N103" s="154"/>
      <c r="O103" s="132"/>
      <c r="P103" s="132"/>
      <c r="Q103" s="132"/>
      <c r="R103" s="132"/>
      <c r="S103" s="132"/>
      <c r="T103" s="132"/>
      <c r="U103" s="132"/>
      <c r="V103" s="132"/>
      <c r="W103" s="132"/>
      <c r="X103" s="132"/>
      <c r="Y103" s="132"/>
      <c r="Z103" s="132"/>
    </row>
    <row r="104" spans="1:26" ht="15.75" customHeight="1" x14ac:dyDescent="0.25">
      <c r="A104" s="132"/>
      <c r="B104" s="152"/>
      <c r="C104" s="153"/>
      <c r="D104" s="132"/>
      <c r="E104" s="132"/>
      <c r="F104" s="132"/>
      <c r="G104" s="132"/>
      <c r="H104" s="132"/>
      <c r="I104" s="132"/>
      <c r="J104" s="132"/>
      <c r="K104" s="132"/>
      <c r="L104" s="132"/>
      <c r="M104" s="132"/>
      <c r="N104" s="154"/>
      <c r="O104" s="132"/>
      <c r="P104" s="132"/>
      <c r="Q104" s="132"/>
      <c r="R104" s="132"/>
      <c r="S104" s="132"/>
      <c r="T104" s="132"/>
      <c r="U104" s="132"/>
      <c r="V104" s="132"/>
      <c r="W104" s="132"/>
      <c r="X104" s="132"/>
      <c r="Y104" s="132"/>
      <c r="Z104" s="132"/>
    </row>
    <row r="105" spans="1:26" ht="15.75" customHeight="1" x14ac:dyDescent="0.25">
      <c r="A105" s="132"/>
      <c r="B105" s="152"/>
      <c r="C105" s="153"/>
      <c r="D105" s="132"/>
      <c r="E105" s="132"/>
      <c r="F105" s="132"/>
      <c r="G105" s="132"/>
      <c r="H105" s="132"/>
      <c r="I105" s="132"/>
      <c r="J105" s="132"/>
      <c r="K105" s="132"/>
      <c r="L105" s="132"/>
      <c r="M105" s="132"/>
      <c r="N105" s="154"/>
      <c r="O105" s="132"/>
      <c r="P105" s="132"/>
      <c r="Q105" s="132"/>
      <c r="R105" s="132"/>
      <c r="S105" s="132"/>
      <c r="T105" s="132"/>
      <c r="U105" s="132"/>
      <c r="V105" s="132"/>
      <c r="W105" s="132"/>
      <c r="X105" s="132"/>
      <c r="Y105" s="132"/>
      <c r="Z105" s="132"/>
    </row>
    <row r="106" spans="1:26" ht="15.75" customHeight="1" x14ac:dyDescent="0.25">
      <c r="A106" s="132"/>
      <c r="B106" s="152"/>
      <c r="C106" s="153"/>
      <c r="D106" s="132"/>
      <c r="E106" s="132"/>
      <c r="F106" s="132"/>
      <c r="G106" s="132"/>
      <c r="H106" s="132"/>
      <c r="I106" s="132"/>
      <c r="J106" s="132"/>
      <c r="K106" s="132"/>
      <c r="L106" s="132"/>
      <c r="M106" s="132"/>
      <c r="N106" s="154"/>
      <c r="O106" s="132"/>
      <c r="P106" s="132"/>
      <c r="Q106" s="132"/>
      <c r="R106" s="132"/>
      <c r="S106" s="132"/>
      <c r="T106" s="132"/>
      <c r="U106" s="132"/>
      <c r="V106" s="132"/>
      <c r="W106" s="132"/>
      <c r="X106" s="132"/>
      <c r="Y106" s="132"/>
      <c r="Z106" s="132"/>
    </row>
    <row r="107" spans="1:26" ht="15.75" customHeight="1" x14ac:dyDescent="0.25">
      <c r="A107" s="132"/>
      <c r="B107" s="152"/>
      <c r="C107" s="153"/>
      <c r="D107" s="132"/>
      <c r="E107" s="132"/>
      <c r="F107" s="132"/>
      <c r="G107" s="132"/>
      <c r="H107" s="132"/>
      <c r="I107" s="132"/>
      <c r="J107" s="132"/>
      <c r="K107" s="132"/>
      <c r="L107" s="132"/>
      <c r="M107" s="132"/>
      <c r="N107" s="154"/>
      <c r="O107" s="132"/>
      <c r="P107" s="132"/>
      <c r="Q107" s="132"/>
      <c r="R107" s="132"/>
      <c r="S107" s="132"/>
      <c r="T107" s="132"/>
      <c r="U107" s="132"/>
      <c r="V107" s="132"/>
      <c r="W107" s="132"/>
      <c r="X107" s="132"/>
      <c r="Y107" s="132"/>
      <c r="Z107" s="132"/>
    </row>
    <row r="108" spans="1:26" ht="15.75" customHeight="1" x14ac:dyDescent="0.25">
      <c r="A108" s="132"/>
      <c r="B108" s="152"/>
      <c r="C108" s="153"/>
      <c r="D108" s="132"/>
      <c r="E108" s="132"/>
      <c r="F108" s="132"/>
      <c r="G108" s="132"/>
      <c r="H108" s="132"/>
      <c r="I108" s="132"/>
      <c r="J108" s="132"/>
      <c r="K108" s="132"/>
      <c r="L108" s="132"/>
      <c r="M108" s="132"/>
      <c r="N108" s="154"/>
      <c r="O108" s="132"/>
      <c r="P108" s="132"/>
      <c r="Q108" s="132"/>
      <c r="R108" s="132"/>
      <c r="S108" s="132"/>
      <c r="T108" s="132"/>
      <c r="U108" s="132"/>
      <c r="V108" s="132"/>
      <c r="W108" s="132"/>
      <c r="X108" s="132"/>
      <c r="Y108" s="132"/>
      <c r="Z108" s="132"/>
    </row>
    <row r="109" spans="1:26" ht="15.75" customHeight="1" x14ac:dyDescent="0.25">
      <c r="A109" s="132"/>
      <c r="B109" s="152"/>
      <c r="C109" s="153"/>
      <c r="D109" s="132"/>
      <c r="E109" s="132"/>
      <c r="F109" s="132"/>
      <c r="G109" s="132"/>
      <c r="H109" s="132"/>
      <c r="I109" s="132"/>
      <c r="J109" s="132"/>
      <c r="K109" s="132"/>
      <c r="L109" s="132"/>
      <c r="M109" s="132"/>
      <c r="N109" s="154"/>
      <c r="O109" s="132"/>
      <c r="P109" s="132"/>
      <c r="Q109" s="132"/>
      <c r="R109" s="132"/>
      <c r="S109" s="132"/>
      <c r="T109" s="132"/>
      <c r="U109" s="132"/>
      <c r="V109" s="132"/>
      <c r="W109" s="132"/>
      <c r="X109" s="132"/>
      <c r="Y109" s="132"/>
      <c r="Z109" s="132"/>
    </row>
    <row r="110" spans="1:26" ht="15.75" customHeight="1" x14ac:dyDescent="0.25">
      <c r="A110" s="132"/>
      <c r="B110" s="152"/>
      <c r="C110" s="153"/>
      <c r="D110" s="132"/>
      <c r="E110" s="132"/>
      <c r="F110" s="132"/>
      <c r="G110" s="132"/>
      <c r="H110" s="132"/>
      <c r="I110" s="132"/>
      <c r="J110" s="132"/>
      <c r="K110" s="132"/>
      <c r="L110" s="132"/>
      <c r="M110" s="132"/>
      <c r="N110" s="154"/>
      <c r="O110" s="132"/>
      <c r="P110" s="132"/>
      <c r="Q110" s="132"/>
      <c r="R110" s="132"/>
      <c r="S110" s="132"/>
      <c r="T110" s="132"/>
      <c r="U110" s="132"/>
      <c r="V110" s="132"/>
      <c r="W110" s="132"/>
      <c r="X110" s="132"/>
      <c r="Y110" s="132"/>
      <c r="Z110" s="132"/>
    </row>
    <row r="111" spans="1:26" ht="15.75" customHeight="1" x14ac:dyDescent="0.25">
      <c r="A111" s="132"/>
      <c r="B111" s="152"/>
      <c r="C111" s="153"/>
      <c r="D111" s="132"/>
      <c r="E111" s="132"/>
      <c r="F111" s="132"/>
      <c r="G111" s="132"/>
      <c r="H111" s="132"/>
      <c r="I111" s="132"/>
      <c r="J111" s="132"/>
      <c r="K111" s="132"/>
      <c r="L111" s="132"/>
      <c r="M111" s="132"/>
      <c r="N111" s="154"/>
      <c r="O111" s="132"/>
      <c r="P111" s="132"/>
      <c r="Q111" s="132"/>
      <c r="R111" s="132"/>
      <c r="S111" s="132"/>
      <c r="T111" s="132"/>
      <c r="U111" s="132"/>
      <c r="V111" s="132"/>
      <c r="W111" s="132"/>
      <c r="X111" s="132"/>
      <c r="Y111" s="132"/>
      <c r="Z111" s="132"/>
    </row>
    <row r="112" spans="1:26" ht="15.75" customHeight="1" x14ac:dyDescent="0.25">
      <c r="A112" s="132"/>
      <c r="B112" s="152"/>
      <c r="C112" s="153"/>
      <c r="D112" s="132"/>
      <c r="E112" s="132"/>
      <c r="F112" s="132"/>
      <c r="G112" s="132"/>
      <c r="H112" s="132"/>
      <c r="I112" s="132"/>
      <c r="J112" s="132"/>
      <c r="K112" s="132"/>
      <c r="L112" s="132"/>
      <c r="M112" s="132"/>
      <c r="N112" s="154"/>
      <c r="O112" s="132"/>
      <c r="P112" s="132"/>
      <c r="Q112" s="132"/>
      <c r="R112" s="132"/>
      <c r="S112" s="132"/>
      <c r="T112" s="132"/>
      <c r="U112" s="132"/>
      <c r="V112" s="132"/>
      <c r="W112" s="132"/>
      <c r="X112" s="132"/>
      <c r="Y112" s="132"/>
      <c r="Z112" s="132"/>
    </row>
    <row r="113" spans="1:26" ht="15.75" customHeight="1" x14ac:dyDescent="0.25">
      <c r="A113" s="132"/>
      <c r="B113" s="152"/>
      <c r="C113" s="153"/>
      <c r="D113" s="132"/>
      <c r="E113" s="132"/>
      <c r="F113" s="132"/>
      <c r="G113" s="132"/>
      <c r="H113" s="132"/>
      <c r="I113" s="132"/>
      <c r="J113" s="132"/>
      <c r="K113" s="132"/>
      <c r="L113" s="132"/>
      <c r="M113" s="132"/>
      <c r="N113" s="154"/>
      <c r="O113" s="132"/>
      <c r="P113" s="132"/>
      <c r="Q113" s="132"/>
      <c r="R113" s="132"/>
      <c r="S113" s="132"/>
      <c r="T113" s="132"/>
      <c r="U113" s="132"/>
      <c r="V113" s="132"/>
      <c r="W113" s="132"/>
      <c r="X113" s="132"/>
      <c r="Y113" s="132"/>
      <c r="Z113" s="132"/>
    </row>
    <row r="114" spans="1:26" ht="15.75" customHeight="1" x14ac:dyDescent="0.25">
      <c r="A114" s="132"/>
      <c r="B114" s="152"/>
      <c r="C114" s="153"/>
      <c r="D114" s="132"/>
      <c r="E114" s="132"/>
      <c r="F114" s="132"/>
      <c r="G114" s="132"/>
      <c r="H114" s="132"/>
      <c r="I114" s="132"/>
      <c r="J114" s="132"/>
      <c r="K114" s="132"/>
      <c r="L114" s="132"/>
      <c r="M114" s="132"/>
      <c r="N114" s="154"/>
      <c r="O114" s="132"/>
      <c r="P114" s="132"/>
      <c r="Q114" s="132"/>
      <c r="R114" s="132"/>
      <c r="S114" s="132"/>
      <c r="T114" s="132"/>
      <c r="U114" s="132"/>
      <c r="V114" s="132"/>
      <c r="W114" s="132"/>
      <c r="X114" s="132"/>
      <c r="Y114" s="132"/>
      <c r="Z114" s="132"/>
    </row>
    <row r="115" spans="1:26" ht="15.75" customHeight="1" x14ac:dyDescent="0.25">
      <c r="A115" s="132"/>
      <c r="B115" s="152"/>
      <c r="C115" s="153"/>
      <c r="D115" s="132"/>
      <c r="E115" s="132"/>
      <c r="F115" s="132"/>
      <c r="G115" s="132"/>
      <c r="H115" s="132"/>
      <c r="I115" s="132"/>
      <c r="J115" s="132"/>
      <c r="K115" s="132"/>
      <c r="L115" s="132"/>
      <c r="M115" s="132"/>
      <c r="N115" s="154"/>
      <c r="O115" s="132"/>
      <c r="P115" s="132"/>
      <c r="Q115" s="132"/>
      <c r="R115" s="132"/>
      <c r="S115" s="132"/>
      <c r="T115" s="132"/>
      <c r="U115" s="132"/>
      <c r="V115" s="132"/>
      <c r="W115" s="132"/>
      <c r="X115" s="132"/>
      <c r="Y115" s="132"/>
      <c r="Z115" s="132"/>
    </row>
    <row r="116" spans="1:26" ht="15.75" customHeight="1" x14ac:dyDescent="0.25">
      <c r="A116" s="132"/>
      <c r="B116" s="152"/>
      <c r="C116" s="153"/>
      <c r="D116" s="132"/>
      <c r="E116" s="132"/>
      <c r="F116" s="132"/>
      <c r="G116" s="132"/>
      <c r="H116" s="132"/>
      <c r="I116" s="132"/>
      <c r="J116" s="132"/>
      <c r="K116" s="132"/>
      <c r="L116" s="132"/>
      <c r="M116" s="132"/>
      <c r="N116" s="154"/>
      <c r="O116" s="132"/>
      <c r="P116" s="132"/>
      <c r="Q116" s="132"/>
      <c r="R116" s="132"/>
      <c r="S116" s="132"/>
      <c r="T116" s="132"/>
      <c r="U116" s="132"/>
      <c r="V116" s="132"/>
      <c r="W116" s="132"/>
      <c r="X116" s="132"/>
      <c r="Y116" s="132"/>
      <c r="Z116" s="132"/>
    </row>
    <row r="117" spans="1:26" ht="15.75" customHeight="1" x14ac:dyDescent="0.25">
      <c r="A117" s="132"/>
      <c r="B117" s="152"/>
      <c r="C117" s="153"/>
      <c r="D117" s="132"/>
      <c r="E117" s="132"/>
      <c r="F117" s="132"/>
      <c r="G117" s="132"/>
      <c r="H117" s="132"/>
      <c r="I117" s="132"/>
      <c r="J117" s="132"/>
      <c r="K117" s="132"/>
      <c r="L117" s="132"/>
      <c r="M117" s="132"/>
      <c r="N117" s="154"/>
      <c r="O117" s="132"/>
      <c r="P117" s="132"/>
      <c r="Q117" s="132"/>
      <c r="R117" s="132"/>
      <c r="S117" s="132"/>
      <c r="T117" s="132"/>
      <c r="U117" s="132"/>
      <c r="V117" s="132"/>
      <c r="W117" s="132"/>
      <c r="X117" s="132"/>
      <c r="Y117" s="132"/>
      <c r="Z117" s="132"/>
    </row>
    <row r="118" spans="1:26" ht="15.75" customHeight="1" x14ac:dyDescent="0.25">
      <c r="A118" s="132"/>
      <c r="B118" s="152"/>
      <c r="C118" s="153"/>
      <c r="D118" s="132"/>
      <c r="E118" s="132"/>
      <c r="F118" s="132"/>
      <c r="G118" s="132"/>
      <c r="H118" s="132"/>
      <c r="I118" s="132"/>
      <c r="J118" s="132"/>
      <c r="K118" s="132"/>
      <c r="L118" s="132"/>
      <c r="M118" s="132"/>
      <c r="N118" s="154"/>
      <c r="O118" s="132"/>
      <c r="P118" s="132"/>
      <c r="Q118" s="132"/>
      <c r="R118" s="132"/>
      <c r="S118" s="132"/>
      <c r="T118" s="132"/>
      <c r="U118" s="132"/>
      <c r="V118" s="132"/>
      <c r="W118" s="132"/>
      <c r="X118" s="132"/>
      <c r="Y118" s="132"/>
      <c r="Z118" s="132"/>
    </row>
    <row r="119" spans="1:26" ht="15.75" customHeight="1" x14ac:dyDescent="0.25">
      <c r="A119" s="132"/>
      <c r="B119" s="152"/>
      <c r="C119" s="153"/>
      <c r="D119" s="132"/>
      <c r="E119" s="132"/>
      <c r="F119" s="132"/>
      <c r="G119" s="132"/>
      <c r="H119" s="132"/>
      <c r="I119" s="132"/>
      <c r="J119" s="132"/>
      <c r="K119" s="132"/>
      <c r="L119" s="132"/>
      <c r="M119" s="132"/>
      <c r="N119" s="154"/>
      <c r="O119" s="132"/>
      <c r="P119" s="132"/>
      <c r="Q119" s="132"/>
      <c r="R119" s="132"/>
      <c r="S119" s="132"/>
      <c r="T119" s="132"/>
      <c r="U119" s="132"/>
      <c r="V119" s="132"/>
      <c r="W119" s="132"/>
      <c r="X119" s="132"/>
      <c r="Y119" s="132"/>
      <c r="Z119" s="132"/>
    </row>
    <row r="120" spans="1:26" ht="15.75" customHeight="1" x14ac:dyDescent="0.25">
      <c r="A120" s="132"/>
      <c r="B120" s="152"/>
      <c r="C120" s="153"/>
      <c r="D120" s="132"/>
      <c r="E120" s="132"/>
      <c r="F120" s="132"/>
      <c r="G120" s="132"/>
      <c r="H120" s="132"/>
      <c r="I120" s="132"/>
      <c r="J120" s="132"/>
      <c r="K120" s="132"/>
      <c r="L120" s="132"/>
      <c r="M120" s="132"/>
      <c r="N120" s="154"/>
      <c r="O120" s="132"/>
      <c r="P120" s="132"/>
      <c r="Q120" s="132"/>
      <c r="R120" s="132"/>
      <c r="S120" s="132"/>
      <c r="T120" s="132"/>
      <c r="U120" s="132"/>
      <c r="V120" s="132"/>
      <c r="W120" s="132"/>
      <c r="X120" s="132"/>
      <c r="Y120" s="132"/>
      <c r="Z120" s="132"/>
    </row>
    <row r="121" spans="1:26" ht="15.75" customHeight="1" x14ac:dyDescent="0.25">
      <c r="A121" s="132"/>
      <c r="B121" s="152"/>
      <c r="C121" s="153"/>
      <c r="D121" s="132"/>
      <c r="E121" s="132"/>
      <c r="F121" s="132"/>
      <c r="G121" s="132"/>
      <c r="H121" s="132"/>
      <c r="I121" s="132"/>
      <c r="J121" s="132"/>
      <c r="K121" s="132"/>
      <c r="L121" s="132"/>
      <c r="M121" s="132"/>
      <c r="N121" s="154"/>
      <c r="O121" s="132"/>
      <c r="P121" s="132"/>
      <c r="Q121" s="132"/>
      <c r="R121" s="132"/>
      <c r="S121" s="132"/>
      <c r="T121" s="132"/>
      <c r="U121" s="132"/>
      <c r="V121" s="132"/>
      <c r="W121" s="132"/>
      <c r="X121" s="132"/>
      <c r="Y121" s="132"/>
      <c r="Z121" s="132"/>
    </row>
    <row r="122" spans="1:26" ht="15.75" customHeight="1" x14ac:dyDescent="0.25">
      <c r="A122" s="132"/>
      <c r="B122" s="152"/>
      <c r="C122" s="153"/>
      <c r="D122" s="132"/>
      <c r="E122" s="132"/>
      <c r="F122" s="132"/>
      <c r="G122" s="132"/>
      <c r="H122" s="132"/>
      <c r="I122" s="132"/>
      <c r="J122" s="132"/>
      <c r="K122" s="132"/>
      <c r="L122" s="132"/>
      <c r="M122" s="132"/>
      <c r="N122" s="154"/>
      <c r="O122" s="132"/>
      <c r="P122" s="132"/>
      <c r="Q122" s="132"/>
      <c r="R122" s="132"/>
      <c r="S122" s="132"/>
      <c r="T122" s="132"/>
      <c r="U122" s="132"/>
      <c r="V122" s="132"/>
      <c r="W122" s="132"/>
      <c r="X122" s="132"/>
      <c r="Y122" s="132"/>
      <c r="Z122" s="132"/>
    </row>
    <row r="123" spans="1:26" ht="15.75" customHeight="1" x14ac:dyDescent="0.25">
      <c r="A123" s="132"/>
      <c r="B123" s="152"/>
      <c r="C123" s="153"/>
      <c r="D123" s="132"/>
      <c r="E123" s="132"/>
      <c r="F123" s="132"/>
      <c r="G123" s="132"/>
      <c r="H123" s="132"/>
      <c r="I123" s="132"/>
      <c r="J123" s="132"/>
      <c r="K123" s="132"/>
      <c r="L123" s="132"/>
      <c r="M123" s="132"/>
      <c r="N123" s="154"/>
      <c r="O123" s="132"/>
      <c r="P123" s="132"/>
      <c r="Q123" s="132"/>
      <c r="R123" s="132"/>
      <c r="S123" s="132"/>
      <c r="T123" s="132"/>
      <c r="U123" s="132"/>
      <c r="V123" s="132"/>
      <c r="W123" s="132"/>
      <c r="X123" s="132"/>
      <c r="Y123" s="132"/>
      <c r="Z123" s="132"/>
    </row>
    <row r="124" spans="1:26" ht="15.75" customHeight="1" x14ac:dyDescent="0.25">
      <c r="A124" s="132"/>
      <c r="B124" s="152"/>
      <c r="C124" s="153"/>
      <c r="D124" s="132"/>
      <c r="E124" s="132"/>
      <c r="F124" s="132"/>
      <c r="G124" s="132"/>
      <c r="H124" s="132"/>
      <c r="I124" s="132"/>
      <c r="J124" s="132"/>
      <c r="K124" s="132"/>
      <c r="L124" s="132"/>
      <c r="M124" s="132"/>
      <c r="N124" s="154"/>
      <c r="O124" s="132"/>
      <c r="P124" s="132"/>
      <c r="Q124" s="132"/>
      <c r="R124" s="132"/>
      <c r="S124" s="132"/>
      <c r="T124" s="132"/>
      <c r="U124" s="132"/>
      <c r="V124" s="132"/>
      <c r="W124" s="132"/>
      <c r="X124" s="132"/>
      <c r="Y124" s="132"/>
      <c r="Z124" s="132"/>
    </row>
    <row r="125" spans="1:26" ht="15.75" customHeight="1" x14ac:dyDescent="0.25">
      <c r="A125" s="132"/>
      <c r="B125" s="152"/>
      <c r="C125" s="153"/>
      <c r="D125" s="132"/>
      <c r="E125" s="132"/>
      <c r="F125" s="132"/>
      <c r="G125" s="132"/>
      <c r="H125" s="132"/>
      <c r="I125" s="132"/>
      <c r="J125" s="132"/>
      <c r="K125" s="132"/>
      <c r="L125" s="132"/>
      <c r="M125" s="132"/>
      <c r="N125" s="154"/>
      <c r="O125" s="132"/>
      <c r="P125" s="132"/>
      <c r="Q125" s="132"/>
      <c r="R125" s="132"/>
      <c r="S125" s="132"/>
      <c r="T125" s="132"/>
      <c r="U125" s="132"/>
      <c r="V125" s="132"/>
      <c r="W125" s="132"/>
      <c r="X125" s="132"/>
      <c r="Y125" s="132"/>
      <c r="Z125" s="132"/>
    </row>
    <row r="126" spans="1:26" ht="15.75" customHeight="1" x14ac:dyDescent="0.25">
      <c r="A126" s="132"/>
      <c r="B126" s="152"/>
      <c r="C126" s="153"/>
      <c r="D126" s="132"/>
      <c r="E126" s="132"/>
      <c r="F126" s="132"/>
      <c r="G126" s="132"/>
      <c r="H126" s="132"/>
      <c r="I126" s="132"/>
      <c r="J126" s="132"/>
      <c r="K126" s="132"/>
      <c r="L126" s="132"/>
      <c r="M126" s="132"/>
      <c r="N126" s="154"/>
      <c r="O126" s="132"/>
      <c r="P126" s="132"/>
      <c r="Q126" s="132"/>
      <c r="R126" s="132"/>
      <c r="S126" s="132"/>
      <c r="T126" s="132"/>
      <c r="U126" s="132"/>
      <c r="V126" s="132"/>
      <c r="W126" s="132"/>
      <c r="X126" s="132"/>
      <c r="Y126" s="132"/>
      <c r="Z126" s="132"/>
    </row>
    <row r="127" spans="1:26" ht="15.75" customHeight="1" x14ac:dyDescent="0.25">
      <c r="A127" s="132"/>
      <c r="B127" s="152"/>
      <c r="C127" s="153"/>
      <c r="D127" s="132"/>
      <c r="E127" s="132"/>
      <c r="F127" s="132"/>
      <c r="G127" s="132"/>
      <c r="H127" s="132"/>
      <c r="I127" s="132"/>
      <c r="J127" s="132"/>
      <c r="K127" s="132"/>
      <c r="L127" s="132"/>
      <c r="M127" s="132"/>
      <c r="N127" s="154"/>
      <c r="O127" s="132"/>
      <c r="P127" s="132"/>
      <c r="Q127" s="132"/>
      <c r="R127" s="132"/>
      <c r="S127" s="132"/>
      <c r="T127" s="132"/>
      <c r="U127" s="132"/>
      <c r="V127" s="132"/>
      <c r="W127" s="132"/>
      <c r="X127" s="132"/>
      <c r="Y127" s="132"/>
      <c r="Z127" s="132"/>
    </row>
    <row r="128" spans="1:26" ht="15.75" customHeight="1" x14ac:dyDescent="0.25">
      <c r="A128" s="132"/>
      <c r="B128" s="152"/>
      <c r="C128" s="153"/>
      <c r="D128" s="132"/>
      <c r="E128" s="132"/>
      <c r="F128" s="132"/>
      <c r="G128" s="132"/>
      <c r="H128" s="132"/>
      <c r="I128" s="132"/>
      <c r="J128" s="132"/>
      <c r="K128" s="132"/>
      <c r="L128" s="132"/>
      <c r="M128" s="132"/>
      <c r="N128" s="154"/>
      <c r="O128" s="132"/>
      <c r="P128" s="132"/>
      <c r="Q128" s="132"/>
      <c r="R128" s="132"/>
      <c r="S128" s="132"/>
      <c r="T128" s="132"/>
      <c r="U128" s="132"/>
      <c r="V128" s="132"/>
      <c r="W128" s="132"/>
      <c r="X128" s="132"/>
      <c r="Y128" s="132"/>
      <c r="Z128" s="132"/>
    </row>
    <row r="129" spans="1:26" ht="15.75" customHeight="1" x14ac:dyDescent="0.25">
      <c r="A129" s="132"/>
      <c r="B129" s="152"/>
      <c r="C129" s="153"/>
      <c r="D129" s="132"/>
      <c r="E129" s="132"/>
      <c r="F129" s="132"/>
      <c r="G129" s="132"/>
      <c r="H129" s="132"/>
      <c r="I129" s="132"/>
      <c r="J129" s="132"/>
      <c r="K129" s="132"/>
      <c r="L129" s="132"/>
      <c r="M129" s="132"/>
      <c r="N129" s="154"/>
      <c r="O129" s="132"/>
      <c r="P129" s="132"/>
      <c r="Q129" s="132"/>
      <c r="R129" s="132"/>
      <c r="S129" s="132"/>
      <c r="T129" s="132"/>
      <c r="U129" s="132"/>
      <c r="V129" s="132"/>
      <c r="W129" s="132"/>
      <c r="X129" s="132"/>
      <c r="Y129" s="132"/>
      <c r="Z129" s="132"/>
    </row>
    <row r="130" spans="1:26" ht="15.75" customHeight="1" x14ac:dyDescent="0.25">
      <c r="A130" s="132"/>
      <c r="B130" s="152"/>
      <c r="C130" s="153"/>
      <c r="D130" s="132"/>
      <c r="E130" s="132"/>
      <c r="F130" s="132"/>
      <c r="G130" s="132"/>
      <c r="H130" s="132"/>
      <c r="I130" s="132"/>
      <c r="J130" s="132"/>
      <c r="K130" s="132"/>
      <c r="L130" s="132"/>
      <c r="M130" s="132"/>
      <c r="N130" s="154"/>
      <c r="O130" s="132"/>
      <c r="P130" s="132"/>
      <c r="Q130" s="132"/>
      <c r="R130" s="132"/>
      <c r="S130" s="132"/>
      <c r="T130" s="132"/>
      <c r="U130" s="132"/>
      <c r="V130" s="132"/>
      <c r="W130" s="132"/>
      <c r="X130" s="132"/>
      <c r="Y130" s="132"/>
      <c r="Z130" s="132"/>
    </row>
    <row r="131" spans="1:26" ht="15.75" customHeight="1" x14ac:dyDescent="0.25">
      <c r="A131" s="132"/>
      <c r="B131" s="152"/>
      <c r="C131" s="153"/>
      <c r="D131" s="132"/>
      <c r="E131" s="132"/>
      <c r="F131" s="132"/>
      <c r="G131" s="132"/>
      <c r="H131" s="132"/>
      <c r="I131" s="132"/>
      <c r="J131" s="132"/>
      <c r="K131" s="132"/>
      <c r="L131" s="132"/>
      <c r="M131" s="132"/>
      <c r="N131" s="154"/>
      <c r="O131" s="132"/>
      <c r="P131" s="132"/>
      <c r="Q131" s="132"/>
      <c r="R131" s="132"/>
      <c r="S131" s="132"/>
      <c r="T131" s="132"/>
      <c r="U131" s="132"/>
      <c r="V131" s="132"/>
      <c r="W131" s="132"/>
      <c r="X131" s="132"/>
      <c r="Y131" s="132"/>
      <c r="Z131" s="132"/>
    </row>
    <row r="132" spans="1:26" ht="15.75" customHeight="1" x14ac:dyDescent="0.25">
      <c r="A132" s="132"/>
      <c r="B132" s="152"/>
      <c r="C132" s="153"/>
      <c r="D132" s="132"/>
      <c r="E132" s="132"/>
      <c r="F132" s="132"/>
      <c r="G132" s="132"/>
      <c r="H132" s="132"/>
      <c r="I132" s="132"/>
      <c r="J132" s="132"/>
      <c r="K132" s="132"/>
      <c r="L132" s="132"/>
      <c r="M132" s="132"/>
      <c r="N132" s="154"/>
      <c r="O132" s="132"/>
      <c r="P132" s="132"/>
      <c r="Q132" s="132"/>
      <c r="R132" s="132"/>
      <c r="S132" s="132"/>
      <c r="T132" s="132"/>
      <c r="U132" s="132"/>
      <c r="V132" s="132"/>
      <c r="W132" s="132"/>
      <c r="X132" s="132"/>
      <c r="Y132" s="132"/>
      <c r="Z132" s="132"/>
    </row>
    <row r="133" spans="1:26" ht="15.75" customHeight="1" x14ac:dyDescent="0.25">
      <c r="A133" s="132"/>
      <c r="B133" s="152"/>
      <c r="C133" s="153"/>
      <c r="D133" s="132"/>
      <c r="E133" s="132"/>
      <c r="F133" s="132"/>
      <c r="G133" s="132"/>
      <c r="H133" s="132"/>
      <c r="I133" s="132"/>
      <c r="J133" s="132"/>
      <c r="K133" s="132"/>
      <c r="L133" s="132"/>
      <c r="M133" s="132"/>
      <c r="N133" s="154"/>
      <c r="O133" s="132"/>
      <c r="P133" s="132"/>
      <c r="Q133" s="132"/>
      <c r="R133" s="132"/>
      <c r="S133" s="132"/>
      <c r="T133" s="132"/>
      <c r="U133" s="132"/>
      <c r="V133" s="132"/>
      <c r="W133" s="132"/>
      <c r="X133" s="132"/>
      <c r="Y133" s="132"/>
      <c r="Z133" s="132"/>
    </row>
    <row r="134" spans="1:26" ht="15.75" customHeight="1" x14ac:dyDescent="0.25">
      <c r="A134" s="132"/>
      <c r="B134" s="152"/>
      <c r="C134" s="153"/>
      <c r="D134" s="132"/>
      <c r="E134" s="132"/>
      <c r="F134" s="132"/>
      <c r="G134" s="132"/>
      <c r="H134" s="132"/>
      <c r="I134" s="132"/>
      <c r="J134" s="132"/>
      <c r="K134" s="132"/>
      <c r="L134" s="132"/>
      <c r="M134" s="132"/>
      <c r="N134" s="154"/>
      <c r="O134" s="132"/>
      <c r="P134" s="132"/>
      <c r="Q134" s="132"/>
      <c r="R134" s="132"/>
      <c r="S134" s="132"/>
      <c r="T134" s="132"/>
      <c r="U134" s="132"/>
      <c r="V134" s="132"/>
      <c r="W134" s="132"/>
      <c r="X134" s="132"/>
      <c r="Y134" s="132"/>
      <c r="Z134" s="132"/>
    </row>
    <row r="135" spans="1:26" ht="15.75" customHeight="1" x14ac:dyDescent="0.25">
      <c r="A135" s="132"/>
      <c r="B135" s="152"/>
      <c r="C135" s="153"/>
      <c r="D135" s="132"/>
      <c r="E135" s="132"/>
      <c r="F135" s="132"/>
      <c r="G135" s="132"/>
      <c r="H135" s="132"/>
      <c r="I135" s="132"/>
      <c r="J135" s="132"/>
      <c r="K135" s="132"/>
      <c r="L135" s="132"/>
      <c r="M135" s="132"/>
      <c r="N135" s="154"/>
      <c r="O135" s="132"/>
      <c r="P135" s="132"/>
      <c r="Q135" s="132"/>
      <c r="R135" s="132"/>
      <c r="S135" s="132"/>
      <c r="T135" s="132"/>
      <c r="U135" s="132"/>
      <c r="V135" s="132"/>
      <c r="W135" s="132"/>
      <c r="X135" s="132"/>
      <c r="Y135" s="132"/>
      <c r="Z135" s="132"/>
    </row>
    <row r="136" spans="1:26" ht="15.75" customHeight="1" x14ac:dyDescent="0.25">
      <c r="A136" s="132"/>
      <c r="B136" s="152"/>
      <c r="C136" s="153"/>
      <c r="D136" s="132"/>
      <c r="E136" s="132"/>
      <c r="F136" s="132"/>
      <c r="G136" s="132"/>
      <c r="H136" s="132"/>
      <c r="I136" s="132"/>
      <c r="J136" s="132"/>
      <c r="K136" s="132"/>
      <c r="L136" s="132"/>
      <c r="M136" s="132"/>
      <c r="N136" s="154"/>
      <c r="O136" s="132"/>
      <c r="P136" s="132"/>
      <c r="Q136" s="132"/>
      <c r="R136" s="132"/>
      <c r="S136" s="132"/>
      <c r="T136" s="132"/>
      <c r="U136" s="132"/>
      <c r="V136" s="132"/>
      <c r="W136" s="132"/>
      <c r="X136" s="132"/>
      <c r="Y136" s="132"/>
      <c r="Z136" s="132"/>
    </row>
    <row r="137" spans="1:26" ht="15.75" customHeight="1" x14ac:dyDescent="0.25">
      <c r="A137" s="132"/>
      <c r="B137" s="152"/>
      <c r="C137" s="153"/>
      <c r="D137" s="132"/>
      <c r="E137" s="132"/>
      <c r="F137" s="132"/>
      <c r="G137" s="132"/>
      <c r="H137" s="132"/>
      <c r="I137" s="132"/>
      <c r="J137" s="132"/>
      <c r="K137" s="132"/>
      <c r="L137" s="132"/>
      <c r="M137" s="132"/>
      <c r="N137" s="154"/>
      <c r="O137" s="132"/>
      <c r="P137" s="132"/>
      <c r="Q137" s="132"/>
      <c r="R137" s="132"/>
      <c r="S137" s="132"/>
      <c r="T137" s="132"/>
      <c r="U137" s="132"/>
      <c r="V137" s="132"/>
      <c r="W137" s="132"/>
      <c r="X137" s="132"/>
      <c r="Y137" s="132"/>
      <c r="Z137" s="132"/>
    </row>
    <row r="138" spans="1:26" ht="15.75" customHeight="1" x14ac:dyDescent="0.25">
      <c r="A138" s="132"/>
      <c r="B138" s="152"/>
      <c r="C138" s="153"/>
      <c r="D138" s="132"/>
      <c r="E138" s="132"/>
      <c r="F138" s="132"/>
      <c r="G138" s="132"/>
      <c r="H138" s="132"/>
      <c r="I138" s="132"/>
      <c r="J138" s="132"/>
      <c r="K138" s="132"/>
      <c r="L138" s="132"/>
      <c r="M138" s="132"/>
      <c r="N138" s="154"/>
      <c r="O138" s="132"/>
      <c r="P138" s="132"/>
      <c r="Q138" s="132"/>
      <c r="R138" s="132"/>
      <c r="S138" s="132"/>
      <c r="T138" s="132"/>
      <c r="U138" s="132"/>
      <c r="V138" s="132"/>
      <c r="W138" s="132"/>
      <c r="X138" s="132"/>
      <c r="Y138" s="132"/>
      <c r="Z138" s="132"/>
    </row>
    <row r="139" spans="1:26" ht="15.75" customHeight="1" x14ac:dyDescent="0.25">
      <c r="A139" s="132"/>
      <c r="B139" s="152"/>
      <c r="C139" s="153"/>
      <c r="D139" s="132"/>
      <c r="E139" s="132"/>
      <c r="F139" s="132"/>
      <c r="G139" s="132"/>
      <c r="H139" s="132"/>
      <c r="I139" s="132"/>
      <c r="J139" s="132"/>
      <c r="K139" s="132"/>
      <c r="L139" s="132"/>
      <c r="M139" s="132"/>
      <c r="N139" s="154"/>
      <c r="O139" s="132"/>
      <c r="P139" s="132"/>
      <c r="Q139" s="132"/>
      <c r="R139" s="132"/>
      <c r="S139" s="132"/>
      <c r="T139" s="132"/>
      <c r="U139" s="132"/>
      <c r="V139" s="132"/>
      <c r="W139" s="132"/>
      <c r="X139" s="132"/>
      <c r="Y139" s="132"/>
      <c r="Z139" s="132"/>
    </row>
    <row r="140" spans="1:26" ht="15.75" customHeight="1" x14ac:dyDescent="0.25">
      <c r="A140" s="132"/>
      <c r="B140" s="152"/>
      <c r="C140" s="153"/>
      <c r="D140" s="132"/>
      <c r="E140" s="132"/>
      <c r="F140" s="132"/>
      <c r="G140" s="132"/>
      <c r="H140" s="132"/>
      <c r="I140" s="132"/>
      <c r="J140" s="132"/>
      <c r="K140" s="132"/>
      <c r="L140" s="132"/>
      <c r="M140" s="132"/>
      <c r="N140" s="154"/>
      <c r="O140" s="132"/>
      <c r="P140" s="132"/>
      <c r="Q140" s="132"/>
      <c r="R140" s="132"/>
      <c r="S140" s="132"/>
      <c r="T140" s="132"/>
      <c r="U140" s="132"/>
      <c r="V140" s="132"/>
      <c r="W140" s="132"/>
      <c r="X140" s="132"/>
      <c r="Y140" s="132"/>
      <c r="Z140" s="132"/>
    </row>
    <row r="141" spans="1:26" ht="15.75" customHeight="1" x14ac:dyDescent="0.25">
      <c r="A141" s="132"/>
      <c r="B141" s="152"/>
      <c r="C141" s="153"/>
      <c r="D141" s="132"/>
      <c r="E141" s="132"/>
      <c r="F141" s="132"/>
      <c r="G141" s="132"/>
      <c r="H141" s="132"/>
      <c r="I141" s="132"/>
      <c r="J141" s="132"/>
      <c r="K141" s="132"/>
      <c r="L141" s="132"/>
      <c r="M141" s="132"/>
      <c r="N141" s="154"/>
      <c r="O141" s="132"/>
      <c r="P141" s="132"/>
      <c r="Q141" s="132"/>
      <c r="R141" s="132"/>
      <c r="S141" s="132"/>
      <c r="T141" s="132"/>
      <c r="U141" s="132"/>
      <c r="V141" s="132"/>
      <c r="W141" s="132"/>
      <c r="X141" s="132"/>
      <c r="Y141" s="132"/>
      <c r="Z141" s="132"/>
    </row>
    <row r="142" spans="1:26" ht="15.75" customHeight="1" x14ac:dyDescent="0.25">
      <c r="A142" s="132"/>
      <c r="B142" s="152"/>
      <c r="C142" s="153"/>
      <c r="D142" s="132"/>
      <c r="E142" s="132"/>
      <c r="F142" s="132"/>
      <c r="G142" s="132"/>
      <c r="H142" s="132"/>
      <c r="I142" s="132"/>
      <c r="J142" s="132"/>
      <c r="K142" s="132"/>
      <c r="L142" s="132"/>
      <c r="M142" s="132"/>
      <c r="N142" s="154"/>
      <c r="O142" s="132"/>
      <c r="P142" s="132"/>
      <c r="Q142" s="132"/>
      <c r="R142" s="132"/>
      <c r="S142" s="132"/>
      <c r="T142" s="132"/>
      <c r="U142" s="132"/>
      <c r="V142" s="132"/>
      <c r="W142" s="132"/>
      <c r="X142" s="132"/>
      <c r="Y142" s="132"/>
      <c r="Z142" s="132"/>
    </row>
    <row r="143" spans="1:26" ht="15.75" customHeight="1" x14ac:dyDescent="0.25">
      <c r="A143" s="132"/>
      <c r="B143" s="152"/>
      <c r="C143" s="153"/>
      <c r="D143" s="132"/>
      <c r="E143" s="132"/>
      <c r="F143" s="132"/>
      <c r="G143" s="132"/>
      <c r="H143" s="132"/>
      <c r="I143" s="132"/>
      <c r="J143" s="132"/>
      <c r="K143" s="132"/>
      <c r="L143" s="132"/>
      <c r="M143" s="132"/>
      <c r="N143" s="154"/>
      <c r="O143" s="132"/>
      <c r="P143" s="132"/>
      <c r="Q143" s="132"/>
      <c r="R143" s="132"/>
      <c r="S143" s="132"/>
      <c r="T143" s="132"/>
      <c r="U143" s="132"/>
      <c r="V143" s="132"/>
      <c r="W143" s="132"/>
      <c r="X143" s="132"/>
      <c r="Y143" s="132"/>
      <c r="Z143" s="132"/>
    </row>
    <row r="144" spans="1:26" ht="15.75" customHeight="1" x14ac:dyDescent="0.25">
      <c r="A144" s="132"/>
      <c r="B144" s="152"/>
      <c r="C144" s="153"/>
      <c r="D144" s="132"/>
      <c r="E144" s="132"/>
      <c r="F144" s="132"/>
      <c r="G144" s="132"/>
      <c r="H144" s="132"/>
      <c r="I144" s="132"/>
      <c r="J144" s="132"/>
      <c r="K144" s="132"/>
      <c r="L144" s="132"/>
      <c r="M144" s="132"/>
      <c r="N144" s="154"/>
      <c r="O144" s="132"/>
      <c r="P144" s="132"/>
      <c r="Q144" s="132"/>
      <c r="R144" s="132"/>
      <c r="S144" s="132"/>
      <c r="T144" s="132"/>
      <c r="U144" s="132"/>
      <c r="V144" s="132"/>
      <c r="W144" s="132"/>
      <c r="X144" s="132"/>
      <c r="Y144" s="132"/>
      <c r="Z144" s="132"/>
    </row>
    <row r="145" spans="1:26" ht="15.75" customHeight="1" x14ac:dyDescent="0.25">
      <c r="A145" s="132"/>
      <c r="B145" s="152"/>
      <c r="C145" s="153"/>
      <c r="D145" s="132"/>
      <c r="E145" s="132"/>
      <c r="F145" s="132"/>
      <c r="G145" s="132"/>
      <c r="H145" s="132"/>
      <c r="I145" s="132"/>
      <c r="J145" s="132"/>
      <c r="K145" s="132"/>
      <c r="L145" s="132"/>
      <c r="M145" s="132"/>
      <c r="N145" s="154"/>
      <c r="O145" s="132"/>
      <c r="P145" s="132"/>
      <c r="Q145" s="132"/>
      <c r="R145" s="132"/>
      <c r="S145" s="132"/>
      <c r="T145" s="132"/>
      <c r="U145" s="132"/>
      <c r="V145" s="132"/>
      <c r="W145" s="132"/>
      <c r="X145" s="132"/>
      <c r="Y145" s="132"/>
      <c r="Z145" s="132"/>
    </row>
    <row r="146" spans="1:26" ht="15.75" customHeight="1" x14ac:dyDescent="0.25">
      <c r="A146" s="132"/>
      <c r="B146" s="152"/>
      <c r="C146" s="153"/>
      <c r="D146" s="132"/>
      <c r="E146" s="132"/>
      <c r="F146" s="132"/>
      <c r="G146" s="132"/>
      <c r="H146" s="132"/>
      <c r="I146" s="132"/>
      <c r="J146" s="132"/>
      <c r="K146" s="132"/>
      <c r="L146" s="132"/>
      <c r="M146" s="132"/>
      <c r="N146" s="154"/>
      <c r="O146" s="132"/>
      <c r="P146" s="132"/>
      <c r="Q146" s="132"/>
      <c r="R146" s="132"/>
      <c r="S146" s="132"/>
      <c r="T146" s="132"/>
      <c r="U146" s="132"/>
      <c r="V146" s="132"/>
      <c r="W146" s="132"/>
      <c r="X146" s="132"/>
      <c r="Y146" s="132"/>
      <c r="Z146" s="132"/>
    </row>
    <row r="147" spans="1:26" ht="15.75" customHeight="1" x14ac:dyDescent="0.25">
      <c r="A147" s="132"/>
      <c r="B147" s="152"/>
      <c r="C147" s="153"/>
      <c r="D147" s="132"/>
      <c r="E147" s="132"/>
      <c r="F147" s="132"/>
      <c r="G147" s="132"/>
      <c r="H147" s="132"/>
      <c r="I147" s="132"/>
      <c r="J147" s="132"/>
      <c r="K147" s="132"/>
      <c r="L147" s="132"/>
      <c r="M147" s="132"/>
      <c r="N147" s="154"/>
      <c r="O147" s="132"/>
      <c r="P147" s="132"/>
      <c r="Q147" s="132"/>
      <c r="R147" s="132"/>
      <c r="S147" s="132"/>
      <c r="T147" s="132"/>
      <c r="U147" s="132"/>
      <c r="V147" s="132"/>
      <c r="W147" s="132"/>
      <c r="X147" s="132"/>
      <c r="Y147" s="132"/>
      <c r="Z147" s="132"/>
    </row>
    <row r="148" spans="1:26" ht="15.75" customHeight="1" x14ac:dyDescent="0.25">
      <c r="A148" s="132"/>
      <c r="B148" s="152"/>
      <c r="C148" s="153"/>
      <c r="D148" s="132"/>
      <c r="E148" s="132"/>
      <c r="F148" s="132"/>
      <c r="G148" s="132"/>
      <c r="H148" s="132"/>
      <c r="I148" s="132"/>
      <c r="J148" s="132"/>
      <c r="K148" s="132"/>
      <c r="L148" s="132"/>
      <c r="M148" s="132"/>
      <c r="N148" s="154"/>
      <c r="O148" s="132"/>
      <c r="P148" s="132"/>
      <c r="Q148" s="132"/>
      <c r="R148" s="132"/>
      <c r="S148" s="132"/>
      <c r="T148" s="132"/>
      <c r="U148" s="132"/>
      <c r="V148" s="132"/>
      <c r="W148" s="132"/>
      <c r="X148" s="132"/>
      <c r="Y148" s="132"/>
      <c r="Z148" s="132"/>
    </row>
    <row r="149" spans="1:26" ht="15.75" customHeight="1" x14ac:dyDescent="0.25">
      <c r="A149" s="132"/>
      <c r="B149" s="152"/>
      <c r="C149" s="153"/>
      <c r="D149" s="132"/>
      <c r="E149" s="132"/>
      <c r="F149" s="132"/>
      <c r="G149" s="132"/>
      <c r="H149" s="132"/>
      <c r="I149" s="132"/>
      <c r="J149" s="132"/>
      <c r="K149" s="132"/>
      <c r="L149" s="132"/>
      <c r="M149" s="132"/>
      <c r="N149" s="154"/>
      <c r="O149" s="132"/>
      <c r="P149" s="132"/>
      <c r="Q149" s="132"/>
      <c r="R149" s="132"/>
      <c r="S149" s="132"/>
      <c r="T149" s="132"/>
      <c r="U149" s="132"/>
      <c r="V149" s="132"/>
      <c r="W149" s="132"/>
      <c r="X149" s="132"/>
      <c r="Y149" s="132"/>
      <c r="Z149" s="132"/>
    </row>
    <row r="150" spans="1:26" ht="15.75" customHeight="1" x14ac:dyDescent="0.25">
      <c r="A150" s="132"/>
      <c r="B150" s="152"/>
      <c r="C150" s="153"/>
      <c r="D150" s="132"/>
      <c r="E150" s="132"/>
      <c r="F150" s="132"/>
      <c r="G150" s="132"/>
      <c r="H150" s="132"/>
      <c r="I150" s="132"/>
      <c r="J150" s="132"/>
      <c r="K150" s="132"/>
      <c r="L150" s="132"/>
      <c r="M150" s="132"/>
      <c r="N150" s="154"/>
      <c r="O150" s="132"/>
      <c r="P150" s="132"/>
      <c r="Q150" s="132"/>
      <c r="R150" s="132"/>
      <c r="S150" s="132"/>
      <c r="T150" s="132"/>
      <c r="U150" s="132"/>
      <c r="V150" s="132"/>
      <c r="W150" s="132"/>
      <c r="X150" s="132"/>
      <c r="Y150" s="132"/>
      <c r="Z150" s="132"/>
    </row>
    <row r="151" spans="1:26" ht="15.75" customHeight="1" x14ac:dyDescent="0.25">
      <c r="A151" s="132"/>
      <c r="B151" s="152"/>
      <c r="C151" s="153"/>
      <c r="D151" s="132"/>
      <c r="E151" s="132"/>
      <c r="F151" s="132"/>
      <c r="G151" s="132"/>
      <c r="H151" s="132"/>
      <c r="I151" s="132"/>
      <c r="J151" s="132"/>
      <c r="K151" s="132"/>
      <c r="L151" s="132"/>
      <c r="M151" s="132"/>
      <c r="N151" s="154"/>
      <c r="O151" s="132"/>
      <c r="P151" s="132"/>
      <c r="Q151" s="132"/>
      <c r="R151" s="132"/>
      <c r="S151" s="132"/>
      <c r="T151" s="132"/>
      <c r="U151" s="132"/>
      <c r="V151" s="132"/>
      <c r="W151" s="132"/>
      <c r="X151" s="132"/>
      <c r="Y151" s="132"/>
      <c r="Z151" s="132"/>
    </row>
    <row r="152" spans="1:26" ht="15.75" customHeight="1" x14ac:dyDescent="0.25">
      <c r="A152" s="132"/>
      <c r="B152" s="152"/>
      <c r="C152" s="153"/>
      <c r="D152" s="132"/>
      <c r="E152" s="132"/>
      <c r="F152" s="132"/>
      <c r="G152" s="132"/>
      <c r="H152" s="132"/>
      <c r="I152" s="132"/>
      <c r="J152" s="132"/>
      <c r="K152" s="132"/>
      <c r="L152" s="132"/>
      <c r="M152" s="132"/>
      <c r="N152" s="154"/>
      <c r="O152" s="132"/>
      <c r="P152" s="132"/>
      <c r="Q152" s="132"/>
      <c r="R152" s="132"/>
      <c r="S152" s="132"/>
      <c r="T152" s="132"/>
      <c r="U152" s="132"/>
      <c r="V152" s="132"/>
      <c r="W152" s="132"/>
      <c r="X152" s="132"/>
      <c r="Y152" s="132"/>
      <c r="Z152" s="132"/>
    </row>
    <row r="153" spans="1:26" ht="15.75" customHeight="1" x14ac:dyDescent="0.25">
      <c r="A153" s="132"/>
      <c r="B153" s="152"/>
      <c r="C153" s="153"/>
      <c r="D153" s="132"/>
      <c r="E153" s="132"/>
      <c r="F153" s="132"/>
      <c r="G153" s="132"/>
      <c r="H153" s="132"/>
      <c r="I153" s="132"/>
      <c r="J153" s="132"/>
      <c r="K153" s="132"/>
      <c r="L153" s="132"/>
      <c r="M153" s="132"/>
      <c r="N153" s="154"/>
      <c r="O153" s="132"/>
      <c r="P153" s="132"/>
      <c r="Q153" s="132"/>
      <c r="R153" s="132"/>
      <c r="S153" s="132"/>
      <c r="T153" s="132"/>
      <c r="U153" s="132"/>
      <c r="V153" s="132"/>
      <c r="W153" s="132"/>
      <c r="X153" s="132"/>
      <c r="Y153" s="132"/>
      <c r="Z153" s="132"/>
    </row>
    <row r="154" spans="1:26" ht="15.75" customHeight="1" x14ac:dyDescent="0.25">
      <c r="A154" s="132"/>
      <c r="B154" s="152"/>
      <c r="C154" s="153"/>
      <c r="D154" s="132"/>
      <c r="E154" s="132"/>
      <c r="F154" s="132"/>
      <c r="G154" s="132"/>
      <c r="H154" s="132"/>
      <c r="I154" s="132"/>
      <c r="J154" s="132"/>
      <c r="K154" s="132"/>
      <c r="L154" s="132"/>
      <c r="M154" s="132"/>
      <c r="N154" s="154"/>
      <c r="O154" s="132"/>
      <c r="P154" s="132"/>
      <c r="Q154" s="132"/>
      <c r="R154" s="132"/>
      <c r="S154" s="132"/>
      <c r="T154" s="132"/>
      <c r="U154" s="132"/>
      <c r="V154" s="132"/>
      <c r="W154" s="132"/>
      <c r="X154" s="132"/>
      <c r="Y154" s="132"/>
      <c r="Z154" s="132"/>
    </row>
    <row r="155" spans="1:26" ht="15.75" customHeight="1" x14ac:dyDescent="0.25">
      <c r="A155" s="132"/>
      <c r="B155" s="152"/>
      <c r="C155" s="153"/>
      <c r="D155" s="132"/>
      <c r="E155" s="132"/>
      <c r="F155" s="132"/>
      <c r="G155" s="132"/>
      <c r="H155" s="132"/>
      <c r="I155" s="132"/>
      <c r="J155" s="132"/>
      <c r="K155" s="132"/>
      <c r="L155" s="132"/>
      <c r="M155" s="132"/>
      <c r="N155" s="154"/>
      <c r="O155" s="132"/>
      <c r="P155" s="132"/>
      <c r="Q155" s="132"/>
      <c r="R155" s="132"/>
      <c r="S155" s="132"/>
      <c r="T155" s="132"/>
      <c r="U155" s="132"/>
      <c r="V155" s="132"/>
      <c r="W155" s="132"/>
      <c r="X155" s="132"/>
      <c r="Y155" s="132"/>
      <c r="Z155" s="132"/>
    </row>
    <row r="156" spans="1:26" ht="15.75" customHeight="1" x14ac:dyDescent="0.25">
      <c r="A156" s="132"/>
      <c r="B156" s="152"/>
      <c r="C156" s="153"/>
      <c r="D156" s="132"/>
      <c r="E156" s="132"/>
      <c r="F156" s="132"/>
      <c r="G156" s="132"/>
      <c r="H156" s="132"/>
      <c r="I156" s="132"/>
      <c r="J156" s="132"/>
      <c r="K156" s="132"/>
      <c r="L156" s="132"/>
      <c r="M156" s="132"/>
      <c r="N156" s="154"/>
      <c r="O156" s="132"/>
      <c r="P156" s="132"/>
      <c r="Q156" s="132"/>
      <c r="R156" s="132"/>
      <c r="S156" s="132"/>
      <c r="T156" s="132"/>
      <c r="U156" s="132"/>
      <c r="V156" s="132"/>
      <c r="W156" s="132"/>
      <c r="X156" s="132"/>
      <c r="Y156" s="132"/>
      <c r="Z156" s="132"/>
    </row>
    <row r="157" spans="1:26" ht="15.75" customHeight="1" x14ac:dyDescent="0.25">
      <c r="A157" s="132"/>
      <c r="B157" s="152"/>
      <c r="C157" s="153"/>
      <c r="D157" s="132"/>
      <c r="E157" s="132"/>
      <c r="F157" s="132"/>
      <c r="G157" s="132"/>
      <c r="H157" s="132"/>
      <c r="I157" s="132"/>
      <c r="J157" s="132"/>
      <c r="K157" s="132"/>
      <c r="L157" s="132"/>
      <c r="M157" s="132"/>
      <c r="N157" s="154"/>
      <c r="O157" s="132"/>
      <c r="P157" s="132"/>
      <c r="Q157" s="132"/>
      <c r="R157" s="132"/>
      <c r="S157" s="132"/>
      <c r="T157" s="132"/>
      <c r="U157" s="132"/>
      <c r="V157" s="132"/>
      <c r="W157" s="132"/>
      <c r="X157" s="132"/>
      <c r="Y157" s="132"/>
      <c r="Z157" s="132"/>
    </row>
    <row r="158" spans="1:26" ht="15.75" customHeight="1" x14ac:dyDescent="0.25">
      <c r="A158" s="132"/>
      <c r="B158" s="152"/>
      <c r="C158" s="153"/>
      <c r="D158" s="132"/>
      <c r="E158" s="132"/>
      <c r="F158" s="132"/>
      <c r="G158" s="132"/>
      <c r="H158" s="132"/>
      <c r="I158" s="132"/>
      <c r="J158" s="132"/>
      <c r="K158" s="132"/>
      <c r="L158" s="132"/>
      <c r="M158" s="132"/>
      <c r="N158" s="154"/>
      <c r="O158" s="132"/>
      <c r="P158" s="132"/>
      <c r="Q158" s="132"/>
      <c r="R158" s="132"/>
      <c r="S158" s="132"/>
      <c r="T158" s="132"/>
      <c r="U158" s="132"/>
      <c r="V158" s="132"/>
      <c r="W158" s="132"/>
      <c r="X158" s="132"/>
      <c r="Y158" s="132"/>
      <c r="Z158" s="132"/>
    </row>
    <row r="159" spans="1:26" ht="15.75" customHeight="1" x14ac:dyDescent="0.25">
      <c r="A159" s="132"/>
      <c r="B159" s="152"/>
      <c r="C159" s="153"/>
      <c r="D159" s="132"/>
      <c r="E159" s="132"/>
      <c r="F159" s="132"/>
      <c r="G159" s="132"/>
      <c r="H159" s="132"/>
      <c r="I159" s="132"/>
      <c r="J159" s="132"/>
      <c r="K159" s="132"/>
      <c r="L159" s="132"/>
      <c r="M159" s="132"/>
      <c r="N159" s="154"/>
      <c r="O159" s="132"/>
      <c r="P159" s="132"/>
      <c r="Q159" s="132"/>
      <c r="R159" s="132"/>
      <c r="S159" s="132"/>
      <c r="T159" s="132"/>
      <c r="U159" s="132"/>
      <c r="V159" s="132"/>
      <c r="W159" s="132"/>
      <c r="X159" s="132"/>
      <c r="Y159" s="132"/>
      <c r="Z159" s="132"/>
    </row>
    <row r="160" spans="1:26" ht="15.75" customHeight="1" x14ac:dyDescent="0.25">
      <c r="A160" s="132"/>
      <c r="B160" s="152"/>
      <c r="C160" s="153"/>
      <c r="D160" s="132"/>
      <c r="E160" s="132"/>
      <c r="F160" s="132"/>
      <c r="G160" s="132"/>
      <c r="H160" s="132"/>
      <c r="I160" s="132"/>
      <c r="J160" s="132"/>
      <c r="K160" s="132"/>
      <c r="L160" s="132"/>
      <c r="M160" s="132"/>
      <c r="N160" s="154"/>
      <c r="O160" s="132"/>
      <c r="P160" s="132"/>
      <c r="Q160" s="132"/>
      <c r="R160" s="132"/>
      <c r="S160" s="132"/>
      <c r="T160" s="132"/>
      <c r="U160" s="132"/>
      <c r="V160" s="132"/>
      <c r="W160" s="132"/>
      <c r="X160" s="132"/>
      <c r="Y160" s="132"/>
      <c r="Z160" s="132"/>
    </row>
    <row r="161" spans="1:26" ht="15.75" customHeight="1" x14ac:dyDescent="0.25">
      <c r="A161" s="132"/>
      <c r="B161" s="152"/>
      <c r="C161" s="153"/>
      <c r="D161" s="132"/>
      <c r="E161" s="132"/>
      <c r="F161" s="132"/>
      <c r="G161" s="132"/>
      <c r="H161" s="132"/>
      <c r="I161" s="132"/>
      <c r="J161" s="132"/>
      <c r="K161" s="132"/>
      <c r="L161" s="132"/>
      <c r="M161" s="132"/>
      <c r="N161" s="154"/>
      <c r="O161" s="132"/>
      <c r="P161" s="132"/>
      <c r="Q161" s="132"/>
      <c r="R161" s="132"/>
      <c r="S161" s="132"/>
      <c r="T161" s="132"/>
      <c r="U161" s="132"/>
      <c r="V161" s="132"/>
      <c r="W161" s="132"/>
      <c r="X161" s="132"/>
      <c r="Y161" s="132"/>
      <c r="Z161" s="132"/>
    </row>
    <row r="162" spans="1:26" ht="15.75" customHeight="1" x14ac:dyDescent="0.25">
      <c r="A162" s="132"/>
      <c r="B162" s="152"/>
      <c r="C162" s="153"/>
      <c r="D162" s="132"/>
      <c r="E162" s="132"/>
      <c r="F162" s="132"/>
      <c r="G162" s="132"/>
      <c r="H162" s="132"/>
      <c r="I162" s="132"/>
      <c r="J162" s="132"/>
      <c r="K162" s="132"/>
      <c r="L162" s="132"/>
      <c r="M162" s="132"/>
      <c r="N162" s="154"/>
      <c r="O162" s="132"/>
      <c r="P162" s="132"/>
      <c r="Q162" s="132"/>
      <c r="R162" s="132"/>
      <c r="S162" s="132"/>
      <c r="T162" s="132"/>
      <c r="U162" s="132"/>
      <c r="V162" s="132"/>
      <c r="W162" s="132"/>
      <c r="X162" s="132"/>
      <c r="Y162" s="132"/>
      <c r="Z162" s="132"/>
    </row>
    <row r="163" spans="1:26" ht="15.75" customHeight="1" x14ac:dyDescent="0.25">
      <c r="A163" s="132"/>
      <c r="B163" s="152"/>
      <c r="C163" s="153"/>
      <c r="D163" s="132"/>
      <c r="E163" s="132"/>
      <c r="F163" s="132"/>
      <c r="G163" s="132"/>
      <c r="H163" s="132"/>
      <c r="I163" s="132"/>
      <c r="J163" s="132"/>
      <c r="K163" s="132"/>
      <c r="L163" s="132"/>
      <c r="M163" s="132"/>
      <c r="N163" s="154"/>
      <c r="O163" s="132"/>
      <c r="P163" s="132"/>
      <c r="Q163" s="132"/>
      <c r="R163" s="132"/>
      <c r="S163" s="132"/>
      <c r="T163" s="132"/>
      <c r="U163" s="132"/>
      <c r="V163" s="132"/>
      <c r="W163" s="132"/>
      <c r="X163" s="132"/>
      <c r="Y163" s="132"/>
      <c r="Z163" s="132"/>
    </row>
    <row r="164" spans="1:26" ht="15.75" customHeight="1" x14ac:dyDescent="0.25">
      <c r="A164" s="132"/>
      <c r="B164" s="152"/>
      <c r="C164" s="153"/>
      <c r="D164" s="132"/>
      <c r="E164" s="132"/>
      <c r="F164" s="132"/>
      <c r="G164" s="132"/>
      <c r="H164" s="132"/>
      <c r="I164" s="132"/>
      <c r="J164" s="132"/>
      <c r="K164" s="132"/>
      <c r="L164" s="132"/>
      <c r="M164" s="132"/>
      <c r="N164" s="154"/>
      <c r="O164" s="132"/>
      <c r="P164" s="132"/>
      <c r="Q164" s="132"/>
      <c r="R164" s="132"/>
      <c r="S164" s="132"/>
      <c r="T164" s="132"/>
      <c r="U164" s="132"/>
      <c r="V164" s="132"/>
      <c r="W164" s="132"/>
      <c r="X164" s="132"/>
      <c r="Y164" s="132"/>
      <c r="Z164" s="132"/>
    </row>
    <row r="165" spans="1:26" ht="15.75" customHeight="1" x14ac:dyDescent="0.25">
      <c r="A165" s="132"/>
      <c r="B165" s="152"/>
      <c r="C165" s="153"/>
      <c r="D165" s="132"/>
      <c r="E165" s="132"/>
      <c r="F165" s="132"/>
      <c r="G165" s="132"/>
      <c r="H165" s="132"/>
      <c r="I165" s="132"/>
      <c r="J165" s="132"/>
      <c r="K165" s="132"/>
      <c r="L165" s="132"/>
      <c r="M165" s="132"/>
      <c r="N165" s="154"/>
      <c r="O165" s="132"/>
      <c r="P165" s="132"/>
      <c r="Q165" s="132"/>
      <c r="R165" s="132"/>
      <c r="S165" s="132"/>
      <c r="T165" s="132"/>
      <c r="U165" s="132"/>
      <c r="V165" s="132"/>
      <c r="W165" s="132"/>
      <c r="X165" s="132"/>
      <c r="Y165" s="132"/>
      <c r="Z165" s="132"/>
    </row>
    <row r="166" spans="1:26" ht="15.75" customHeight="1" x14ac:dyDescent="0.25">
      <c r="A166" s="132"/>
      <c r="B166" s="152"/>
      <c r="C166" s="153"/>
      <c r="D166" s="132"/>
      <c r="E166" s="132"/>
      <c r="F166" s="132"/>
      <c r="G166" s="132"/>
      <c r="H166" s="132"/>
      <c r="I166" s="132"/>
      <c r="J166" s="132"/>
      <c r="K166" s="132"/>
      <c r="L166" s="132"/>
      <c r="M166" s="132"/>
      <c r="N166" s="154"/>
      <c r="O166" s="132"/>
      <c r="P166" s="132"/>
      <c r="Q166" s="132"/>
      <c r="R166" s="132"/>
      <c r="S166" s="132"/>
      <c r="T166" s="132"/>
      <c r="U166" s="132"/>
      <c r="V166" s="132"/>
      <c r="W166" s="132"/>
      <c r="X166" s="132"/>
      <c r="Y166" s="132"/>
      <c r="Z166" s="132"/>
    </row>
    <row r="167" spans="1:26" ht="15.75" customHeight="1" x14ac:dyDescent="0.25">
      <c r="A167" s="132"/>
      <c r="B167" s="152"/>
      <c r="C167" s="153"/>
      <c r="D167" s="132"/>
      <c r="E167" s="132"/>
      <c r="F167" s="132"/>
      <c r="G167" s="132"/>
      <c r="H167" s="132"/>
      <c r="I167" s="132"/>
      <c r="J167" s="132"/>
      <c r="K167" s="132"/>
      <c r="L167" s="132"/>
      <c r="M167" s="132"/>
      <c r="N167" s="154"/>
      <c r="O167" s="132"/>
      <c r="P167" s="132"/>
      <c r="Q167" s="132"/>
      <c r="R167" s="132"/>
      <c r="S167" s="132"/>
      <c r="T167" s="132"/>
      <c r="U167" s="132"/>
      <c r="V167" s="132"/>
      <c r="W167" s="132"/>
      <c r="X167" s="132"/>
      <c r="Y167" s="132"/>
      <c r="Z167" s="132"/>
    </row>
    <row r="168" spans="1:26" ht="15.75" customHeight="1" x14ac:dyDescent="0.25">
      <c r="A168" s="132"/>
      <c r="B168" s="152"/>
      <c r="C168" s="153"/>
      <c r="D168" s="132"/>
      <c r="E168" s="132"/>
      <c r="F168" s="132"/>
      <c r="G168" s="132"/>
      <c r="H168" s="132"/>
      <c r="I168" s="132"/>
      <c r="J168" s="132"/>
      <c r="K168" s="132"/>
      <c r="L168" s="132"/>
      <c r="M168" s="132"/>
      <c r="N168" s="154"/>
      <c r="O168" s="132"/>
      <c r="P168" s="132"/>
      <c r="Q168" s="132"/>
      <c r="R168" s="132"/>
      <c r="S168" s="132"/>
      <c r="T168" s="132"/>
      <c r="U168" s="132"/>
      <c r="V168" s="132"/>
      <c r="W168" s="132"/>
      <c r="X168" s="132"/>
      <c r="Y168" s="132"/>
      <c r="Z168" s="132"/>
    </row>
    <row r="169" spans="1:26" ht="15.75" customHeight="1" x14ac:dyDescent="0.25">
      <c r="A169" s="132"/>
      <c r="B169" s="152"/>
      <c r="C169" s="153"/>
      <c r="D169" s="132"/>
      <c r="E169" s="132"/>
      <c r="F169" s="132"/>
      <c r="G169" s="132"/>
      <c r="H169" s="132"/>
      <c r="I169" s="132"/>
      <c r="J169" s="132"/>
      <c r="K169" s="132"/>
      <c r="L169" s="132"/>
      <c r="M169" s="132"/>
      <c r="N169" s="154"/>
      <c r="O169" s="132"/>
      <c r="P169" s="132"/>
      <c r="Q169" s="132"/>
      <c r="R169" s="132"/>
      <c r="S169" s="132"/>
      <c r="T169" s="132"/>
      <c r="U169" s="132"/>
      <c r="V169" s="132"/>
      <c r="W169" s="132"/>
      <c r="X169" s="132"/>
      <c r="Y169" s="132"/>
      <c r="Z169" s="132"/>
    </row>
    <row r="170" spans="1:26" ht="15.75" customHeight="1" x14ac:dyDescent="0.25">
      <c r="A170" s="132"/>
      <c r="B170" s="152"/>
      <c r="C170" s="153"/>
      <c r="D170" s="132"/>
      <c r="E170" s="132"/>
      <c r="F170" s="132"/>
      <c r="G170" s="132"/>
      <c r="H170" s="132"/>
      <c r="I170" s="132"/>
      <c r="J170" s="132"/>
      <c r="K170" s="132"/>
      <c r="L170" s="132"/>
      <c r="M170" s="132"/>
      <c r="N170" s="154"/>
      <c r="O170" s="132"/>
      <c r="P170" s="132"/>
      <c r="Q170" s="132"/>
      <c r="R170" s="132"/>
      <c r="S170" s="132"/>
      <c r="T170" s="132"/>
      <c r="U170" s="132"/>
      <c r="V170" s="132"/>
      <c r="W170" s="132"/>
      <c r="X170" s="132"/>
      <c r="Y170" s="132"/>
      <c r="Z170" s="132"/>
    </row>
    <row r="171" spans="1:26" ht="15.75" customHeight="1" x14ac:dyDescent="0.25">
      <c r="A171" s="132"/>
      <c r="B171" s="152"/>
      <c r="C171" s="153"/>
      <c r="D171" s="132"/>
      <c r="E171" s="132"/>
      <c r="F171" s="132"/>
      <c r="G171" s="132"/>
      <c r="H171" s="132"/>
      <c r="I171" s="132"/>
      <c r="J171" s="132"/>
      <c r="K171" s="132"/>
      <c r="L171" s="132"/>
      <c r="M171" s="132"/>
      <c r="N171" s="154"/>
      <c r="O171" s="132"/>
      <c r="P171" s="132"/>
      <c r="Q171" s="132"/>
      <c r="R171" s="132"/>
      <c r="S171" s="132"/>
      <c r="T171" s="132"/>
      <c r="U171" s="132"/>
      <c r="V171" s="132"/>
      <c r="W171" s="132"/>
      <c r="X171" s="132"/>
      <c r="Y171" s="132"/>
      <c r="Z171" s="132"/>
    </row>
    <row r="172" spans="1:26" ht="15.75" customHeight="1" x14ac:dyDescent="0.25">
      <c r="A172" s="132"/>
      <c r="B172" s="152"/>
      <c r="C172" s="153"/>
      <c r="D172" s="132"/>
      <c r="E172" s="132"/>
      <c r="F172" s="132"/>
      <c r="G172" s="132"/>
      <c r="H172" s="132"/>
      <c r="I172" s="132"/>
      <c r="J172" s="132"/>
      <c r="K172" s="132"/>
      <c r="L172" s="132"/>
      <c r="M172" s="132"/>
      <c r="N172" s="154"/>
      <c r="O172" s="132"/>
      <c r="P172" s="132"/>
      <c r="Q172" s="132"/>
      <c r="R172" s="132"/>
      <c r="S172" s="132"/>
      <c r="T172" s="132"/>
      <c r="U172" s="132"/>
      <c r="V172" s="132"/>
      <c r="W172" s="132"/>
      <c r="X172" s="132"/>
      <c r="Y172" s="132"/>
      <c r="Z172" s="132"/>
    </row>
    <row r="173" spans="1:26" ht="15.75" customHeight="1" x14ac:dyDescent="0.25">
      <c r="A173" s="132"/>
      <c r="B173" s="152"/>
      <c r="C173" s="153"/>
      <c r="D173" s="132"/>
      <c r="E173" s="132"/>
      <c r="F173" s="132"/>
      <c r="G173" s="132"/>
      <c r="H173" s="132"/>
      <c r="I173" s="132"/>
      <c r="J173" s="132"/>
      <c r="K173" s="132"/>
      <c r="L173" s="132"/>
      <c r="M173" s="132"/>
      <c r="N173" s="154"/>
      <c r="O173" s="132"/>
      <c r="P173" s="132"/>
      <c r="Q173" s="132"/>
      <c r="R173" s="132"/>
      <c r="S173" s="132"/>
      <c r="T173" s="132"/>
      <c r="U173" s="132"/>
      <c r="V173" s="132"/>
      <c r="W173" s="132"/>
      <c r="X173" s="132"/>
      <c r="Y173" s="132"/>
      <c r="Z173" s="132"/>
    </row>
    <row r="174" spans="1:26" ht="15.75" customHeight="1" x14ac:dyDescent="0.25">
      <c r="A174" s="132"/>
      <c r="B174" s="152"/>
      <c r="C174" s="153"/>
      <c r="D174" s="132"/>
      <c r="E174" s="132"/>
      <c r="F174" s="132"/>
      <c r="G174" s="132"/>
      <c r="H174" s="132"/>
      <c r="I174" s="132"/>
      <c r="J174" s="132"/>
      <c r="K174" s="132"/>
      <c r="L174" s="132"/>
      <c r="M174" s="132"/>
      <c r="N174" s="154"/>
      <c r="O174" s="132"/>
      <c r="P174" s="132"/>
      <c r="Q174" s="132"/>
      <c r="R174" s="132"/>
      <c r="S174" s="132"/>
      <c r="T174" s="132"/>
      <c r="U174" s="132"/>
      <c r="V174" s="132"/>
      <c r="W174" s="132"/>
      <c r="X174" s="132"/>
      <c r="Y174" s="132"/>
      <c r="Z174" s="132"/>
    </row>
    <row r="175" spans="1:26" ht="15.75" customHeight="1" x14ac:dyDescent="0.25">
      <c r="A175" s="132"/>
      <c r="B175" s="152"/>
      <c r="C175" s="153"/>
      <c r="D175" s="132"/>
      <c r="E175" s="132"/>
      <c r="F175" s="132"/>
      <c r="G175" s="132"/>
      <c r="H175" s="132"/>
      <c r="I175" s="132"/>
      <c r="J175" s="132"/>
      <c r="K175" s="132"/>
      <c r="L175" s="132"/>
      <c r="M175" s="132"/>
      <c r="N175" s="154"/>
      <c r="O175" s="132"/>
      <c r="P175" s="132"/>
      <c r="Q175" s="132"/>
      <c r="R175" s="132"/>
      <c r="S175" s="132"/>
      <c r="T175" s="132"/>
      <c r="U175" s="132"/>
      <c r="V175" s="132"/>
      <c r="W175" s="132"/>
      <c r="X175" s="132"/>
      <c r="Y175" s="132"/>
      <c r="Z175" s="132"/>
    </row>
    <row r="176" spans="1:26" ht="15.75" customHeight="1" x14ac:dyDescent="0.25">
      <c r="A176" s="132"/>
      <c r="B176" s="152"/>
      <c r="C176" s="153"/>
      <c r="D176" s="132"/>
      <c r="E176" s="132"/>
      <c r="F176" s="132"/>
      <c r="G176" s="132"/>
      <c r="H176" s="132"/>
      <c r="I176" s="132"/>
      <c r="J176" s="132"/>
      <c r="K176" s="132"/>
      <c r="L176" s="132"/>
      <c r="M176" s="132"/>
      <c r="N176" s="154"/>
      <c r="O176" s="132"/>
      <c r="P176" s="132"/>
      <c r="Q176" s="132"/>
      <c r="R176" s="132"/>
      <c r="S176" s="132"/>
      <c r="T176" s="132"/>
      <c r="U176" s="132"/>
      <c r="V176" s="132"/>
      <c r="W176" s="132"/>
      <c r="X176" s="132"/>
      <c r="Y176" s="132"/>
      <c r="Z176" s="132"/>
    </row>
    <row r="177" spans="1:26" ht="15.75" customHeight="1" x14ac:dyDescent="0.25">
      <c r="A177" s="132"/>
      <c r="B177" s="152"/>
      <c r="C177" s="153"/>
      <c r="D177" s="132"/>
      <c r="E177" s="132"/>
      <c r="F177" s="132"/>
      <c r="G177" s="132"/>
      <c r="H177" s="132"/>
      <c r="I177" s="132"/>
      <c r="J177" s="132"/>
      <c r="K177" s="132"/>
      <c r="L177" s="132"/>
      <c r="M177" s="132"/>
      <c r="N177" s="154"/>
      <c r="O177" s="132"/>
      <c r="P177" s="132"/>
      <c r="Q177" s="132"/>
      <c r="R177" s="132"/>
      <c r="S177" s="132"/>
      <c r="T177" s="132"/>
      <c r="U177" s="132"/>
      <c r="V177" s="132"/>
      <c r="W177" s="132"/>
      <c r="X177" s="132"/>
      <c r="Y177" s="132"/>
      <c r="Z177" s="132"/>
    </row>
    <row r="178" spans="1:26" ht="15.75" customHeight="1" x14ac:dyDescent="0.25">
      <c r="A178" s="132"/>
      <c r="B178" s="152"/>
      <c r="C178" s="153"/>
      <c r="D178" s="132"/>
      <c r="E178" s="132"/>
      <c r="F178" s="132"/>
      <c r="G178" s="132"/>
      <c r="H178" s="132"/>
      <c r="I178" s="132"/>
      <c r="J178" s="132"/>
      <c r="K178" s="132"/>
      <c r="L178" s="132"/>
      <c r="M178" s="132"/>
      <c r="N178" s="154"/>
      <c r="O178" s="132"/>
      <c r="P178" s="132"/>
      <c r="Q178" s="132"/>
      <c r="R178" s="132"/>
      <c r="S178" s="132"/>
      <c r="T178" s="132"/>
      <c r="U178" s="132"/>
      <c r="V178" s="132"/>
      <c r="W178" s="132"/>
      <c r="X178" s="132"/>
      <c r="Y178" s="132"/>
      <c r="Z178" s="132"/>
    </row>
    <row r="179" spans="1:26" ht="15.75" customHeight="1" x14ac:dyDescent="0.25">
      <c r="A179" s="132"/>
      <c r="B179" s="152"/>
      <c r="C179" s="153"/>
      <c r="D179" s="132"/>
      <c r="E179" s="132"/>
      <c r="F179" s="132"/>
      <c r="G179" s="132"/>
      <c r="H179" s="132"/>
      <c r="I179" s="132"/>
      <c r="J179" s="132"/>
      <c r="K179" s="132"/>
      <c r="L179" s="132"/>
      <c r="M179" s="132"/>
      <c r="N179" s="154"/>
      <c r="O179" s="132"/>
      <c r="P179" s="132"/>
      <c r="Q179" s="132"/>
      <c r="R179" s="132"/>
      <c r="S179" s="132"/>
      <c r="T179" s="132"/>
      <c r="U179" s="132"/>
      <c r="V179" s="132"/>
      <c r="W179" s="132"/>
      <c r="X179" s="132"/>
      <c r="Y179" s="132"/>
      <c r="Z179" s="132"/>
    </row>
    <row r="180" spans="1:26" ht="15.75" customHeight="1" x14ac:dyDescent="0.25">
      <c r="A180" s="132"/>
      <c r="B180" s="152"/>
      <c r="C180" s="153"/>
      <c r="D180" s="132"/>
      <c r="E180" s="132"/>
      <c r="F180" s="132"/>
      <c r="G180" s="132"/>
      <c r="H180" s="132"/>
      <c r="I180" s="132"/>
      <c r="J180" s="132"/>
      <c r="K180" s="132"/>
      <c r="L180" s="132"/>
      <c r="M180" s="132"/>
      <c r="N180" s="154"/>
      <c r="O180" s="132"/>
      <c r="P180" s="132"/>
      <c r="Q180" s="132"/>
      <c r="R180" s="132"/>
      <c r="S180" s="132"/>
      <c r="T180" s="132"/>
      <c r="U180" s="132"/>
      <c r="V180" s="132"/>
      <c r="W180" s="132"/>
      <c r="X180" s="132"/>
      <c r="Y180" s="132"/>
      <c r="Z180" s="132"/>
    </row>
    <row r="181" spans="1:26" ht="15.75" customHeight="1" x14ac:dyDescent="0.25">
      <c r="A181" s="132"/>
      <c r="B181" s="152"/>
      <c r="C181" s="153"/>
      <c r="D181" s="132"/>
      <c r="E181" s="132"/>
      <c r="F181" s="132"/>
      <c r="G181" s="132"/>
      <c r="H181" s="132"/>
      <c r="I181" s="132"/>
      <c r="J181" s="132"/>
      <c r="K181" s="132"/>
      <c r="L181" s="132"/>
      <c r="M181" s="132"/>
      <c r="N181" s="154"/>
      <c r="O181" s="132"/>
      <c r="P181" s="132"/>
      <c r="Q181" s="132"/>
      <c r="R181" s="132"/>
      <c r="S181" s="132"/>
      <c r="T181" s="132"/>
      <c r="U181" s="132"/>
      <c r="V181" s="132"/>
      <c r="W181" s="132"/>
      <c r="X181" s="132"/>
      <c r="Y181" s="132"/>
      <c r="Z181" s="132"/>
    </row>
    <row r="182" spans="1:26" ht="15.75" customHeight="1" x14ac:dyDescent="0.25">
      <c r="A182" s="132"/>
      <c r="B182" s="152"/>
      <c r="C182" s="153"/>
      <c r="D182" s="132"/>
      <c r="E182" s="132"/>
      <c r="F182" s="132"/>
      <c r="G182" s="132"/>
      <c r="H182" s="132"/>
      <c r="I182" s="132"/>
      <c r="J182" s="132"/>
      <c r="K182" s="132"/>
      <c r="L182" s="132"/>
      <c r="M182" s="132"/>
      <c r="N182" s="154"/>
      <c r="O182" s="132"/>
      <c r="P182" s="132"/>
      <c r="Q182" s="132"/>
      <c r="R182" s="132"/>
      <c r="S182" s="132"/>
      <c r="T182" s="132"/>
      <c r="U182" s="132"/>
      <c r="V182" s="132"/>
      <c r="W182" s="132"/>
      <c r="X182" s="132"/>
      <c r="Y182" s="132"/>
      <c r="Z182" s="132"/>
    </row>
    <row r="183" spans="1:26" ht="15.75" customHeight="1" x14ac:dyDescent="0.25">
      <c r="A183" s="132"/>
      <c r="B183" s="152"/>
      <c r="C183" s="153"/>
      <c r="D183" s="132"/>
      <c r="E183" s="132"/>
      <c r="F183" s="132"/>
      <c r="G183" s="132"/>
      <c r="H183" s="132"/>
      <c r="I183" s="132"/>
      <c r="J183" s="132"/>
      <c r="K183" s="132"/>
      <c r="L183" s="132"/>
      <c r="M183" s="132"/>
      <c r="N183" s="154"/>
      <c r="O183" s="132"/>
      <c r="P183" s="132"/>
      <c r="Q183" s="132"/>
      <c r="R183" s="132"/>
      <c r="S183" s="132"/>
      <c r="T183" s="132"/>
      <c r="U183" s="132"/>
      <c r="V183" s="132"/>
      <c r="W183" s="132"/>
      <c r="X183" s="132"/>
      <c r="Y183" s="132"/>
      <c r="Z183" s="132"/>
    </row>
    <row r="184" spans="1:26" ht="15.75" customHeight="1" x14ac:dyDescent="0.25">
      <c r="A184" s="132"/>
      <c r="B184" s="152"/>
      <c r="C184" s="153"/>
      <c r="D184" s="132"/>
      <c r="E184" s="132"/>
      <c r="F184" s="132"/>
      <c r="G184" s="132"/>
      <c r="H184" s="132"/>
      <c r="I184" s="132"/>
      <c r="J184" s="132"/>
      <c r="K184" s="132"/>
      <c r="L184" s="132"/>
      <c r="M184" s="132"/>
      <c r="N184" s="154"/>
      <c r="O184" s="132"/>
      <c r="P184" s="132"/>
      <c r="Q184" s="132"/>
      <c r="R184" s="132"/>
      <c r="S184" s="132"/>
      <c r="T184" s="132"/>
      <c r="U184" s="132"/>
      <c r="V184" s="132"/>
      <c r="W184" s="132"/>
      <c r="X184" s="132"/>
      <c r="Y184" s="132"/>
      <c r="Z184" s="132"/>
    </row>
    <row r="185" spans="1:26" ht="15.75" customHeight="1" x14ac:dyDescent="0.25">
      <c r="A185" s="132"/>
      <c r="B185" s="152"/>
      <c r="C185" s="153"/>
      <c r="D185" s="132"/>
      <c r="E185" s="132"/>
      <c r="F185" s="132"/>
      <c r="G185" s="132"/>
      <c r="H185" s="132"/>
      <c r="I185" s="132"/>
      <c r="J185" s="132"/>
      <c r="K185" s="132"/>
      <c r="L185" s="132"/>
      <c r="M185" s="132"/>
      <c r="N185" s="154"/>
      <c r="O185" s="132"/>
      <c r="P185" s="132"/>
      <c r="Q185" s="132"/>
      <c r="R185" s="132"/>
      <c r="S185" s="132"/>
      <c r="T185" s="132"/>
      <c r="U185" s="132"/>
      <c r="V185" s="132"/>
      <c r="W185" s="132"/>
      <c r="X185" s="132"/>
      <c r="Y185" s="132"/>
      <c r="Z185" s="132"/>
    </row>
    <row r="186" spans="1:26" ht="15.75" customHeight="1" x14ac:dyDescent="0.25">
      <c r="A186" s="132"/>
      <c r="B186" s="152"/>
      <c r="C186" s="153"/>
      <c r="D186" s="132"/>
      <c r="E186" s="132"/>
      <c r="F186" s="132"/>
      <c r="G186" s="132"/>
      <c r="H186" s="132"/>
      <c r="I186" s="132"/>
      <c r="J186" s="132"/>
      <c r="K186" s="132"/>
      <c r="L186" s="132"/>
      <c r="M186" s="132"/>
      <c r="N186" s="154"/>
      <c r="O186" s="132"/>
      <c r="P186" s="132"/>
      <c r="Q186" s="132"/>
      <c r="R186" s="132"/>
      <c r="S186" s="132"/>
      <c r="T186" s="132"/>
      <c r="U186" s="132"/>
      <c r="V186" s="132"/>
      <c r="W186" s="132"/>
      <c r="X186" s="132"/>
      <c r="Y186" s="132"/>
      <c r="Z186" s="132"/>
    </row>
    <row r="187" spans="1:26" ht="15.75" customHeight="1" x14ac:dyDescent="0.25">
      <c r="A187" s="132"/>
      <c r="B187" s="152"/>
      <c r="C187" s="153"/>
      <c r="D187" s="132"/>
      <c r="E187" s="132"/>
      <c r="F187" s="132"/>
      <c r="G187" s="132"/>
      <c r="H187" s="132"/>
      <c r="I187" s="132"/>
      <c r="J187" s="132"/>
      <c r="K187" s="132"/>
      <c r="L187" s="132"/>
      <c r="M187" s="132"/>
      <c r="N187" s="154"/>
      <c r="O187" s="132"/>
      <c r="P187" s="132"/>
      <c r="Q187" s="132"/>
      <c r="R187" s="132"/>
      <c r="S187" s="132"/>
      <c r="T187" s="132"/>
      <c r="U187" s="132"/>
      <c r="V187" s="132"/>
      <c r="W187" s="132"/>
      <c r="X187" s="132"/>
      <c r="Y187" s="132"/>
      <c r="Z187" s="132"/>
    </row>
    <row r="188" spans="1:26" ht="15.75" customHeight="1" x14ac:dyDescent="0.25">
      <c r="A188" s="132"/>
      <c r="B188" s="152"/>
      <c r="C188" s="153"/>
      <c r="D188" s="132"/>
      <c r="E188" s="132"/>
      <c r="F188" s="132"/>
      <c r="G188" s="132"/>
      <c r="H188" s="132"/>
      <c r="I188" s="132"/>
      <c r="J188" s="132"/>
      <c r="K188" s="132"/>
      <c r="L188" s="132"/>
      <c r="M188" s="132"/>
      <c r="N188" s="154"/>
      <c r="O188" s="132"/>
      <c r="P188" s="132"/>
      <c r="Q188" s="132"/>
      <c r="R188" s="132"/>
      <c r="S188" s="132"/>
      <c r="T188" s="132"/>
      <c r="U188" s="132"/>
      <c r="V188" s="132"/>
      <c r="W188" s="132"/>
      <c r="X188" s="132"/>
      <c r="Y188" s="132"/>
      <c r="Z188" s="132"/>
    </row>
    <row r="189" spans="1:26" ht="15.75" customHeight="1" x14ac:dyDescent="0.25">
      <c r="A189" s="132"/>
      <c r="B189" s="152"/>
      <c r="C189" s="153"/>
      <c r="D189" s="132"/>
      <c r="E189" s="132"/>
      <c r="F189" s="132"/>
      <c r="G189" s="132"/>
      <c r="H189" s="132"/>
      <c r="I189" s="132"/>
      <c r="J189" s="132"/>
      <c r="K189" s="132"/>
      <c r="L189" s="132"/>
      <c r="M189" s="132"/>
      <c r="N189" s="154"/>
      <c r="O189" s="132"/>
      <c r="P189" s="132"/>
      <c r="Q189" s="132"/>
      <c r="R189" s="132"/>
      <c r="S189" s="132"/>
      <c r="T189" s="132"/>
      <c r="U189" s="132"/>
      <c r="V189" s="132"/>
      <c r="W189" s="132"/>
      <c r="X189" s="132"/>
      <c r="Y189" s="132"/>
      <c r="Z189" s="132"/>
    </row>
    <row r="190" spans="1:26" ht="15.75" customHeight="1" x14ac:dyDescent="0.25">
      <c r="A190" s="132"/>
      <c r="B190" s="152"/>
      <c r="C190" s="153"/>
      <c r="D190" s="132"/>
      <c r="E190" s="132"/>
      <c r="F190" s="132"/>
      <c r="G190" s="132"/>
      <c r="H190" s="132"/>
      <c r="I190" s="132"/>
      <c r="J190" s="132"/>
      <c r="K190" s="132"/>
      <c r="L190" s="132"/>
      <c r="M190" s="132"/>
      <c r="N190" s="154"/>
      <c r="O190" s="132"/>
      <c r="P190" s="132"/>
      <c r="Q190" s="132"/>
      <c r="R190" s="132"/>
      <c r="S190" s="132"/>
      <c r="T190" s="132"/>
      <c r="U190" s="132"/>
      <c r="V190" s="132"/>
      <c r="W190" s="132"/>
      <c r="X190" s="132"/>
      <c r="Y190" s="132"/>
      <c r="Z190" s="132"/>
    </row>
    <row r="191" spans="1:26" ht="15.75" customHeight="1" x14ac:dyDescent="0.25">
      <c r="A191" s="132"/>
      <c r="B191" s="152"/>
      <c r="C191" s="153"/>
      <c r="D191" s="132"/>
      <c r="E191" s="132"/>
      <c r="F191" s="132"/>
      <c r="G191" s="132"/>
      <c r="H191" s="132"/>
      <c r="I191" s="132"/>
      <c r="J191" s="132"/>
      <c r="K191" s="132"/>
      <c r="L191" s="132"/>
      <c r="M191" s="132"/>
      <c r="N191" s="154"/>
      <c r="O191" s="132"/>
      <c r="P191" s="132"/>
      <c r="Q191" s="132"/>
      <c r="R191" s="132"/>
      <c r="S191" s="132"/>
      <c r="T191" s="132"/>
      <c r="U191" s="132"/>
      <c r="V191" s="132"/>
      <c r="W191" s="132"/>
      <c r="X191" s="132"/>
      <c r="Y191" s="132"/>
      <c r="Z191" s="132"/>
    </row>
    <row r="192" spans="1:26" ht="15.75" customHeight="1" x14ac:dyDescent="0.25">
      <c r="A192" s="132"/>
      <c r="B192" s="152"/>
      <c r="C192" s="153"/>
      <c r="D192" s="132"/>
      <c r="E192" s="132"/>
      <c r="F192" s="132"/>
      <c r="G192" s="132"/>
      <c r="H192" s="132"/>
      <c r="I192" s="132"/>
      <c r="J192" s="132"/>
      <c r="K192" s="132"/>
      <c r="L192" s="132"/>
      <c r="M192" s="132"/>
      <c r="N192" s="154"/>
      <c r="O192" s="132"/>
      <c r="P192" s="132"/>
      <c r="Q192" s="132"/>
      <c r="R192" s="132"/>
      <c r="S192" s="132"/>
      <c r="T192" s="132"/>
      <c r="U192" s="132"/>
      <c r="V192" s="132"/>
      <c r="W192" s="132"/>
      <c r="X192" s="132"/>
      <c r="Y192" s="132"/>
      <c r="Z192" s="132"/>
    </row>
    <row r="193" spans="1:26" ht="15.75" customHeight="1" x14ac:dyDescent="0.25">
      <c r="A193" s="132"/>
      <c r="B193" s="152"/>
      <c r="C193" s="153"/>
      <c r="D193" s="132"/>
      <c r="E193" s="132"/>
      <c r="F193" s="132"/>
      <c r="G193" s="132"/>
      <c r="H193" s="132"/>
      <c r="I193" s="132"/>
      <c r="J193" s="132"/>
      <c r="K193" s="132"/>
      <c r="L193" s="132"/>
      <c r="M193" s="132"/>
      <c r="N193" s="154"/>
      <c r="O193" s="132"/>
      <c r="P193" s="132"/>
      <c r="Q193" s="132"/>
      <c r="R193" s="132"/>
      <c r="S193" s="132"/>
      <c r="T193" s="132"/>
      <c r="U193" s="132"/>
      <c r="V193" s="132"/>
      <c r="W193" s="132"/>
      <c r="X193" s="132"/>
      <c r="Y193" s="132"/>
      <c r="Z193" s="132"/>
    </row>
    <row r="194" spans="1:26" ht="15.75" customHeight="1" x14ac:dyDescent="0.25">
      <c r="A194" s="132"/>
      <c r="B194" s="152"/>
      <c r="C194" s="153"/>
      <c r="D194" s="132"/>
      <c r="E194" s="132"/>
      <c r="F194" s="132"/>
      <c r="G194" s="132"/>
      <c r="H194" s="132"/>
      <c r="I194" s="132"/>
      <c r="J194" s="132"/>
      <c r="K194" s="132"/>
      <c r="L194" s="132"/>
      <c r="M194" s="132"/>
      <c r="N194" s="154"/>
      <c r="O194" s="132"/>
      <c r="P194" s="132"/>
      <c r="Q194" s="132"/>
      <c r="R194" s="132"/>
      <c r="S194" s="132"/>
      <c r="T194" s="132"/>
      <c r="U194" s="132"/>
      <c r="V194" s="132"/>
      <c r="W194" s="132"/>
      <c r="X194" s="132"/>
      <c r="Y194" s="132"/>
      <c r="Z194" s="132"/>
    </row>
    <row r="195" spans="1:26" ht="15.75" customHeight="1" x14ac:dyDescent="0.25">
      <c r="A195" s="132"/>
      <c r="B195" s="152"/>
      <c r="C195" s="153"/>
      <c r="D195" s="132"/>
      <c r="E195" s="132"/>
      <c r="F195" s="132"/>
      <c r="G195" s="132"/>
      <c r="H195" s="132"/>
      <c r="I195" s="132"/>
      <c r="J195" s="132"/>
      <c r="K195" s="132"/>
      <c r="L195" s="132"/>
      <c r="M195" s="132"/>
      <c r="N195" s="154"/>
      <c r="O195" s="132"/>
      <c r="P195" s="132"/>
      <c r="Q195" s="132"/>
      <c r="R195" s="132"/>
      <c r="S195" s="132"/>
      <c r="T195" s="132"/>
      <c r="U195" s="132"/>
      <c r="V195" s="132"/>
      <c r="W195" s="132"/>
      <c r="X195" s="132"/>
      <c r="Y195" s="132"/>
      <c r="Z195" s="132"/>
    </row>
    <row r="196" spans="1:26" ht="15.75" customHeight="1" x14ac:dyDescent="0.25">
      <c r="A196" s="132"/>
      <c r="B196" s="152"/>
      <c r="C196" s="153"/>
      <c r="D196" s="132"/>
      <c r="E196" s="132"/>
      <c r="F196" s="132"/>
      <c r="G196" s="132"/>
      <c r="H196" s="132"/>
      <c r="I196" s="132"/>
      <c r="J196" s="132"/>
      <c r="K196" s="132"/>
      <c r="L196" s="132"/>
      <c r="M196" s="132"/>
      <c r="N196" s="154"/>
      <c r="O196" s="132"/>
      <c r="P196" s="132"/>
      <c r="Q196" s="132"/>
      <c r="R196" s="132"/>
      <c r="S196" s="132"/>
      <c r="T196" s="132"/>
      <c r="U196" s="132"/>
      <c r="V196" s="132"/>
      <c r="W196" s="132"/>
      <c r="X196" s="132"/>
      <c r="Y196" s="132"/>
      <c r="Z196" s="132"/>
    </row>
    <row r="197" spans="1:26" ht="15.75" customHeight="1" x14ac:dyDescent="0.25">
      <c r="A197" s="132"/>
      <c r="B197" s="152"/>
      <c r="C197" s="153"/>
      <c r="D197" s="132"/>
      <c r="E197" s="132"/>
      <c r="F197" s="132"/>
      <c r="G197" s="132"/>
      <c r="H197" s="132"/>
      <c r="I197" s="132"/>
      <c r="J197" s="132"/>
      <c r="K197" s="132"/>
      <c r="L197" s="132"/>
      <c r="M197" s="132"/>
      <c r="N197" s="154"/>
      <c r="O197" s="132"/>
      <c r="P197" s="132"/>
      <c r="Q197" s="132"/>
      <c r="R197" s="132"/>
      <c r="S197" s="132"/>
      <c r="T197" s="132"/>
      <c r="U197" s="132"/>
      <c r="V197" s="132"/>
      <c r="W197" s="132"/>
      <c r="X197" s="132"/>
      <c r="Y197" s="132"/>
      <c r="Z197" s="132"/>
    </row>
    <row r="198" spans="1:26" ht="15.75" customHeight="1" x14ac:dyDescent="0.25">
      <c r="A198" s="132"/>
      <c r="B198" s="152"/>
      <c r="C198" s="153"/>
      <c r="D198" s="132"/>
      <c r="E198" s="132"/>
      <c r="F198" s="132"/>
      <c r="G198" s="132"/>
      <c r="H198" s="132"/>
      <c r="I198" s="132"/>
      <c r="J198" s="132"/>
      <c r="K198" s="132"/>
      <c r="L198" s="132"/>
      <c r="M198" s="132"/>
      <c r="N198" s="154"/>
      <c r="O198" s="132"/>
      <c r="P198" s="132"/>
      <c r="Q198" s="132"/>
      <c r="R198" s="132"/>
      <c r="S198" s="132"/>
      <c r="T198" s="132"/>
      <c r="U198" s="132"/>
      <c r="V198" s="132"/>
      <c r="W198" s="132"/>
      <c r="X198" s="132"/>
      <c r="Y198" s="132"/>
      <c r="Z198" s="132"/>
    </row>
    <row r="199" spans="1:26" ht="15.75" customHeight="1" x14ac:dyDescent="0.25">
      <c r="A199" s="132"/>
      <c r="B199" s="152"/>
      <c r="C199" s="153"/>
      <c r="D199" s="132"/>
      <c r="E199" s="132"/>
      <c r="F199" s="132"/>
      <c r="G199" s="132"/>
      <c r="H199" s="132"/>
      <c r="I199" s="132"/>
      <c r="J199" s="132"/>
      <c r="K199" s="132"/>
      <c r="L199" s="132"/>
      <c r="M199" s="132"/>
      <c r="N199" s="154"/>
      <c r="O199" s="132"/>
      <c r="P199" s="132"/>
      <c r="Q199" s="132"/>
      <c r="R199" s="132"/>
      <c r="S199" s="132"/>
      <c r="T199" s="132"/>
      <c r="U199" s="132"/>
      <c r="V199" s="132"/>
      <c r="W199" s="132"/>
      <c r="X199" s="132"/>
      <c r="Y199" s="132"/>
      <c r="Z199" s="132"/>
    </row>
    <row r="200" spans="1:26" ht="15.75" customHeight="1" x14ac:dyDescent="0.25">
      <c r="A200" s="132"/>
      <c r="B200" s="152"/>
      <c r="C200" s="153"/>
      <c r="D200" s="132"/>
      <c r="E200" s="132"/>
      <c r="F200" s="132"/>
      <c r="G200" s="132"/>
      <c r="H200" s="132"/>
      <c r="I200" s="132"/>
      <c r="J200" s="132"/>
      <c r="K200" s="132"/>
      <c r="L200" s="132"/>
      <c r="M200" s="132"/>
      <c r="N200" s="154"/>
      <c r="O200" s="132"/>
      <c r="P200" s="132"/>
      <c r="Q200" s="132"/>
      <c r="R200" s="132"/>
      <c r="S200" s="132"/>
      <c r="T200" s="132"/>
      <c r="U200" s="132"/>
      <c r="V200" s="132"/>
      <c r="W200" s="132"/>
      <c r="X200" s="132"/>
      <c r="Y200" s="132"/>
      <c r="Z200" s="132"/>
    </row>
    <row r="201" spans="1:26" ht="15.75" customHeight="1" x14ac:dyDescent="0.25">
      <c r="A201" s="132"/>
      <c r="B201" s="152"/>
      <c r="C201" s="153"/>
      <c r="D201" s="132"/>
      <c r="E201" s="132"/>
      <c r="F201" s="132"/>
      <c r="G201" s="132"/>
      <c r="H201" s="132"/>
      <c r="I201" s="132"/>
      <c r="J201" s="132"/>
      <c r="K201" s="132"/>
      <c r="L201" s="132"/>
      <c r="M201" s="132"/>
      <c r="N201" s="154"/>
      <c r="O201" s="132"/>
      <c r="P201" s="132"/>
      <c r="Q201" s="132"/>
      <c r="R201" s="132"/>
      <c r="S201" s="132"/>
      <c r="T201" s="132"/>
      <c r="U201" s="132"/>
      <c r="V201" s="132"/>
      <c r="W201" s="132"/>
      <c r="X201" s="132"/>
      <c r="Y201" s="132"/>
      <c r="Z201" s="132"/>
    </row>
    <row r="202" spans="1:26" ht="15.75" customHeight="1" x14ac:dyDescent="0.25">
      <c r="A202" s="132"/>
      <c r="B202" s="152"/>
      <c r="C202" s="153"/>
      <c r="D202" s="132"/>
      <c r="E202" s="132"/>
      <c r="F202" s="132"/>
      <c r="G202" s="132"/>
      <c r="H202" s="132"/>
      <c r="I202" s="132"/>
      <c r="J202" s="132"/>
      <c r="K202" s="132"/>
      <c r="L202" s="132"/>
      <c r="M202" s="132"/>
      <c r="N202" s="154"/>
      <c r="O202" s="132"/>
      <c r="P202" s="132"/>
      <c r="Q202" s="132"/>
      <c r="R202" s="132"/>
      <c r="S202" s="132"/>
      <c r="T202" s="132"/>
      <c r="U202" s="132"/>
      <c r="V202" s="132"/>
      <c r="W202" s="132"/>
      <c r="X202" s="132"/>
      <c r="Y202" s="132"/>
      <c r="Z202" s="132"/>
    </row>
    <row r="203" spans="1:26" ht="15.75" customHeight="1" x14ac:dyDescent="0.25">
      <c r="A203" s="132"/>
      <c r="B203" s="152"/>
      <c r="C203" s="153"/>
      <c r="D203" s="132"/>
      <c r="E203" s="132"/>
      <c r="F203" s="132"/>
      <c r="G203" s="132"/>
      <c r="H203" s="132"/>
      <c r="I203" s="132"/>
      <c r="J203" s="132"/>
      <c r="K203" s="132"/>
      <c r="L203" s="132"/>
      <c r="M203" s="132"/>
      <c r="N203" s="154"/>
      <c r="O203" s="132"/>
      <c r="P203" s="132"/>
      <c r="Q203" s="132"/>
      <c r="R203" s="132"/>
      <c r="S203" s="132"/>
      <c r="T203" s="132"/>
      <c r="U203" s="132"/>
      <c r="V203" s="132"/>
      <c r="W203" s="132"/>
      <c r="X203" s="132"/>
      <c r="Y203" s="132"/>
      <c r="Z203" s="132"/>
    </row>
    <row r="204" spans="1:26" ht="15.75" customHeight="1" x14ac:dyDescent="0.25">
      <c r="A204" s="132"/>
      <c r="B204" s="152"/>
      <c r="C204" s="153"/>
      <c r="D204" s="132"/>
      <c r="E204" s="132"/>
      <c r="F204" s="132"/>
      <c r="G204" s="132"/>
      <c r="H204" s="132"/>
      <c r="I204" s="132"/>
      <c r="J204" s="132"/>
      <c r="K204" s="132"/>
      <c r="L204" s="132"/>
      <c r="M204" s="132"/>
      <c r="N204" s="154"/>
      <c r="O204" s="132"/>
      <c r="P204" s="132"/>
      <c r="Q204" s="132"/>
      <c r="R204" s="132"/>
      <c r="S204" s="132"/>
      <c r="T204" s="132"/>
      <c r="U204" s="132"/>
      <c r="V204" s="132"/>
      <c r="W204" s="132"/>
      <c r="X204" s="132"/>
      <c r="Y204" s="132"/>
      <c r="Z204" s="132"/>
    </row>
    <row r="205" spans="1:26" ht="15.75" customHeight="1" x14ac:dyDescent="0.25">
      <c r="A205" s="132"/>
      <c r="B205" s="152"/>
      <c r="C205" s="153"/>
      <c r="D205" s="132"/>
      <c r="E205" s="132"/>
      <c r="F205" s="132"/>
      <c r="G205" s="132"/>
      <c r="H205" s="132"/>
      <c r="I205" s="132"/>
      <c r="J205" s="132"/>
      <c r="K205" s="132"/>
      <c r="L205" s="132"/>
      <c r="M205" s="132"/>
      <c r="N205" s="154"/>
      <c r="O205" s="132"/>
      <c r="P205" s="132"/>
      <c r="Q205" s="132"/>
      <c r="R205" s="132"/>
      <c r="S205" s="132"/>
      <c r="T205" s="132"/>
      <c r="U205" s="132"/>
      <c r="V205" s="132"/>
      <c r="W205" s="132"/>
      <c r="X205" s="132"/>
      <c r="Y205" s="132"/>
      <c r="Z205" s="132"/>
    </row>
    <row r="206" spans="1:26" ht="15.75" customHeight="1" x14ac:dyDescent="0.25">
      <c r="A206" s="132"/>
      <c r="B206" s="152"/>
      <c r="C206" s="153"/>
      <c r="D206" s="132"/>
      <c r="E206" s="132"/>
      <c r="F206" s="132"/>
      <c r="G206" s="132"/>
      <c r="H206" s="132"/>
      <c r="I206" s="132"/>
      <c r="J206" s="132"/>
      <c r="K206" s="132"/>
      <c r="L206" s="132"/>
      <c r="M206" s="132"/>
      <c r="N206" s="154"/>
      <c r="O206" s="132"/>
      <c r="P206" s="132"/>
      <c r="Q206" s="132"/>
      <c r="R206" s="132"/>
      <c r="S206" s="132"/>
      <c r="T206" s="132"/>
      <c r="U206" s="132"/>
      <c r="V206" s="132"/>
      <c r="W206" s="132"/>
      <c r="X206" s="132"/>
      <c r="Y206" s="132"/>
      <c r="Z206" s="132"/>
    </row>
    <row r="207" spans="1:26" ht="15.75" customHeight="1" x14ac:dyDescent="0.25">
      <c r="A207" s="132"/>
      <c r="B207" s="152"/>
      <c r="C207" s="153"/>
      <c r="D207" s="132"/>
      <c r="E207" s="132"/>
      <c r="F207" s="132"/>
      <c r="G207" s="132"/>
      <c r="H207" s="132"/>
      <c r="I207" s="132"/>
      <c r="J207" s="132"/>
      <c r="K207" s="132"/>
      <c r="L207" s="132"/>
      <c r="M207" s="132"/>
      <c r="N207" s="154"/>
      <c r="O207" s="132"/>
      <c r="P207" s="132"/>
      <c r="Q207" s="132"/>
      <c r="R207" s="132"/>
      <c r="S207" s="132"/>
      <c r="T207" s="132"/>
      <c r="U207" s="132"/>
      <c r="V207" s="132"/>
      <c r="W207" s="132"/>
      <c r="X207" s="132"/>
      <c r="Y207" s="132"/>
      <c r="Z207" s="132"/>
    </row>
    <row r="208" spans="1:26" ht="15.75" customHeight="1" x14ac:dyDescent="0.25">
      <c r="A208" s="132"/>
      <c r="B208" s="152"/>
      <c r="C208" s="153"/>
      <c r="D208" s="132"/>
      <c r="E208" s="132"/>
      <c r="F208" s="132"/>
      <c r="G208" s="132"/>
      <c r="H208" s="132"/>
      <c r="I208" s="132"/>
      <c r="J208" s="132"/>
      <c r="K208" s="132"/>
      <c r="L208" s="132"/>
      <c r="M208" s="132"/>
      <c r="N208" s="154"/>
      <c r="O208" s="132"/>
      <c r="P208" s="132"/>
      <c r="Q208" s="132"/>
      <c r="R208" s="132"/>
      <c r="S208" s="132"/>
      <c r="T208" s="132"/>
      <c r="U208" s="132"/>
      <c r="V208" s="132"/>
      <c r="W208" s="132"/>
      <c r="X208" s="132"/>
      <c r="Y208" s="132"/>
      <c r="Z208" s="132"/>
    </row>
    <row r="209" spans="1:26" ht="15.75" customHeight="1" x14ac:dyDescent="0.25">
      <c r="A209" s="132"/>
      <c r="B209" s="152"/>
      <c r="C209" s="153"/>
      <c r="D209" s="132"/>
      <c r="E209" s="132"/>
      <c r="F209" s="132"/>
      <c r="G209" s="132"/>
      <c r="H209" s="132"/>
      <c r="I209" s="132"/>
      <c r="J209" s="132"/>
      <c r="K209" s="132"/>
      <c r="L209" s="132"/>
      <c r="M209" s="132"/>
      <c r="N209" s="154"/>
      <c r="O209" s="132"/>
      <c r="P209" s="132"/>
      <c r="Q209" s="132"/>
      <c r="R209" s="132"/>
      <c r="S209" s="132"/>
      <c r="T209" s="132"/>
      <c r="U209" s="132"/>
      <c r="V209" s="132"/>
      <c r="W209" s="132"/>
      <c r="X209" s="132"/>
      <c r="Y209" s="132"/>
      <c r="Z209" s="132"/>
    </row>
    <row r="210" spans="1:26" ht="15.75" customHeight="1" x14ac:dyDescent="0.25">
      <c r="A210" s="132"/>
      <c r="B210" s="152"/>
      <c r="C210" s="153"/>
      <c r="D210" s="132"/>
      <c r="E210" s="132"/>
      <c r="F210" s="132"/>
      <c r="G210" s="132"/>
      <c r="H210" s="132"/>
      <c r="I210" s="132"/>
      <c r="J210" s="132"/>
      <c r="K210" s="132"/>
      <c r="L210" s="132"/>
      <c r="M210" s="132"/>
      <c r="N210" s="154"/>
      <c r="O210" s="132"/>
      <c r="P210" s="132"/>
      <c r="Q210" s="132"/>
      <c r="R210" s="132"/>
      <c r="S210" s="132"/>
      <c r="T210" s="132"/>
      <c r="U210" s="132"/>
      <c r="V210" s="132"/>
      <c r="W210" s="132"/>
      <c r="X210" s="132"/>
      <c r="Y210" s="132"/>
      <c r="Z210" s="132"/>
    </row>
    <row r="211" spans="1:26" ht="15.75" customHeight="1" x14ac:dyDescent="0.25">
      <c r="A211" s="132"/>
      <c r="B211" s="152"/>
      <c r="C211" s="153"/>
      <c r="D211" s="132"/>
      <c r="E211" s="132"/>
      <c r="F211" s="132"/>
      <c r="G211" s="132"/>
      <c r="H211" s="132"/>
      <c r="I211" s="132"/>
      <c r="J211" s="132"/>
      <c r="K211" s="132"/>
      <c r="L211" s="132"/>
      <c r="M211" s="132"/>
      <c r="N211" s="154"/>
      <c r="O211" s="132"/>
      <c r="P211" s="132"/>
      <c r="Q211" s="132"/>
      <c r="R211" s="132"/>
      <c r="S211" s="132"/>
      <c r="T211" s="132"/>
      <c r="U211" s="132"/>
      <c r="V211" s="132"/>
      <c r="W211" s="132"/>
      <c r="X211" s="132"/>
      <c r="Y211" s="132"/>
      <c r="Z211" s="132"/>
    </row>
    <row r="212" spans="1:26" ht="15.75" customHeight="1" x14ac:dyDescent="0.25">
      <c r="A212" s="132"/>
      <c r="B212" s="152"/>
      <c r="C212" s="153"/>
      <c r="D212" s="132"/>
      <c r="E212" s="132"/>
      <c r="F212" s="132"/>
      <c r="G212" s="132"/>
      <c r="H212" s="132"/>
      <c r="I212" s="132"/>
      <c r="J212" s="132"/>
      <c r="K212" s="132"/>
      <c r="L212" s="132"/>
      <c r="M212" s="132"/>
      <c r="N212" s="154"/>
      <c r="O212" s="132"/>
      <c r="P212" s="132"/>
      <c r="Q212" s="132"/>
      <c r="R212" s="132"/>
      <c r="S212" s="132"/>
      <c r="T212" s="132"/>
      <c r="U212" s="132"/>
      <c r="V212" s="132"/>
      <c r="W212" s="132"/>
      <c r="X212" s="132"/>
      <c r="Y212" s="132"/>
      <c r="Z212" s="132"/>
    </row>
    <row r="213" spans="1:26" ht="15.75" customHeight="1" x14ac:dyDescent="0.25">
      <c r="A213" s="132"/>
      <c r="B213" s="152"/>
      <c r="C213" s="153"/>
      <c r="D213" s="132"/>
      <c r="E213" s="132"/>
      <c r="F213" s="132"/>
      <c r="G213" s="132"/>
      <c r="H213" s="132"/>
      <c r="I213" s="132"/>
      <c r="J213" s="132"/>
      <c r="K213" s="132"/>
      <c r="L213" s="132"/>
      <c r="M213" s="132"/>
      <c r="N213" s="154"/>
      <c r="O213" s="132"/>
      <c r="P213" s="132"/>
      <c r="Q213" s="132"/>
      <c r="R213" s="132"/>
      <c r="S213" s="132"/>
      <c r="T213" s="132"/>
      <c r="U213" s="132"/>
      <c r="V213" s="132"/>
      <c r="W213" s="132"/>
      <c r="X213" s="132"/>
      <c r="Y213" s="132"/>
      <c r="Z213" s="132"/>
    </row>
    <row r="214" spans="1:26" ht="15.75" customHeight="1" x14ac:dyDescent="0.25">
      <c r="A214" s="132"/>
      <c r="B214" s="152"/>
      <c r="C214" s="153"/>
      <c r="D214" s="132"/>
      <c r="E214" s="132"/>
      <c r="F214" s="132"/>
      <c r="G214" s="132"/>
      <c r="H214" s="132"/>
      <c r="I214" s="132"/>
      <c r="J214" s="132"/>
      <c r="K214" s="132"/>
      <c r="L214" s="132"/>
      <c r="M214" s="132"/>
      <c r="N214" s="154"/>
      <c r="O214" s="132"/>
      <c r="P214" s="132"/>
      <c r="Q214" s="132"/>
      <c r="R214" s="132"/>
      <c r="S214" s="132"/>
      <c r="T214" s="132"/>
      <c r="U214" s="132"/>
      <c r="V214" s="132"/>
      <c r="W214" s="132"/>
      <c r="X214" s="132"/>
      <c r="Y214" s="132"/>
      <c r="Z214" s="132"/>
    </row>
    <row r="215" spans="1:26" ht="15.75" customHeight="1" x14ac:dyDescent="0.25">
      <c r="A215" s="132"/>
      <c r="B215" s="152"/>
      <c r="C215" s="153"/>
      <c r="D215" s="132"/>
      <c r="E215" s="132"/>
      <c r="F215" s="132"/>
      <c r="G215" s="132"/>
      <c r="H215" s="132"/>
      <c r="I215" s="132"/>
      <c r="J215" s="132"/>
      <c r="K215" s="132"/>
      <c r="L215" s="132"/>
      <c r="M215" s="132"/>
      <c r="N215" s="154"/>
      <c r="O215" s="132"/>
      <c r="P215" s="132"/>
      <c r="Q215" s="132"/>
      <c r="R215" s="132"/>
      <c r="S215" s="132"/>
      <c r="T215" s="132"/>
      <c r="U215" s="132"/>
      <c r="V215" s="132"/>
      <c r="W215" s="132"/>
      <c r="X215" s="132"/>
      <c r="Y215" s="132"/>
      <c r="Z215" s="132"/>
    </row>
    <row r="216" spans="1:26" ht="15.75" customHeight="1" x14ac:dyDescent="0.25">
      <c r="A216" s="132"/>
      <c r="B216" s="152"/>
      <c r="C216" s="153"/>
      <c r="D216" s="132"/>
      <c r="E216" s="132"/>
      <c r="F216" s="132"/>
      <c r="G216" s="132"/>
      <c r="H216" s="132"/>
      <c r="I216" s="132"/>
      <c r="J216" s="132"/>
      <c r="K216" s="132"/>
      <c r="L216" s="132"/>
      <c r="M216" s="132"/>
      <c r="N216" s="154"/>
      <c r="O216" s="132"/>
      <c r="P216" s="132"/>
      <c r="Q216" s="132"/>
      <c r="R216" s="132"/>
      <c r="S216" s="132"/>
      <c r="T216" s="132"/>
      <c r="U216" s="132"/>
      <c r="V216" s="132"/>
      <c r="W216" s="132"/>
      <c r="X216" s="132"/>
      <c r="Y216" s="132"/>
      <c r="Z216" s="132"/>
    </row>
    <row r="217" spans="1:26" ht="15.75" customHeight="1" x14ac:dyDescent="0.25">
      <c r="A217" s="132"/>
      <c r="B217" s="152"/>
      <c r="C217" s="153"/>
      <c r="D217" s="132"/>
      <c r="E217" s="132"/>
      <c r="F217" s="132"/>
      <c r="G217" s="132"/>
      <c r="H217" s="132"/>
      <c r="I217" s="132"/>
      <c r="J217" s="132"/>
      <c r="K217" s="132"/>
      <c r="L217" s="132"/>
      <c r="M217" s="132"/>
      <c r="N217" s="154"/>
      <c r="O217" s="132"/>
      <c r="P217" s="132"/>
      <c r="Q217" s="132"/>
      <c r="R217" s="132"/>
      <c r="S217" s="132"/>
      <c r="T217" s="132"/>
      <c r="U217" s="132"/>
      <c r="V217" s="132"/>
      <c r="W217" s="132"/>
      <c r="X217" s="132"/>
      <c r="Y217" s="132"/>
      <c r="Z217" s="132"/>
    </row>
    <row r="218" spans="1:26" ht="15.75" customHeight="1" x14ac:dyDescent="0.25">
      <c r="A218" s="132"/>
      <c r="B218" s="152"/>
      <c r="C218" s="153"/>
      <c r="D218" s="132"/>
      <c r="E218" s="132"/>
      <c r="F218" s="132"/>
      <c r="G218" s="132"/>
      <c r="H218" s="132"/>
      <c r="I218" s="132"/>
      <c r="J218" s="132"/>
      <c r="K218" s="132"/>
      <c r="L218" s="132"/>
      <c r="M218" s="132"/>
      <c r="N218" s="154"/>
      <c r="O218" s="132"/>
      <c r="P218" s="132"/>
      <c r="Q218" s="132"/>
      <c r="R218" s="132"/>
      <c r="S218" s="132"/>
      <c r="T218" s="132"/>
      <c r="U218" s="132"/>
      <c r="V218" s="132"/>
      <c r="W218" s="132"/>
      <c r="X218" s="132"/>
      <c r="Y218" s="132"/>
      <c r="Z218" s="132"/>
    </row>
    <row r="219" spans="1:26" ht="15.75" customHeight="1" x14ac:dyDescent="0.25">
      <c r="A219" s="132"/>
      <c r="B219" s="152"/>
      <c r="C219" s="153"/>
      <c r="D219" s="132"/>
      <c r="E219" s="132"/>
      <c r="F219" s="132"/>
      <c r="G219" s="132"/>
      <c r="H219" s="132"/>
      <c r="I219" s="132"/>
      <c r="J219" s="132"/>
      <c r="K219" s="132"/>
      <c r="L219" s="132"/>
      <c r="M219" s="132"/>
      <c r="N219" s="154"/>
      <c r="O219" s="132"/>
      <c r="P219" s="132"/>
      <c r="Q219" s="132"/>
      <c r="R219" s="132"/>
      <c r="S219" s="132"/>
      <c r="T219" s="132"/>
      <c r="U219" s="132"/>
      <c r="V219" s="132"/>
      <c r="W219" s="132"/>
      <c r="X219" s="132"/>
      <c r="Y219" s="132"/>
      <c r="Z219" s="132"/>
    </row>
    <row r="220" spans="1:26" ht="15.75" customHeight="1" x14ac:dyDescent="0.25">
      <c r="A220" s="132"/>
      <c r="B220" s="152"/>
      <c r="C220" s="153"/>
      <c r="D220" s="132"/>
      <c r="E220" s="132"/>
      <c r="F220" s="132"/>
      <c r="G220" s="132"/>
      <c r="H220" s="132"/>
      <c r="I220" s="132"/>
      <c r="J220" s="132"/>
      <c r="K220" s="132"/>
      <c r="L220" s="132"/>
      <c r="M220" s="132"/>
      <c r="N220" s="154"/>
      <c r="O220" s="132"/>
      <c r="P220" s="132"/>
      <c r="Q220" s="132"/>
      <c r="R220" s="132"/>
      <c r="S220" s="132"/>
      <c r="T220" s="132"/>
      <c r="U220" s="132"/>
      <c r="V220" s="132"/>
      <c r="W220" s="132"/>
      <c r="X220" s="132"/>
      <c r="Y220" s="132"/>
      <c r="Z220" s="132"/>
    </row>
    <row r="221" spans="1:26" ht="15.75" customHeight="1" x14ac:dyDescent="0.25">
      <c r="A221" s="132"/>
      <c r="B221" s="152"/>
      <c r="C221" s="153"/>
      <c r="D221" s="132"/>
      <c r="E221" s="132"/>
      <c r="F221" s="132"/>
      <c r="G221" s="132"/>
      <c r="H221" s="132"/>
      <c r="I221" s="132"/>
      <c r="J221" s="132"/>
      <c r="K221" s="132"/>
      <c r="L221" s="132"/>
      <c r="M221" s="132"/>
      <c r="N221" s="154"/>
      <c r="O221" s="132"/>
      <c r="P221" s="132"/>
      <c r="Q221" s="132"/>
      <c r="R221" s="132"/>
      <c r="S221" s="132"/>
      <c r="T221" s="132"/>
      <c r="U221" s="132"/>
      <c r="V221" s="132"/>
      <c r="W221" s="132"/>
      <c r="X221" s="132"/>
      <c r="Y221" s="132"/>
      <c r="Z221" s="132"/>
    </row>
    <row r="222" spans="1:26" ht="15.75" customHeight="1" x14ac:dyDescent="0.25">
      <c r="A222" s="132"/>
      <c r="B222" s="152"/>
      <c r="C222" s="153"/>
      <c r="D222" s="132"/>
      <c r="E222" s="132"/>
      <c r="F222" s="132"/>
      <c r="G222" s="132"/>
      <c r="H222" s="132"/>
      <c r="I222" s="132"/>
      <c r="J222" s="132"/>
      <c r="K222" s="132"/>
      <c r="L222" s="132"/>
      <c r="M222" s="132"/>
      <c r="N222" s="154"/>
      <c r="O222" s="132"/>
      <c r="P222" s="132"/>
      <c r="Q222" s="132"/>
      <c r="R222" s="132"/>
      <c r="S222" s="132"/>
      <c r="T222" s="132"/>
      <c r="U222" s="132"/>
      <c r="V222" s="132"/>
      <c r="W222" s="132"/>
      <c r="X222" s="132"/>
      <c r="Y222" s="132"/>
      <c r="Z222" s="132"/>
    </row>
    <row r="223" spans="1:26" ht="15.75" customHeight="1" x14ac:dyDescent="0.25">
      <c r="A223" s="132"/>
      <c r="B223" s="152"/>
      <c r="C223" s="153"/>
      <c r="D223" s="132"/>
      <c r="E223" s="132"/>
      <c r="F223" s="132"/>
      <c r="G223" s="132"/>
      <c r="H223" s="132"/>
      <c r="I223" s="132"/>
      <c r="J223" s="132"/>
      <c r="K223" s="132"/>
      <c r="L223" s="132"/>
      <c r="M223" s="132"/>
      <c r="N223" s="154"/>
      <c r="O223" s="132"/>
      <c r="P223" s="132"/>
      <c r="Q223" s="132"/>
      <c r="R223" s="132"/>
      <c r="S223" s="132"/>
      <c r="T223" s="132"/>
      <c r="U223" s="132"/>
      <c r="V223" s="132"/>
      <c r="W223" s="132"/>
      <c r="X223" s="132"/>
      <c r="Y223" s="132"/>
      <c r="Z223" s="132"/>
    </row>
    <row r="224" spans="1:26" ht="15.75" customHeight="1" x14ac:dyDescent="0.25">
      <c r="A224" s="132"/>
      <c r="B224" s="152"/>
      <c r="C224" s="153"/>
      <c r="D224" s="132"/>
      <c r="E224" s="132"/>
      <c r="F224" s="132"/>
      <c r="G224" s="132"/>
      <c r="H224" s="132"/>
      <c r="I224" s="132"/>
      <c r="J224" s="132"/>
      <c r="K224" s="132"/>
      <c r="L224" s="132"/>
      <c r="M224" s="132"/>
      <c r="N224" s="154"/>
      <c r="O224" s="132"/>
      <c r="P224" s="132"/>
      <c r="Q224" s="132"/>
      <c r="R224" s="132"/>
      <c r="S224" s="132"/>
      <c r="T224" s="132"/>
      <c r="U224" s="132"/>
      <c r="V224" s="132"/>
      <c r="W224" s="132"/>
      <c r="X224" s="132"/>
      <c r="Y224" s="132"/>
      <c r="Z224" s="132"/>
    </row>
    <row r="225" spans="1:26" ht="15.75" customHeight="1" x14ac:dyDescent="0.25">
      <c r="A225" s="132"/>
      <c r="B225" s="152"/>
      <c r="C225" s="153"/>
      <c r="D225" s="132"/>
      <c r="E225" s="132"/>
      <c r="F225" s="132"/>
      <c r="G225" s="132"/>
      <c r="H225" s="132"/>
      <c r="I225" s="132"/>
      <c r="J225" s="132"/>
      <c r="K225" s="132"/>
      <c r="L225" s="132"/>
      <c r="M225" s="132"/>
      <c r="N225" s="154"/>
      <c r="O225" s="132"/>
      <c r="P225" s="132"/>
      <c r="Q225" s="132"/>
      <c r="R225" s="132"/>
      <c r="S225" s="132"/>
      <c r="T225" s="132"/>
      <c r="U225" s="132"/>
      <c r="V225" s="132"/>
      <c r="W225" s="132"/>
      <c r="X225" s="132"/>
      <c r="Y225" s="132"/>
      <c r="Z225" s="132"/>
    </row>
    <row r="226" spans="1:26" ht="15.75" customHeight="1" x14ac:dyDescent="0.25">
      <c r="A226" s="132"/>
      <c r="B226" s="152"/>
      <c r="C226" s="153"/>
      <c r="D226" s="132"/>
      <c r="E226" s="132"/>
      <c r="F226" s="132"/>
      <c r="G226" s="132"/>
      <c r="H226" s="132"/>
      <c r="I226" s="132"/>
      <c r="J226" s="132"/>
      <c r="K226" s="132"/>
      <c r="L226" s="132"/>
      <c r="M226" s="132"/>
      <c r="N226" s="154"/>
      <c r="O226" s="132"/>
      <c r="P226" s="132"/>
      <c r="Q226" s="132"/>
      <c r="R226" s="132"/>
      <c r="S226" s="132"/>
      <c r="T226" s="132"/>
      <c r="U226" s="132"/>
      <c r="V226" s="132"/>
      <c r="W226" s="132"/>
      <c r="X226" s="132"/>
      <c r="Y226" s="132"/>
      <c r="Z226" s="132"/>
    </row>
    <row r="227" spans="1:26" ht="15.75" customHeight="1" x14ac:dyDescent="0.25">
      <c r="A227" s="132"/>
      <c r="B227" s="152"/>
      <c r="C227" s="153"/>
      <c r="D227" s="132"/>
      <c r="E227" s="132"/>
      <c r="F227" s="132"/>
      <c r="G227" s="132"/>
      <c r="H227" s="132"/>
      <c r="I227" s="132"/>
      <c r="J227" s="132"/>
      <c r="K227" s="132"/>
      <c r="L227" s="132"/>
      <c r="M227" s="132"/>
      <c r="N227" s="154"/>
      <c r="O227" s="132"/>
      <c r="P227" s="132"/>
      <c r="Q227" s="132"/>
      <c r="R227" s="132"/>
      <c r="S227" s="132"/>
      <c r="T227" s="132"/>
      <c r="U227" s="132"/>
      <c r="V227" s="132"/>
      <c r="W227" s="132"/>
      <c r="X227" s="132"/>
      <c r="Y227" s="132"/>
      <c r="Z227" s="132"/>
    </row>
    <row r="228" spans="1:26" ht="15.75" customHeight="1" x14ac:dyDescent="0.25">
      <c r="A228" s="132"/>
      <c r="B228" s="152"/>
      <c r="C228" s="153"/>
      <c r="D228" s="132"/>
      <c r="E228" s="132"/>
      <c r="F228" s="132"/>
      <c r="G228" s="132"/>
      <c r="H228" s="132"/>
      <c r="I228" s="132"/>
      <c r="J228" s="132"/>
      <c r="K228" s="132"/>
      <c r="L228" s="132"/>
      <c r="M228" s="132"/>
      <c r="N228" s="154"/>
      <c r="O228" s="132"/>
      <c r="P228" s="132"/>
      <c r="Q228" s="132"/>
      <c r="R228" s="132"/>
      <c r="S228" s="132"/>
      <c r="T228" s="132"/>
      <c r="U228" s="132"/>
      <c r="V228" s="132"/>
      <c r="W228" s="132"/>
      <c r="X228" s="132"/>
      <c r="Y228" s="132"/>
      <c r="Z228" s="132"/>
    </row>
    <row r="229" spans="1:26" ht="15.75" customHeight="1" x14ac:dyDescent="0.25">
      <c r="A229" s="132"/>
      <c r="B229" s="152"/>
      <c r="C229" s="153"/>
      <c r="D229" s="132"/>
      <c r="E229" s="132"/>
      <c r="F229" s="132"/>
      <c r="G229" s="132"/>
      <c r="H229" s="132"/>
      <c r="I229" s="132"/>
      <c r="J229" s="132"/>
      <c r="K229" s="132"/>
      <c r="L229" s="132"/>
      <c r="M229" s="132"/>
      <c r="N229" s="154"/>
      <c r="O229" s="132"/>
      <c r="P229" s="132"/>
      <c r="Q229" s="132"/>
      <c r="R229" s="132"/>
      <c r="S229" s="132"/>
      <c r="T229" s="132"/>
      <c r="U229" s="132"/>
      <c r="V229" s="132"/>
      <c r="W229" s="132"/>
      <c r="X229" s="132"/>
      <c r="Y229" s="132"/>
      <c r="Z229" s="132"/>
    </row>
    <row r="230" spans="1:26" ht="15.75" customHeight="1" x14ac:dyDescent="0.25">
      <c r="A230" s="132"/>
      <c r="B230" s="152"/>
      <c r="C230" s="153"/>
      <c r="D230" s="132"/>
      <c r="E230" s="132"/>
      <c r="F230" s="132"/>
      <c r="G230" s="132"/>
      <c r="H230" s="132"/>
      <c r="I230" s="132"/>
      <c r="J230" s="132"/>
      <c r="K230" s="132"/>
      <c r="L230" s="132"/>
      <c r="M230" s="132"/>
      <c r="N230" s="154"/>
      <c r="O230" s="132"/>
      <c r="P230" s="132"/>
      <c r="Q230" s="132"/>
      <c r="R230" s="132"/>
      <c r="S230" s="132"/>
      <c r="T230" s="132"/>
      <c r="U230" s="132"/>
      <c r="V230" s="132"/>
      <c r="W230" s="132"/>
      <c r="X230" s="132"/>
      <c r="Y230" s="132"/>
      <c r="Z230" s="132"/>
    </row>
    <row r="231" spans="1:26" ht="15.75" customHeight="1" x14ac:dyDescent="0.25">
      <c r="A231" s="132"/>
      <c r="B231" s="152"/>
      <c r="C231" s="153"/>
      <c r="D231" s="132"/>
      <c r="E231" s="132"/>
      <c r="F231" s="132"/>
      <c r="G231" s="132"/>
      <c r="H231" s="132"/>
      <c r="I231" s="132"/>
      <c r="J231" s="132"/>
      <c r="K231" s="132"/>
      <c r="L231" s="132"/>
      <c r="M231" s="132"/>
      <c r="N231" s="154"/>
      <c r="O231" s="132"/>
      <c r="P231" s="132"/>
      <c r="Q231" s="132"/>
      <c r="R231" s="132"/>
      <c r="S231" s="132"/>
      <c r="T231" s="132"/>
      <c r="U231" s="132"/>
      <c r="V231" s="132"/>
      <c r="W231" s="132"/>
      <c r="X231" s="132"/>
      <c r="Y231" s="132"/>
      <c r="Z231" s="132"/>
    </row>
    <row r="232" spans="1:26" ht="15.75" customHeight="1" x14ac:dyDescent="0.25">
      <c r="A232" s="132"/>
      <c r="B232" s="152"/>
      <c r="C232" s="153"/>
      <c r="D232" s="132"/>
      <c r="E232" s="132"/>
      <c r="F232" s="132"/>
      <c r="G232" s="132"/>
      <c r="H232" s="132"/>
      <c r="I232" s="132"/>
      <c r="J232" s="132"/>
      <c r="K232" s="132"/>
      <c r="L232" s="132"/>
      <c r="M232" s="132"/>
      <c r="N232" s="154"/>
      <c r="O232" s="132"/>
      <c r="P232" s="132"/>
      <c r="Q232" s="132"/>
      <c r="R232" s="132"/>
      <c r="S232" s="132"/>
      <c r="T232" s="132"/>
      <c r="U232" s="132"/>
      <c r="V232" s="132"/>
      <c r="W232" s="132"/>
      <c r="X232" s="132"/>
      <c r="Y232" s="132"/>
      <c r="Z232" s="132"/>
    </row>
    <row r="233" spans="1:26" ht="15.75" customHeight="1" x14ac:dyDescent="0.25">
      <c r="A233" s="132"/>
      <c r="B233" s="152"/>
      <c r="C233" s="153"/>
      <c r="D233" s="132"/>
      <c r="E233" s="132"/>
      <c r="F233" s="132"/>
      <c r="G233" s="132"/>
      <c r="H233" s="132"/>
      <c r="I233" s="132"/>
      <c r="J233" s="132"/>
      <c r="K233" s="132"/>
      <c r="L233" s="132"/>
      <c r="M233" s="132"/>
      <c r="N233" s="154"/>
      <c r="O233" s="132"/>
      <c r="P233" s="132"/>
      <c r="Q233" s="132"/>
      <c r="R233" s="132"/>
      <c r="S233" s="132"/>
      <c r="T233" s="132"/>
      <c r="U233" s="132"/>
      <c r="V233" s="132"/>
      <c r="W233" s="132"/>
      <c r="X233" s="132"/>
      <c r="Y233" s="132"/>
      <c r="Z233" s="132"/>
    </row>
    <row r="234" spans="1:26" ht="15.75" customHeight="1" x14ac:dyDescent="0.25">
      <c r="A234" s="132"/>
      <c r="B234" s="152"/>
      <c r="C234" s="153"/>
      <c r="D234" s="132"/>
      <c r="E234" s="132"/>
      <c r="F234" s="132"/>
      <c r="G234" s="132"/>
      <c r="H234" s="132"/>
      <c r="I234" s="132"/>
      <c r="J234" s="132"/>
      <c r="K234" s="132"/>
      <c r="L234" s="132"/>
      <c r="M234" s="132"/>
      <c r="N234" s="154"/>
      <c r="O234" s="132"/>
      <c r="P234" s="132"/>
      <c r="Q234" s="132"/>
      <c r="R234" s="132"/>
      <c r="S234" s="132"/>
      <c r="T234" s="132"/>
      <c r="U234" s="132"/>
      <c r="V234" s="132"/>
      <c r="W234" s="132"/>
      <c r="X234" s="132"/>
      <c r="Y234" s="132"/>
      <c r="Z234" s="132"/>
    </row>
    <row r="235" spans="1:26" ht="15.75" customHeight="1" x14ac:dyDescent="0.25">
      <c r="A235" s="132"/>
      <c r="B235" s="152"/>
      <c r="C235" s="153"/>
      <c r="D235" s="132"/>
      <c r="E235" s="132"/>
      <c r="F235" s="132"/>
      <c r="G235" s="132"/>
      <c r="H235" s="132"/>
      <c r="I235" s="132"/>
      <c r="J235" s="132"/>
      <c r="K235" s="132"/>
      <c r="L235" s="132"/>
      <c r="M235" s="132"/>
      <c r="N235" s="154"/>
      <c r="O235" s="132"/>
      <c r="P235" s="132"/>
      <c r="Q235" s="132"/>
      <c r="R235" s="132"/>
      <c r="S235" s="132"/>
      <c r="T235" s="132"/>
      <c r="U235" s="132"/>
      <c r="V235" s="132"/>
      <c r="W235" s="132"/>
      <c r="X235" s="132"/>
      <c r="Y235" s="132"/>
      <c r="Z235" s="132"/>
    </row>
    <row r="236" spans="1:26" ht="15.75" customHeight="1" x14ac:dyDescent="0.25">
      <c r="A236" s="132"/>
      <c r="B236" s="152"/>
      <c r="C236" s="153"/>
      <c r="D236" s="132"/>
      <c r="E236" s="132"/>
      <c r="F236" s="132"/>
      <c r="G236" s="132"/>
      <c r="H236" s="132"/>
      <c r="I236" s="132"/>
      <c r="J236" s="132"/>
      <c r="K236" s="132"/>
      <c r="L236" s="132"/>
      <c r="M236" s="132"/>
      <c r="N236" s="154"/>
      <c r="O236" s="132"/>
      <c r="P236" s="132"/>
      <c r="Q236" s="132"/>
      <c r="R236" s="132"/>
      <c r="S236" s="132"/>
      <c r="T236" s="132"/>
      <c r="U236" s="132"/>
      <c r="V236" s="132"/>
      <c r="W236" s="132"/>
      <c r="X236" s="132"/>
      <c r="Y236" s="132"/>
      <c r="Z236" s="132"/>
    </row>
    <row r="237" spans="1:26" ht="15.75" customHeight="1" x14ac:dyDescent="0.25">
      <c r="A237" s="132"/>
      <c r="B237" s="152"/>
      <c r="C237" s="153"/>
      <c r="D237" s="132"/>
      <c r="E237" s="132"/>
      <c r="F237" s="132"/>
      <c r="G237" s="132"/>
      <c r="H237" s="132"/>
      <c r="I237" s="132"/>
      <c r="J237" s="132"/>
      <c r="K237" s="132"/>
      <c r="L237" s="132"/>
      <c r="M237" s="132"/>
      <c r="N237" s="154"/>
      <c r="O237" s="132"/>
      <c r="P237" s="132"/>
      <c r="Q237" s="132"/>
      <c r="R237" s="132"/>
      <c r="S237" s="132"/>
      <c r="T237" s="132"/>
      <c r="U237" s="132"/>
      <c r="V237" s="132"/>
      <c r="W237" s="132"/>
      <c r="X237" s="132"/>
      <c r="Y237" s="132"/>
      <c r="Z237" s="132"/>
    </row>
    <row r="238" spans="1:26" ht="15.75" customHeight="1" x14ac:dyDescent="0.25">
      <c r="A238" s="132"/>
      <c r="B238" s="152"/>
      <c r="C238" s="153"/>
      <c r="D238" s="132"/>
      <c r="E238" s="132"/>
      <c r="F238" s="132"/>
      <c r="G238" s="132"/>
      <c r="H238" s="132"/>
      <c r="I238" s="132"/>
      <c r="J238" s="132"/>
      <c r="K238" s="132"/>
      <c r="L238" s="132"/>
      <c r="M238" s="132"/>
      <c r="N238" s="154"/>
      <c r="O238" s="132"/>
      <c r="P238" s="132"/>
      <c r="Q238" s="132"/>
      <c r="R238" s="132"/>
      <c r="S238" s="132"/>
      <c r="T238" s="132"/>
      <c r="U238" s="132"/>
      <c r="V238" s="132"/>
      <c r="W238" s="132"/>
      <c r="X238" s="132"/>
      <c r="Y238" s="132"/>
      <c r="Z238" s="132"/>
    </row>
    <row r="239" spans="1:26" ht="15.75" customHeight="1" x14ac:dyDescent="0.25">
      <c r="A239" s="132"/>
      <c r="B239" s="152"/>
      <c r="C239" s="153"/>
      <c r="D239" s="132"/>
      <c r="E239" s="132"/>
      <c r="F239" s="132"/>
      <c r="G239" s="132"/>
      <c r="H239" s="132"/>
      <c r="I239" s="132"/>
      <c r="J239" s="132"/>
      <c r="K239" s="132"/>
      <c r="L239" s="132"/>
      <c r="M239" s="132"/>
      <c r="N239" s="154"/>
      <c r="O239" s="132"/>
      <c r="P239" s="132"/>
      <c r="Q239" s="132"/>
      <c r="R239" s="132"/>
      <c r="S239" s="132"/>
      <c r="T239" s="132"/>
      <c r="U239" s="132"/>
      <c r="V239" s="132"/>
      <c r="W239" s="132"/>
      <c r="X239" s="132"/>
      <c r="Y239" s="132"/>
      <c r="Z239" s="132"/>
    </row>
    <row r="240" spans="1:26" ht="15.75" customHeight="1" x14ac:dyDescent="0.25">
      <c r="A240" s="132"/>
      <c r="B240" s="152"/>
      <c r="C240" s="153"/>
      <c r="D240" s="132"/>
      <c r="E240" s="132"/>
      <c r="F240" s="132"/>
      <c r="G240" s="132"/>
      <c r="H240" s="132"/>
      <c r="I240" s="132"/>
      <c r="J240" s="132"/>
      <c r="K240" s="132"/>
      <c r="L240" s="132"/>
      <c r="M240" s="132"/>
      <c r="N240" s="154"/>
      <c r="O240" s="132"/>
      <c r="P240" s="132"/>
      <c r="Q240" s="132"/>
      <c r="R240" s="132"/>
      <c r="S240" s="132"/>
      <c r="T240" s="132"/>
      <c r="U240" s="132"/>
      <c r="V240" s="132"/>
      <c r="W240" s="132"/>
      <c r="X240" s="132"/>
      <c r="Y240" s="132"/>
      <c r="Z240" s="132"/>
    </row>
    <row r="241" spans="1:26" ht="15.75" customHeight="1" x14ac:dyDescent="0.25">
      <c r="A241" s="132"/>
      <c r="B241" s="152"/>
      <c r="C241" s="153"/>
      <c r="D241" s="132"/>
      <c r="E241" s="132"/>
      <c r="F241" s="132"/>
      <c r="G241" s="132"/>
      <c r="H241" s="132"/>
      <c r="I241" s="132"/>
      <c r="J241" s="132"/>
      <c r="K241" s="132"/>
      <c r="L241" s="132"/>
      <c r="M241" s="132"/>
      <c r="N241" s="154"/>
      <c r="O241" s="132"/>
      <c r="P241" s="132"/>
      <c r="Q241" s="132"/>
      <c r="R241" s="132"/>
      <c r="S241" s="132"/>
      <c r="T241" s="132"/>
      <c r="U241" s="132"/>
      <c r="V241" s="132"/>
      <c r="W241" s="132"/>
      <c r="X241" s="132"/>
      <c r="Y241" s="132"/>
      <c r="Z241" s="132"/>
    </row>
    <row r="242" spans="1:26" ht="15.75" customHeight="1" x14ac:dyDescent="0.25">
      <c r="A242" s="132"/>
      <c r="B242" s="152"/>
      <c r="C242" s="153"/>
      <c r="D242" s="132"/>
      <c r="E242" s="132"/>
      <c r="F242" s="132"/>
      <c r="G242" s="132"/>
      <c r="H242" s="132"/>
      <c r="I242" s="132"/>
      <c r="J242" s="132"/>
      <c r="K242" s="132"/>
      <c r="L242" s="132"/>
      <c r="M242" s="132"/>
      <c r="N242" s="154"/>
      <c r="O242" s="132"/>
      <c r="P242" s="132"/>
      <c r="Q242" s="132"/>
      <c r="R242" s="132"/>
      <c r="S242" s="132"/>
      <c r="T242" s="132"/>
      <c r="U242" s="132"/>
      <c r="V242" s="132"/>
      <c r="W242" s="132"/>
      <c r="X242" s="132"/>
      <c r="Y242" s="132"/>
      <c r="Z242" s="132"/>
    </row>
    <row r="243" spans="1:26" ht="15.75" customHeight="1" x14ac:dyDescent="0.25">
      <c r="A243" s="132"/>
      <c r="B243" s="152"/>
      <c r="C243" s="153"/>
      <c r="D243" s="132"/>
      <c r="E243" s="132"/>
      <c r="F243" s="132"/>
      <c r="G243" s="132"/>
      <c r="H243" s="132"/>
      <c r="I243" s="132"/>
      <c r="J243" s="132"/>
      <c r="K243" s="132"/>
      <c r="L243" s="132"/>
      <c r="M243" s="132"/>
      <c r="N243" s="154"/>
      <c r="O243" s="132"/>
      <c r="P243" s="132"/>
      <c r="Q243" s="132"/>
      <c r="R243" s="132"/>
      <c r="S243" s="132"/>
      <c r="T243" s="132"/>
      <c r="U243" s="132"/>
      <c r="V243" s="132"/>
      <c r="W243" s="132"/>
      <c r="X243" s="132"/>
      <c r="Y243" s="132"/>
      <c r="Z243" s="132"/>
    </row>
    <row r="244" spans="1:26" ht="15.75" customHeight="1" x14ac:dyDescent="0.25">
      <c r="A244" s="132"/>
      <c r="B244" s="152"/>
      <c r="C244" s="153"/>
      <c r="D244" s="132"/>
      <c r="E244" s="132"/>
      <c r="F244" s="132"/>
      <c r="G244" s="132"/>
      <c r="H244" s="132"/>
      <c r="I244" s="132"/>
      <c r="J244" s="132"/>
      <c r="K244" s="132"/>
      <c r="L244" s="132"/>
      <c r="M244" s="132"/>
      <c r="N244" s="154"/>
      <c r="O244" s="132"/>
      <c r="P244" s="132"/>
      <c r="Q244" s="132"/>
      <c r="R244" s="132"/>
      <c r="S244" s="132"/>
      <c r="T244" s="132"/>
      <c r="U244" s="132"/>
      <c r="V244" s="132"/>
      <c r="W244" s="132"/>
      <c r="X244" s="132"/>
      <c r="Y244" s="132"/>
      <c r="Z244" s="132"/>
    </row>
    <row r="245" spans="1:26" ht="15.75" customHeight="1" x14ac:dyDescent="0.25">
      <c r="A245" s="132"/>
      <c r="B245" s="152"/>
      <c r="C245" s="153"/>
      <c r="D245" s="132"/>
      <c r="E245" s="132"/>
      <c r="F245" s="132"/>
      <c r="G245" s="132"/>
      <c r="H245" s="132"/>
      <c r="I245" s="132"/>
      <c r="J245" s="132"/>
      <c r="K245" s="132"/>
      <c r="L245" s="132"/>
      <c r="M245" s="132"/>
      <c r="N245" s="154"/>
      <c r="O245" s="132"/>
      <c r="P245" s="132"/>
      <c r="Q245" s="132"/>
      <c r="R245" s="132"/>
      <c r="S245" s="132"/>
      <c r="T245" s="132"/>
      <c r="U245" s="132"/>
      <c r="V245" s="132"/>
      <c r="W245" s="132"/>
      <c r="X245" s="132"/>
      <c r="Y245" s="132"/>
      <c r="Z245" s="132"/>
    </row>
    <row r="246" spans="1:26" ht="15.75" customHeight="1" x14ac:dyDescent="0.25">
      <c r="A246" s="132"/>
      <c r="B246" s="152"/>
      <c r="C246" s="153"/>
      <c r="D246" s="132"/>
      <c r="E246" s="132"/>
      <c r="F246" s="132"/>
      <c r="G246" s="132"/>
      <c r="H246" s="132"/>
      <c r="I246" s="132"/>
      <c r="J246" s="132"/>
      <c r="K246" s="132"/>
      <c r="L246" s="132"/>
      <c r="M246" s="132"/>
      <c r="N246" s="154"/>
      <c r="O246" s="132"/>
      <c r="P246" s="132"/>
      <c r="Q246" s="132"/>
      <c r="R246" s="132"/>
      <c r="S246" s="132"/>
      <c r="T246" s="132"/>
      <c r="U246" s="132"/>
      <c r="V246" s="132"/>
      <c r="W246" s="132"/>
      <c r="X246" s="132"/>
      <c r="Y246" s="132"/>
      <c r="Z246" s="132"/>
    </row>
    <row r="247" spans="1:26" ht="15.75" customHeight="1" x14ac:dyDescent="0.25">
      <c r="A247" s="132"/>
      <c r="B247" s="152"/>
      <c r="C247" s="153"/>
      <c r="D247" s="132"/>
      <c r="E247" s="132"/>
      <c r="F247" s="132"/>
      <c r="G247" s="132"/>
      <c r="H247" s="132"/>
      <c r="I247" s="132"/>
      <c r="J247" s="132"/>
      <c r="K247" s="132"/>
      <c r="L247" s="132"/>
      <c r="M247" s="132"/>
      <c r="N247" s="154"/>
      <c r="O247" s="132"/>
      <c r="P247" s="132"/>
      <c r="Q247" s="132"/>
      <c r="R247" s="132"/>
      <c r="S247" s="132"/>
      <c r="T247" s="132"/>
      <c r="U247" s="132"/>
      <c r="V247" s="132"/>
      <c r="W247" s="132"/>
      <c r="X247" s="132"/>
      <c r="Y247" s="132"/>
      <c r="Z247" s="132"/>
    </row>
    <row r="248" spans="1:26" ht="15.75" customHeight="1" x14ac:dyDescent="0.25">
      <c r="A248" s="132"/>
      <c r="B248" s="152"/>
      <c r="C248" s="153"/>
      <c r="D248" s="132"/>
      <c r="E248" s="132"/>
      <c r="F248" s="132"/>
      <c r="G248" s="132"/>
      <c r="H248" s="132"/>
      <c r="I248" s="132"/>
      <c r="J248" s="132"/>
      <c r="K248" s="132"/>
      <c r="L248" s="132"/>
      <c r="M248" s="132"/>
      <c r="N248" s="154"/>
      <c r="O248" s="132"/>
      <c r="P248" s="132"/>
      <c r="Q248" s="132"/>
      <c r="R248" s="132"/>
      <c r="S248" s="132"/>
      <c r="T248" s="132"/>
      <c r="U248" s="132"/>
      <c r="V248" s="132"/>
      <c r="W248" s="132"/>
      <c r="X248" s="132"/>
      <c r="Y248" s="132"/>
      <c r="Z248" s="132"/>
    </row>
    <row r="249" spans="1:26" ht="15.75" customHeight="1" x14ac:dyDescent="0.25">
      <c r="A249" s="132"/>
      <c r="B249" s="152"/>
      <c r="C249" s="153"/>
      <c r="D249" s="132"/>
      <c r="E249" s="132"/>
      <c r="F249" s="132"/>
      <c r="G249" s="132"/>
      <c r="H249" s="132"/>
      <c r="I249" s="132"/>
      <c r="J249" s="132"/>
      <c r="K249" s="132"/>
      <c r="L249" s="132"/>
      <c r="M249" s="132"/>
      <c r="N249" s="154"/>
      <c r="O249" s="132"/>
      <c r="P249" s="132"/>
      <c r="Q249" s="132"/>
      <c r="R249" s="132"/>
      <c r="S249" s="132"/>
      <c r="T249" s="132"/>
      <c r="U249" s="132"/>
      <c r="V249" s="132"/>
      <c r="W249" s="132"/>
      <c r="X249" s="132"/>
      <c r="Y249" s="132"/>
      <c r="Z249" s="132"/>
    </row>
    <row r="250" spans="1:26" ht="15.75" customHeight="1" x14ac:dyDescent="0.25">
      <c r="A250" s="132"/>
      <c r="B250" s="152"/>
      <c r="C250" s="153"/>
      <c r="D250" s="132"/>
      <c r="E250" s="132"/>
      <c r="F250" s="132"/>
      <c r="G250" s="132"/>
      <c r="H250" s="132"/>
      <c r="I250" s="132"/>
      <c r="J250" s="132"/>
      <c r="K250" s="132"/>
      <c r="L250" s="132"/>
      <c r="M250" s="132"/>
      <c r="N250" s="154"/>
      <c r="O250" s="132"/>
      <c r="P250" s="132"/>
      <c r="Q250" s="132"/>
      <c r="R250" s="132"/>
      <c r="S250" s="132"/>
      <c r="T250" s="132"/>
      <c r="U250" s="132"/>
      <c r="V250" s="132"/>
      <c r="W250" s="132"/>
      <c r="X250" s="132"/>
      <c r="Y250" s="132"/>
      <c r="Z250" s="132"/>
    </row>
    <row r="251" spans="1:26" ht="15.75" customHeight="1" x14ac:dyDescent="0.25">
      <c r="A251" s="132"/>
      <c r="B251" s="152"/>
      <c r="C251" s="153"/>
      <c r="D251" s="132"/>
      <c r="E251" s="132"/>
      <c r="F251" s="132"/>
      <c r="G251" s="132"/>
      <c r="H251" s="132"/>
      <c r="I251" s="132"/>
      <c r="J251" s="132"/>
      <c r="K251" s="132"/>
      <c r="L251" s="132"/>
      <c r="M251" s="132"/>
      <c r="N251" s="154"/>
      <c r="O251" s="132"/>
      <c r="P251" s="132"/>
      <c r="Q251" s="132"/>
      <c r="R251" s="132"/>
      <c r="S251" s="132"/>
      <c r="T251" s="132"/>
      <c r="U251" s="132"/>
      <c r="V251" s="132"/>
      <c r="W251" s="132"/>
      <c r="X251" s="132"/>
      <c r="Y251" s="132"/>
      <c r="Z251" s="132"/>
    </row>
    <row r="252" spans="1:26" ht="15.75" customHeight="1" x14ac:dyDescent="0.25">
      <c r="A252" s="132"/>
      <c r="B252" s="152"/>
      <c r="C252" s="153"/>
      <c r="D252" s="132"/>
      <c r="E252" s="132"/>
      <c r="F252" s="132"/>
      <c r="G252" s="132"/>
      <c r="H252" s="132"/>
      <c r="I252" s="132"/>
      <c r="J252" s="132"/>
      <c r="K252" s="132"/>
      <c r="L252" s="132"/>
      <c r="M252" s="132"/>
      <c r="N252" s="154"/>
      <c r="O252" s="132"/>
      <c r="P252" s="132"/>
      <c r="Q252" s="132"/>
      <c r="R252" s="132"/>
      <c r="S252" s="132"/>
      <c r="T252" s="132"/>
      <c r="U252" s="132"/>
      <c r="V252" s="132"/>
      <c r="W252" s="132"/>
      <c r="X252" s="132"/>
      <c r="Y252" s="132"/>
      <c r="Z252" s="132"/>
    </row>
    <row r="253" spans="1:26" ht="15.75" customHeight="1" x14ac:dyDescent="0.25">
      <c r="A253" s="132"/>
      <c r="B253" s="152"/>
      <c r="C253" s="153"/>
      <c r="D253" s="132"/>
      <c r="E253" s="132"/>
      <c r="F253" s="132"/>
      <c r="G253" s="132"/>
      <c r="H253" s="132"/>
      <c r="I253" s="132"/>
      <c r="J253" s="132"/>
      <c r="K253" s="132"/>
      <c r="L253" s="132"/>
      <c r="M253" s="132"/>
      <c r="N253" s="154"/>
      <c r="O253" s="132"/>
      <c r="P253" s="132"/>
      <c r="Q253" s="132"/>
      <c r="R253" s="132"/>
      <c r="S253" s="132"/>
      <c r="T253" s="132"/>
      <c r="U253" s="132"/>
      <c r="V253" s="132"/>
      <c r="W253" s="132"/>
      <c r="X253" s="132"/>
      <c r="Y253" s="132"/>
      <c r="Z253" s="132"/>
    </row>
    <row r="254" spans="1:26" ht="15.75" customHeight="1" x14ac:dyDescent="0.25">
      <c r="A254" s="132"/>
      <c r="B254" s="152"/>
      <c r="C254" s="153"/>
      <c r="D254" s="132"/>
      <c r="E254" s="132"/>
      <c r="F254" s="132"/>
      <c r="G254" s="132"/>
      <c r="H254" s="132"/>
      <c r="I254" s="132"/>
      <c r="J254" s="132"/>
      <c r="K254" s="132"/>
      <c r="L254" s="132"/>
      <c r="M254" s="132"/>
      <c r="N254" s="154"/>
      <c r="O254" s="132"/>
      <c r="P254" s="132"/>
      <c r="Q254" s="132"/>
      <c r="R254" s="132"/>
      <c r="S254" s="132"/>
      <c r="T254" s="132"/>
      <c r="U254" s="132"/>
      <c r="V254" s="132"/>
      <c r="W254" s="132"/>
      <c r="X254" s="132"/>
      <c r="Y254" s="132"/>
      <c r="Z254" s="132"/>
    </row>
    <row r="255" spans="1:26" ht="15.75" customHeight="1" x14ac:dyDescent="0.25">
      <c r="A255" s="132"/>
      <c r="B255" s="152"/>
      <c r="C255" s="153"/>
      <c r="D255" s="132"/>
      <c r="E255" s="132"/>
      <c r="F255" s="132"/>
      <c r="G255" s="132"/>
      <c r="H255" s="132"/>
      <c r="I255" s="132"/>
      <c r="J255" s="132"/>
      <c r="K255" s="132"/>
      <c r="L255" s="132"/>
      <c r="M255" s="132"/>
      <c r="N255" s="154"/>
      <c r="O255" s="132"/>
      <c r="P255" s="132"/>
      <c r="Q255" s="132"/>
      <c r="R255" s="132"/>
      <c r="S255" s="132"/>
      <c r="T255" s="132"/>
      <c r="U255" s="132"/>
      <c r="V255" s="132"/>
      <c r="W255" s="132"/>
      <c r="X255" s="132"/>
      <c r="Y255" s="132"/>
      <c r="Z255" s="132"/>
    </row>
    <row r="256" spans="1:26" ht="15.75" customHeight="1" x14ac:dyDescent="0.25">
      <c r="A256" s="132"/>
      <c r="B256" s="152"/>
      <c r="C256" s="153"/>
      <c r="D256" s="132"/>
      <c r="E256" s="132"/>
      <c r="F256" s="132"/>
      <c r="G256" s="132"/>
      <c r="H256" s="132"/>
      <c r="I256" s="132"/>
      <c r="J256" s="132"/>
      <c r="K256" s="132"/>
      <c r="L256" s="132"/>
      <c r="M256" s="132"/>
      <c r="N256" s="154"/>
      <c r="O256" s="132"/>
      <c r="P256" s="132"/>
      <c r="Q256" s="132"/>
      <c r="R256" s="132"/>
      <c r="S256" s="132"/>
      <c r="T256" s="132"/>
      <c r="U256" s="132"/>
      <c r="V256" s="132"/>
      <c r="W256" s="132"/>
      <c r="X256" s="132"/>
      <c r="Y256" s="132"/>
      <c r="Z256" s="132"/>
    </row>
    <row r="257" spans="1:26" ht="15.75" customHeight="1" x14ac:dyDescent="0.25">
      <c r="A257" s="132"/>
      <c r="B257" s="152"/>
      <c r="C257" s="153"/>
      <c r="D257" s="132"/>
      <c r="E257" s="132"/>
      <c r="F257" s="132"/>
      <c r="G257" s="132"/>
      <c r="H257" s="132"/>
      <c r="I257" s="132"/>
      <c r="J257" s="132"/>
      <c r="K257" s="132"/>
      <c r="L257" s="132"/>
      <c r="M257" s="132"/>
      <c r="N257" s="154"/>
      <c r="O257" s="132"/>
      <c r="P257" s="132"/>
      <c r="Q257" s="132"/>
      <c r="R257" s="132"/>
      <c r="S257" s="132"/>
      <c r="T257" s="132"/>
      <c r="U257" s="132"/>
      <c r="V257" s="132"/>
      <c r="W257" s="132"/>
      <c r="X257" s="132"/>
      <c r="Y257" s="132"/>
      <c r="Z257" s="132"/>
    </row>
    <row r="258" spans="1:26" ht="15.75" customHeight="1" x14ac:dyDescent="0.25">
      <c r="A258" s="132"/>
      <c r="B258" s="152"/>
      <c r="C258" s="153"/>
      <c r="D258" s="132"/>
      <c r="E258" s="132"/>
      <c r="F258" s="132"/>
      <c r="G258" s="132"/>
      <c r="H258" s="132"/>
      <c r="I258" s="132"/>
      <c r="J258" s="132"/>
      <c r="K258" s="132"/>
      <c r="L258" s="132"/>
      <c r="M258" s="132"/>
      <c r="N258" s="154"/>
      <c r="O258" s="132"/>
      <c r="P258" s="132"/>
      <c r="Q258" s="132"/>
      <c r="R258" s="132"/>
      <c r="S258" s="132"/>
      <c r="T258" s="132"/>
      <c r="U258" s="132"/>
      <c r="V258" s="132"/>
      <c r="W258" s="132"/>
      <c r="X258" s="132"/>
      <c r="Y258" s="132"/>
      <c r="Z258" s="132"/>
    </row>
    <row r="259" spans="1:26" ht="15.75" customHeight="1" x14ac:dyDescent="0.25">
      <c r="A259" s="132"/>
      <c r="B259" s="152"/>
      <c r="C259" s="153"/>
      <c r="D259" s="132"/>
      <c r="E259" s="132"/>
      <c r="F259" s="132"/>
      <c r="G259" s="132"/>
      <c r="H259" s="132"/>
      <c r="I259" s="132"/>
      <c r="J259" s="132"/>
      <c r="K259" s="132"/>
      <c r="L259" s="132"/>
      <c r="M259" s="132"/>
      <c r="N259" s="154"/>
      <c r="O259" s="132"/>
      <c r="P259" s="132"/>
      <c r="Q259" s="132"/>
      <c r="R259" s="132"/>
      <c r="S259" s="132"/>
      <c r="T259" s="132"/>
      <c r="U259" s="132"/>
      <c r="V259" s="132"/>
      <c r="W259" s="132"/>
      <c r="X259" s="132"/>
      <c r="Y259" s="132"/>
      <c r="Z259" s="132"/>
    </row>
    <row r="260" spans="1:26" ht="15.75" customHeight="1" x14ac:dyDescent="0.25">
      <c r="A260" s="132"/>
      <c r="B260" s="152"/>
      <c r="C260" s="153"/>
      <c r="D260" s="132"/>
      <c r="E260" s="132"/>
      <c r="F260" s="132"/>
      <c r="G260" s="132"/>
      <c r="H260" s="132"/>
      <c r="I260" s="132"/>
      <c r="J260" s="132"/>
      <c r="K260" s="132"/>
      <c r="L260" s="132"/>
      <c r="M260" s="132"/>
      <c r="N260" s="154"/>
      <c r="O260" s="132"/>
      <c r="P260" s="132"/>
      <c r="Q260" s="132"/>
      <c r="R260" s="132"/>
      <c r="S260" s="132"/>
      <c r="T260" s="132"/>
      <c r="U260" s="132"/>
      <c r="V260" s="132"/>
      <c r="W260" s="132"/>
      <c r="X260" s="132"/>
      <c r="Y260" s="132"/>
      <c r="Z260" s="132"/>
    </row>
    <row r="261" spans="1:26" ht="15.75" customHeight="1" x14ac:dyDescent="0.25">
      <c r="A261" s="132"/>
      <c r="B261" s="152"/>
      <c r="C261" s="153"/>
      <c r="D261" s="132"/>
      <c r="E261" s="132"/>
      <c r="F261" s="132"/>
      <c r="G261" s="132"/>
      <c r="H261" s="132"/>
      <c r="I261" s="132"/>
      <c r="J261" s="132"/>
      <c r="K261" s="132"/>
      <c r="L261" s="132"/>
      <c r="M261" s="132"/>
      <c r="N261" s="154"/>
      <c r="O261" s="132"/>
      <c r="P261" s="132"/>
      <c r="Q261" s="132"/>
      <c r="R261" s="132"/>
      <c r="S261" s="132"/>
      <c r="T261" s="132"/>
      <c r="U261" s="132"/>
      <c r="V261" s="132"/>
      <c r="W261" s="132"/>
      <c r="X261" s="132"/>
      <c r="Y261" s="132"/>
      <c r="Z261" s="132"/>
    </row>
    <row r="262" spans="1:26" ht="15.75" customHeight="1" x14ac:dyDescent="0.25">
      <c r="A262" s="132"/>
      <c r="B262" s="152"/>
      <c r="C262" s="153"/>
      <c r="D262" s="132"/>
      <c r="E262" s="132"/>
      <c r="F262" s="132"/>
      <c r="G262" s="132"/>
      <c r="H262" s="132"/>
      <c r="I262" s="132"/>
      <c r="J262" s="132"/>
      <c r="K262" s="132"/>
      <c r="L262" s="132"/>
      <c r="M262" s="132"/>
      <c r="N262" s="154"/>
      <c r="O262" s="132"/>
      <c r="P262" s="132"/>
      <c r="Q262" s="132"/>
      <c r="R262" s="132"/>
      <c r="S262" s="132"/>
      <c r="T262" s="132"/>
      <c r="U262" s="132"/>
      <c r="V262" s="132"/>
      <c r="W262" s="132"/>
      <c r="X262" s="132"/>
      <c r="Y262" s="132"/>
      <c r="Z262" s="132"/>
    </row>
    <row r="263" spans="1:26" ht="15.75" customHeight="1" x14ac:dyDescent="0.25">
      <c r="A263" s="132"/>
      <c r="B263" s="152"/>
      <c r="C263" s="153"/>
      <c r="D263" s="132"/>
      <c r="E263" s="132"/>
      <c r="F263" s="132"/>
      <c r="G263" s="132"/>
      <c r="H263" s="132"/>
      <c r="I263" s="132"/>
      <c r="J263" s="132"/>
      <c r="K263" s="132"/>
      <c r="L263" s="132"/>
      <c r="M263" s="132"/>
      <c r="N263" s="154"/>
      <c r="O263" s="132"/>
      <c r="P263" s="132"/>
      <c r="Q263" s="132"/>
      <c r="R263" s="132"/>
      <c r="S263" s="132"/>
      <c r="T263" s="132"/>
      <c r="U263" s="132"/>
      <c r="V263" s="132"/>
      <c r="W263" s="132"/>
      <c r="X263" s="132"/>
      <c r="Y263" s="132"/>
      <c r="Z263" s="132"/>
    </row>
    <row r="264" spans="1:26" ht="15.75" customHeight="1" x14ac:dyDescent="0.25">
      <c r="A264" s="132"/>
      <c r="B264" s="152"/>
      <c r="C264" s="153"/>
      <c r="D264" s="132"/>
      <c r="E264" s="132"/>
      <c r="F264" s="132"/>
      <c r="G264" s="132"/>
      <c r="H264" s="132"/>
      <c r="I264" s="132"/>
      <c r="J264" s="132"/>
      <c r="K264" s="132"/>
      <c r="L264" s="132"/>
      <c r="M264" s="132"/>
      <c r="N264" s="154"/>
      <c r="O264" s="132"/>
      <c r="P264" s="132"/>
      <c r="Q264" s="132"/>
      <c r="R264" s="132"/>
      <c r="S264" s="132"/>
      <c r="T264" s="132"/>
      <c r="U264" s="132"/>
      <c r="V264" s="132"/>
      <c r="W264" s="132"/>
      <c r="X264" s="132"/>
      <c r="Y264" s="132"/>
      <c r="Z264" s="132"/>
    </row>
    <row r="265" spans="1:26" ht="15.75" customHeight="1" x14ac:dyDescent="0.25">
      <c r="A265" s="132"/>
      <c r="B265" s="152"/>
      <c r="C265" s="153"/>
      <c r="D265" s="132"/>
      <c r="E265" s="132"/>
      <c r="F265" s="132"/>
      <c r="G265" s="132"/>
      <c r="H265" s="132"/>
      <c r="I265" s="132"/>
      <c r="J265" s="132"/>
      <c r="K265" s="132"/>
      <c r="L265" s="132"/>
      <c r="M265" s="132"/>
      <c r="N265" s="154"/>
      <c r="O265" s="132"/>
      <c r="P265" s="132"/>
      <c r="Q265" s="132"/>
      <c r="R265" s="132"/>
      <c r="S265" s="132"/>
      <c r="T265" s="132"/>
      <c r="U265" s="132"/>
      <c r="V265" s="132"/>
      <c r="W265" s="132"/>
      <c r="X265" s="132"/>
      <c r="Y265" s="132"/>
      <c r="Z265" s="132"/>
    </row>
    <row r="266" spans="1:26" ht="15.75" customHeight="1" x14ac:dyDescent="0.25">
      <c r="A266" s="132"/>
      <c r="B266" s="152"/>
      <c r="C266" s="153"/>
      <c r="D266" s="132"/>
      <c r="E266" s="132"/>
      <c r="F266" s="132"/>
      <c r="G266" s="132"/>
      <c r="H266" s="132"/>
      <c r="I266" s="132"/>
      <c r="J266" s="132"/>
      <c r="K266" s="132"/>
      <c r="L266" s="132"/>
      <c r="M266" s="132"/>
      <c r="N266" s="154"/>
      <c r="O266" s="132"/>
      <c r="P266" s="132"/>
      <c r="Q266" s="132"/>
      <c r="R266" s="132"/>
      <c r="S266" s="132"/>
      <c r="T266" s="132"/>
      <c r="U266" s="132"/>
      <c r="V266" s="132"/>
      <c r="W266" s="132"/>
      <c r="X266" s="132"/>
      <c r="Y266" s="132"/>
      <c r="Z266" s="132"/>
    </row>
    <row r="267" spans="1:26" ht="15.75" customHeight="1" x14ac:dyDescent="0.25">
      <c r="A267" s="132"/>
      <c r="B267" s="152"/>
      <c r="C267" s="153"/>
      <c r="D267" s="132"/>
      <c r="E267" s="132"/>
      <c r="F267" s="132"/>
      <c r="G267" s="132"/>
      <c r="H267" s="132"/>
      <c r="I267" s="132"/>
      <c r="J267" s="132"/>
      <c r="K267" s="132"/>
      <c r="L267" s="132"/>
      <c r="M267" s="132"/>
      <c r="N267" s="154"/>
      <c r="O267" s="132"/>
      <c r="P267" s="132"/>
      <c r="Q267" s="132"/>
      <c r="R267" s="132"/>
      <c r="S267" s="132"/>
      <c r="T267" s="132"/>
      <c r="U267" s="132"/>
      <c r="V267" s="132"/>
      <c r="W267" s="132"/>
      <c r="X267" s="132"/>
      <c r="Y267" s="132"/>
      <c r="Z267" s="132"/>
    </row>
    <row r="268" spans="1:26" ht="15.75" customHeight="1" x14ac:dyDescent="0.25">
      <c r="A268" s="132"/>
      <c r="B268" s="152"/>
      <c r="C268" s="153"/>
      <c r="D268" s="132"/>
      <c r="E268" s="132"/>
      <c r="F268" s="132"/>
      <c r="G268" s="132"/>
      <c r="H268" s="132"/>
      <c r="I268" s="132"/>
      <c r="J268" s="132"/>
      <c r="K268" s="132"/>
      <c r="L268" s="132"/>
      <c r="M268" s="132"/>
      <c r="N268" s="154"/>
      <c r="O268" s="132"/>
      <c r="P268" s="132"/>
      <c r="Q268" s="132"/>
      <c r="R268" s="132"/>
      <c r="S268" s="132"/>
      <c r="T268" s="132"/>
      <c r="U268" s="132"/>
      <c r="V268" s="132"/>
      <c r="W268" s="132"/>
      <c r="X268" s="132"/>
      <c r="Y268" s="132"/>
      <c r="Z268" s="132"/>
    </row>
    <row r="269" spans="1:26" ht="15.75" customHeight="1" x14ac:dyDescent="0.25">
      <c r="A269" s="132"/>
      <c r="B269" s="152"/>
      <c r="C269" s="153"/>
      <c r="D269" s="132"/>
      <c r="E269" s="132"/>
      <c r="F269" s="132"/>
      <c r="G269" s="132"/>
      <c r="H269" s="132"/>
      <c r="I269" s="132"/>
      <c r="J269" s="132"/>
      <c r="K269" s="132"/>
      <c r="L269" s="132"/>
      <c r="M269" s="132"/>
      <c r="N269" s="154"/>
      <c r="O269" s="132"/>
      <c r="P269" s="132"/>
      <c r="Q269" s="132"/>
      <c r="R269" s="132"/>
      <c r="S269" s="132"/>
      <c r="T269" s="132"/>
      <c r="U269" s="132"/>
      <c r="V269" s="132"/>
      <c r="W269" s="132"/>
      <c r="X269" s="132"/>
      <c r="Y269" s="132"/>
      <c r="Z269" s="132"/>
    </row>
    <row r="270" spans="1:26" ht="15.75" customHeight="1" x14ac:dyDescent="0.25">
      <c r="A270" s="132"/>
      <c r="B270" s="152"/>
      <c r="C270" s="153"/>
      <c r="D270" s="132"/>
      <c r="E270" s="132"/>
      <c r="F270" s="132"/>
      <c r="G270" s="132"/>
      <c r="H270" s="132"/>
      <c r="I270" s="132"/>
      <c r="J270" s="132"/>
      <c r="K270" s="132"/>
      <c r="L270" s="132"/>
      <c r="M270" s="132"/>
      <c r="N270" s="154"/>
      <c r="O270" s="132"/>
      <c r="P270" s="132"/>
      <c r="Q270" s="132"/>
      <c r="R270" s="132"/>
      <c r="S270" s="132"/>
      <c r="T270" s="132"/>
      <c r="U270" s="132"/>
      <c r="V270" s="132"/>
      <c r="W270" s="132"/>
      <c r="X270" s="132"/>
      <c r="Y270" s="132"/>
      <c r="Z270" s="132"/>
    </row>
    <row r="271" spans="1:26" ht="15.75" customHeight="1" x14ac:dyDescent="0.25">
      <c r="A271" s="132"/>
      <c r="B271" s="152"/>
      <c r="C271" s="153"/>
      <c r="D271" s="132"/>
      <c r="E271" s="132"/>
      <c r="F271" s="132"/>
      <c r="G271" s="132"/>
      <c r="H271" s="132"/>
      <c r="I271" s="132"/>
      <c r="J271" s="132"/>
      <c r="K271" s="132"/>
      <c r="L271" s="132"/>
      <c r="M271" s="132"/>
      <c r="N271" s="154"/>
      <c r="O271" s="132"/>
      <c r="P271" s="132"/>
      <c r="Q271" s="132"/>
      <c r="R271" s="132"/>
      <c r="S271" s="132"/>
      <c r="T271" s="132"/>
      <c r="U271" s="132"/>
      <c r="V271" s="132"/>
      <c r="W271" s="132"/>
      <c r="X271" s="132"/>
      <c r="Y271" s="132"/>
      <c r="Z271" s="132"/>
    </row>
    <row r="272" spans="1:26" ht="15.75" customHeight="1" x14ac:dyDescent="0.25">
      <c r="A272" s="132"/>
      <c r="B272" s="152"/>
      <c r="C272" s="153"/>
      <c r="D272" s="132"/>
      <c r="E272" s="132"/>
      <c r="F272" s="132"/>
      <c r="G272" s="132"/>
      <c r="H272" s="132"/>
      <c r="I272" s="132"/>
      <c r="J272" s="132"/>
      <c r="K272" s="132"/>
      <c r="L272" s="132"/>
      <c r="M272" s="132"/>
      <c r="N272" s="154"/>
      <c r="O272" s="132"/>
      <c r="P272" s="132"/>
      <c r="Q272" s="132"/>
      <c r="R272" s="132"/>
      <c r="S272" s="132"/>
      <c r="T272" s="132"/>
      <c r="U272" s="132"/>
      <c r="V272" s="132"/>
      <c r="W272" s="132"/>
      <c r="X272" s="132"/>
      <c r="Y272" s="132"/>
      <c r="Z272" s="132"/>
    </row>
    <row r="273" spans="1:26" ht="15.75" customHeight="1" x14ac:dyDescent="0.25">
      <c r="A273" s="132"/>
      <c r="B273" s="152"/>
      <c r="C273" s="153"/>
      <c r="D273" s="132"/>
      <c r="E273" s="132"/>
      <c r="F273" s="132"/>
      <c r="G273" s="132"/>
      <c r="H273" s="132"/>
      <c r="I273" s="132"/>
      <c r="J273" s="132"/>
      <c r="K273" s="132"/>
      <c r="L273" s="132"/>
      <c r="M273" s="132"/>
      <c r="N273" s="154"/>
      <c r="O273" s="132"/>
      <c r="P273" s="132"/>
      <c r="Q273" s="132"/>
      <c r="R273" s="132"/>
      <c r="S273" s="132"/>
      <c r="T273" s="132"/>
      <c r="U273" s="132"/>
      <c r="V273" s="132"/>
      <c r="W273" s="132"/>
      <c r="X273" s="132"/>
      <c r="Y273" s="132"/>
      <c r="Z273" s="132"/>
    </row>
    <row r="274" spans="1:26" ht="15.75" customHeight="1" x14ac:dyDescent="0.25">
      <c r="A274" s="132"/>
      <c r="B274" s="152"/>
      <c r="C274" s="153"/>
      <c r="D274" s="132"/>
      <c r="E274" s="132"/>
      <c r="F274" s="132"/>
      <c r="G274" s="132"/>
      <c r="H274" s="132"/>
      <c r="I274" s="132"/>
      <c r="J274" s="132"/>
      <c r="K274" s="132"/>
      <c r="L274" s="132"/>
      <c r="M274" s="132"/>
      <c r="N274" s="154"/>
      <c r="O274" s="132"/>
      <c r="P274" s="132"/>
      <c r="Q274" s="132"/>
      <c r="R274" s="132"/>
      <c r="S274" s="132"/>
      <c r="T274" s="132"/>
      <c r="U274" s="132"/>
      <c r="V274" s="132"/>
      <c r="W274" s="132"/>
      <c r="X274" s="132"/>
      <c r="Y274" s="132"/>
      <c r="Z274" s="132"/>
    </row>
    <row r="275" spans="1:26" ht="15.75" customHeight="1" x14ac:dyDescent="0.25">
      <c r="A275" s="132"/>
      <c r="B275" s="152"/>
      <c r="C275" s="153"/>
      <c r="D275" s="132"/>
      <c r="E275" s="132"/>
      <c r="F275" s="132"/>
      <c r="G275" s="132"/>
      <c r="H275" s="132"/>
      <c r="I275" s="132"/>
      <c r="J275" s="132"/>
      <c r="K275" s="132"/>
      <c r="L275" s="132"/>
      <c r="M275" s="132"/>
      <c r="N275" s="154"/>
      <c r="O275" s="132"/>
      <c r="P275" s="132"/>
      <c r="Q275" s="132"/>
      <c r="R275" s="132"/>
      <c r="S275" s="132"/>
      <c r="T275" s="132"/>
      <c r="U275" s="132"/>
      <c r="V275" s="132"/>
      <c r="W275" s="132"/>
      <c r="X275" s="132"/>
      <c r="Y275" s="132"/>
      <c r="Z275" s="132"/>
    </row>
    <row r="276" spans="1:26" ht="15.75" customHeight="1" x14ac:dyDescent="0.25">
      <c r="A276" s="132"/>
      <c r="B276" s="152"/>
      <c r="C276" s="153"/>
      <c r="D276" s="132"/>
      <c r="E276" s="132"/>
      <c r="F276" s="132"/>
      <c r="G276" s="132"/>
      <c r="H276" s="132"/>
      <c r="I276" s="132"/>
      <c r="J276" s="132"/>
      <c r="K276" s="132"/>
      <c r="L276" s="132"/>
      <c r="M276" s="132"/>
      <c r="N276" s="154"/>
      <c r="O276" s="132"/>
      <c r="P276" s="132"/>
      <c r="Q276" s="132"/>
      <c r="R276" s="132"/>
      <c r="S276" s="132"/>
      <c r="T276" s="132"/>
      <c r="U276" s="132"/>
      <c r="V276" s="132"/>
      <c r="W276" s="132"/>
      <c r="X276" s="132"/>
      <c r="Y276" s="132"/>
      <c r="Z276" s="132"/>
    </row>
    <row r="277" spans="1:26" ht="15.75" customHeight="1" x14ac:dyDescent="0.25">
      <c r="A277" s="132"/>
      <c r="B277" s="152"/>
      <c r="C277" s="153"/>
      <c r="D277" s="132"/>
      <c r="E277" s="132"/>
      <c r="F277" s="132"/>
      <c r="G277" s="132"/>
      <c r="H277" s="132"/>
      <c r="I277" s="132"/>
      <c r="J277" s="132"/>
      <c r="K277" s="132"/>
      <c r="L277" s="132"/>
      <c r="M277" s="132"/>
      <c r="N277" s="154"/>
      <c r="O277" s="132"/>
      <c r="P277" s="132"/>
      <c r="Q277" s="132"/>
      <c r="R277" s="132"/>
      <c r="S277" s="132"/>
      <c r="T277" s="132"/>
      <c r="U277" s="132"/>
      <c r="V277" s="132"/>
      <c r="W277" s="132"/>
      <c r="X277" s="132"/>
      <c r="Y277" s="132"/>
      <c r="Z277" s="132"/>
    </row>
    <row r="278" spans="1:26" ht="15.75" customHeight="1" x14ac:dyDescent="0.25">
      <c r="A278" s="132"/>
      <c r="B278" s="152"/>
      <c r="C278" s="153"/>
      <c r="D278" s="132"/>
      <c r="E278" s="132"/>
      <c r="F278" s="132"/>
      <c r="G278" s="132"/>
      <c r="H278" s="132"/>
      <c r="I278" s="132"/>
      <c r="J278" s="132"/>
      <c r="K278" s="132"/>
      <c r="L278" s="132"/>
      <c r="M278" s="132"/>
      <c r="N278" s="154"/>
      <c r="O278" s="132"/>
      <c r="P278" s="132"/>
      <c r="Q278" s="132"/>
      <c r="R278" s="132"/>
      <c r="S278" s="132"/>
      <c r="T278" s="132"/>
      <c r="U278" s="132"/>
      <c r="V278" s="132"/>
      <c r="W278" s="132"/>
      <c r="X278" s="132"/>
      <c r="Y278" s="132"/>
      <c r="Z278" s="132"/>
    </row>
    <row r="279" spans="1:26" ht="15.75" customHeight="1" x14ac:dyDescent="0.25">
      <c r="A279" s="132"/>
      <c r="B279" s="152"/>
      <c r="C279" s="153"/>
      <c r="D279" s="132"/>
      <c r="E279" s="132"/>
      <c r="F279" s="132"/>
      <c r="G279" s="132"/>
      <c r="H279" s="132"/>
      <c r="I279" s="132"/>
      <c r="J279" s="132"/>
      <c r="K279" s="132"/>
      <c r="L279" s="132"/>
      <c r="M279" s="132"/>
      <c r="N279" s="154"/>
      <c r="O279" s="132"/>
      <c r="P279" s="132"/>
      <c r="Q279" s="132"/>
      <c r="R279" s="132"/>
      <c r="S279" s="132"/>
      <c r="T279" s="132"/>
      <c r="U279" s="132"/>
      <c r="V279" s="132"/>
      <c r="W279" s="132"/>
      <c r="X279" s="132"/>
      <c r="Y279" s="132"/>
      <c r="Z279" s="132"/>
    </row>
    <row r="280" spans="1:26" ht="15.75" customHeight="1" x14ac:dyDescent="0.25">
      <c r="A280" s="132"/>
      <c r="B280" s="152"/>
      <c r="C280" s="153"/>
      <c r="D280" s="132"/>
      <c r="E280" s="132"/>
      <c r="F280" s="132"/>
      <c r="G280" s="132"/>
      <c r="H280" s="132"/>
      <c r="I280" s="132"/>
      <c r="J280" s="132"/>
      <c r="K280" s="132"/>
      <c r="L280" s="132"/>
      <c r="M280" s="132"/>
      <c r="N280" s="154"/>
      <c r="O280" s="132"/>
      <c r="P280" s="132"/>
      <c r="Q280" s="132"/>
      <c r="R280" s="132"/>
      <c r="S280" s="132"/>
      <c r="T280" s="132"/>
      <c r="U280" s="132"/>
      <c r="V280" s="132"/>
      <c r="W280" s="132"/>
      <c r="X280" s="132"/>
      <c r="Y280" s="132"/>
      <c r="Z280" s="132"/>
    </row>
    <row r="281" spans="1:26" ht="15.75" customHeight="1" x14ac:dyDescent="0.25">
      <c r="A281" s="132"/>
      <c r="B281" s="152"/>
      <c r="C281" s="153"/>
      <c r="D281" s="132"/>
      <c r="E281" s="132"/>
      <c r="F281" s="132"/>
      <c r="G281" s="132"/>
      <c r="H281" s="132"/>
      <c r="I281" s="132"/>
      <c r="J281" s="132"/>
      <c r="K281" s="132"/>
      <c r="L281" s="132"/>
      <c r="M281" s="132"/>
      <c r="N281" s="154"/>
      <c r="O281" s="132"/>
      <c r="P281" s="132"/>
      <c r="Q281" s="132"/>
      <c r="R281" s="132"/>
      <c r="S281" s="132"/>
      <c r="T281" s="132"/>
      <c r="U281" s="132"/>
      <c r="V281" s="132"/>
      <c r="W281" s="132"/>
      <c r="X281" s="132"/>
      <c r="Y281" s="132"/>
      <c r="Z281" s="132"/>
    </row>
    <row r="282" spans="1:26" ht="15.75" customHeight="1" x14ac:dyDescent="0.25">
      <c r="A282" s="132"/>
      <c r="B282" s="152"/>
      <c r="C282" s="153"/>
      <c r="D282" s="132"/>
      <c r="E282" s="132"/>
      <c r="F282" s="132"/>
      <c r="G282" s="132"/>
      <c r="H282" s="132"/>
      <c r="I282" s="132"/>
      <c r="J282" s="132"/>
      <c r="K282" s="132"/>
      <c r="L282" s="132"/>
      <c r="M282" s="132"/>
      <c r="N282" s="154"/>
      <c r="O282" s="132"/>
      <c r="P282" s="132"/>
      <c r="Q282" s="132"/>
      <c r="R282" s="132"/>
      <c r="S282" s="132"/>
      <c r="T282" s="132"/>
      <c r="U282" s="132"/>
      <c r="V282" s="132"/>
      <c r="W282" s="132"/>
      <c r="X282" s="132"/>
      <c r="Y282" s="132"/>
      <c r="Z282" s="132"/>
    </row>
    <row r="283" spans="1:26" ht="15.75" customHeight="1" x14ac:dyDescent="0.25">
      <c r="A283" s="132"/>
      <c r="B283" s="152"/>
      <c r="C283" s="153"/>
      <c r="D283" s="132"/>
      <c r="E283" s="132"/>
      <c r="F283" s="132"/>
      <c r="G283" s="132"/>
      <c r="H283" s="132"/>
      <c r="I283" s="132"/>
      <c r="J283" s="132"/>
      <c r="K283" s="132"/>
      <c r="L283" s="132"/>
      <c r="M283" s="132"/>
      <c r="N283" s="154"/>
      <c r="O283" s="132"/>
      <c r="P283" s="132"/>
      <c r="Q283" s="132"/>
      <c r="R283" s="132"/>
      <c r="S283" s="132"/>
      <c r="T283" s="132"/>
      <c r="U283" s="132"/>
      <c r="V283" s="132"/>
      <c r="W283" s="132"/>
      <c r="X283" s="132"/>
      <c r="Y283" s="132"/>
      <c r="Z283" s="132"/>
    </row>
    <row r="284" spans="1:26" ht="15.75" customHeight="1" x14ac:dyDescent="0.25">
      <c r="A284" s="132"/>
      <c r="B284" s="152"/>
      <c r="C284" s="153"/>
      <c r="D284" s="132"/>
      <c r="E284" s="132"/>
      <c r="F284" s="132"/>
      <c r="G284" s="132"/>
      <c r="H284" s="132"/>
      <c r="I284" s="132"/>
      <c r="J284" s="132"/>
      <c r="K284" s="132"/>
      <c r="L284" s="132"/>
      <c r="M284" s="132"/>
      <c r="N284" s="154"/>
      <c r="O284" s="132"/>
      <c r="P284" s="132"/>
      <c r="Q284" s="132"/>
      <c r="R284" s="132"/>
      <c r="S284" s="132"/>
      <c r="T284" s="132"/>
      <c r="U284" s="132"/>
      <c r="V284" s="132"/>
      <c r="W284" s="132"/>
      <c r="X284" s="132"/>
      <c r="Y284" s="132"/>
      <c r="Z284" s="132"/>
    </row>
    <row r="285" spans="1:26" ht="15.75" customHeight="1" x14ac:dyDescent="0.25">
      <c r="A285" s="132"/>
      <c r="B285" s="152"/>
      <c r="C285" s="153"/>
      <c r="D285" s="132"/>
      <c r="E285" s="132"/>
      <c r="F285" s="132"/>
      <c r="G285" s="132"/>
      <c r="H285" s="132"/>
      <c r="I285" s="132"/>
      <c r="J285" s="132"/>
      <c r="K285" s="132"/>
      <c r="L285" s="132"/>
      <c r="M285" s="132"/>
      <c r="N285" s="154"/>
      <c r="O285" s="132"/>
      <c r="P285" s="132"/>
      <c r="Q285" s="132"/>
      <c r="R285" s="132"/>
      <c r="S285" s="132"/>
      <c r="T285" s="132"/>
      <c r="U285" s="132"/>
      <c r="V285" s="132"/>
      <c r="W285" s="132"/>
      <c r="X285" s="132"/>
      <c r="Y285" s="132"/>
      <c r="Z285" s="132"/>
    </row>
    <row r="286" spans="1:26" ht="15.75" customHeight="1" x14ac:dyDescent="0.25"/>
    <row r="287" spans="1:26" ht="15.75" customHeight="1" x14ac:dyDescent="0.25"/>
    <row r="288" spans="1:26"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49">
    <mergeCell ref="E24:E25"/>
    <mergeCell ref="E16:E17"/>
    <mergeCell ref="D10:D11"/>
    <mergeCell ref="D26:D27"/>
    <mergeCell ref="D20:D21"/>
    <mergeCell ref="D18:D19"/>
    <mergeCell ref="C16:C17"/>
    <mergeCell ref="E14:E15"/>
    <mergeCell ref="C8:C9"/>
    <mergeCell ref="E10:E11"/>
    <mergeCell ref="E12:E13"/>
    <mergeCell ref="E26:E27"/>
    <mergeCell ref="A30:A41"/>
    <mergeCell ref="B30:B35"/>
    <mergeCell ref="C38:C39"/>
    <mergeCell ref="C36:C37"/>
    <mergeCell ref="C34:C35"/>
    <mergeCell ref="D12:D13"/>
    <mergeCell ref="C12:C13"/>
    <mergeCell ref="B22:B23"/>
    <mergeCell ref="B20:B21"/>
    <mergeCell ref="A8:A15"/>
    <mergeCell ref="A16:A23"/>
    <mergeCell ref="D40:D41"/>
    <mergeCell ref="D24:D25"/>
    <mergeCell ref="D22:D23"/>
    <mergeCell ref="V28:V29"/>
    <mergeCell ref="V50:V51"/>
    <mergeCell ref="U10:U11"/>
    <mergeCell ref="U12:U13"/>
    <mergeCell ref="V14:V15"/>
    <mergeCell ref="U14:U15"/>
    <mergeCell ref="V12:V13"/>
    <mergeCell ref="V10:V11"/>
    <mergeCell ref="V24:V25"/>
    <mergeCell ref="V26:V27"/>
    <mergeCell ref="V18:V19"/>
    <mergeCell ref="V20:V21"/>
    <mergeCell ref="V42:V43"/>
    <mergeCell ref="V44:V45"/>
    <mergeCell ref="V46:V47"/>
    <mergeCell ref="V48:V49"/>
    <mergeCell ref="V16:V17"/>
    <mergeCell ref="V40:V41"/>
    <mergeCell ref="V34:V35"/>
    <mergeCell ref="U16:U17"/>
    <mergeCell ref="U18:U19"/>
    <mergeCell ref="U44:U45"/>
    <mergeCell ref="U42:U43"/>
    <mergeCell ref="U40:U41"/>
    <mergeCell ref="W30:X31"/>
    <mergeCell ref="U24:U25"/>
    <mergeCell ref="V22:V23"/>
    <mergeCell ref="T36:T39"/>
    <mergeCell ref="U34:U35"/>
    <mergeCell ref="T76:T77"/>
    <mergeCell ref="T72:T75"/>
    <mergeCell ref="U74:U75"/>
    <mergeCell ref="U76:U77"/>
    <mergeCell ref="V30:V31"/>
    <mergeCell ref="V36:V37"/>
    <mergeCell ref="V32:V33"/>
    <mergeCell ref="V38:V39"/>
    <mergeCell ref="U38:U39"/>
    <mergeCell ref="U30:U31"/>
    <mergeCell ref="U32:U33"/>
    <mergeCell ref="U46:U47"/>
    <mergeCell ref="U48:U49"/>
    <mergeCell ref="U64:U65"/>
    <mergeCell ref="U72:U73"/>
    <mergeCell ref="U70:U71"/>
    <mergeCell ref="U68:U69"/>
    <mergeCell ref="U50:U51"/>
    <mergeCell ref="U60:U61"/>
    <mergeCell ref="A42:A63"/>
    <mergeCell ref="B42:B49"/>
    <mergeCell ref="V66:V67"/>
    <mergeCell ref="V64:V65"/>
    <mergeCell ref="V58:V59"/>
    <mergeCell ref="V60:V61"/>
    <mergeCell ref="V62:V63"/>
    <mergeCell ref="V56:V57"/>
    <mergeCell ref="V82:V83"/>
    <mergeCell ref="V80:V81"/>
    <mergeCell ref="V74:V75"/>
    <mergeCell ref="V68:V69"/>
    <mergeCell ref="V76:V77"/>
    <mergeCell ref="V70:V71"/>
    <mergeCell ref="V72:V73"/>
    <mergeCell ref="V78:V79"/>
    <mergeCell ref="U78:U79"/>
    <mergeCell ref="U82:U83"/>
    <mergeCell ref="U80:U81"/>
    <mergeCell ref="U66:U67"/>
    <mergeCell ref="V52:V53"/>
    <mergeCell ref="V54:V55"/>
    <mergeCell ref="U54:U55"/>
    <mergeCell ref="T78:T83"/>
    <mergeCell ref="T62:T63"/>
    <mergeCell ref="T56:T61"/>
    <mergeCell ref="T54:T55"/>
    <mergeCell ref="T64:T71"/>
    <mergeCell ref="C82:C83"/>
    <mergeCell ref="D82:D83"/>
    <mergeCell ref="E70:E71"/>
    <mergeCell ref="D70:D71"/>
    <mergeCell ref="D68:D69"/>
    <mergeCell ref="E72:E73"/>
    <mergeCell ref="E68:E69"/>
    <mergeCell ref="C68:C69"/>
    <mergeCell ref="C64:C65"/>
    <mergeCell ref="D58:D59"/>
    <mergeCell ref="D66:D67"/>
    <mergeCell ref="D64:D65"/>
    <mergeCell ref="E66:E67"/>
    <mergeCell ref="E64:E65"/>
    <mergeCell ref="C62:C63"/>
    <mergeCell ref="A64:A77"/>
    <mergeCell ref="C76:C77"/>
    <mergeCell ref="C74:C75"/>
    <mergeCell ref="D78:D79"/>
    <mergeCell ref="D76:D77"/>
    <mergeCell ref="B78:B83"/>
    <mergeCell ref="B64:B71"/>
    <mergeCell ref="C66:C67"/>
    <mergeCell ref="C70:C71"/>
    <mergeCell ref="D72:D73"/>
    <mergeCell ref="E78:E79"/>
    <mergeCell ref="E74:E75"/>
    <mergeCell ref="E76:E77"/>
    <mergeCell ref="E80:E81"/>
    <mergeCell ref="E82:E83"/>
    <mergeCell ref="C80:C81"/>
    <mergeCell ref="C78:C79"/>
    <mergeCell ref="B76:B77"/>
    <mergeCell ref="B72:B75"/>
    <mergeCell ref="A1:B4"/>
    <mergeCell ref="D30:D31"/>
    <mergeCell ref="D32:D33"/>
    <mergeCell ref="E28:E29"/>
    <mergeCell ref="D28:D29"/>
    <mergeCell ref="A24:A29"/>
    <mergeCell ref="B24:B29"/>
    <mergeCell ref="C26:C27"/>
    <mergeCell ref="C22:C23"/>
    <mergeCell ref="C24:C25"/>
    <mergeCell ref="C20:C21"/>
    <mergeCell ref="B12:B13"/>
    <mergeCell ref="B10:B11"/>
    <mergeCell ref="B14:B15"/>
    <mergeCell ref="C14:C15"/>
    <mergeCell ref="C18:C19"/>
    <mergeCell ref="D8:D9"/>
    <mergeCell ref="C28:C29"/>
    <mergeCell ref="B16:B19"/>
    <mergeCell ref="E30:E31"/>
    <mergeCell ref="E22:E23"/>
    <mergeCell ref="D16:D17"/>
    <mergeCell ref="E32:E33"/>
    <mergeCell ref="B8:B9"/>
    <mergeCell ref="T16:T19"/>
    <mergeCell ref="T20:T21"/>
    <mergeCell ref="T22:T23"/>
    <mergeCell ref="T24:T29"/>
    <mergeCell ref="U28:U29"/>
    <mergeCell ref="C32:C33"/>
    <mergeCell ref="C30:C31"/>
    <mergeCell ref="C40:C41"/>
    <mergeCell ref="C42:C43"/>
    <mergeCell ref="U26:U27"/>
    <mergeCell ref="U22:U23"/>
    <mergeCell ref="U20:U21"/>
    <mergeCell ref="D42:D43"/>
    <mergeCell ref="E40:E41"/>
    <mergeCell ref="T42:T49"/>
    <mergeCell ref="T40:T41"/>
    <mergeCell ref="T30:T35"/>
    <mergeCell ref="E42:E43"/>
    <mergeCell ref="E38:E39"/>
    <mergeCell ref="D38:D39"/>
    <mergeCell ref="D34:D35"/>
    <mergeCell ref="E34:E35"/>
    <mergeCell ref="E18:E19"/>
    <mergeCell ref="E20:E21"/>
    <mergeCell ref="C1:V1"/>
    <mergeCell ref="F6:S6"/>
    <mergeCell ref="T6:U6"/>
    <mergeCell ref="D4:V4"/>
    <mergeCell ref="D6:E6"/>
    <mergeCell ref="E8:E9"/>
    <mergeCell ref="T10:T11"/>
    <mergeCell ref="T12:T13"/>
    <mergeCell ref="T14:T15"/>
    <mergeCell ref="T8:T9"/>
    <mergeCell ref="U8:U9"/>
    <mergeCell ref="C10:C11"/>
    <mergeCell ref="V6:V7"/>
    <mergeCell ref="V8:V9"/>
    <mergeCell ref="D3:V3"/>
    <mergeCell ref="C2:V2"/>
    <mergeCell ref="D14:D15"/>
    <mergeCell ref="U62:U63"/>
    <mergeCell ref="D46:D47"/>
    <mergeCell ref="D48:D49"/>
    <mergeCell ref="E44:E45"/>
    <mergeCell ref="D52:D53"/>
    <mergeCell ref="D44:D45"/>
    <mergeCell ref="E62:E63"/>
    <mergeCell ref="D62:D63"/>
    <mergeCell ref="E52:E53"/>
    <mergeCell ref="E50:E51"/>
    <mergeCell ref="D50:D51"/>
    <mergeCell ref="E54:E55"/>
    <mergeCell ref="E56:E57"/>
    <mergeCell ref="D56:D57"/>
    <mergeCell ref="E58:E59"/>
    <mergeCell ref="E60:E61"/>
    <mergeCell ref="T50:T53"/>
    <mergeCell ref="D54:D55"/>
    <mergeCell ref="E46:E47"/>
    <mergeCell ref="E48:E49"/>
    <mergeCell ref="D60:D61"/>
    <mergeCell ref="U56:U57"/>
    <mergeCell ref="U58:U59"/>
    <mergeCell ref="U52:U53"/>
    <mergeCell ref="A6:A7"/>
    <mergeCell ref="C6:C7"/>
    <mergeCell ref="C84:S84"/>
    <mergeCell ref="B50:B53"/>
    <mergeCell ref="B54:B55"/>
    <mergeCell ref="B36:B39"/>
    <mergeCell ref="B40:B41"/>
    <mergeCell ref="B62:B63"/>
    <mergeCell ref="B56:B61"/>
    <mergeCell ref="C50:C51"/>
    <mergeCell ref="C54:C55"/>
    <mergeCell ref="C52:C53"/>
    <mergeCell ref="C58:C59"/>
    <mergeCell ref="C56:C57"/>
    <mergeCell ref="C60:C61"/>
    <mergeCell ref="C46:C47"/>
    <mergeCell ref="C44:C45"/>
    <mergeCell ref="C48:C49"/>
    <mergeCell ref="B6:B7"/>
    <mergeCell ref="A84:B84"/>
    <mergeCell ref="A78:A83"/>
    <mergeCell ref="C72:C73"/>
    <mergeCell ref="D74:D75"/>
    <mergeCell ref="D80:D81"/>
  </mergeCells>
  <printOptions horizontalCentered="1" verticalCentered="1"/>
  <pageMargins left="0.23622047244094491" right="0.23622047244094491" top="0.35433070866141736" bottom="0.35433070866141736" header="0.31496062992125984" footer="0.31496062992125984"/>
  <pageSetup scale="55"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56111-17CD-41DA-8E44-355ABA075A6D}">
  <dimension ref="A1:BC595"/>
  <sheetViews>
    <sheetView tabSelected="1" topLeftCell="A7" zoomScale="82" zoomScaleNormal="82" workbookViewId="0">
      <selection activeCell="A7" sqref="A7:A90"/>
    </sheetView>
  </sheetViews>
  <sheetFormatPr baseColWidth="10" defaultColWidth="14.42578125" defaultRowHeight="15" x14ac:dyDescent="0.25"/>
  <cols>
    <col min="1" max="1" width="6.7109375" style="288" customWidth="1"/>
    <col min="2" max="2" width="12.5703125" style="288" customWidth="1"/>
    <col min="3" max="3" width="42.140625" style="288" customWidth="1"/>
    <col min="4" max="4" width="16.140625" style="288" customWidth="1"/>
    <col min="5" max="5" width="23.85546875" style="288" customWidth="1"/>
    <col min="6" max="6" width="20.28515625" style="288" hidden="1" customWidth="1"/>
    <col min="7" max="7" width="3.5703125" style="288" customWidth="1"/>
    <col min="8" max="8" width="22" style="288" customWidth="1"/>
    <col min="9" max="9" width="20.7109375" style="288" customWidth="1"/>
    <col min="10" max="10" width="18.5703125" style="288" hidden="1" customWidth="1"/>
    <col min="11" max="11" width="15.140625" style="288" hidden="1" customWidth="1"/>
    <col min="12" max="12" width="21.85546875" style="288" customWidth="1"/>
    <col min="13" max="13" width="18.85546875" style="288" customWidth="1"/>
    <col min="14" max="14" width="15.5703125" style="288" customWidth="1"/>
    <col min="15" max="15" width="11.140625" style="288" customWidth="1"/>
    <col min="16" max="16" width="20.42578125" style="288" customWidth="1"/>
    <col min="17" max="17" width="10.85546875" style="288" customWidth="1"/>
    <col min="18" max="18" width="9.42578125" style="288" customWidth="1"/>
    <col min="19" max="20" width="12.5703125" style="288" customWidth="1"/>
    <col min="21" max="21" width="14.42578125" style="288"/>
    <col min="22" max="22" width="12.5703125" style="288" customWidth="1"/>
    <col min="23" max="23" width="24.42578125" style="288" customWidth="1"/>
    <col min="24" max="24" width="17" style="288" customWidth="1"/>
    <col min="25" max="25" width="13.42578125" style="288" customWidth="1"/>
    <col min="26" max="26" width="3.7109375" style="288" customWidth="1"/>
    <col min="27" max="27" width="5.85546875" style="288" hidden="1" customWidth="1"/>
    <col min="28" max="28" width="10.85546875" style="288" hidden="1" customWidth="1"/>
    <col min="29" max="29" width="1.28515625" style="288" hidden="1" customWidth="1"/>
    <col min="30" max="30" width="10.85546875" style="288" hidden="1" customWidth="1"/>
    <col min="31" max="31" width="1.28515625" style="288" hidden="1" customWidth="1"/>
    <col min="32" max="32" width="12.85546875" style="288" hidden="1" customWidth="1"/>
    <col min="33" max="34" width="1.28515625" style="288" hidden="1" customWidth="1"/>
    <col min="35" max="35" width="10.85546875" style="288" hidden="1" customWidth="1"/>
    <col min="36" max="36" width="16.5703125" style="288" customWidth="1"/>
    <col min="37" max="37" width="19.85546875" style="288" customWidth="1"/>
    <col min="38" max="45" width="8.7109375" style="288" customWidth="1"/>
    <col min="46" max="55" width="12.5703125" style="288" customWidth="1"/>
    <col min="56" max="16384" width="14.42578125" style="288"/>
  </cols>
  <sheetData>
    <row r="1" spans="1:55" ht="20.25" customHeight="1" x14ac:dyDescent="0.25">
      <c r="A1" s="755"/>
      <c r="B1" s="756"/>
      <c r="C1" s="756"/>
      <c r="D1" s="757"/>
      <c r="E1" s="739" t="s">
        <v>0</v>
      </c>
      <c r="F1" s="740"/>
      <c r="G1" s="740"/>
      <c r="H1" s="740"/>
      <c r="I1" s="740"/>
      <c r="J1" s="740"/>
      <c r="K1" s="740"/>
      <c r="L1" s="740"/>
      <c r="M1" s="740"/>
      <c r="N1" s="740"/>
      <c r="O1" s="740"/>
      <c r="P1" s="740"/>
      <c r="Q1" s="740"/>
      <c r="R1" s="740"/>
      <c r="S1" s="740"/>
      <c r="T1" s="740"/>
      <c r="U1" s="740"/>
      <c r="V1" s="740"/>
      <c r="W1" s="740"/>
      <c r="X1" s="740"/>
      <c r="Y1" s="759"/>
      <c r="Z1" s="19"/>
      <c r="AA1" s="170"/>
      <c r="AB1" s="170"/>
      <c r="AC1" s="170"/>
      <c r="AD1" s="170"/>
      <c r="AE1" s="170"/>
      <c r="AF1" s="170"/>
      <c r="AG1" s="170"/>
      <c r="AH1" s="170"/>
      <c r="AI1" s="170"/>
      <c r="AJ1" s="171"/>
      <c r="AK1" s="171"/>
      <c r="AL1" s="171"/>
      <c r="AM1" s="19"/>
      <c r="AN1" s="19"/>
      <c r="AO1" s="19"/>
      <c r="AP1" s="19"/>
      <c r="AQ1" s="19"/>
      <c r="AR1" s="19"/>
      <c r="AS1" s="19"/>
      <c r="AT1" s="5"/>
      <c r="AU1" s="5"/>
      <c r="AV1" s="5"/>
      <c r="AW1" s="5"/>
      <c r="AX1" s="5"/>
      <c r="AY1" s="5"/>
      <c r="AZ1" s="5"/>
      <c r="BA1" s="5"/>
      <c r="BB1" s="5"/>
      <c r="BC1" s="5"/>
    </row>
    <row r="2" spans="1:55" ht="20.25" customHeight="1" x14ac:dyDescent="0.25">
      <c r="A2" s="752"/>
      <c r="B2" s="500"/>
      <c r="C2" s="500"/>
      <c r="D2" s="758"/>
      <c r="E2" s="760" t="s">
        <v>304</v>
      </c>
      <c r="F2" s="761"/>
      <c r="G2" s="761"/>
      <c r="H2" s="761"/>
      <c r="I2" s="761"/>
      <c r="J2" s="761"/>
      <c r="K2" s="761"/>
      <c r="L2" s="761"/>
      <c r="M2" s="761"/>
      <c r="N2" s="761"/>
      <c r="O2" s="761"/>
      <c r="P2" s="761"/>
      <c r="Q2" s="761"/>
      <c r="R2" s="761"/>
      <c r="S2" s="761"/>
      <c r="T2" s="761"/>
      <c r="U2" s="761"/>
      <c r="V2" s="761"/>
      <c r="W2" s="761"/>
      <c r="X2" s="761"/>
      <c r="Y2" s="761"/>
      <c r="Z2" s="19"/>
      <c r="AA2" s="170"/>
      <c r="AB2" s="170"/>
      <c r="AC2" s="170"/>
      <c r="AD2" s="170"/>
      <c r="AE2" s="170"/>
      <c r="AF2" s="170"/>
      <c r="AG2" s="170"/>
      <c r="AH2" s="170"/>
      <c r="AI2" s="170"/>
      <c r="AJ2" s="171"/>
      <c r="AK2" s="171"/>
      <c r="AL2" s="171"/>
      <c r="AM2" s="19"/>
      <c r="AN2" s="19"/>
      <c r="AO2" s="19"/>
      <c r="AP2" s="19"/>
      <c r="AQ2" s="19"/>
      <c r="AR2" s="19"/>
      <c r="AS2" s="19"/>
      <c r="AT2" s="5"/>
      <c r="AU2" s="5"/>
      <c r="AV2" s="5"/>
      <c r="AW2" s="5"/>
      <c r="AX2" s="5"/>
      <c r="AY2" s="5"/>
      <c r="AZ2" s="5"/>
      <c r="BA2" s="5"/>
      <c r="BB2" s="5"/>
      <c r="BC2" s="5"/>
    </row>
    <row r="3" spans="1:55" ht="20.25" customHeight="1" x14ac:dyDescent="0.25">
      <c r="A3" s="752"/>
      <c r="B3" s="500"/>
      <c r="C3" s="500"/>
      <c r="D3" s="758"/>
      <c r="E3" s="760" t="s">
        <v>305</v>
      </c>
      <c r="F3" s="762"/>
      <c r="G3" s="760" t="s">
        <v>8</v>
      </c>
      <c r="H3" s="763"/>
      <c r="I3" s="763"/>
      <c r="J3" s="763"/>
      <c r="K3" s="763"/>
      <c r="L3" s="763"/>
      <c r="M3" s="763"/>
      <c r="N3" s="763"/>
      <c r="O3" s="763"/>
      <c r="P3" s="763"/>
      <c r="Q3" s="763"/>
      <c r="R3" s="763"/>
      <c r="S3" s="763"/>
      <c r="T3" s="763"/>
      <c r="U3" s="763"/>
      <c r="V3" s="763"/>
      <c r="W3" s="763"/>
      <c r="X3" s="763"/>
      <c r="Y3" s="763"/>
      <c r="Z3" s="5"/>
      <c r="AA3" s="5"/>
      <c r="AB3" s="5"/>
      <c r="AC3" s="5"/>
      <c r="AD3" s="5"/>
      <c r="AE3" s="5"/>
      <c r="AF3" s="5"/>
      <c r="AG3" s="5"/>
      <c r="AH3" s="5"/>
      <c r="AI3" s="170"/>
      <c r="AJ3" s="171"/>
      <c r="AK3" s="171"/>
      <c r="AL3" s="171"/>
      <c r="AM3" s="19"/>
      <c r="AN3" s="19"/>
      <c r="AO3" s="19"/>
      <c r="AP3" s="19"/>
      <c r="AQ3" s="19"/>
      <c r="AR3" s="19"/>
      <c r="AS3" s="19"/>
      <c r="AT3" s="5"/>
      <c r="AU3" s="5"/>
      <c r="AV3" s="5"/>
      <c r="AW3" s="5"/>
      <c r="AX3" s="5"/>
      <c r="AY3" s="5"/>
      <c r="AZ3" s="5"/>
      <c r="BA3" s="5"/>
      <c r="BB3" s="5"/>
      <c r="BC3" s="5"/>
    </row>
    <row r="4" spans="1:55" ht="20.25" customHeight="1" thickBot="1" x14ac:dyDescent="0.3">
      <c r="A4" s="752"/>
      <c r="B4" s="500"/>
      <c r="C4" s="500"/>
      <c r="D4" s="758"/>
      <c r="E4" s="764" t="s">
        <v>307</v>
      </c>
      <c r="F4" s="765"/>
      <c r="G4" s="764" t="s">
        <v>308</v>
      </c>
      <c r="H4" s="766"/>
      <c r="I4" s="766"/>
      <c r="J4" s="766"/>
      <c r="K4" s="766"/>
      <c r="L4" s="766"/>
      <c r="M4" s="766"/>
      <c r="N4" s="766"/>
      <c r="O4" s="766"/>
      <c r="P4" s="766"/>
      <c r="Q4" s="766"/>
      <c r="R4" s="766"/>
      <c r="S4" s="766"/>
      <c r="T4" s="766"/>
      <c r="U4" s="766"/>
      <c r="V4" s="766"/>
      <c r="W4" s="766"/>
      <c r="X4" s="766"/>
      <c r="Y4" s="766"/>
      <c r="Z4" s="19"/>
      <c r="AA4" s="170"/>
      <c r="AB4" s="170"/>
      <c r="AC4" s="170"/>
      <c r="AD4" s="170"/>
      <c r="AE4" s="170"/>
      <c r="AF4" s="170"/>
      <c r="AG4" s="170"/>
      <c r="AH4" s="170"/>
      <c r="AI4" s="170"/>
      <c r="AJ4" s="171"/>
      <c r="AK4" s="171"/>
      <c r="AL4" s="171"/>
      <c r="AM4" s="19"/>
      <c r="AN4" s="19"/>
      <c r="AO4" s="19"/>
      <c r="AP4" s="19"/>
      <c r="AQ4" s="19"/>
      <c r="AR4" s="19"/>
      <c r="AS4" s="19"/>
      <c r="AT4" s="5"/>
      <c r="AU4" s="5"/>
      <c r="AV4" s="5"/>
      <c r="AW4" s="5"/>
      <c r="AX4" s="5"/>
      <c r="AY4" s="5"/>
      <c r="AZ4" s="5"/>
      <c r="BA4" s="5"/>
      <c r="BB4" s="5"/>
      <c r="BC4" s="5"/>
    </row>
    <row r="5" spans="1:55" ht="15.75" thickBot="1" x14ac:dyDescent="0.3">
      <c r="A5" s="745" t="s">
        <v>309</v>
      </c>
      <c r="B5" s="747" t="s">
        <v>310</v>
      </c>
      <c r="C5" s="749" t="s">
        <v>311</v>
      </c>
      <c r="D5" s="751" t="s">
        <v>312</v>
      </c>
      <c r="E5" s="753" t="s">
        <v>313</v>
      </c>
      <c r="F5" s="739" t="s">
        <v>314</v>
      </c>
      <c r="G5" s="740"/>
      <c r="H5" s="740"/>
      <c r="I5" s="741"/>
      <c r="J5" s="739" t="s">
        <v>316</v>
      </c>
      <c r="K5" s="740"/>
      <c r="L5" s="740"/>
      <c r="M5" s="741"/>
      <c r="N5" s="742" t="s">
        <v>317</v>
      </c>
      <c r="O5" s="743"/>
      <c r="P5" s="743"/>
      <c r="Q5" s="743"/>
      <c r="R5" s="744"/>
      <c r="S5" s="742" t="s">
        <v>321</v>
      </c>
      <c r="T5" s="743"/>
      <c r="U5" s="743"/>
      <c r="V5" s="743"/>
      <c r="W5" s="743"/>
      <c r="X5" s="743"/>
      <c r="Y5" s="743"/>
      <c r="Z5" s="19"/>
      <c r="AA5" s="170"/>
      <c r="AB5" s="170"/>
      <c r="AC5" s="170"/>
      <c r="AD5" s="170"/>
      <c r="AE5" s="170"/>
      <c r="AF5" s="170"/>
      <c r="AG5" s="170"/>
      <c r="AH5" s="170"/>
      <c r="AI5" s="170"/>
      <c r="AJ5" s="171"/>
      <c r="AK5" s="171"/>
      <c r="AL5" s="171"/>
      <c r="AM5" s="19"/>
      <c r="AN5" s="19"/>
      <c r="AO5" s="19"/>
      <c r="AP5" s="19"/>
      <c r="AQ5" s="19"/>
      <c r="AR5" s="19"/>
      <c r="AS5" s="19"/>
      <c r="AT5" s="5"/>
      <c r="AU5" s="5"/>
      <c r="AV5" s="5"/>
      <c r="AW5" s="5"/>
      <c r="AX5" s="5"/>
      <c r="AY5" s="5"/>
      <c r="AZ5" s="5"/>
      <c r="BA5" s="5"/>
      <c r="BB5" s="5"/>
      <c r="BC5" s="5"/>
    </row>
    <row r="6" spans="1:55" ht="45.75" thickBot="1" x14ac:dyDescent="0.3">
      <c r="A6" s="746"/>
      <c r="B6" s="748"/>
      <c r="C6" s="750"/>
      <c r="D6" s="752"/>
      <c r="E6" s="754"/>
      <c r="F6" s="376" t="s">
        <v>322</v>
      </c>
      <c r="G6" s="376" t="s">
        <v>323</v>
      </c>
      <c r="H6" s="376" t="s">
        <v>324</v>
      </c>
      <c r="I6" s="376" t="s">
        <v>325</v>
      </c>
      <c r="J6" s="376" t="s">
        <v>326</v>
      </c>
      <c r="K6" s="376" t="s">
        <v>327</v>
      </c>
      <c r="L6" s="376" t="s">
        <v>328</v>
      </c>
      <c r="M6" s="376" t="s">
        <v>329</v>
      </c>
      <c r="N6" s="377" t="s">
        <v>330</v>
      </c>
      <c r="O6" s="378" t="s">
        <v>331</v>
      </c>
      <c r="P6" s="378" t="s">
        <v>332</v>
      </c>
      <c r="Q6" s="378" t="s">
        <v>333</v>
      </c>
      <c r="R6" s="378" t="s">
        <v>334</v>
      </c>
      <c r="S6" s="376" t="s">
        <v>335</v>
      </c>
      <c r="T6" s="376" t="s">
        <v>336</v>
      </c>
      <c r="U6" s="376" t="s">
        <v>337</v>
      </c>
      <c r="V6" s="377" t="s">
        <v>338</v>
      </c>
      <c r="W6" s="377" t="s">
        <v>339</v>
      </c>
      <c r="X6" s="176" t="s">
        <v>340</v>
      </c>
      <c r="Y6" s="378" t="s">
        <v>341</v>
      </c>
      <c r="Z6" s="19"/>
      <c r="AA6" s="178" t="s">
        <v>342</v>
      </c>
      <c r="AB6" s="178" t="s">
        <v>343</v>
      </c>
      <c r="AC6" s="179"/>
      <c r="AD6" s="178" t="s">
        <v>344</v>
      </c>
      <c r="AE6" s="179"/>
      <c r="AF6" s="178" t="s">
        <v>345</v>
      </c>
      <c r="AG6" s="170"/>
      <c r="AH6" s="170"/>
      <c r="AI6" s="180" t="s">
        <v>346</v>
      </c>
      <c r="AJ6" s="171"/>
      <c r="AK6" s="171"/>
      <c r="AL6" s="171"/>
      <c r="AM6" s="19"/>
      <c r="AN6" s="19"/>
      <c r="AO6" s="19"/>
      <c r="AP6" s="19"/>
      <c r="AQ6" s="19"/>
      <c r="AR6" s="19"/>
      <c r="AS6" s="19"/>
      <c r="AT6" s="5"/>
      <c r="AU6" s="5"/>
      <c r="AV6" s="5"/>
      <c r="AW6" s="5"/>
      <c r="AX6" s="5"/>
      <c r="AY6" s="5"/>
      <c r="AZ6" s="5"/>
      <c r="BA6" s="5"/>
      <c r="BB6" s="5"/>
      <c r="BC6" s="5"/>
    </row>
    <row r="7" spans="1:55" ht="22.5" x14ac:dyDescent="0.25">
      <c r="A7" s="712">
        <v>1</v>
      </c>
      <c r="B7" s="710" t="s">
        <v>88</v>
      </c>
      <c r="C7" s="710" t="s">
        <v>347</v>
      </c>
      <c r="D7" s="405" t="s">
        <v>348</v>
      </c>
      <c r="E7" s="379">
        <v>200</v>
      </c>
      <c r="F7" s="379">
        <v>200</v>
      </c>
      <c r="G7" s="379">
        <v>200</v>
      </c>
      <c r="H7" s="379">
        <f>[1]INVERSIÓN!V9</f>
        <v>200</v>
      </c>
      <c r="I7" s="380"/>
      <c r="J7" s="379">
        <v>38</v>
      </c>
      <c r="K7" s="379">
        <v>99</v>
      </c>
      <c r="L7" s="379">
        <f>[1]INVERSIÓN!AL9</f>
        <v>163</v>
      </c>
      <c r="M7" s="380"/>
      <c r="N7" s="710" t="s">
        <v>349</v>
      </c>
      <c r="O7" s="716" t="s">
        <v>350</v>
      </c>
      <c r="P7" s="716" t="s">
        <v>351</v>
      </c>
      <c r="Q7" s="716" t="s">
        <v>352</v>
      </c>
      <c r="R7" s="716" t="s">
        <v>353</v>
      </c>
      <c r="S7" s="695">
        <v>8185614</v>
      </c>
      <c r="T7" s="711"/>
      <c r="U7" s="695" t="s">
        <v>354</v>
      </c>
      <c r="V7" s="695" t="s">
        <v>355</v>
      </c>
      <c r="W7" s="695" t="s">
        <v>356</v>
      </c>
      <c r="X7" s="695" t="s">
        <v>357</v>
      </c>
      <c r="Y7" s="698">
        <v>8185614</v>
      </c>
      <c r="Z7" s="381"/>
      <c r="AA7" s="382">
        <v>12</v>
      </c>
      <c r="AB7" s="382" t="s">
        <v>358</v>
      </c>
      <c r="AC7" s="382"/>
      <c r="AD7" s="382"/>
      <c r="AE7" s="382"/>
      <c r="AF7" s="382" t="s">
        <v>359</v>
      </c>
      <c r="AG7" s="382"/>
      <c r="AH7" s="382"/>
      <c r="AI7" s="382"/>
      <c r="AJ7" s="383"/>
      <c r="AK7" s="171"/>
      <c r="AL7" s="171"/>
      <c r="AM7" s="19"/>
      <c r="AN7" s="19"/>
      <c r="AO7" s="19"/>
      <c r="AP7" s="19"/>
      <c r="AQ7" s="19"/>
      <c r="AR7" s="19"/>
      <c r="AS7" s="19"/>
      <c r="AT7" s="5"/>
      <c r="AU7" s="5"/>
      <c r="AV7" s="5"/>
      <c r="AW7" s="5"/>
      <c r="AX7" s="5"/>
      <c r="AY7" s="5"/>
      <c r="AZ7" s="5"/>
      <c r="BA7" s="5"/>
      <c r="BB7" s="5"/>
      <c r="BC7" s="5"/>
    </row>
    <row r="8" spans="1:55" ht="45" x14ac:dyDescent="0.25">
      <c r="A8" s="713"/>
      <c r="B8" s="696"/>
      <c r="C8" s="696"/>
      <c r="D8" s="384" t="s">
        <v>360</v>
      </c>
      <c r="E8" s="385">
        <f>[1]INVERSIÓN!S10</f>
        <v>626832410</v>
      </c>
      <c r="F8" s="385">
        <v>626832410</v>
      </c>
      <c r="G8" s="385">
        <v>626832410</v>
      </c>
      <c r="H8" s="385">
        <f>[1]INVERSIÓN!V10</f>
        <v>630642000</v>
      </c>
      <c r="I8" s="386"/>
      <c r="J8" s="385">
        <v>410516812</v>
      </c>
      <c r="K8" s="385">
        <v>450288624</v>
      </c>
      <c r="L8" s="385">
        <f>[1]INVERSIÓN!AL10</f>
        <v>500984624</v>
      </c>
      <c r="M8" s="386"/>
      <c r="N8" s="696"/>
      <c r="O8" s="696"/>
      <c r="P8" s="696"/>
      <c r="Q8" s="696"/>
      <c r="R8" s="696"/>
      <c r="S8" s="696"/>
      <c r="T8" s="696"/>
      <c r="U8" s="696"/>
      <c r="V8" s="696"/>
      <c r="W8" s="696"/>
      <c r="X8" s="696"/>
      <c r="Y8" s="699"/>
      <c r="Z8" s="381"/>
      <c r="AA8" s="382">
        <v>13</v>
      </c>
      <c r="AB8" s="382" t="s">
        <v>363</v>
      </c>
      <c r="AC8" s="382"/>
      <c r="AD8" s="382"/>
      <c r="AE8" s="382"/>
      <c r="AF8" s="382" t="s">
        <v>364</v>
      </c>
      <c r="AG8" s="382"/>
      <c r="AH8" s="382"/>
      <c r="AI8" s="382"/>
      <c r="AJ8" s="383"/>
      <c r="AK8" s="171"/>
      <c r="AL8" s="171"/>
      <c r="AM8" s="19"/>
      <c r="AN8" s="19"/>
      <c r="AO8" s="19"/>
      <c r="AP8" s="19"/>
      <c r="AQ8" s="19"/>
      <c r="AR8" s="19"/>
      <c r="AS8" s="19"/>
      <c r="AT8" s="5"/>
      <c r="AU8" s="5"/>
      <c r="AV8" s="5"/>
      <c r="AW8" s="5"/>
      <c r="AX8" s="5"/>
      <c r="AY8" s="5"/>
      <c r="AZ8" s="5"/>
      <c r="BA8" s="5"/>
      <c r="BB8" s="5"/>
      <c r="BC8" s="5"/>
    </row>
    <row r="9" spans="1:55" ht="78.75" x14ac:dyDescent="0.25">
      <c r="A9" s="713"/>
      <c r="B9" s="696"/>
      <c r="C9" s="696"/>
      <c r="D9" s="384" t="s">
        <v>365</v>
      </c>
      <c r="E9" s="385">
        <f>[1]INVERSIÓN!S11</f>
        <v>0</v>
      </c>
      <c r="F9" s="387">
        <v>0</v>
      </c>
      <c r="G9" s="387">
        <v>0</v>
      </c>
      <c r="H9" s="387">
        <f>[1]INVERSIÓN!V11</f>
        <v>0</v>
      </c>
      <c r="I9" s="390"/>
      <c r="J9" s="387">
        <v>0</v>
      </c>
      <c r="K9" s="387">
        <v>0</v>
      </c>
      <c r="L9" s="387">
        <f>[1]INVERSIÓN!AL11</f>
        <v>0</v>
      </c>
      <c r="M9" s="390"/>
      <c r="N9" s="696"/>
      <c r="O9" s="696"/>
      <c r="P9" s="696"/>
      <c r="Q9" s="696"/>
      <c r="R9" s="696"/>
      <c r="S9" s="696"/>
      <c r="T9" s="696"/>
      <c r="U9" s="696"/>
      <c r="V9" s="696"/>
      <c r="W9" s="696"/>
      <c r="X9" s="696"/>
      <c r="Y9" s="699"/>
      <c r="Z9" s="381"/>
      <c r="AA9" s="382">
        <v>14</v>
      </c>
      <c r="AB9" s="382" t="s">
        <v>367</v>
      </c>
      <c r="AC9" s="382"/>
      <c r="AD9" s="382"/>
      <c r="AE9" s="382"/>
      <c r="AF9" s="382" t="s">
        <v>369</v>
      </c>
      <c r="AG9" s="382"/>
      <c r="AH9" s="382"/>
      <c r="AI9" s="382"/>
      <c r="AJ9" s="383"/>
      <c r="AK9" s="171"/>
      <c r="AL9" s="171"/>
      <c r="AM9" s="19"/>
      <c r="AN9" s="19"/>
      <c r="AO9" s="19"/>
      <c r="AP9" s="19"/>
      <c r="AQ9" s="19"/>
      <c r="AR9" s="19"/>
      <c r="AS9" s="19"/>
      <c r="AT9" s="5"/>
      <c r="AU9" s="5"/>
      <c r="AV9" s="5"/>
      <c r="AW9" s="5"/>
      <c r="AX9" s="5"/>
      <c r="AY9" s="5"/>
      <c r="AZ9" s="5"/>
      <c r="BA9" s="5"/>
      <c r="BB9" s="5"/>
      <c r="BC9" s="5"/>
    </row>
    <row r="10" spans="1:55" ht="22.5" x14ac:dyDescent="0.25">
      <c r="A10" s="713"/>
      <c r="B10" s="696"/>
      <c r="C10" s="696"/>
      <c r="D10" s="384" t="s">
        <v>370</v>
      </c>
      <c r="E10" s="385">
        <f>[1]INVERSIÓN!S12</f>
        <v>303067630</v>
      </c>
      <c r="F10" s="388">
        <f>[1]INVERSIÓN!T12</f>
        <v>174917866</v>
      </c>
      <c r="G10" s="388">
        <f>[1]INVERSIÓN!U12</f>
        <v>174917866</v>
      </c>
      <c r="H10" s="388">
        <f>[1]INVERSIÓN!V12</f>
        <v>174917866</v>
      </c>
      <c r="I10" s="390"/>
      <c r="J10" s="388">
        <f>[1]INVERSIÓN!AJ12</f>
        <v>83651383</v>
      </c>
      <c r="K10" s="388">
        <f>[1]INVERSIÓN!AK12</f>
        <v>169161733</v>
      </c>
      <c r="L10" s="388">
        <f>[1]INVERSIÓN!AL12</f>
        <v>174917866</v>
      </c>
      <c r="M10" s="386"/>
      <c r="N10" s="696"/>
      <c r="O10" s="696"/>
      <c r="P10" s="696"/>
      <c r="Q10" s="696"/>
      <c r="R10" s="696"/>
      <c r="S10" s="696"/>
      <c r="T10" s="696"/>
      <c r="U10" s="696"/>
      <c r="V10" s="696"/>
      <c r="W10" s="696"/>
      <c r="X10" s="696"/>
      <c r="Y10" s="699"/>
      <c r="Z10" s="381"/>
      <c r="AA10" s="382"/>
      <c r="AB10" s="382"/>
      <c r="AC10" s="382"/>
      <c r="AD10" s="382"/>
      <c r="AE10" s="382"/>
      <c r="AF10" s="382"/>
      <c r="AG10" s="382"/>
      <c r="AH10" s="382"/>
      <c r="AI10" s="382"/>
      <c r="AJ10" s="383"/>
      <c r="AK10" s="171"/>
      <c r="AL10" s="171"/>
      <c r="AM10" s="19"/>
      <c r="AN10" s="19"/>
      <c r="AO10" s="19"/>
      <c r="AP10" s="19"/>
      <c r="AQ10" s="19"/>
      <c r="AR10" s="19"/>
      <c r="AS10" s="19"/>
      <c r="AT10" s="5"/>
      <c r="AU10" s="5"/>
      <c r="AV10" s="5"/>
      <c r="AW10" s="5"/>
      <c r="AX10" s="5"/>
      <c r="AY10" s="5"/>
      <c r="AZ10" s="5"/>
      <c r="BA10" s="5"/>
      <c r="BB10" s="5"/>
      <c r="BC10" s="5"/>
    </row>
    <row r="11" spans="1:55" ht="22.5" x14ac:dyDescent="0.25">
      <c r="A11" s="713"/>
      <c r="B11" s="696"/>
      <c r="C11" s="722" t="s">
        <v>371</v>
      </c>
      <c r="D11" s="389" t="s">
        <v>348</v>
      </c>
      <c r="E11" s="387">
        <v>1</v>
      </c>
      <c r="F11" s="387">
        <v>1</v>
      </c>
      <c r="G11" s="390">
        <v>4</v>
      </c>
      <c r="H11" s="390">
        <v>1</v>
      </c>
      <c r="I11" s="390"/>
      <c r="J11" s="387">
        <v>1</v>
      </c>
      <c r="K11" s="387">
        <v>4</v>
      </c>
      <c r="L11" s="387">
        <v>5</v>
      </c>
      <c r="M11" s="390"/>
      <c r="N11" s="722" t="s">
        <v>371</v>
      </c>
      <c r="O11" s="718" t="s">
        <v>350</v>
      </c>
      <c r="P11" s="718" t="s">
        <v>351</v>
      </c>
      <c r="Q11" s="718" t="s">
        <v>352</v>
      </c>
      <c r="R11" s="720" t="s">
        <v>353</v>
      </c>
      <c r="S11" s="720">
        <v>270280</v>
      </c>
      <c r="T11" s="696"/>
      <c r="U11" s="720" t="s">
        <v>354</v>
      </c>
      <c r="V11" s="720" t="s">
        <v>355</v>
      </c>
      <c r="W11" s="720" t="s">
        <v>356</v>
      </c>
      <c r="X11" s="720" t="s">
        <v>357</v>
      </c>
      <c r="Y11" s="721">
        <v>270280</v>
      </c>
      <c r="Z11" s="381"/>
      <c r="AA11" s="382">
        <v>12</v>
      </c>
      <c r="AB11" s="382" t="s">
        <v>358</v>
      </c>
      <c r="AC11" s="382"/>
      <c r="AD11" s="382"/>
      <c r="AE11" s="382"/>
      <c r="AF11" s="382" t="s">
        <v>359</v>
      </c>
      <c r="AG11" s="382"/>
      <c r="AH11" s="382"/>
      <c r="AI11" s="382"/>
      <c r="AJ11" s="383"/>
      <c r="AK11" s="171"/>
      <c r="AL11" s="171"/>
      <c r="AM11" s="19"/>
      <c r="AN11" s="19"/>
      <c r="AO11" s="19"/>
      <c r="AP11" s="19"/>
      <c r="AQ11" s="19"/>
      <c r="AR11" s="19"/>
      <c r="AS11" s="19"/>
      <c r="AT11" s="5"/>
      <c r="AU11" s="5"/>
      <c r="AV11" s="5"/>
      <c r="AW11" s="5"/>
      <c r="AX11" s="5"/>
      <c r="AY11" s="5"/>
      <c r="AZ11" s="5"/>
      <c r="BA11" s="5"/>
      <c r="BB11" s="5"/>
      <c r="BC11" s="5"/>
    </row>
    <row r="12" spans="1:55" ht="45" x14ac:dyDescent="0.25">
      <c r="A12" s="713"/>
      <c r="B12" s="696"/>
      <c r="C12" s="696"/>
      <c r="D12" s="384" t="s">
        <v>360</v>
      </c>
      <c r="E12" s="385">
        <f>(E11*$E$8)/$E$7</f>
        <v>3134162.05</v>
      </c>
      <c r="F12" s="385">
        <f>(F11*$F$8)/$F$7</f>
        <v>3134162.05</v>
      </c>
      <c r="G12" s="385">
        <f>(G11*$G$8)/$G$7</f>
        <v>12536648.199999999</v>
      </c>
      <c r="H12" s="385">
        <f>(H11*$H$8)/$H$7</f>
        <v>3153210</v>
      </c>
      <c r="I12" s="386"/>
      <c r="J12" s="385">
        <f>(J11*$J$8)/$J$7</f>
        <v>10803074</v>
      </c>
      <c r="K12" s="385">
        <f>(K11*$K$8)/$K$7</f>
        <v>18193479.757575758</v>
      </c>
      <c r="L12" s="385">
        <v>18193479.757575799</v>
      </c>
      <c r="M12" s="386"/>
      <c r="N12" s="696"/>
      <c r="O12" s="696"/>
      <c r="P12" s="696"/>
      <c r="Q12" s="696"/>
      <c r="R12" s="696"/>
      <c r="S12" s="696"/>
      <c r="T12" s="696"/>
      <c r="U12" s="696"/>
      <c r="V12" s="696"/>
      <c r="W12" s="696"/>
      <c r="X12" s="696"/>
      <c r="Y12" s="699"/>
      <c r="Z12" s="381"/>
      <c r="AA12" s="382">
        <v>13</v>
      </c>
      <c r="AB12" s="382" t="s">
        <v>363</v>
      </c>
      <c r="AC12" s="382"/>
      <c r="AD12" s="382"/>
      <c r="AE12" s="382"/>
      <c r="AF12" s="382" t="s">
        <v>364</v>
      </c>
      <c r="AG12" s="382"/>
      <c r="AH12" s="382"/>
      <c r="AI12" s="382"/>
      <c r="AJ12" s="383"/>
      <c r="AK12" s="171"/>
      <c r="AL12" s="171"/>
      <c r="AM12" s="19"/>
      <c r="AN12" s="19"/>
      <c r="AO12" s="19"/>
      <c r="AP12" s="19"/>
      <c r="AQ12" s="19"/>
      <c r="AR12" s="19"/>
      <c r="AS12" s="19"/>
      <c r="AT12" s="5"/>
      <c r="AU12" s="5"/>
      <c r="AV12" s="5"/>
      <c r="AW12" s="5"/>
      <c r="AX12" s="5"/>
      <c r="AY12" s="5"/>
      <c r="AZ12" s="5"/>
      <c r="BA12" s="5"/>
      <c r="BB12" s="5"/>
      <c r="BC12" s="5"/>
    </row>
    <row r="13" spans="1:55" ht="78.75" x14ac:dyDescent="0.25">
      <c r="A13" s="713"/>
      <c r="B13" s="696"/>
      <c r="C13" s="696"/>
      <c r="D13" s="384" t="s">
        <v>365</v>
      </c>
      <c r="E13" s="387">
        <v>0</v>
      </c>
      <c r="F13" s="387">
        <v>0</v>
      </c>
      <c r="G13" s="387">
        <v>0</v>
      </c>
      <c r="H13" s="387">
        <v>0</v>
      </c>
      <c r="I13" s="390"/>
      <c r="J13" s="387">
        <v>0</v>
      </c>
      <c r="K13" s="387">
        <v>0</v>
      </c>
      <c r="L13" s="387">
        <v>0</v>
      </c>
      <c r="M13" s="390"/>
      <c r="N13" s="696"/>
      <c r="O13" s="696"/>
      <c r="P13" s="696"/>
      <c r="Q13" s="696"/>
      <c r="R13" s="696"/>
      <c r="S13" s="696"/>
      <c r="T13" s="696"/>
      <c r="U13" s="696"/>
      <c r="V13" s="696"/>
      <c r="W13" s="696"/>
      <c r="X13" s="696"/>
      <c r="Y13" s="699"/>
      <c r="Z13" s="381"/>
      <c r="AA13" s="382">
        <v>14</v>
      </c>
      <c r="AB13" s="382" t="s">
        <v>367</v>
      </c>
      <c r="AC13" s="382"/>
      <c r="AD13" s="382"/>
      <c r="AE13" s="382"/>
      <c r="AF13" s="382" t="s">
        <v>369</v>
      </c>
      <c r="AG13" s="382"/>
      <c r="AH13" s="382"/>
      <c r="AI13" s="382"/>
      <c r="AJ13" s="383"/>
      <c r="AK13" s="171"/>
      <c r="AL13" s="171"/>
      <c r="AM13" s="19"/>
      <c r="AN13" s="19"/>
      <c r="AO13" s="19"/>
      <c r="AP13" s="19"/>
      <c r="AQ13" s="19"/>
      <c r="AR13" s="19"/>
      <c r="AS13" s="19"/>
      <c r="AT13" s="5"/>
      <c r="AU13" s="5"/>
      <c r="AV13" s="5"/>
      <c r="AW13" s="5"/>
      <c r="AX13" s="5"/>
      <c r="AY13" s="5"/>
      <c r="AZ13" s="5"/>
      <c r="BA13" s="5"/>
      <c r="BB13" s="5"/>
      <c r="BC13" s="5"/>
    </row>
    <row r="14" spans="1:55" ht="22.5" x14ac:dyDescent="0.25">
      <c r="A14" s="713"/>
      <c r="B14" s="696"/>
      <c r="C14" s="696"/>
      <c r="D14" s="384" t="s">
        <v>370</v>
      </c>
      <c r="E14" s="388">
        <v>0</v>
      </c>
      <c r="F14" s="388">
        <v>0</v>
      </c>
      <c r="G14" s="388">
        <v>0</v>
      </c>
      <c r="H14" s="388">
        <v>0</v>
      </c>
      <c r="I14" s="390"/>
      <c r="J14" s="388">
        <v>0</v>
      </c>
      <c r="K14" s="388">
        <v>0</v>
      </c>
      <c r="L14" s="388">
        <v>0</v>
      </c>
      <c r="M14" s="386"/>
      <c r="N14" s="696"/>
      <c r="O14" s="696"/>
      <c r="P14" s="696"/>
      <c r="Q14" s="696"/>
      <c r="R14" s="696"/>
      <c r="S14" s="696"/>
      <c r="T14" s="696"/>
      <c r="U14" s="696"/>
      <c r="V14" s="696"/>
      <c r="W14" s="696"/>
      <c r="X14" s="696"/>
      <c r="Y14" s="699"/>
      <c r="Z14" s="381"/>
      <c r="AA14" s="382"/>
      <c r="AB14" s="382"/>
      <c r="AC14" s="382"/>
      <c r="AD14" s="382"/>
      <c r="AE14" s="382"/>
      <c r="AF14" s="382"/>
      <c r="AG14" s="382"/>
      <c r="AH14" s="382"/>
      <c r="AI14" s="382"/>
      <c r="AJ14" s="383"/>
      <c r="AK14" s="171"/>
      <c r="AL14" s="171"/>
      <c r="AM14" s="19"/>
      <c r="AN14" s="19"/>
      <c r="AO14" s="19"/>
      <c r="AP14" s="19"/>
      <c r="AQ14" s="19"/>
      <c r="AR14" s="19"/>
      <c r="AS14" s="19"/>
      <c r="AT14" s="5"/>
      <c r="AU14" s="5"/>
      <c r="AV14" s="5"/>
      <c r="AW14" s="5"/>
      <c r="AX14" s="5"/>
      <c r="AY14" s="5"/>
      <c r="AZ14" s="5"/>
      <c r="BA14" s="5"/>
      <c r="BB14" s="5"/>
      <c r="BC14" s="5"/>
    </row>
    <row r="15" spans="1:55" x14ac:dyDescent="0.25">
      <c r="A15" s="713"/>
      <c r="B15" s="696"/>
      <c r="C15" s="722" t="s">
        <v>372</v>
      </c>
      <c r="D15" s="389" t="s">
        <v>348</v>
      </c>
      <c r="E15" s="387">
        <v>4</v>
      </c>
      <c r="F15" s="387">
        <v>4</v>
      </c>
      <c r="G15" s="390">
        <v>5</v>
      </c>
      <c r="H15" s="390">
        <v>4</v>
      </c>
      <c r="I15" s="390"/>
      <c r="J15" s="387">
        <v>4</v>
      </c>
      <c r="K15" s="387">
        <v>5</v>
      </c>
      <c r="L15" s="387">
        <v>9</v>
      </c>
      <c r="M15" s="390"/>
      <c r="N15" s="722" t="s">
        <v>372</v>
      </c>
      <c r="O15" s="718" t="s">
        <v>350</v>
      </c>
      <c r="P15" s="718" t="s">
        <v>351</v>
      </c>
      <c r="Q15" s="718" t="s">
        <v>352</v>
      </c>
      <c r="R15" s="720" t="s">
        <v>353</v>
      </c>
      <c r="S15" s="720">
        <v>753496</v>
      </c>
      <c r="T15" s="696"/>
      <c r="U15" s="720" t="s">
        <v>354</v>
      </c>
      <c r="V15" s="720" t="s">
        <v>355</v>
      </c>
      <c r="W15" s="720" t="s">
        <v>356</v>
      </c>
      <c r="X15" s="720" t="s">
        <v>357</v>
      </c>
      <c r="Y15" s="721">
        <v>753496</v>
      </c>
      <c r="Z15" s="381"/>
      <c r="AA15" s="382"/>
      <c r="AB15" s="382"/>
      <c r="AC15" s="382"/>
      <c r="AD15" s="382"/>
      <c r="AE15" s="382"/>
      <c r="AF15" s="382"/>
      <c r="AG15" s="382"/>
      <c r="AH15" s="382"/>
      <c r="AI15" s="382"/>
      <c r="AJ15" s="383"/>
      <c r="AK15" s="171"/>
      <c r="AL15" s="171"/>
      <c r="AM15" s="19"/>
      <c r="AN15" s="19"/>
      <c r="AO15" s="19"/>
      <c r="AP15" s="19"/>
      <c r="AQ15" s="19"/>
      <c r="AR15" s="19"/>
      <c r="AS15" s="19"/>
      <c r="AT15" s="5"/>
      <c r="AU15" s="5"/>
      <c r="AV15" s="5"/>
      <c r="AW15" s="5"/>
      <c r="AX15" s="5"/>
      <c r="AY15" s="5"/>
      <c r="AZ15" s="5"/>
      <c r="BA15" s="5"/>
      <c r="BB15" s="5"/>
      <c r="BC15" s="5"/>
    </row>
    <row r="16" spans="1:55" x14ac:dyDescent="0.25">
      <c r="A16" s="713"/>
      <c r="B16" s="696"/>
      <c r="C16" s="696"/>
      <c r="D16" s="384" t="s">
        <v>360</v>
      </c>
      <c r="E16" s="385">
        <f>(E15*$E$8)/$E$7</f>
        <v>12536648.199999999</v>
      </c>
      <c r="F16" s="385">
        <f>(F15*$F$8)/$F$7</f>
        <v>12536648.199999999</v>
      </c>
      <c r="G16" s="385">
        <f>(G15*$G$8)/$G$7</f>
        <v>15670810.25</v>
      </c>
      <c r="H16" s="385">
        <f>(H15*$H$8)/$H$7</f>
        <v>12612840</v>
      </c>
      <c r="I16" s="386"/>
      <c r="J16" s="385">
        <f>(J15*$J$8)/$J$7</f>
        <v>43212296</v>
      </c>
      <c r="K16" s="385">
        <f>(K15*$K$8)/$K$7</f>
        <v>22741849.696969695</v>
      </c>
      <c r="L16" s="385">
        <f>(L15*$L$8)/$L$7</f>
        <v>27661727.705521472</v>
      </c>
      <c r="M16" s="386"/>
      <c r="N16" s="696"/>
      <c r="O16" s="696"/>
      <c r="P16" s="696"/>
      <c r="Q16" s="696"/>
      <c r="R16" s="696"/>
      <c r="S16" s="696"/>
      <c r="T16" s="696"/>
      <c r="U16" s="696"/>
      <c r="V16" s="696"/>
      <c r="W16" s="696"/>
      <c r="X16" s="696"/>
      <c r="Y16" s="699"/>
      <c r="Z16" s="381"/>
      <c r="AA16" s="382"/>
      <c r="AB16" s="382"/>
      <c r="AC16" s="382"/>
      <c r="AD16" s="382"/>
      <c r="AE16" s="382"/>
      <c r="AF16" s="382"/>
      <c r="AG16" s="382"/>
      <c r="AH16" s="382"/>
      <c r="AI16" s="382"/>
      <c r="AJ16" s="383"/>
      <c r="AK16" s="171"/>
      <c r="AL16" s="171"/>
      <c r="AM16" s="19"/>
      <c r="AN16" s="19"/>
      <c r="AO16" s="19"/>
      <c r="AP16" s="19"/>
      <c r="AQ16" s="19"/>
      <c r="AR16" s="19"/>
      <c r="AS16" s="19"/>
      <c r="AT16" s="5"/>
      <c r="AU16" s="5"/>
      <c r="AV16" s="5"/>
      <c r="AW16" s="5"/>
      <c r="AX16" s="5"/>
      <c r="AY16" s="5"/>
      <c r="AZ16" s="5"/>
      <c r="BA16" s="5"/>
      <c r="BB16" s="5"/>
      <c r="BC16" s="5"/>
    </row>
    <row r="17" spans="1:55" x14ac:dyDescent="0.25">
      <c r="A17" s="713"/>
      <c r="B17" s="696"/>
      <c r="C17" s="696"/>
      <c r="D17" s="384" t="s">
        <v>365</v>
      </c>
      <c r="E17" s="387">
        <v>0</v>
      </c>
      <c r="F17" s="387">
        <v>0</v>
      </c>
      <c r="G17" s="387">
        <v>0</v>
      </c>
      <c r="H17" s="387">
        <v>0</v>
      </c>
      <c r="I17" s="390"/>
      <c r="J17" s="387">
        <v>0</v>
      </c>
      <c r="K17" s="387">
        <v>0</v>
      </c>
      <c r="L17" s="387">
        <v>0</v>
      </c>
      <c r="M17" s="390"/>
      <c r="N17" s="696"/>
      <c r="O17" s="696"/>
      <c r="P17" s="696"/>
      <c r="Q17" s="696"/>
      <c r="R17" s="696"/>
      <c r="S17" s="696"/>
      <c r="T17" s="696"/>
      <c r="U17" s="696"/>
      <c r="V17" s="696"/>
      <c r="W17" s="696"/>
      <c r="X17" s="696"/>
      <c r="Y17" s="699"/>
      <c r="Z17" s="381"/>
      <c r="AA17" s="382"/>
      <c r="AB17" s="382"/>
      <c r="AC17" s="382"/>
      <c r="AD17" s="382"/>
      <c r="AE17" s="382"/>
      <c r="AF17" s="382"/>
      <c r="AG17" s="382"/>
      <c r="AH17" s="382"/>
      <c r="AI17" s="382"/>
      <c r="AJ17" s="383"/>
      <c r="AK17" s="171"/>
      <c r="AL17" s="171"/>
      <c r="AM17" s="19"/>
      <c r="AN17" s="19"/>
      <c r="AO17" s="19"/>
      <c r="AP17" s="19"/>
      <c r="AQ17" s="19"/>
      <c r="AR17" s="19"/>
      <c r="AS17" s="19"/>
      <c r="AT17" s="5"/>
      <c r="AU17" s="5"/>
      <c r="AV17" s="5"/>
      <c r="AW17" s="5"/>
      <c r="AX17" s="5"/>
      <c r="AY17" s="5"/>
      <c r="AZ17" s="5"/>
      <c r="BA17" s="5"/>
      <c r="BB17" s="5"/>
      <c r="BC17" s="5"/>
    </row>
    <row r="18" spans="1:55" ht="22.5" x14ac:dyDescent="0.25">
      <c r="A18" s="713"/>
      <c r="B18" s="696"/>
      <c r="C18" s="696"/>
      <c r="D18" s="384" t="s">
        <v>370</v>
      </c>
      <c r="E18" s="388">
        <v>0</v>
      </c>
      <c r="F18" s="388">
        <v>0</v>
      </c>
      <c r="G18" s="388">
        <v>0</v>
      </c>
      <c r="H18" s="388">
        <v>0</v>
      </c>
      <c r="I18" s="390"/>
      <c r="J18" s="388">
        <v>0</v>
      </c>
      <c r="K18" s="388">
        <v>0</v>
      </c>
      <c r="L18" s="388">
        <v>0</v>
      </c>
      <c r="M18" s="386"/>
      <c r="N18" s="696"/>
      <c r="O18" s="696"/>
      <c r="P18" s="696"/>
      <c r="Q18" s="696"/>
      <c r="R18" s="696"/>
      <c r="S18" s="696"/>
      <c r="T18" s="696"/>
      <c r="U18" s="696"/>
      <c r="V18" s="696"/>
      <c r="W18" s="696"/>
      <c r="X18" s="696"/>
      <c r="Y18" s="699"/>
      <c r="Z18" s="381"/>
      <c r="AA18" s="382"/>
      <c r="AB18" s="382"/>
      <c r="AC18" s="382"/>
      <c r="AD18" s="382"/>
      <c r="AE18" s="382"/>
      <c r="AF18" s="382"/>
      <c r="AG18" s="382"/>
      <c r="AH18" s="382"/>
      <c r="AI18" s="382"/>
      <c r="AJ18" s="383"/>
      <c r="AK18" s="171"/>
      <c r="AL18" s="171"/>
      <c r="AM18" s="19"/>
      <c r="AN18" s="19"/>
      <c r="AO18" s="19"/>
      <c r="AP18" s="19"/>
      <c r="AQ18" s="19"/>
      <c r="AR18" s="19"/>
      <c r="AS18" s="19"/>
      <c r="AT18" s="5"/>
      <c r="AU18" s="5"/>
      <c r="AV18" s="5"/>
      <c r="AW18" s="5"/>
      <c r="AX18" s="5"/>
      <c r="AY18" s="5"/>
      <c r="AZ18" s="5"/>
      <c r="BA18" s="5"/>
      <c r="BB18" s="5"/>
      <c r="BC18" s="5"/>
    </row>
    <row r="19" spans="1:55" x14ac:dyDescent="0.25">
      <c r="A19" s="713"/>
      <c r="B19" s="696"/>
      <c r="C19" s="722" t="s">
        <v>373</v>
      </c>
      <c r="D19" s="389" t="s">
        <v>348</v>
      </c>
      <c r="E19" s="387">
        <v>4</v>
      </c>
      <c r="F19" s="387">
        <v>4</v>
      </c>
      <c r="G19" s="390">
        <v>8</v>
      </c>
      <c r="H19" s="390">
        <v>6</v>
      </c>
      <c r="I19" s="390"/>
      <c r="J19" s="387">
        <v>4</v>
      </c>
      <c r="K19" s="387">
        <v>8</v>
      </c>
      <c r="L19" s="387">
        <v>14</v>
      </c>
      <c r="M19" s="390"/>
      <c r="N19" s="722" t="s">
        <v>373</v>
      </c>
      <c r="O19" s="718" t="s">
        <v>350</v>
      </c>
      <c r="P19" s="718" t="s">
        <v>351</v>
      </c>
      <c r="Q19" s="718" t="s">
        <v>352</v>
      </c>
      <c r="R19" s="720" t="s">
        <v>353</v>
      </c>
      <c r="S19" s="720">
        <v>126192</v>
      </c>
      <c r="T19" s="696"/>
      <c r="U19" s="720" t="s">
        <v>354</v>
      </c>
      <c r="V19" s="720" t="s">
        <v>355</v>
      </c>
      <c r="W19" s="720" t="s">
        <v>356</v>
      </c>
      <c r="X19" s="720" t="s">
        <v>357</v>
      </c>
      <c r="Y19" s="721">
        <v>126192</v>
      </c>
      <c r="Z19" s="381"/>
      <c r="AA19" s="382"/>
      <c r="AB19" s="382"/>
      <c r="AC19" s="382"/>
      <c r="AD19" s="382"/>
      <c r="AE19" s="382"/>
      <c r="AF19" s="382"/>
      <c r="AG19" s="382"/>
      <c r="AH19" s="382"/>
      <c r="AI19" s="382"/>
      <c r="AJ19" s="383"/>
      <c r="AK19" s="171"/>
      <c r="AL19" s="171"/>
      <c r="AM19" s="19"/>
      <c r="AN19" s="19"/>
      <c r="AO19" s="19"/>
      <c r="AP19" s="19"/>
      <c r="AQ19" s="19"/>
      <c r="AR19" s="19"/>
      <c r="AS19" s="19"/>
      <c r="AT19" s="5"/>
      <c r="AU19" s="5"/>
      <c r="AV19" s="5"/>
      <c r="AW19" s="5"/>
      <c r="AX19" s="5"/>
      <c r="AY19" s="5"/>
      <c r="AZ19" s="5"/>
      <c r="BA19" s="5"/>
      <c r="BB19" s="5"/>
      <c r="BC19" s="5"/>
    </row>
    <row r="20" spans="1:55" x14ac:dyDescent="0.25">
      <c r="A20" s="713"/>
      <c r="B20" s="696"/>
      <c r="C20" s="696"/>
      <c r="D20" s="384" t="s">
        <v>360</v>
      </c>
      <c r="E20" s="385">
        <f>(E19*$E$8)/$E$7</f>
        <v>12536648.199999999</v>
      </c>
      <c r="F20" s="385">
        <f>(F19*$F$8)/$F$7</f>
        <v>12536648.199999999</v>
      </c>
      <c r="G20" s="385">
        <f>(G19*$G$8)/$G$7</f>
        <v>25073296.399999999</v>
      </c>
      <c r="H20" s="385">
        <f>(H19*$H$8)/$H$7</f>
        <v>18919260</v>
      </c>
      <c r="I20" s="386"/>
      <c r="J20" s="385">
        <f>(J19*$J$8)/$J$7</f>
        <v>43212296</v>
      </c>
      <c r="K20" s="385">
        <f>(K19*$K$8)/$K$7</f>
        <v>36386959.515151516</v>
      </c>
      <c r="L20" s="385">
        <f>(L19*$L$8)/$L$7</f>
        <v>43029354.208588958</v>
      </c>
      <c r="M20" s="386"/>
      <c r="N20" s="696"/>
      <c r="O20" s="696"/>
      <c r="P20" s="696"/>
      <c r="Q20" s="696"/>
      <c r="R20" s="696"/>
      <c r="S20" s="696"/>
      <c r="T20" s="696"/>
      <c r="U20" s="696"/>
      <c r="V20" s="696"/>
      <c r="W20" s="696"/>
      <c r="X20" s="696"/>
      <c r="Y20" s="699"/>
      <c r="Z20" s="381"/>
      <c r="AA20" s="382"/>
      <c r="AB20" s="382"/>
      <c r="AC20" s="382"/>
      <c r="AD20" s="382"/>
      <c r="AE20" s="382"/>
      <c r="AF20" s="382"/>
      <c r="AG20" s="382"/>
      <c r="AH20" s="382"/>
      <c r="AI20" s="382"/>
      <c r="AJ20" s="383"/>
      <c r="AK20" s="171"/>
      <c r="AL20" s="171"/>
      <c r="AM20" s="19"/>
      <c r="AN20" s="19"/>
      <c r="AO20" s="19"/>
      <c r="AP20" s="19"/>
      <c r="AQ20" s="19"/>
      <c r="AR20" s="19"/>
      <c r="AS20" s="19"/>
      <c r="AT20" s="5"/>
      <c r="AU20" s="5"/>
      <c r="AV20" s="5"/>
      <c r="AW20" s="5"/>
      <c r="AX20" s="5"/>
      <c r="AY20" s="5"/>
      <c r="AZ20" s="5"/>
      <c r="BA20" s="5"/>
      <c r="BB20" s="5"/>
      <c r="BC20" s="5"/>
    </row>
    <row r="21" spans="1:55" x14ac:dyDescent="0.25">
      <c r="A21" s="713"/>
      <c r="B21" s="696"/>
      <c r="C21" s="696"/>
      <c r="D21" s="384" t="s">
        <v>365</v>
      </c>
      <c r="E21" s="387">
        <v>0</v>
      </c>
      <c r="F21" s="387">
        <v>0</v>
      </c>
      <c r="G21" s="387">
        <v>0</v>
      </c>
      <c r="H21" s="387">
        <v>0</v>
      </c>
      <c r="I21" s="390"/>
      <c r="J21" s="387">
        <v>0</v>
      </c>
      <c r="K21" s="387">
        <v>0</v>
      </c>
      <c r="L21" s="387">
        <v>0</v>
      </c>
      <c r="M21" s="390"/>
      <c r="N21" s="696"/>
      <c r="O21" s="696"/>
      <c r="P21" s="696"/>
      <c r="Q21" s="696"/>
      <c r="R21" s="696"/>
      <c r="S21" s="696"/>
      <c r="T21" s="696"/>
      <c r="U21" s="696"/>
      <c r="V21" s="696"/>
      <c r="W21" s="696"/>
      <c r="X21" s="696"/>
      <c r="Y21" s="699"/>
      <c r="Z21" s="381"/>
      <c r="AA21" s="382"/>
      <c r="AB21" s="382"/>
      <c r="AC21" s="382"/>
      <c r="AD21" s="382"/>
      <c r="AE21" s="382"/>
      <c r="AF21" s="382"/>
      <c r="AG21" s="382"/>
      <c r="AH21" s="382"/>
      <c r="AI21" s="382"/>
      <c r="AJ21" s="383"/>
      <c r="AK21" s="171"/>
      <c r="AL21" s="171"/>
      <c r="AM21" s="19"/>
      <c r="AN21" s="19"/>
      <c r="AO21" s="19"/>
      <c r="AP21" s="19"/>
      <c r="AQ21" s="19"/>
      <c r="AR21" s="19"/>
      <c r="AS21" s="19"/>
      <c r="AT21" s="5"/>
      <c r="AU21" s="5"/>
      <c r="AV21" s="5"/>
      <c r="AW21" s="5"/>
      <c r="AX21" s="5"/>
      <c r="AY21" s="5"/>
      <c r="AZ21" s="5"/>
      <c r="BA21" s="5"/>
      <c r="BB21" s="5"/>
      <c r="BC21" s="5"/>
    </row>
    <row r="22" spans="1:55" ht="22.5" x14ac:dyDescent="0.25">
      <c r="A22" s="713"/>
      <c r="B22" s="696"/>
      <c r="C22" s="696"/>
      <c r="D22" s="384" t="s">
        <v>370</v>
      </c>
      <c r="E22" s="388">
        <v>0</v>
      </c>
      <c r="F22" s="388">
        <v>0</v>
      </c>
      <c r="G22" s="388">
        <v>0</v>
      </c>
      <c r="H22" s="388">
        <v>0</v>
      </c>
      <c r="I22" s="390"/>
      <c r="J22" s="388">
        <v>0</v>
      </c>
      <c r="K22" s="388">
        <v>0</v>
      </c>
      <c r="L22" s="388">
        <v>0</v>
      </c>
      <c r="M22" s="386"/>
      <c r="N22" s="696"/>
      <c r="O22" s="696"/>
      <c r="P22" s="696"/>
      <c r="Q22" s="696"/>
      <c r="R22" s="696"/>
      <c r="S22" s="696"/>
      <c r="T22" s="696"/>
      <c r="U22" s="696"/>
      <c r="V22" s="696"/>
      <c r="W22" s="696"/>
      <c r="X22" s="696"/>
      <c r="Y22" s="699"/>
      <c r="Z22" s="381"/>
      <c r="AA22" s="382"/>
      <c r="AB22" s="382"/>
      <c r="AC22" s="382"/>
      <c r="AD22" s="382"/>
      <c r="AE22" s="382"/>
      <c r="AF22" s="382"/>
      <c r="AG22" s="382"/>
      <c r="AH22" s="382"/>
      <c r="AI22" s="382"/>
      <c r="AJ22" s="383"/>
      <c r="AK22" s="171"/>
      <c r="AL22" s="171"/>
      <c r="AM22" s="19"/>
      <c r="AN22" s="19"/>
      <c r="AO22" s="19"/>
      <c r="AP22" s="19"/>
      <c r="AQ22" s="19"/>
      <c r="AR22" s="19"/>
      <c r="AS22" s="19"/>
      <c r="AT22" s="5"/>
      <c r="AU22" s="5"/>
      <c r="AV22" s="5"/>
      <c r="AW22" s="5"/>
      <c r="AX22" s="5"/>
      <c r="AY22" s="5"/>
      <c r="AZ22" s="5"/>
      <c r="BA22" s="5"/>
      <c r="BB22" s="5"/>
      <c r="BC22" s="5"/>
    </row>
    <row r="23" spans="1:55" x14ac:dyDescent="0.25">
      <c r="A23" s="713"/>
      <c r="B23" s="696"/>
      <c r="C23" s="722" t="s">
        <v>375</v>
      </c>
      <c r="D23" s="389" t="s">
        <v>348</v>
      </c>
      <c r="E23" s="387"/>
      <c r="F23" s="387"/>
      <c r="G23" s="390">
        <v>1</v>
      </c>
      <c r="H23" s="390">
        <v>1</v>
      </c>
      <c r="I23" s="390"/>
      <c r="J23" s="387"/>
      <c r="K23" s="390">
        <v>1</v>
      </c>
      <c r="L23" s="390">
        <v>1</v>
      </c>
      <c r="M23" s="390"/>
      <c r="N23" s="722" t="s">
        <v>376</v>
      </c>
      <c r="O23" s="718" t="s">
        <v>350</v>
      </c>
      <c r="P23" s="718" t="s">
        <v>351</v>
      </c>
      <c r="Q23" s="718" t="s">
        <v>352</v>
      </c>
      <c r="R23" s="720" t="s">
        <v>353</v>
      </c>
      <c r="S23" s="733">
        <v>22438</v>
      </c>
      <c r="T23" s="696"/>
      <c r="U23" s="720" t="s">
        <v>354</v>
      </c>
      <c r="V23" s="720" t="s">
        <v>355</v>
      </c>
      <c r="W23" s="720" t="s">
        <v>356</v>
      </c>
      <c r="X23" s="720" t="s">
        <v>357</v>
      </c>
      <c r="Y23" s="721">
        <v>22438</v>
      </c>
      <c r="Z23" s="381"/>
      <c r="AA23" s="382"/>
      <c r="AB23" s="382"/>
      <c r="AC23" s="382"/>
      <c r="AD23" s="382"/>
      <c r="AE23" s="382"/>
      <c r="AF23" s="382"/>
      <c r="AG23" s="382"/>
      <c r="AH23" s="382"/>
      <c r="AI23" s="382"/>
      <c r="AJ23" s="383"/>
      <c r="AK23" s="171"/>
      <c r="AL23" s="171"/>
      <c r="AM23" s="19"/>
      <c r="AN23" s="19"/>
      <c r="AO23" s="19"/>
      <c r="AP23" s="19"/>
      <c r="AQ23" s="19"/>
      <c r="AR23" s="19"/>
      <c r="AS23" s="19"/>
      <c r="AT23" s="5"/>
      <c r="AU23" s="5"/>
      <c r="AV23" s="5"/>
      <c r="AW23" s="5"/>
      <c r="AX23" s="5"/>
      <c r="AY23" s="5"/>
      <c r="AZ23" s="5"/>
      <c r="BA23" s="5"/>
      <c r="BB23" s="5"/>
      <c r="BC23" s="5"/>
    </row>
    <row r="24" spans="1:55" x14ac:dyDescent="0.25">
      <c r="A24" s="713"/>
      <c r="B24" s="696"/>
      <c r="C24" s="696"/>
      <c r="D24" s="384" t="s">
        <v>360</v>
      </c>
      <c r="E24" s="385"/>
      <c r="F24" s="385"/>
      <c r="G24" s="385">
        <f>(G23*$G$8)/$G$7</f>
        <v>3134162.05</v>
      </c>
      <c r="H24" s="385">
        <f>(H23*$H$8)/$H$7</f>
        <v>3153210</v>
      </c>
      <c r="I24" s="386"/>
      <c r="J24" s="385"/>
      <c r="K24" s="385">
        <f>(K23*$K$8)/$K$7</f>
        <v>4548369.9393939395</v>
      </c>
      <c r="L24" s="385">
        <v>4548369.9393939395</v>
      </c>
      <c r="M24" s="386"/>
      <c r="N24" s="696"/>
      <c r="O24" s="696"/>
      <c r="P24" s="696"/>
      <c r="Q24" s="696"/>
      <c r="R24" s="696"/>
      <c r="S24" s="696"/>
      <c r="T24" s="696"/>
      <c r="U24" s="696"/>
      <c r="V24" s="696"/>
      <c r="W24" s="696"/>
      <c r="X24" s="696"/>
      <c r="Y24" s="699"/>
      <c r="Z24" s="381"/>
      <c r="AA24" s="382"/>
      <c r="AB24" s="382"/>
      <c r="AC24" s="382"/>
      <c r="AD24" s="382"/>
      <c r="AE24" s="382"/>
      <c r="AF24" s="382"/>
      <c r="AG24" s="382"/>
      <c r="AH24" s="382"/>
      <c r="AI24" s="382"/>
      <c r="AJ24" s="383"/>
      <c r="AK24" s="171"/>
      <c r="AL24" s="171"/>
      <c r="AM24" s="19"/>
      <c r="AN24" s="19"/>
      <c r="AO24" s="19"/>
      <c r="AP24" s="19"/>
      <c r="AQ24" s="19"/>
      <c r="AR24" s="19"/>
      <c r="AS24" s="19"/>
      <c r="AT24" s="5"/>
      <c r="AU24" s="5"/>
      <c r="AV24" s="5"/>
      <c r="AW24" s="5"/>
      <c r="AX24" s="5"/>
      <c r="AY24" s="5"/>
      <c r="AZ24" s="5"/>
      <c r="BA24" s="5"/>
      <c r="BB24" s="5"/>
      <c r="BC24" s="5"/>
    </row>
    <row r="25" spans="1:55" x14ac:dyDescent="0.25">
      <c r="A25" s="713"/>
      <c r="B25" s="696"/>
      <c r="C25" s="696"/>
      <c r="D25" s="384" t="s">
        <v>365</v>
      </c>
      <c r="E25" s="387"/>
      <c r="F25" s="387"/>
      <c r="G25" s="387">
        <v>0</v>
      </c>
      <c r="H25" s="387">
        <v>0</v>
      </c>
      <c r="I25" s="390"/>
      <c r="J25" s="387"/>
      <c r="K25" s="387">
        <v>0</v>
      </c>
      <c r="L25" s="387">
        <v>0</v>
      </c>
      <c r="M25" s="390"/>
      <c r="N25" s="696"/>
      <c r="O25" s="696"/>
      <c r="P25" s="696"/>
      <c r="Q25" s="696"/>
      <c r="R25" s="696"/>
      <c r="S25" s="696"/>
      <c r="T25" s="696"/>
      <c r="U25" s="696"/>
      <c r="V25" s="696"/>
      <c r="W25" s="696"/>
      <c r="X25" s="696"/>
      <c r="Y25" s="699"/>
      <c r="Z25" s="381"/>
      <c r="AA25" s="382"/>
      <c r="AB25" s="382"/>
      <c r="AC25" s="382"/>
      <c r="AD25" s="382"/>
      <c r="AE25" s="382"/>
      <c r="AF25" s="382"/>
      <c r="AG25" s="382"/>
      <c r="AH25" s="382"/>
      <c r="AI25" s="382"/>
      <c r="AJ25" s="383"/>
      <c r="AK25" s="171"/>
      <c r="AL25" s="171"/>
      <c r="AM25" s="19"/>
      <c r="AN25" s="19"/>
      <c r="AO25" s="19"/>
      <c r="AP25" s="19"/>
      <c r="AQ25" s="19"/>
      <c r="AR25" s="19"/>
      <c r="AS25" s="19"/>
      <c r="AT25" s="5"/>
      <c r="AU25" s="5"/>
      <c r="AV25" s="5"/>
      <c r="AW25" s="5"/>
      <c r="AX25" s="5"/>
      <c r="AY25" s="5"/>
      <c r="AZ25" s="5"/>
      <c r="BA25" s="5"/>
      <c r="BB25" s="5"/>
      <c r="BC25" s="5"/>
    </row>
    <row r="26" spans="1:55" ht="22.5" x14ac:dyDescent="0.25">
      <c r="A26" s="713"/>
      <c r="B26" s="696"/>
      <c r="C26" s="696"/>
      <c r="D26" s="384" t="s">
        <v>370</v>
      </c>
      <c r="E26" s="388"/>
      <c r="F26" s="388"/>
      <c r="G26" s="388">
        <v>0</v>
      </c>
      <c r="H26" s="388">
        <v>0</v>
      </c>
      <c r="I26" s="390"/>
      <c r="J26" s="388"/>
      <c r="K26" s="388">
        <v>0</v>
      </c>
      <c r="L26" s="388">
        <v>0</v>
      </c>
      <c r="M26" s="386"/>
      <c r="N26" s="696"/>
      <c r="O26" s="696"/>
      <c r="P26" s="696"/>
      <c r="Q26" s="696"/>
      <c r="R26" s="696"/>
      <c r="S26" s="696"/>
      <c r="T26" s="696"/>
      <c r="U26" s="696"/>
      <c r="V26" s="696"/>
      <c r="W26" s="696"/>
      <c r="X26" s="696"/>
      <c r="Y26" s="699"/>
      <c r="Z26" s="381"/>
      <c r="AA26" s="382"/>
      <c r="AB26" s="382"/>
      <c r="AC26" s="382"/>
      <c r="AD26" s="382"/>
      <c r="AE26" s="382"/>
      <c r="AF26" s="382"/>
      <c r="AG26" s="382"/>
      <c r="AH26" s="382"/>
      <c r="AI26" s="382"/>
      <c r="AJ26" s="383"/>
      <c r="AK26" s="171"/>
      <c r="AL26" s="171"/>
      <c r="AM26" s="19"/>
      <c r="AN26" s="19"/>
      <c r="AO26" s="19"/>
      <c r="AP26" s="19"/>
      <c r="AQ26" s="19"/>
      <c r="AR26" s="19"/>
      <c r="AS26" s="19"/>
      <c r="AT26" s="5"/>
      <c r="AU26" s="5"/>
      <c r="AV26" s="5"/>
      <c r="AW26" s="5"/>
      <c r="AX26" s="5"/>
      <c r="AY26" s="5"/>
      <c r="AZ26" s="5"/>
      <c r="BA26" s="5"/>
      <c r="BB26" s="5"/>
      <c r="BC26" s="5"/>
    </row>
    <row r="27" spans="1:55" x14ac:dyDescent="0.25">
      <c r="A27" s="713"/>
      <c r="B27" s="696"/>
      <c r="C27" s="722" t="s">
        <v>377</v>
      </c>
      <c r="D27" s="389" t="s">
        <v>348</v>
      </c>
      <c r="E27" s="387"/>
      <c r="F27" s="387"/>
      <c r="G27" s="390">
        <v>2</v>
      </c>
      <c r="H27" s="390">
        <v>2</v>
      </c>
      <c r="I27" s="390"/>
      <c r="J27" s="387"/>
      <c r="K27" s="390">
        <v>2</v>
      </c>
      <c r="L27" s="390">
        <v>4</v>
      </c>
      <c r="M27" s="390"/>
      <c r="N27" s="722" t="s">
        <v>378</v>
      </c>
      <c r="O27" s="718" t="s">
        <v>350</v>
      </c>
      <c r="P27" s="718" t="s">
        <v>351</v>
      </c>
      <c r="Q27" s="718" t="s">
        <v>352</v>
      </c>
      <c r="R27" s="720" t="s">
        <v>353</v>
      </c>
      <c r="S27" s="733">
        <v>22438</v>
      </c>
      <c r="T27" s="696"/>
      <c r="U27" s="720" t="s">
        <v>354</v>
      </c>
      <c r="V27" s="720" t="s">
        <v>355</v>
      </c>
      <c r="W27" s="720" t="s">
        <v>356</v>
      </c>
      <c r="X27" s="720" t="s">
        <v>357</v>
      </c>
      <c r="Y27" s="721">
        <v>22438</v>
      </c>
      <c r="Z27" s="381"/>
      <c r="AA27" s="382"/>
      <c r="AB27" s="382"/>
      <c r="AC27" s="382"/>
      <c r="AD27" s="382"/>
      <c r="AE27" s="382"/>
      <c r="AF27" s="382"/>
      <c r="AG27" s="382"/>
      <c r="AH27" s="382"/>
      <c r="AI27" s="382"/>
      <c r="AJ27" s="383"/>
      <c r="AK27" s="171"/>
      <c r="AL27" s="171"/>
      <c r="AM27" s="19"/>
      <c r="AN27" s="19"/>
      <c r="AO27" s="19"/>
      <c r="AP27" s="19"/>
      <c r="AQ27" s="19"/>
      <c r="AR27" s="19"/>
      <c r="AS27" s="19"/>
      <c r="AT27" s="5"/>
      <c r="AU27" s="5"/>
      <c r="AV27" s="5"/>
      <c r="AW27" s="5"/>
      <c r="AX27" s="5"/>
      <c r="AY27" s="5"/>
      <c r="AZ27" s="5"/>
      <c r="BA27" s="5"/>
      <c r="BB27" s="5"/>
      <c r="BC27" s="5"/>
    </row>
    <row r="28" spans="1:55" x14ac:dyDescent="0.25">
      <c r="A28" s="713"/>
      <c r="B28" s="696"/>
      <c r="C28" s="696"/>
      <c r="D28" s="384" t="s">
        <v>360</v>
      </c>
      <c r="E28" s="385"/>
      <c r="F28" s="385"/>
      <c r="G28" s="385">
        <f>(G27*$G$8)/$G$7</f>
        <v>6268324.0999999996</v>
      </c>
      <c r="H28" s="385">
        <f>(H27*$H$8)/$H$7</f>
        <v>6306420</v>
      </c>
      <c r="I28" s="386"/>
      <c r="J28" s="385"/>
      <c r="K28" s="385">
        <f>(K27*$K$8)/$K$7</f>
        <v>9096739.8787878789</v>
      </c>
      <c r="L28" s="385">
        <f>(L27*$L$8)/$L$7</f>
        <v>12294101.202453988</v>
      </c>
      <c r="M28" s="386"/>
      <c r="N28" s="696"/>
      <c r="O28" s="696"/>
      <c r="P28" s="696"/>
      <c r="Q28" s="696"/>
      <c r="R28" s="696"/>
      <c r="S28" s="696"/>
      <c r="T28" s="696"/>
      <c r="U28" s="696"/>
      <c r="V28" s="696"/>
      <c r="W28" s="696"/>
      <c r="X28" s="696"/>
      <c r="Y28" s="699"/>
      <c r="Z28" s="381"/>
      <c r="AA28" s="382"/>
      <c r="AB28" s="382"/>
      <c r="AC28" s="382"/>
      <c r="AD28" s="382"/>
      <c r="AE28" s="382"/>
      <c r="AF28" s="382"/>
      <c r="AG28" s="382"/>
      <c r="AH28" s="382"/>
      <c r="AI28" s="382"/>
      <c r="AJ28" s="383"/>
      <c r="AK28" s="171"/>
      <c r="AL28" s="171"/>
      <c r="AM28" s="19"/>
      <c r="AN28" s="19"/>
      <c r="AO28" s="19"/>
      <c r="AP28" s="19"/>
      <c r="AQ28" s="19"/>
      <c r="AR28" s="19"/>
      <c r="AS28" s="19"/>
      <c r="AT28" s="5"/>
      <c r="AU28" s="5"/>
      <c r="AV28" s="5"/>
      <c r="AW28" s="5"/>
      <c r="AX28" s="5"/>
      <c r="AY28" s="5"/>
      <c r="AZ28" s="5"/>
      <c r="BA28" s="5"/>
      <c r="BB28" s="5"/>
      <c r="BC28" s="5"/>
    </row>
    <row r="29" spans="1:55" x14ac:dyDescent="0.25">
      <c r="A29" s="713"/>
      <c r="B29" s="696"/>
      <c r="C29" s="696"/>
      <c r="D29" s="384" t="s">
        <v>365</v>
      </c>
      <c r="E29" s="387"/>
      <c r="F29" s="387"/>
      <c r="G29" s="387">
        <v>0</v>
      </c>
      <c r="H29" s="387">
        <v>0</v>
      </c>
      <c r="I29" s="390"/>
      <c r="J29" s="387"/>
      <c r="K29" s="387">
        <v>0</v>
      </c>
      <c r="L29" s="387">
        <v>0</v>
      </c>
      <c r="M29" s="390"/>
      <c r="N29" s="696"/>
      <c r="O29" s="696"/>
      <c r="P29" s="696"/>
      <c r="Q29" s="696"/>
      <c r="R29" s="696"/>
      <c r="S29" s="696"/>
      <c r="T29" s="696"/>
      <c r="U29" s="696"/>
      <c r="V29" s="696"/>
      <c r="W29" s="696"/>
      <c r="X29" s="696"/>
      <c r="Y29" s="699"/>
      <c r="Z29" s="381"/>
      <c r="AA29" s="382"/>
      <c r="AB29" s="382"/>
      <c r="AC29" s="382"/>
      <c r="AD29" s="382"/>
      <c r="AE29" s="382"/>
      <c r="AF29" s="382"/>
      <c r="AG29" s="382"/>
      <c r="AH29" s="382"/>
      <c r="AI29" s="382"/>
      <c r="AJ29" s="383"/>
      <c r="AK29" s="171"/>
      <c r="AL29" s="171"/>
      <c r="AM29" s="19"/>
      <c r="AN29" s="19"/>
      <c r="AO29" s="19"/>
      <c r="AP29" s="19"/>
      <c r="AQ29" s="19"/>
      <c r="AR29" s="19"/>
      <c r="AS29" s="19"/>
      <c r="AT29" s="5"/>
      <c r="AU29" s="5"/>
      <c r="AV29" s="5"/>
      <c r="AW29" s="5"/>
      <c r="AX29" s="5"/>
      <c r="AY29" s="5"/>
      <c r="AZ29" s="5"/>
      <c r="BA29" s="5"/>
      <c r="BB29" s="5"/>
      <c r="BC29" s="5"/>
    </row>
    <row r="30" spans="1:55" ht="22.5" x14ac:dyDescent="0.25">
      <c r="A30" s="713"/>
      <c r="B30" s="696"/>
      <c r="C30" s="696"/>
      <c r="D30" s="384" t="s">
        <v>370</v>
      </c>
      <c r="E30" s="388"/>
      <c r="F30" s="388"/>
      <c r="G30" s="388">
        <v>0</v>
      </c>
      <c r="H30" s="388">
        <v>0</v>
      </c>
      <c r="I30" s="390"/>
      <c r="J30" s="388"/>
      <c r="K30" s="388">
        <v>0</v>
      </c>
      <c r="L30" s="388">
        <v>0</v>
      </c>
      <c r="M30" s="386"/>
      <c r="N30" s="696"/>
      <c r="O30" s="696"/>
      <c r="P30" s="696"/>
      <c r="Q30" s="696"/>
      <c r="R30" s="696"/>
      <c r="S30" s="696"/>
      <c r="T30" s="696"/>
      <c r="U30" s="696"/>
      <c r="V30" s="696"/>
      <c r="W30" s="696"/>
      <c r="X30" s="696"/>
      <c r="Y30" s="699"/>
      <c r="Z30" s="381"/>
      <c r="AA30" s="382"/>
      <c r="AB30" s="382"/>
      <c r="AC30" s="382"/>
      <c r="AD30" s="382"/>
      <c r="AE30" s="382"/>
      <c r="AF30" s="382"/>
      <c r="AG30" s="382"/>
      <c r="AH30" s="382"/>
      <c r="AI30" s="382"/>
      <c r="AJ30" s="383"/>
      <c r="AK30" s="171"/>
      <c r="AL30" s="171"/>
      <c r="AM30" s="19"/>
      <c r="AN30" s="19"/>
      <c r="AO30" s="19"/>
      <c r="AP30" s="19"/>
      <c r="AQ30" s="19"/>
      <c r="AR30" s="19"/>
      <c r="AS30" s="19"/>
      <c r="AT30" s="5"/>
      <c r="AU30" s="5"/>
      <c r="AV30" s="5"/>
      <c r="AW30" s="5"/>
      <c r="AX30" s="5"/>
      <c r="AY30" s="5"/>
      <c r="AZ30" s="5"/>
      <c r="BA30" s="5"/>
      <c r="BB30" s="5"/>
      <c r="BC30" s="5"/>
    </row>
    <row r="31" spans="1:55" x14ac:dyDescent="0.25">
      <c r="A31" s="713"/>
      <c r="B31" s="696"/>
      <c r="C31" s="722" t="s">
        <v>379</v>
      </c>
      <c r="D31" s="389" t="s">
        <v>348</v>
      </c>
      <c r="E31" s="387"/>
      <c r="F31" s="387"/>
      <c r="G31" s="390">
        <v>1</v>
      </c>
      <c r="H31" s="390">
        <v>5</v>
      </c>
      <c r="I31" s="390"/>
      <c r="J31" s="387"/>
      <c r="K31" s="390">
        <v>1</v>
      </c>
      <c r="L31" s="390">
        <v>6</v>
      </c>
      <c r="M31" s="390"/>
      <c r="N31" s="722" t="s">
        <v>379</v>
      </c>
      <c r="O31" s="718" t="s">
        <v>350</v>
      </c>
      <c r="P31" s="718" t="s">
        <v>351</v>
      </c>
      <c r="Q31" s="718" t="s">
        <v>352</v>
      </c>
      <c r="R31" s="720" t="s">
        <v>353</v>
      </c>
      <c r="S31" s="733">
        <v>22438</v>
      </c>
      <c r="T31" s="696"/>
      <c r="U31" s="720" t="s">
        <v>354</v>
      </c>
      <c r="V31" s="720" t="s">
        <v>355</v>
      </c>
      <c r="W31" s="720" t="s">
        <v>356</v>
      </c>
      <c r="X31" s="720" t="s">
        <v>357</v>
      </c>
      <c r="Y31" s="721">
        <v>22438</v>
      </c>
      <c r="Z31" s="381"/>
      <c r="AA31" s="382"/>
      <c r="AB31" s="382"/>
      <c r="AC31" s="382"/>
      <c r="AD31" s="382"/>
      <c r="AE31" s="382"/>
      <c r="AF31" s="382"/>
      <c r="AG31" s="382"/>
      <c r="AH31" s="382"/>
      <c r="AI31" s="382"/>
      <c r="AJ31" s="383"/>
      <c r="AK31" s="171"/>
      <c r="AL31" s="171"/>
      <c r="AM31" s="19"/>
      <c r="AN31" s="19"/>
      <c r="AO31" s="19"/>
      <c r="AP31" s="19"/>
      <c r="AQ31" s="19"/>
      <c r="AR31" s="19"/>
      <c r="AS31" s="19"/>
      <c r="AT31" s="5"/>
      <c r="AU31" s="5"/>
      <c r="AV31" s="5"/>
      <c r="AW31" s="5"/>
      <c r="AX31" s="5"/>
      <c r="AY31" s="5"/>
      <c r="AZ31" s="5"/>
      <c r="BA31" s="5"/>
      <c r="BB31" s="5"/>
      <c r="BC31" s="5"/>
    </row>
    <row r="32" spans="1:55" x14ac:dyDescent="0.25">
      <c r="A32" s="713"/>
      <c r="B32" s="696"/>
      <c r="C32" s="696"/>
      <c r="D32" s="384" t="s">
        <v>360</v>
      </c>
      <c r="E32" s="385"/>
      <c r="F32" s="385"/>
      <c r="G32" s="385">
        <f>(G31*$G$8)/$G$7</f>
        <v>3134162.05</v>
      </c>
      <c r="H32" s="385">
        <f>(H31*$H$8)/$H$7</f>
        <v>15766050</v>
      </c>
      <c r="I32" s="386"/>
      <c r="J32" s="385"/>
      <c r="K32" s="385">
        <f>(K31*$K$8)/$K$7</f>
        <v>4548369.9393939395</v>
      </c>
      <c r="L32" s="385">
        <f>(L31*$L$8)/$L$7</f>
        <v>18441151.803680982</v>
      </c>
      <c r="M32" s="386"/>
      <c r="N32" s="696"/>
      <c r="O32" s="696"/>
      <c r="P32" s="696"/>
      <c r="Q32" s="696"/>
      <c r="R32" s="696"/>
      <c r="S32" s="696"/>
      <c r="T32" s="696"/>
      <c r="U32" s="696"/>
      <c r="V32" s="696"/>
      <c r="W32" s="696"/>
      <c r="X32" s="696"/>
      <c r="Y32" s="699"/>
      <c r="Z32" s="381"/>
      <c r="AA32" s="382"/>
      <c r="AB32" s="382"/>
      <c r="AC32" s="382"/>
      <c r="AD32" s="382"/>
      <c r="AE32" s="382"/>
      <c r="AF32" s="382"/>
      <c r="AG32" s="382"/>
      <c r="AH32" s="382"/>
      <c r="AI32" s="382"/>
      <c r="AJ32" s="383"/>
      <c r="AK32" s="171"/>
      <c r="AL32" s="171"/>
      <c r="AM32" s="19"/>
      <c r="AN32" s="19"/>
      <c r="AO32" s="19"/>
      <c r="AP32" s="19"/>
      <c r="AQ32" s="19"/>
      <c r="AR32" s="19"/>
      <c r="AS32" s="19"/>
      <c r="AT32" s="5"/>
      <c r="AU32" s="5"/>
      <c r="AV32" s="5"/>
      <c r="AW32" s="5"/>
      <c r="AX32" s="5"/>
      <c r="AY32" s="5"/>
      <c r="AZ32" s="5"/>
      <c r="BA32" s="5"/>
      <c r="BB32" s="5"/>
      <c r="BC32" s="5"/>
    </row>
    <row r="33" spans="1:55" x14ac:dyDescent="0.25">
      <c r="A33" s="713"/>
      <c r="B33" s="696"/>
      <c r="C33" s="696"/>
      <c r="D33" s="384" t="s">
        <v>365</v>
      </c>
      <c r="E33" s="387"/>
      <c r="F33" s="387"/>
      <c r="G33" s="387">
        <v>0</v>
      </c>
      <c r="H33" s="387">
        <v>0</v>
      </c>
      <c r="I33" s="390"/>
      <c r="J33" s="387"/>
      <c r="K33" s="387">
        <v>0</v>
      </c>
      <c r="L33" s="387">
        <v>0</v>
      </c>
      <c r="M33" s="390"/>
      <c r="N33" s="696"/>
      <c r="O33" s="696"/>
      <c r="P33" s="696"/>
      <c r="Q33" s="696"/>
      <c r="R33" s="696"/>
      <c r="S33" s="696"/>
      <c r="T33" s="696"/>
      <c r="U33" s="696"/>
      <c r="V33" s="696"/>
      <c r="W33" s="696"/>
      <c r="X33" s="696"/>
      <c r="Y33" s="699"/>
      <c r="Z33" s="381"/>
      <c r="AA33" s="382"/>
      <c r="AB33" s="382"/>
      <c r="AC33" s="382"/>
      <c r="AD33" s="382"/>
      <c r="AE33" s="382"/>
      <c r="AF33" s="382"/>
      <c r="AG33" s="382"/>
      <c r="AH33" s="382"/>
      <c r="AI33" s="382"/>
      <c r="AJ33" s="383"/>
      <c r="AK33" s="171"/>
      <c r="AL33" s="171"/>
      <c r="AM33" s="19"/>
      <c r="AN33" s="19"/>
      <c r="AO33" s="19"/>
      <c r="AP33" s="19"/>
      <c r="AQ33" s="19"/>
      <c r="AR33" s="19"/>
      <c r="AS33" s="19"/>
      <c r="AT33" s="5"/>
      <c r="AU33" s="5"/>
      <c r="AV33" s="5"/>
      <c r="AW33" s="5"/>
      <c r="AX33" s="5"/>
      <c r="AY33" s="5"/>
      <c r="AZ33" s="5"/>
      <c r="BA33" s="5"/>
      <c r="BB33" s="5"/>
      <c r="BC33" s="5"/>
    </row>
    <row r="34" spans="1:55" ht="22.5" x14ac:dyDescent="0.25">
      <c r="A34" s="713"/>
      <c r="B34" s="696"/>
      <c r="C34" s="696"/>
      <c r="D34" s="384" t="s">
        <v>370</v>
      </c>
      <c r="E34" s="388"/>
      <c r="F34" s="388"/>
      <c r="G34" s="388">
        <v>0</v>
      </c>
      <c r="H34" s="388">
        <v>0</v>
      </c>
      <c r="I34" s="390"/>
      <c r="J34" s="388"/>
      <c r="K34" s="388">
        <v>0</v>
      </c>
      <c r="L34" s="388">
        <v>0</v>
      </c>
      <c r="M34" s="386"/>
      <c r="N34" s="696"/>
      <c r="O34" s="696"/>
      <c r="P34" s="696"/>
      <c r="Q34" s="696"/>
      <c r="R34" s="696"/>
      <c r="S34" s="696"/>
      <c r="T34" s="696"/>
      <c r="U34" s="696"/>
      <c r="V34" s="696"/>
      <c r="W34" s="696"/>
      <c r="X34" s="696"/>
      <c r="Y34" s="699"/>
      <c r="Z34" s="381"/>
      <c r="AA34" s="382"/>
      <c r="AB34" s="382"/>
      <c r="AC34" s="382"/>
      <c r="AD34" s="382"/>
      <c r="AE34" s="382"/>
      <c r="AF34" s="382"/>
      <c r="AG34" s="382"/>
      <c r="AH34" s="382"/>
      <c r="AI34" s="382"/>
      <c r="AJ34" s="383"/>
      <c r="AK34" s="171"/>
      <c r="AL34" s="171"/>
      <c r="AM34" s="19"/>
      <c r="AN34" s="19"/>
      <c r="AO34" s="19"/>
      <c r="AP34" s="19"/>
      <c r="AQ34" s="19"/>
      <c r="AR34" s="19"/>
      <c r="AS34" s="19"/>
      <c r="AT34" s="5"/>
      <c r="AU34" s="5"/>
      <c r="AV34" s="5"/>
      <c r="AW34" s="5"/>
      <c r="AX34" s="5"/>
      <c r="AY34" s="5"/>
      <c r="AZ34" s="5"/>
      <c r="BA34" s="5"/>
      <c r="BB34" s="5"/>
      <c r="BC34" s="5"/>
    </row>
    <row r="35" spans="1:55" x14ac:dyDescent="0.25">
      <c r="A35" s="713"/>
      <c r="B35" s="696"/>
      <c r="C35" s="722" t="s">
        <v>382</v>
      </c>
      <c r="D35" s="389" t="s">
        <v>348</v>
      </c>
      <c r="E35" s="387"/>
      <c r="F35" s="387"/>
      <c r="G35" s="390">
        <v>2</v>
      </c>
      <c r="H35" s="390">
        <v>1</v>
      </c>
      <c r="I35" s="390"/>
      <c r="J35" s="387"/>
      <c r="K35" s="390">
        <v>2</v>
      </c>
      <c r="L35" s="390">
        <v>3</v>
      </c>
      <c r="M35" s="390"/>
      <c r="N35" s="722" t="s">
        <v>383</v>
      </c>
      <c r="O35" s="718" t="s">
        <v>350</v>
      </c>
      <c r="P35" s="718" t="s">
        <v>351</v>
      </c>
      <c r="Q35" s="718" t="s">
        <v>352</v>
      </c>
      <c r="R35" s="720" t="s">
        <v>353</v>
      </c>
      <c r="S35" s="733">
        <v>22438</v>
      </c>
      <c r="T35" s="696"/>
      <c r="U35" s="720" t="s">
        <v>354</v>
      </c>
      <c r="V35" s="720" t="s">
        <v>355</v>
      </c>
      <c r="W35" s="720" t="s">
        <v>356</v>
      </c>
      <c r="X35" s="720" t="s">
        <v>357</v>
      </c>
      <c r="Y35" s="721">
        <v>22438</v>
      </c>
      <c r="Z35" s="381"/>
      <c r="AA35" s="382"/>
      <c r="AB35" s="382"/>
      <c r="AC35" s="382"/>
      <c r="AD35" s="382"/>
      <c r="AE35" s="382"/>
      <c r="AF35" s="382"/>
      <c r="AG35" s="382"/>
      <c r="AH35" s="382"/>
      <c r="AI35" s="382"/>
      <c r="AJ35" s="383"/>
      <c r="AK35" s="171"/>
      <c r="AL35" s="171"/>
      <c r="AM35" s="19"/>
      <c r="AN35" s="19"/>
      <c r="AO35" s="19"/>
      <c r="AP35" s="19"/>
      <c r="AQ35" s="19"/>
      <c r="AR35" s="19"/>
      <c r="AS35" s="19"/>
      <c r="AT35" s="5"/>
      <c r="AU35" s="5"/>
      <c r="AV35" s="5"/>
      <c r="AW35" s="5"/>
      <c r="AX35" s="5"/>
      <c r="AY35" s="5"/>
      <c r="AZ35" s="5"/>
      <c r="BA35" s="5"/>
      <c r="BB35" s="5"/>
      <c r="BC35" s="5"/>
    </row>
    <row r="36" spans="1:55" x14ac:dyDescent="0.25">
      <c r="A36" s="713"/>
      <c r="B36" s="696"/>
      <c r="C36" s="696"/>
      <c r="D36" s="384" t="s">
        <v>360</v>
      </c>
      <c r="E36" s="385"/>
      <c r="F36" s="385"/>
      <c r="G36" s="385">
        <f>(G35*$G$8)/$G$7</f>
        <v>6268324.0999999996</v>
      </c>
      <c r="H36" s="385">
        <f>(H35*$H$8)/$H$7</f>
        <v>3153210</v>
      </c>
      <c r="I36" s="386"/>
      <c r="J36" s="385"/>
      <c r="K36" s="385">
        <f>(K35*$K$8)/$K$7</f>
        <v>9096739.8787878789</v>
      </c>
      <c r="L36" s="385">
        <f>(L35*$L$8)/$L$7</f>
        <v>9220575.9018404912</v>
      </c>
      <c r="M36" s="386"/>
      <c r="N36" s="696"/>
      <c r="O36" s="696"/>
      <c r="P36" s="696"/>
      <c r="Q36" s="696"/>
      <c r="R36" s="696"/>
      <c r="S36" s="696"/>
      <c r="T36" s="696"/>
      <c r="U36" s="696"/>
      <c r="V36" s="696"/>
      <c r="W36" s="696"/>
      <c r="X36" s="696"/>
      <c r="Y36" s="699"/>
      <c r="Z36" s="381"/>
      <c r="AA36" s="382"/>
      <c r="AB36" s="382"/>
      <c r="AC36" s="382"/>
      <c r="AD36" s="382"/>
      <c r="AE36" s="382"/>
      <c r="AF36" s="382"/>
      <c r="AG36" s="382"/>
      <c r="AH36" s="382"/>
      <c r="AI36" s="382"/>
      <c r="AJ36" s="383"/>
      <c r="AK36" s="171"/>
      <c r="AL36" s="171"/>
      <c r="AM36" s="19"/>
      <c r="AN36" s="19"/>
      <c r="AO36" s="19"/>
      <c r="AP36" s="19"/>
      <c r="AQ36" s="19"/>
      <c r="AR36" s="19"/>
      <c r="AS36" s="19"/>
      <c r="AT36" s="5"/>
      <c r="AU36" s="5"/>
      <c r="AV36" s="5"/>
      <c r="AW36" s="5"/>
      <c r="AX36" s="5"/>
      <c r="AY36" s="5"/>
      <c r="AZ36" s="5"/>
      <c r="BA36" s="5"/>
      <c r="BB36" s="5"/>
      <c r="BC36" s="5"/>
    </row>
    <row r="37" spans="1:55" x14ac:dyDescent="0.25">
      <c r="A37" s="713"/>
      <c r="B37" s="696"/>
      <c r="C37" s="696"/>
      <c r="D37" s="384" t="s">
        <v>365</v>
      </c>
      <c r="E37" s="387"/>
      <c r="F37" s="387"/>
      <c r="G37" s="387">
        <v>0</v>
      </c>
      <c r="H37" s="387">
        <v>0</v>
      </c>
      <c r="I37" s="390"/>
      <c r="J37" s="387"/>
      <c r="K37" s="387">
        <v>0</v>
      </c>
      <c r="L37" s="387">
        <v>0</v>
      </c>
      <c r="M37" s="390"/>
      <c r="N37" s="696"/>
      <c r="O37" s="696"/>
      <c r="P37" s="696"/>
      <c r="Q37" s="696"/>
      <c r="R37" s="696"/>
      <c r="S37" s="696"/>
      <c r="T37" s="696"/>
      <c r="U37" s="696"/>
      <c r="V37" s="696"/>
      <c r="W37" s="696"/>
      <c r="X37" s="696"/>
      <c r="Y37" s="699"/>
      <c r="Z37" s="381"/>
      <c r="AA37" s="382"/>
      <c r="AB37" s="382"/>
      <c r="AC37" s="382"/>
      <c r="AD37" s="382"/>
      <c r="AE37" s="382"/>
      <c r="AF37" s="382"/>
      <c r="AG37" s="382"/>
      <c r="AH37" s="382"/>
      <c r="AI37" s="382"/>
      <c r="AJ37" s="383"/>
      <c r="AK37" s="171"/>
      <c r="AL37" s="171"/>
      <c r="AM37" s="19"/>
      <c r="AN37" s="19"/>
      <c r="AO37" s="19"/>
      <c r="AP37" s="19"/>
      <c r="AQ37" s="19"/>
      <c r="AR37" s="19"/>
      <c r="AS37" s="19"/>
      <c r="AT37" s="5"/>
      <c r="AU37" s="5"/>
      <c r="AV37" s="5"/>
      <c r="AW37" s="5"/>
      <c r="AX37" s="5"/>
      <c r="AY37" s="5"/>
      <c r="AZ37" s="5"/>
      <c r="BA37" s="5"/>
      <c r="BB37" s="5"/>
      <c r="BC37" s="5"/>
    </row>
    <row r="38" spans="1:55" ht="22.5" x14ac:dyDescent="0.25">
      <c r="A38" s="713"/>
      <c r="B38" s="696"/>
      <c r="C38" s="696"/>
      <c r="D38" s="384" t="s">
        <v>370</v>
      </c>
      <c r="E38" s="388"/>
      <c r="F38" s="388"/>
      <c r="G38" s="388">
        <v>0</v>
      </c>
      <c r="H38" s="388">
        <v>0</v>
      </c>
      <c r="I38" s="390"/>
      <c r="J38" s="388"/>
      <c r="K38" s="388">
        <v>0</v>
      </c>
      <c r="L38" s="388">
        <v>0</v>
      </c>
      <c r="M38" s="386"/>
      <c r="N38" s="696"/>
      <c r="O38" s="696"/>
      <c r="P38" s="696"/>
      <c r="Q38" s="696"/>
      <c r="R38" s="696"/>
      <c r="S38" s="696"/>
      <c r="T38" s="696"/>
      <c r="U38" s="696"/>
      <c r="V38" s="696"/>
      <c r="W38" s="696"/>
      <c r="X38" s="696"/>
      <c r="Y38" s="699"/>
      <c r="Z38" s="381"/>
      <c r="AA38" s="382"/>
      <c r="AB38" s="382"/>
      <c r="AC38" s="382"/>
      <c r="AD38" s="382"/>
      <c r="AE38" s="382"/>
      <c r="AF38" s="382"/>
      <c r="AG38" s="382"/>
      <c r="AH38" s="382"/>
      <c r="AI38" s="382"/>
      <c r="AJ38" s="383"/>
      <c r="AK38" s="171"/>
      <c r="AL38" s="171"/>
      <c r="AM38" s="19"/>
      <c r="AN38" s="19"/>
      <c r="AO38" s="19"/>
      <c r="AP38" s="19"/>
      <c r="AQ38" s="19"/>
      <c r="AR38" s="19"/>
      <c r="AS38" s="19"/>
      <c r="AT38" s="5"/>
      <c r="AU38" s="5"/>
      <c r="AV38" s="5"/>
      <c r="AW38" s="5"/>
      <c r="AX38" s="5"/>
      <c r="AY38" s="5"/>
      <c r="AZ38" s="5"/>
      <c r="BA38" s="5"/>
      <c r="BB38" s="5"/>
      <c r="BC38" s="5"/>
    </row>
    <row r="39" spans="1:55" x14ac:dyDescent="0.25">
      <c r="A39" s="713"/>
      <c r="B39" s="696"/>
      <c r="C39" s="722" t="s">
        <v>384</v>
      </c>
      <c r="D39" s="389" t="s">
        <v>348</v>
      </c>
      <c r="E39" s="387">
        <v>3</v>
      </c>
      <c r="F39" s="387">
        <v>3</v>
      </c>
      <c r="G39" s="390">
        <v>19</v>
      </c>
      <c r="H39" s="390">
        <v>26</v>
      </c>
      <c r="I39" s="390"/>
      <c r="J39" s="387">
        <v>3</v>
      </c>
      <c r="K39" s="387">
        <v>19</v>
      </c>
      <c r="L39" s="387">
        <v>7</v>
      </c>
      <c r="M39" s="390"/>
      <c r="N39" s="722" t="s">
        <v>384</v>
      </c>
      <c r="O39" s="718" t="s">
        <v>350</v>
      </c>
      <c r="P39" s="718" t="s">
        <v>351</v>
      </c>
      <c r="Q39" s="718" t="s">
        <v>352</v>
      </c>
      <c r="R39" s="720" t="s">
        <v>353</v>
      </c>
      <c r="S39" s="720">
        <v>748012</v>
      </c>
      <c r="T39" s="696"/>
      <c r="U39" s="720" t="s">
        <v>354</v>
      </c>
      <c r="V39" s="720" t="s">
        <v>355</v>
      </c>
      <c r="W39" s="720" t="s">
        <v>356</v>
      </c>
      <c r="X39" s="720" t="s">
        <v>357</v>
      </c>
      <c r="Y39" s="721">
        <v>748012</v>
      </c>
      <c r="Z39" s="381"/>
      <c r="AA39" s="382"/>
      <c r="AB39" s="382"/>
      <c r="AC39" s="382"/>
      <c r="AD39" s="382"/>
      <c r="AE39" s="382"/>
      <c r="AF39" s="382"/>
      <c r="AG39" s="382"/>
      <c r="AH39" s="382"/>
      <c r="AI39" s="382"/>
      <c r="AJ39" s="383"/>
      <c r="AK39" s="171"/>
      <c r="AL39" s="171"/>
      <c r="AM39" s="19"/>
      <c r="AN39" s="19"/>
      <c r="AO39" s="19"/>
      <c r="AP39" s="19"/>
      <c r="AQ39" s="19"/>
      <c r="AR39" s="19"/>
      <c r="AS39" s="19"/>
      <c r="AT39" s="5"/>
      <c r="AU39" s="5"/>
      <c r="AV39" s="5"/>
      <c r="AW39" s="5"/>
      <c r="AX39" s="5"/>
      <c r="AY39" s="5"/>
      <c r="AZ39" s="5"/>
      <c r="BA39" s="5"/>
      <c r="BB39" s="5"/>
      <c r="BC39" s="5"/>
    </row>
    <row r="40" spans="1:55" x14ac:dyDescent="0.25">
      <c r="A40" s="713"/>
      <c r="B40" s="696"/>
      <c r="C40" s="696"/>
      <c r="D40" s="384" t="s">
        <v>360</v>
      </c>
      <c r="E40" s="385">
        <f>(E39*$E$8)/$E$7</f>
        <v>9402486.1500000004</v>
      </c>
      <c r="F40" s="385">
        <f>(F39*$F$8)/$F$7</f>
        <v>9402486.1500000004</v>
      </c>
      <c r="G40" s="385">
        <f>(G39*$G$8)/$G$7</f>
        <v>59549078.950000003</v>
      </c>
      <c r="H40" s="385">
        <v>86419028.848484799</v>
      </c>
      <c r="I40" s="386"/>
      <c r="J40" s="385">
        <f>(J39*$J$8)/$J$7</f>
        <v>32409222</v>
      </c>
      <c r="K40" s="385">
        <f>(K39*$K$8)/$K$7</f>
        <v>86419028.848484844</v>
      </c>
      <c r="L40" s="387">
        <v>22072470</v>
      </c>
      <c r="M40" s="386"/>
      <c r="N40" s="696"/>
      <c r="O40" s="696"/>
      <c r="P40" s="696"/>
      <c r="Q40" s="696"/>
      <c r="R40" s="696"/>
      <c r="S40" s="696"/>
      <c r="T40" s="696"/>
      <c r="U40" s="696"/>
      <c r="V40" s="696"/>
      <c r="W40" s="696"/>
      <c r="X40" s="696"/>
      <c r="Y40" s="699"/>
      <c r="Z40" s="381"/>
      <c r="AA40" s="382"/>
      <c r="AB40" s="382"/>
      <c r="AC40" s="382"/>
      <c r="AD40" s="382"/>
      <c r="AE40" s="382"/>
      <c r="AF40" s="382"/>
      <c r="AG40" s="382"/>
      <c r="AH40" s="382"/>
      <c r="AI40" s="382"/>
      <c r="AJ40" s="383"/>
      <c r="AK40" s="171"/>
      <c r="AL40" s="171"/>
      <c r="AM40" s="19"/>
      <c r="AN40" s="19"/>
      <c r="AO40" s="19"/>
      <c r="AP40" s="19"/>
      <c r="AQ40" s="19"/>
      <c r="AR40" s="19"/>
      <c r="AS40" s="19"/>
      <c r="AT40" s="5"/>
      <c r="AU40" s="5"/>
      <c r="AV40" s="5"/>
      <c r="AW40" s="5"/>
      <c r="AX40" s="5"/>
      <c r="AY40" s="5"/>
      <c r="AZ40" s="5"/>
      <c r="BA40" s="5"/>
      <c r="BB40" s="5"/>
      <c r="BC40" s="5"/>
    </row>
    <row r="41" spans="1:55" x14ac:dyDescent="0.25">
      <c r="A41" s="713"/>
      <c r="B41" s="696"/>
      <c r="C41" s="696"/>
      <c r="D41" s="384" t="s">
        <v>365</v>
      </c>
      <c r="E41" s="387">
        <v>0</v>
      </c>
      <c r="F41" s="387">
        <v>0</v>
      </c>
      <c r="G41" s="387">
        <v>0</v>
      </c>
      <c r="H41" s="387">
        <v>0</v>
      </c>
      <c r="I41" s="390"/>
      <c r="J41" s="387">
        <v>0</v>
      </c>
      <c r="K41" s="387">
        <v>0</v>
      </c>
      <c r="L41" s="387">
        <v>0</v>
      </c>
      <c r="M41" s="390"/>
      <c r="N41" s="696"/>
      <c r="O41" s="696"/>
      <c r="P41" s="696"/>
      <c r="Q41" s="696"/>
      <c r="R41" s="696"/>
      <c r="S41" s="696"/>
      <c r="T41" s="696"/>
      <c r="U41" s="696"/>
      <c r="V41" s="696"/>
      <c r="W41" s="696"/>
      <c r="X41" s="696"/>
      <c r="Y41" s="699"/>
      <c r="Z41" s="381"/>
      <c r="AA41" s="382"/>
      <c r="AB41" s="382"/>
      <c r="AC41" s="382"/>
      <c r="AD41" s="382"/>
      <c r="AE41" s="382"/>
      <c r="AF41" s="382"/>
      <c r="AG41" s="382"/>
      <c r="AH41" s="382"/>
      <c r="AI41" s="382"/>
      <c r="AJ41" s="383"/>
      <c r="AK41" s="171"/>
      <c r="AL41" s="171"/>
      <c r="AM41" s="19"/>
      <c r="AN41" s="19"/>
      <c r="AO41" s="19"/>
      <c r="AP41" s="19"/>
      <c r="AQ41" s="19"/>
      <c r="AR41" s="19"/>
      <c r="AS41" s="19"/>
      <c r="AT41" s="5"/>
      <c r="AU41" s="5"/>
      <c r="AV41" s="5"/>
      <c r="AW41" s="5"/>
      <c r="AX41" s="5"/>
      <c r="AY41" s="5"/>
      <c r="AZ41" s="5"/>
      <c r="BA41" s="5"/>
      <c r="BB41" s="5"/>
      <c r="BC41" s="5"/>
    </row>
    <row r="42" spans="1:55" ht="22.5" x14ac:dyDescent="0.25">
      <c r="A42" s="713"/>
      <c r="B42" s="696"/>
      <c r="C42" s="696"/>
      <c r="D42" s="384" t="s">
        <v>370</v>
      </c>
      <c r="E42" s="388">
        <v>0</v>
      </c>
      <c r="F42" s="388">
        <v>0</v>
      </c>
      <c r="G42" s="388">
        <v>0</v>
      </c>
      <c r="H42" s="388">
        <v>0</v>
      </c>
      <c r="I42" s="390"/>
      <c r="J42" s="388">
        <v>0</v>
      </c>
      <c r="K42" s="388">
        <v>0</v>
      </c>
      <c r="L42" s="388">
        <v>0</v>
      </c>
      <c r="M42" s="386"/>
      <c r="N42" s="696"/>
      <c r="O42" s="696"/>
      <c r="P42" s="696"/>
      <c r="Q42" s="696"/>
      <c r="R42" s="696"/>
      <c r="S42" s="696"/>
      <c r="T42" s="696"/>
      <c r="U42" s="696"/>
      <c r="V42" s="696"/>
      <c r="W42" s="696"/>
      <c r="X42" s="696"/>
      <c r="Y42" s="699"/>
      <c r="Z42" s="381"/>
      <c r="AA42" s="382"/>
      <c r="AB42" s="382"/>
      <c r="AC42" s="382"/>
      <c r="AD42" s="382"/>
      <c r="AE42" s="382"/>
      <c r="AF42" s="382"/>
      <c r="AG42" s="382"/>
      <c r="AH42" s="382"/>
      <c r="AI42" s="382"/>
      <c r="AJ42" s="383"/>
      <c r="AK42" s="171"/>
      <c r="AL42" s="171"/>
      <c r="AM42" s="19"/>
      <c r="AN42" s="19"/>
      <c r="AO42" s="19"/>
      <c r="AP42" s="19"/>
      <c r="AQ42" s="19"/>
      <c r="AR42" s="19"/>
      <c r="AS42" s="19"/>
      <c r="AT42" s="5"/>
      <c r="AU42" s="5"/>
      <c r="AV42" s="5"/>
      <c r="AW42" s="5"/>
      <c r="AX42" s="5"/>
      <c r="AY42" s="5"/>
      <c r="AZ42" s="5"/>
      <c r="BA42" s="5"/>
      <c r="BB42" s="5"/>
      <c r="BC42" s="5"/>
    </row>
    <row r="43" spans="1:55" x14ac:dyDescent="0.25">
      <c r="A43" s="713"/>
      <c r="B43" s="696"/>
      <c r="C43" s="722" t="s">
        <v>385</v>
      </c>
      <c r="D43" s="389" t="s">
        <v>348</v>
      </c>
      <c r="E43" s="387">
        <v>2</v>
      </c>
      <c r="F43" s="387">
        <v>2</v>
      </c>
      <c r="G43" s="390">
        <v>3</v>
      </c>
      <c r="H43" s="390">
        <v>2</v>
      </c>
      <c r="I43" s="390"/>
      <c r="J43" s="387">
        <v>2</v>
      </c>
      <c r="K43" s="387">
        <v>3</v>
      </c>
      <c r="L43" s="387">
        <v>5</v>
      </c>
      <c r="M43" s="390"/>
      <c r="N43" s="722" t="s">
        <v>385</v>
      </c>
      <c r="O43" s="718" t="s">
        <v>350</v>
      </c>
      <c r="P43" s="718" t="s">
        <v>351</v>
      </c>
      <c r="Q43" s="718" t="s">
        <v>352</v>
      </c>
      <c r="R43" s="720" t="s">
        <v>353</v>
      </c>
      <c r="S43" s="720">
        <v>887886</v>
      </c>
      <c r="T43" s="696"/>
      <c r="U43" s="720" t="s">
        <v>354</v>
      </c>
      <c r="V43" s="720" t="s">
        <v>355</v>
      </c>
      <c r="W43" s="720" t="s">
        <v>356</v>
      </c>
      <c r="X43" s="720" t="s">
        <v>357</v>
      </c>
      <c r="Y43" s="721">
        <v>887886</v>
      </c>
      <c r="Z43" s="381"/>
      <c r="AA43" s="382"/>
      <c r="AB43" s="382"/>
      <c r="AC43" s="382"/>
      <c r="AD43" s="382"/>
      <c r="AE43" s="382"/>
      <c r="AF43" s="382"/>
      <c r="AG43" s="382"/>
      <c r="AH43" s="382"/>
      <c r="AI43" s="382"/>
      <c r="AJ43" s="383"/>
      <c r="AK43" s="171"/>
      <c r="AL43" s="171"/>
      <c r="AM43" s="19"/>
      <c r="AN43" s="19"/>
      <c r="AO43" s="19"/>
      <c r="AP43" s="19"/>
      <c r="AQ43" s="19"/>
      <c r="AR43" s="19"/>
      <c r="AS43" s="19"/>
      <c r="AT43" s="5"/>
      <c r="AU43" s="5"/>
      <c r="AV43" s="5"/>
      <c r="AW43" s="5"/>
      <c r="AX43" s="5"/>
      <c r="AY43" s="5"/>
      <c r="AZ43" s="5"/>
      <c r="BA43" s="5"/>
      <c r="BB43" s="5"/>
      <c r="BC43" s="5"/>
    </row>
    <row r="44" spans="1:55" x14ac:dyDescent="0.25">
      <c r="A44" s="713"/>
      <c r="B44" s="696"/>
      <c r="C44" s="696"/>
      <c r="D44" s="384" t="s">
        <v>360</v>
      </c>
      <c r="E44" s="385">
        <f>(E43*$E$8)/$E$7</f>
        <v>6268324.0999999996</v>
      </c>
      <c r="F44" s="385">
        <f>(F43*$F$8)/$F$7</f>
        <v>6268324.0999999996</v>
      </c>
      <c r="G44" s="385">
        <f>(G43*$G$8)/$G$7</f>
        <v>9402486.1500000004</v>
      </c>
      <c r="H44" s="385">
        <f>(H43*$H$8)/$H$7</f>
        <v>6306420</v>
      </c>
      <c r="I44" s="386"/>
      <c r="J44" s="385">
        <f>(J43*$J$8)/$J$7</f>
        <v>21606148</v>
      </c>
      <c r="K44" s="385">
        <f>(K43*$K$8)/$K$7</f>
        <v>13645109.818181818</v>
      </c>
      <c r="L44" s="385">
        <f>(L43*$L$8)/$L$7</f>
        <v>15367626.503067484</v>
      </c>
      <c r="M44" s="386"/>
      <c r="N44" s="696"/>
      <c r="O44" s="696"/>
      <c r="P44" s="696"/>
      <c r="Q44" s="696"/>
      <c r="R44" s="696"/>
      <c r="S44" s="696"/>
      <c r="T44" s="696"/>
      <c r="U44" s="696"/>
      <c r="V44" s="696"/>
      <c r="W44" s="696"/>
      <c r="X44" s="696"/>
      <c r="Y44" s="699"/>
      <c r="Z44" s="381"/>
      <c r="AA44" s="382"/>
      <c r="AB44" s="382"/>
      <c r="AC44" s="382"/>
      <c r="AD44" s="382"/>
      <c r="AE44" s="382"/>
      <c r="AF44" s="382"/>
      <c r="AG44" s="382"/>
      <c r="AH44" s="382"/>
      <c r="AI44" s="382"/>
      <c r="AJ44" s="383"/>
      <c r="AK44" s="171"/>
      <c r="AL44" s="171"/>
      <c r="AM44" s="19"/>
      <c r="AN44" s="19"/>
      <c r="AO44" s="19"/>
      <c r="AP44" s="19"/>
      <c r="AQ44" s="19"/>
      <c r="AR44" s="19"/>
      <c r="AS44" s="19"/>
      <c r="AT44" s="5"/>
      <c r="AU44" s="5"/>
      <c r="AV44" s="5"/>
      <c r="AW44" s="5"/>
      <c r="AX44" s="5"/>
      <c r="AY44" s="5"/>
      <c r="AZ44" s="5"/>
      <c r="BA44" s="5"/>
      <c r="BB44" s="5"/>
      <c r="BC44" s="5"/>
    </row>
    <row r="45" spans="1:55" x14ac:dyDescent="0.25">
      <c r="A45" s="713"/>
      <c r="B45" s="696"/>
      <c r="C45" s="696"/>
      <c r="D45" s="384" t="s">
        <v>365</v>
      </c>
      <c r="E45" s="387">
        <v>0</v>
      </c>
      <c r="F45" s="387">
        <v>0</v>
      </c>
      <c r="G45" s="387">
        <v>0</v>
      </c>
      <c r="H45" s="387">
        <v>0</v>
      </c>
      <c r="I45" s="390"/>
      <c r="J45" s="387">
        <v>0</v>
      </c>
      <c r="K45" s="387">
        <v>0</v>
      </c>
      <c r="L45" s="387">
        <v>0</v>
      </c>
      <c r="M45" s="390"/>
      <c r="N45" s="696"/>
      <c r="O45" s="696"/>
      <c r="P45" s="696"/>
      <c r="Q45" s="696"/>
      <c r="R45" s="696"/>
      <c r="S45" s="696"/>
      <c r="T45" s="696"/>
      <c r="U45" s="696"/>
      <c r="V45" s="696"/>
      <c r="W45" s="696"/>
      <c r="X45" s="696"/>
      <c r="Y45" s="699"/>
      <c r="Z45" s="381"/>
      <c r="AA45" s="382"/>
      <c r="AB45" s="382"/>
      <c r="AC45" s="382"/>
      <c r="AD45" s="382"/>
      <c r="AE45" s="382"/>
      <c r="AF45" s="382"/>
      <c r="AG45" s="382"/>
      <c r="AH45" s="382"/>
      <c r="AI45" s="382"/>
      <c r="AJ45" s="383"/>
      <c r="AK45" s="171"/>
      <c r="AL45" s="171"/>
      <c r="AM45" s="19"/>
      <c r="AN45" s="19"/>
      <c r="AO45" s="19"/>
      <c r="AP45" s="19"/>
      <c r="AQ45" s="19"/>
      <c r="AR45" s="19"/>
      <c r="AS45" s="19"/>
      <c r="AT45" s="5"/>
      <c r="AU45" s="5"/>
      <c r="AV45" s="5"/>
      <c r="AW45" s="5"/>
      <c r="AX45" s="5"/>
      <c r="AY45" s="5"/>
      <c r="AZ45" s="5"/>
      <c r="BA45" s="5"/>
      <c r="BB45" s="5"/>
      <c r="BC45" s="5"/>
    </row>
    <row r="46" spans="1:55" ht="22.5" x14ac:dyDescent="0.25">
      <c r="A46" s="713"/>
      <c r="B46" s="696"/>
      <c r="C46" s="696"/>
      <c r="D46" s="384" t="s">
        <v>370</v>
      </c>
      <c r="E46" s="388">
        <v>0</v>
      </c>
      <c r="F46" s="388">
        <v>0</v>
      </c>
      <c r="G46" s="388">
        <v>0</v>
      </c>
      <c r="H46" s="388">
        <v>0</v>
      </c>
      <c r="I46" s="390"/>
      <c r="J46" s="388">
        <v>0</v>
      </c>
      <c r="K46" s="388">
        <v>0</v>
      </c>
      <c r="L46" s="388">
        <v>0</v>
      </c>
      <c r="M46" s="386"/>
      <c r="N46" s="696"/>
      <c r="O46" s="696"/>
      <c r="P46" s="696"/>
      <c r="Q46" s="696"/>
      <c r="R46" s="696"/>
      <c r="S46" s="696"/>
      <c r="T46" s="696"/>
      <c r="U46" s="696"/>
      <c r="V46" s="696"/>
      <c r="W46" s="696"/>
      <c r="X46" s="696"/>
      <c r="Y46" s="699"/>
      <c r="Z46" s="381"/>
      <c r="AA46" s="382"/>
      <c r="AB46" s="382"/>
      <c r="AC46" s="382"/>
      <c r="AD46" s="382"/>
      <c r="AE46" s="382"/>
      <c r="AF46" s="382"/>
      <c r="AG46" s="382"/>
      <c r="AH46" s="382"/>
      <c r="AI46" s="382"/>
      <c r="AJ46" s="383"/>
      <c r="AK46" s="171"/>
      <c r="AL46" s="171"/>
      <c r="AM46" s="19"/>
      <c r="AN46" s="19"/>
      <c r="AO46" s="19"/>
      <c r="AP46" s="19"/>
      <c r="AQ46" s="19"/>
      <c r="AR46" s="19"/>
      <c r="AS46" s="19"/>
      <c r="AT46" s="5"/>
      <c r="AU46" s="5"/>
      <c r="AV46" s="5"/>
      <c r="AW46" s="5"/>
      <c r="AX46" s="5"/>
      <c r="AY46" s="5"/>
      <c r="AZ46" s="5"/>
      <c r="BA46" s="5"/>
      <c r="BB46" s="5"/>
      <c r="BC46" s="5"/>
    </row>
    <row r="47" spans="1:55" ht="22.5" x14ac:dyDescent="0.25">
      <c r="A47" s="713"/>
      <c r="B47" s="696"/>
      <c r="C47" s="722" t="s">
        <v>386</v>
      </c>
      <c r="D47" s="389" t="s">
        <v>348</v>
      </c>
      <c r="E47" s="387">
        <v>5</v>
      </c>
      <c r="F47" s="387">
        <v>5</v>
      </c>
      <c r="G47" s="390">
        <v>13</v>
      </c>
      <c r="H47" s="390">
        <v>4</v>
      </c>
      <c r="I47" s="390"/>
      <c r="J47" s="387">
        <v>5</v>
      </c>
      <c r="K47" s="387">
        <v>13</v>
      </c>
      <c r="L47" s="387">
        <v>17</v>
      </c>
      <c r="M47" s="390"/>
      <c r="N47" s="722" t="s">
        <v>387</v>
      </c>
      <c r="O47" s="718" t="s">
        <v>350</v>
      </c>
      <c r="P47" s="718" t="s">
        <v>351</v>
      </c>
      <c r="Q47" s="718" t="s">
        <v>352</v>
      </c>
      <c r="R47" s="720" t="s">
        <v>353</v>
      </c>
      <c r="S47" s="720">
        <v>424038</v>
      </c>
      <c r="T47" s="696"/>
      <c r="U47" s="720" t="s">
        <v>354</v>
      </c>
      <c r="V47" s="720" t="s">
        <v>355</v>
      </c>
      <c r="W47" s="720" t="s">
        <v>356</v>
      </c>
      <c r="X47" s="720" t="s">
        <v>357</v>
      </c>
      <c r="Y47" s="721">
        <v>424038</v>
      </c>
      <c r="Z47" s="381"/>
      <c r="AA47" s="382">
        <v>12</v>
      </c>
      <c r="AB47" s="382" t="s">
        <v>358</v>
      </c>
      <c r="AC47" s="382"/>
      <c r="AD47" s="382"/>
      <c r="AE47" s="382"/>
      <c r="AF47" s="382" t="s">
        <v>359</v>
      </c>
      <c r="AG47" s="382"/>
      <c r="AH47" s="382"/>
      <c r="AI47" s="382"/>
      <c r="AJ47" s="383"/>
      <c r="AK47" s="171"/>
      <c r="AL47" s="171"/>
      <c r="AM47" s="19"/>
      <c r="AN47" s="19"/>
      <c r="AO47" s="19"/>
      <c r="AP47" s="19"/>
      <c r="AQ47" s="19"/>
      <c r="AR47" s="19"/>
      <c r="AS47" s="19"/>
      <c r="AT47" s="5"/>
      <c r="AU47" s="5"/>
      <c r="AV47" s="5"/>
      <c r="AW47" s="5"/>
      <c r="AX47" s="5"/>
      <c r="AY47" s="5"/>
      <c r="AZ47" s="5"/>
      <c r="BA47" s="5"/>
      <c r="BB47" s="5"/>
      <c r="BC47" s="5"/>
    </row>
    <row r="48" spans="1:55" ht="21.75" customHeight="1" x14ac:dyDescent="0.25">
      <c r="A48" s="713"/>
      <c r="B48" s="696"/>
      <c r="C48" s="696"/>
      <c r="D48" s="384" t="s">
        <v>360</v>
      </c>
      <c r="E48" s="385">
        <f>(E47*$E$8)/$E$7</f>
        <v>15670810.25</v>
      </c>
      <c r="F48" s="385">
        <f>(F47*$F$8)/$F$7</f>
        <v>15670810.25</v>
      </c>
      <c r="G48" s="385">
        <f>(G47*$G$8)/$G$7</f>
        <v>40744106.649999999</v>
      </c>
      <c r="H48" s="385">
        <f>(H47*$H$8)/$H$7</f>
        <v>12612840</v>
      </c>
      <c r="I48" s="386"/>
      <c r="J48" s="385">
        <f>(J47*$J$8)/$J$7</f>
        <v>54015370</v>
      </c>
      <c r="K48" s="385">
        <f>(K47*$K$8)/$K$7</f>
        <v>59128809.212121211</v>
      </c>
      <c r="L48" s="385">
        <v>59128809.212121211</v>
      </c>
      <c r="M48" s="386"/>
      <c r="N48" s="696"/>
      <c r="O48" s="696"/>
      <c r="P48" s="696"/>
      <c r="Q48" s="696"/>
      <c r="R48" s="696"/>
      <c r="S48" s="696"/>
      <c r="T48" s="696"/>
      <c r="U48" s="696"/>
      <c r="V48" s="696"/>
      <c r="W48" s="696"/>
      <c r="X48" s="696"/>
      <c r="Y48" s="699"/>
      <c r="Z48" s="381"/>
      <c r="AA48" s="382">
        <v>13</v>
      </c>
      <c r="AB48" s="382" t="s">
        <v>363</v>
      </c>
      <c r="AC48" s="382"/>
      <c r="AD48" s="382"/>
      <c r="AE48" s="382"/>
      <c r="AF48" s="382" t="s">
        <v>364</v>
      </c>
      <c r="AG48" s="382"/>
      <c r="AH48" s="382"/>
      <c r="AI48" s="382"/>
      <c r="AJ48" s="383"/>
      <c r="AK48" s="171"/>
      <c r="AL48" s="171"/>
      <c r="AM48" s="19"/>
      <c r="AN48" s="19"/>
      <c r="AO48" s="19"/>
      <c r="AP48" s="19"/>
      <c r="AQ48" s="19"/>
      <c r="AR48" s="19"/>
      <c r="AS48" s="19"/>
      <c r="AT48" s="5"/>
      <c r="AU48" s="5"/>
      <c r="AV48" s="5"/>
      <c r="AW48" s="5"/>
      <c r="AX48" s="5"/>
      <c r="AY48" s="5"/>
      <c r="AZ48" s="5"/>
      <c r="BA48" s="5"/>
      <c r="BB48" s="5"/>
      <c r="BC48" s="5"/>
    </row>
    <row r="49" spans="1:55" ht="18.75" customHeight="1" x14ac:dyDescent="0.25">
      <c r="A49" s="713"/>
      <c r="B49" s="696"/>
      <c r="C49" s="696"/>
      <c r="D49" s="384" t="s">
        <v>365</v>
      </c>
      <c r="E49" s="387">
        <v>0</v>
      </c>
      <c r="F49" s="387">
        <v>0</v>
      </c>
      <c r="G49" s="387">
        <v>0</v>
      </c>
      <c r="H49" s="387">
        <v>0</v>
      </c>
      <c r="I49" s="390"/>
      <c r="J49" s="387">
        <v>0</v>
      </c>
      <c r="K49" s="387">
        <v>0</v>
      </c>
      <c r="L49" s="387">
        <v>0</v>
      </c>
      <c r="M49" s="390"/>
      <c r="N49" s="696"/>
      <c r="O49" s="696"/>
      <c r="P49" s="696"/>
      <c r="Q49" s="696"/>
      <c r="R49" s="696"/>
      <c r="S49" s="696"/>
      <c r="T49" s="696"/>
      <c r="U49" s="696"/>
      <c r="V49" s="696"/>
      <c r="W49" s="696"/>
      <c r="X49" s="696"/>
      <c r="Y49" s="699"/>
      <c r="Z49" s="381"/>
      <c r="AA49" s="382">
        <v>14</v>
      </c>
      <c r="AB49" s="382" t="s">
        <v>367</v>
      </c>
      <c r="AC49" s="382"/>
      <c r="AD49" s="382"/>
      <c r="AE49" s="382"/>
      <c r="AF49" s="382" t="s">
        <v>369</v>
      </c>
      <c r="AG49" s="382"/>
      <c r="AH49" s="382"/>
      <c r="AI49" s="382"/>
      <c r="AJ49" s="383"/>
      <c r="AK49" s="171"/>
      <c r="AL49" s="171"/>
      <c r="AM49" s="19"/>
      <c r="AN49" s="19"/>
      <c r="AO49" s="19"/>
      <c r="AP49" s="19"/>
      <c r="AQ49" s="19"/>
      <c r="AR49" s="19"/>
      <c r="AS49" s="19"/>
      <c r="AT49" s="5"/>
      <c r="AU49" s="5"/>
      <c r="AV49" s="5"/>
      <c r="AW49" s="5"/>
      <c r="AX49" s="5"/>
      <c r="AY49" s="5"/>
      <c r="AZ49" s="5"/>
      <c r="BA49" s="5"/>
      <c r="BB49" s="5"/>
      <c r="BC49" s="5"/>
    </row>
    <row r="50" spans="1:55" ht="22.5" x14ac:dyDescent="0.25">
      <c r="A50" s="713"/>
      <c r="B50" s="696"/>
      <c r="C50" s="696"/>
      <c r="D50" s="384" t="s">
        <v>370</v>
      </c>
      <c r="E50" s="388">
        <v>0</v>
      </c>
      <c r="F50" s="388">
        <v>0</v>
      </c>
      <c r="G50" s="388">
        <v>0</v>
      </c>
      <c r="H50" s="388">
        <v>0</v>
      </c>
      <c r="I50" s="390"/>
      <c r="J50" s="388">
        <v>0</v>
      </c>
      <c r="K50" s="388">
        <v>0</v>
      </c>
      <c r="L50" s="388">
        <v>0</v>
      </c>
      <c r="M50" s="386"/>
      <c r="N50" s="696"/>
      <c r="O50" s="696"/>
      <c r="P50" s="696"/>
      <c r="Q50" s="696"/>
      <c r="R50" s="696"/>
      <c r="S50" s="696"/>
      <c r="T50" s="696"/>
      <c r="U50" s="696"/>
      <c r="V50" s="696"/>
      <c r="W50" s="696"/>
      <c r="X50" s="696"/>
      <c r="Y50" s="699"/>
      <c r="Z50" s="381"/>
      <c r="AA50" s="382"/>
      <c r="AB50" s="382"/>
      <c r="AC50" s="382"/>
      <c r="AD50" s="382"/>
      <c r="AE50" s="382"/>
      <c r="AF50" s="382"/>
      <c r="AG50" s="382"/>
      <c r="AH50" s="382"/>
      <c r="AI50" s="382"/>
      <c r="AJ50" s="383"/>
      <c r="AK50" s="171"/>
      <c r="AL50" s="171"/>
      <c r="AM50" s="19"/>
      <c r="AN50" s="19"/>
      <c r="AO50" s="19"/>
      <c r="AP50" s="19"/>
      <c r="AQ50" s="19"/>
      <c r="AR50" s="19"/>
      <c r="AS50" s="19"/>
      <c r="AT50" s="5"/>
      <c r="AU50" s="5"/>
      <c r="AV50" s="5"/>
      <c r="AW50" s="5"/>
      <c r="AX50" s="5"/>
      <c r="AY50" s="5"/>
      <c r="AZ50" s="5"/>
      <c r="BA50" s="5"/>
      <c r="BB50" s="5"/>
      <c r="BC50" s="5"/>
    </row>
    <row r="51" spans="1:55" ht="22.5" x14ac:dyDescent="0.25">
      <c r="A51" s="713"/>
      <c r="B51" s="696"/>
      <c r="C51" s="722" t="s">
        <v>393</v>
      </c>
      <c r="D51" s="389" t="s">
        <v>348</v>
      </c>
      <c r="E51" s="387">
        <v>1</v>
      </c>
      <c r="F51" s="387">
        <v>1</v>
      </c>
      <c r="G51" s="390">
        <v>9</v>
      </c>
      <c r="H51" s="390">
        <v>4</v>
      </c>
      <c r="I51" s="390"/>
      <c r="J51" s="387">
        <v>1</v>
      </c>
      <c r="K51" s="390">
        <v>9</v>
      </c>
      <c r="L51" s="390">
        <v>13</v>
      </c>
      <c r="M51" s="390"/>
      <c r="N51" s="722" t="s">
        <v>393</v>
      </c>
      <c r="O51" s="718" t="s">
        <v>350</v>
      </c>
      <c r="P51" s="718" t="s">
        <v>351</v>
      </c>
      <c r="Q51" s="718" t="s">
        <v>352</v>
      </c>
      <c r="R51" s="720" t="s">
        <v>353</v>
      </c>
      <c r="S51" s="720">
        <v>1230539</v>
      </c>
      <c r="T51" s="696"/>
      <c r="U51" s="720" t="s">
        <v>354</v>
      </c>
      <c r="V51" s="720" t="s">
        <v>355</v>
      </c>
      <c r="W51" s="720" t="s">
        <v>356</v>
      </c>
      <c r="X51" s="720" t="s">
        <v>357</v>
      </c>
      <c r="Y51" s="721">
        <v>1230539</v>
      </c>
      <c r="Z51" s="381"/>
      <c r="AA51" s="382">
        <v>12</v>
      </c>
      <c r="AB51" s="382" t="s">
        <v>358</v>
      </c>
      <c r="AC51" s="382"/>
      <c r="AD51" s="382"/>
      <c r="AE51" s="382"/>
      <c r="AF51" s="382" t="s">
        <v>359</v>
      </c>
      <c r="AG51" s="382"/>
      <c r="AH51" s="382"/>
      <c r="AI51" s="382"/>
      <c r="AJ51" s="383"/>
      <c r="AK51" s="171"/>
      <c r="AL51" s="171"/>
      <c r="AM51" s="19"/>
      <c r="AN51" s="19"/>
      <c r="AO51" s="19"/>
      <c r="AP51" s="19"/>
      <c r="AQ51" s="19"/>
      <c r="AR51" s="19"/>
      <c r="AS51" s="19"/>
      <c r="AT51" s="5"/>
      <c r="AU51" s="5"/>
      <c r="AV51" s="5"/>
      <c r="AW51" s="5"/>
      <c r="AX51" s="5"/>
      <c r="AY51" s="5"/>
      <c r="AZ51" s="5"/>
      <c r="BA51" s="5"/>
      <c r="BB51" s="5"/>
      <c r="BC51" s="5"/>
    </row>
    <row r="52" spans="1:55" ht="11.25" customHeight="1" x14ac:dyDescent="0.25">
      <c r="A52" s="713"/>
      <c r="B52" s="696"/>
      <c r="C52" s="696"/>
      <c r="D52" s="384" t="s">
        <v>360</v>
      </c>
      <c r="E52" s="385">
        <f>(E51*$E$8)/$E$7</f>
        <v>3134162.05</v>
      </c>
      <c r="F52" s="385">
        <f>(F51*$F$8)/$F$7</f>
        <v>3134162.05</v>
      </c>
      <c r="G52" s="385">
        <f>(G51*$G$8)/$G$7</f>
        <v>28207458.449999999</v>
      </c>
      <c r="H52" s="385">
        <f>(H51*$H$8)/$H$7</f>
        <v>12612840</v>
      </c>
      <c r="I52" s="386"/>
      <c r="J52" s="385">
        <f>(J51*$J$8)/$J$7</f>
        <v>10803074</v>
      </c>
      <c r="K52" s="385">
        <f>(K51*$K$8)/$K$7</f>
        <v>40935329.454545453</v>
      </c>
      <c r="L52" s="385">
        <v>40935329.454545453</v>
      </c>
      <c r="M52" s="386"/>
      <c r="N52" s="696"/>
      <c r="O52" s="696"/>
      <c r="P52" s="696"/>
      <c r="Q52" s="696"/>
      <c r="R52" s="696"/>
      <c r="S52" s="696"/>
      <c r="T52" s="696"/>
      <c r="U52" s="696"/>
      <c r="V52" s="696"/>
      <c r="W52" s="696"/>
      <c r="X52" s="696"/>
      <c r="Y52" s="699"/>
      <c r="Z52" s="381"/>
      <c r="AA52" s="382">
        <v>13</v>
      </c>
      <c r="AB52" s="382" t="s">
        <v>363</v>
      </c>
      <c r="AC52" s="382"/>
      <c r="AD52" s="382"/>
      <c r="AE52" s="382"/>
      <c r="AF52" s="382" t="s">
        <v>364</v>
      </c>
      <c r="AG52" s="382"/>
      <c r="AH52" s="382"/>
      <c r="AI52" s="382"/>
      <c r="AJ52" s="383"/>
      <c r="AK52" s="171"/>
      <c r="AL52" s="171"/>
      <c r="AM52" s="19"/>
      <c r="AN52" s="19"/>
      <c r="AO52" s="19"/>
      <c r="AP52" s="19"/>
      <c r="AQ52" s="19"/>
      <c r="AR52" s="19"/>
      <c r="AS52" s="19"/>
      <c r="AT52" s="5"/>
      <c r="AU52" s="5"/>
      <c r="AV52" s="5"/>
      <c r="AW52" s="5"/>
      <c r="AX52" s="5"/>
      <c r="AY52" s="5"/>
      <c r="AZ52" s="5"/>
      <c r="BA52" s="5"/>
      <c r="BB52" s="5"/>
      <c r="BC52" s="5"/>
    </row>
    <row r="53" spans="1:55" ht="23.25" customHeight="1" x14ac:dyDescent="0.25">
      <c r="A53" s="713"/>
      <c r="B53" s="696"/>
      <c r="C53" s="696"/>
      <c r="D53" s="384" t="s">
        <v>365</v>
      </c>
      <c r="E53" s="387">
        <v>0</v>
      </c>
      <c r="F53" s="387">
        <v>0</v>
      </c>
      <c r="G53" s="387">
        <v>0</v>
      </c>
      <c r="H53" s="387">
        <v>0</v>
      </c>
      <c r="I53" s="390"/>
      <c r="J53" s="387">
        <v>0</v>
      </c>
      <c r="K53" s="387">
        <v>0</v>
      </c>
      <c r="L53" s="387">
        <v>0</v>
      </c>
      <c r="M53" s="390"/>
      <c r="N53" s="696"/>
      <c r="O53" s="696"/>
      <c r="P53" s="696"/>
      <c r="Q53" s="696"/>
      <c r="R53" s="696"/>
      <c r="S53" s="696"/>
      <c r="T53" s="696"/>
      <c r="U53" s="696"/>
      <c r="V53" s="696"/>
      <c r="W53" s="696"/>
      <c r="X53" s="696"/>
      <c r="Y53" s="699"/>
      <c r="Z53" s="381"/>
      <c r="AA53" s="382">
        <v>14</v>
      </c>
      <c r="AB53" s="382" t="s">
        <v>367</v>
      </c>
      <c r="AC53" s="382"/>
      <c r="AD53" s="382"/>
      <c r="AE53" s="382"/>
      <c r="AF53" s="382" t="s">
        <v>369</v>
      </c>
      <c r="AG53" s="382"/>
      <c r="AH53" s="382"/>
      <c r="AI53" s="382"/>
      <c r="AJ53" s="383"/>
      <c r="AK53" s="171"/>
      <c r="AL53" s="171"/>
      <c r="AM53" s="19"/>
      <c r="AN53" s="19"/>
      <c r="AO53" s="19"/>
      <c r="AP53" s="19"/>
      <c r="AQ53" s="19"/>
      <c r="AR53" s="19"/>
      <c r="AS53" s="19"/>
      <c r="AT53" s="5"/>
      <c r="AU53" s="5"/>
      <c r="AV53" s="5"/>
      <c r="AW53" s="5"/>
      <c r="AX53" s="5"/>
      <c r="AY53" s="5"/>
      <c r="AZ53" s="5"/>
      <c r="BA53" s="5"/>
      <c r="BB53" s="5"/>
      <c r="BC53" s="5"/>
    </row>
    <row r="54" spans="1:55" ht="22.5" x14ac:dyDescent="0.25">
      <c r="A54" s="713"/>
      <c r="B54" s="696"/>
      <c r="C54" s="696"/>
      <c r="D54" s="384" t="s">
        <v>370</v>
      </c>
      <c r="E54" s="388">
        <v>0</v>
      </c>
      <c r="F54" s="388">
        <v>0</v>
      </c>
      <c r="G54" s="388">
        <v>0</v>
      </c>
      <c r="H54" s="388">
        <v>0</v>
      </c>
      <c r="I54" s="390"/>
      <c r="J54" s="388">
        <v>0</v>
      </c>
      <c r="K54" s="388">
        <v>0</v>
      </c>
      <c r="L54" s="388">
        <v>0</v>
      </c>
      <c r="M54" s="386"/>
      <c r="N54" s="696"/>
      <c r="O54" s="696"/>
      <c r="P54" s="696"/>
      <c r="Q54" s="696"/>
      <c r="R54" s="696"/>
      <c r="S54" s="696"/>
      <c r="T54" s="696"/>
      <c r="U54" s="696"/>
      <c r="V54" s="696"/>
      <c r="W54" s="696"/>
      <c r="X54" s="696"/>
      <c r="Y54" s="699"/>
      <c r="Z54" s="381"/>
      <c r="AA54" s="382"/>
      <c r="AB54" s="382"/>
      <c r="AC54" s="382"/>
      <c r="AD54" s="382"/>
      <c r="AE54" s="382"/>
      <c r="AF54" s="382"/>
      <c r="AG54" s="382"/>
      <c r="AH54" s="382"/>
      <c r="AI54" s="382"/>
      <c r="AJ54" s="383"/>
      <c r="AK54" s="171"/>
      <c r="AL54" s="171"/>
      <c r="AM54" s="19"/>
      <c r="AN54" s="19"/>
      <c r="AO54" s="19"/>
      <c r="AP54" s="19"/>
      <c r="AQ54" s="19"/>
      <c r="AR54" s="19"/>
      <c r="AS54" s="19"/>
      <c r="AT54" s="5"/>
      <c r="AU54" s="5"/>
      <c r="AV54" s="5"/>
      <c r="AW54" s="5"/>
      <c r="AX54" s="5"/>
      <c r="AY54" s="5"/>
      <c r="AZ54" s="5"/>
      <c r="BA54" s="5"/>
      <c r="BB54" s="5"/>
      <c r="BC54" s="5"/>
    </row>
    <row r="55" spans="1:55" ht="12.75" customHeight="1" x14ac:dyDescent="0.25">
      <c r="A55" s="713"/>
      <c r="B55" s="696"/>
      <c r="C55" s="722" t="s">
        <v>394</v>
      </c>
      <c r="D55" s="389" t="s">
        <v>348</v>
      </c>
      <c r="E55" s="387">
        <v>1</v>
      </c>
      <c r="F55" s="387">
        <v>1</v>
      </c>
      <c r="G55" s="390">
        <v>1</v>
      </c>
      <c r="H55" s="390">
        <v>2</v>
      </c>
      <c r="I55" s="390"/>
      <c r="J55" s="387">
        <v>1</v>
      </c>
      <c r="K55" s="390">
        <v>1</v>
      </c>
      <c r="L55" s="390">
        <v>3</v>
      </c>
      <c r="M55" s="390"/>
      <c r="N55" s="722" t="s">
        <v>394</v>
      </c>
      <c r="O55" s="718" t="s">
        <v>350</v>
      </c>
      <c r="P55" s="718" t="s">
        <v>351</v>
      </c>
      <c r="Q55" s="718" t="s">
        <v>352</v>
      </c>
      <c r="R55" s="720" t="s">
        <v>353</v>
      </c>
      <c r="S55" s="720">
        <v>93248</v>
      </c>
      <c r="T55" s="696"/>
      <c r="U55" s="720" t="s">
        <v>354</v>
      </c>
      <c r="V55" s="720" t="s">
        <v>355</v>
      </c>
      <c r="W55" s="720" t="s">
        <v>356</v>
      </c>
      <c r="X55" s="720" t="s">
        <v>357</v>
      </c>
      <c r="Y55" s="721">
        <v>93248</v>
      </c>
      <c r="Z55" s="381"/>
      <c r="AA55" s="382">
        <v>12</v>
      </c>
      <c r="AB55" s="382" t="s">
        <v>358</v>
      </c>
      <c r="AC55" s="382"/>
      <c r="AD55" s="382"/>
      <c r="AE55" s="382"/>
      <c r="AF55" s="382" t="s">
        <v>359</v>
      </c>
      <c r="AG55" s="382"/>
      <c r="AH55" s="382"/>
      <c r="AI55" s="382"/>
      <c r="AJ55" s="383"/>
      <c r="AK55" s="171"/>
      <c r="AL55" s="171"/>
      <c r="AM55" s="19"/>
      <c r="AN55" s="19"/>
      <c r="AO55" s="19"/>
      <c r="AP55" s="19"/>
      <c r="AQ55" s="19"/>
      <c r="AR55" s="19"/>
      <c r="AS55" s="19"/>
      <c r="AT55" s="5"/>
      <c r="AU55" s="5"/>
      <c r="AV55" s="5"/>
      <c r="AW55" s="5"/>
      <c r="AX55" s="5"/>
      <c r="AY55" s="5"/>
      <c r="AZ55" s="5"/>
      <c r="BA55" s="5"/>
      <c r="BB55" s="5"/>
      <c r="BC55" s="5"/>
    </row>
    <row r="56" spans="1:55" ht="12" customHeight="1" x14ac:dyDescent="0.25">
      <c r="A56" s="713"/>
      <c r="B56" s="696"/>
      <c r="C56" s="696"/>
      <c r="D56" s="384" t="s">
        <v>360</v>
      </c>
      <c r="E56" s="385">
        <f>(E55*$E$8)/$E$7</f>
        <v>3134162.05</v>
      </c>
      <c r="F56" s="385">
        <f>(F55*$F$8)/$F$7</f>
        <v>3134162.05</v>
      </c>
      <c r="G56" s="385">
        <f>(G55*$G$8)/$G$7</f>
        <v>3134162.05</v>
      </c>
      <c r="H56" s="385">
        <f>(H55*$H$8)/$H$7</f>
        <v>6306420</v>
      </c>
      <c r="I56" s="386"/>
      <c r="J56" s="385">
        <f>(J55*$J$8)/$J$7</f>
        <v>10803074</v>
      </c>
      <c r="K56" s="385">
        <f>(K55*$K$8)/$K$7</f>
        <v>4548369.9393939395</v>
      </c>
      <c r="L56" s="385">
        <f>(L55*$L$8)/$L$7</f>
        <v>9220575.9018404912</v>
      </c>
      <c r="M56" s="386"/>
      <c r="N56" s="696"/>
      <c r="O56" s="696"/>
      <c r="P56" s="696"/>
      <c r="Q56" s="696"/>
      <c r="R56" s="696"/>
      <c r="S56" s="696"/>
      <c r="T56" s="696"/>
      <c r="U56" s="696"/>
      <c r="V56" s="696"/>
      <c r="W56" s="696"/>
      <c r="X56" s="696"/>
      <c r="Y56" s="699"/>
      <c r="Z56" s="381"/>
      <c r="AA56" s="382">
        <v>13</v>
      </c>
      <c r="AB56" s="382" t="s">
        <v>363</v>
      </c>
      <c r="AC56" s="382"/>
      <c r="AD56" s="382"/>
      <c r="AE56" s="382"/>
      <c r="AF56" s="382" t="s">
        <v>364</v>
      </c>
      <c r="AG56" s="382"/>
      <c r="AH56" s="382"/>
      <c r="AI56" s="382"/>
      <c r="AJ56" s="383"/>
      <c r="AK56" s="171"/>
      <c r="AL56" s="171"/>
      <c r="AM56" s="19"/>
      <c r="AN56" s="19"/>
      <c r="AO56" s="19"/>
      <c r="AP56" s="19"/>
      <c r="AQ56" s="19"/>
      <c r="AR56" s="19"/>
      <c r="AS56" s="19"/>
      <c r="AT56" s="5"/>
      <c r="AU56" s="5"/>
      <c r="AV56" s="5"/>
      <c r="AW56" s="5"/>
      <c r="AX56" s="5"/>
      <c r="AY56" s="5"/>
      <c r="AZ56" s="5"/>
      <c r="BA56" s="5"/>
      <c r="BB56" s="5"/>
      <c r="BC56" s="5"/>
    </row>
    <row r="57" spans="1:55" ht="15" customHeight="1" x14ac:dyDescent="0.25">
      <c r="A57" s="713"/>
      <c r="B57" s="696"/>
      <c r="C57" s="696"/>
      <c r="D57" s="384" t="s">
        <v>365</v>
      </c>
      <c r="E57" s="387">
        <v>0</v>
      </c>
      <c r="F57" s="387">
        <v>0</v>
      </c>
      <c r="G57" s="387">
        <v>0</v>
      </c>
      <c r="H57" s="387">
        <v>0</v>
      </c>
      <c r="I57" s="390"/>
      <c r="J57" s="387">
        <v>0</v>
      </c>
      <c r="K57" s="387">
        <v>0</v>
      </c>
      <c r="L57" s="387">
        <v>0</v>
      </c>
      <c r="M57" s="390"/>
      <c r="N57" s="696"/>
      <c r="O57" s="696"/>
      <c r="P57" s="696"/>
      <c r="Q57" s="696"/>
      <c r="R57" s="696"/>
      <c r="S57" s="696"/>
      <c r="T57" s="696"/>
      <c r="U57" s="696"/>
      <c r="V57" s="696"/>
      <c r="W57" s="696"/>
      <c r="X57" s="696"/>
      <c r="Y57" s="699"/>
      <c r="Z57" s="381"/>
      <c r="AA57" s="382">
        <v>14</v>
      </c>
      <c r="AB57" s="382" t="s">
        <v>367</v>
      </c>
      <c r="AC57" s="382"/>
      <c r="AD57" s="382"/>
      <c r="AE57" s="382"/>
      <c r="AF57" s="382" t="s">
        <v>369</v>
      </c>
      <c r="AG57" s="382"/>
      <c r="AH57" s="382"/>
      <c r="AI57" s="382"/>
      <c r="AJ57" s="383"/>
      <c r="AK57" s="171"/>
      <c r="AL57" s="171"/>
      <c r="AM57" s="19"/>
      <c r="AN57" s="19"/>
      <c r="AO57" s="19"/>
      <c r="AP57" s="19"/>
      <c r="AQ57" s="19"/>
      <c r="AR57" s="19"/>
      <c r="AS57" s="19"/>
      <c r="AT57" s="5"/>
      <c r="AU57" s="5"/>
      <c r="AV57" s="5"/>
      <c r="AW57" s="5"/>
      <c r="AX57" s="5"/>
      <c r="AY57" s="5"/>
      <c r="AZ57" s="5"/>
      <c r="BA57" s="5"/>
      <c r="BB57" s="5"/>
      <c r="BC57" s="5"/>
    </row>
    <row r="58" spans="1:55" ht="22.5" x14ac:dyDescent="0.25">
      <c r="A58" s="713"/>
      <c r="B58" s="696"/>
      <c r="C58" s="696"/>
      <c r="D58" s="384" t="s">
        <v>370</v>
      </c>
      <c r="E58" s="388">
        <v>0</v>
      </c>
      <c r="F58" s="388">
        <v>0</v>
      </c>
      <c r="G58" s="388">
        <v>0</v>
      </c>
      <c r="H58" s="388">
        <v>0</v>
      </c>
      <c r="I58" s="390"/>
      <c r="J58" s="388">
        <v>0</v>
      </c>
      <c r="K58" s="388">
        <v>0</v>
      </c>
      <c r="L58" s="388">
        <v>0</v>
      </c>
      <c r="M58" s="386"/>
      <c r="N58" s="696"/>
      <c r="O58" s="696"/>
      <c r="P58" s="696"/>
      <c r="Q58" s="696"/>
      <c r="R58" s="696"/>
      <c r="S58" s="696"/>
      <c r="T58" s="696"/>
      <c r="U58" s="696"/>
      <c r="V58" s="696"/>
      <c r="W58" s="696"/>
      <c r="X58" s="696"/>
      <c r="Y58" s="699"/>
      <c r="Z58" s="381"/>
      <c r="AA58" s="382"/>
      <c r="AB58" s="382"/>
      <c r="AC58" s="382"/>
      <c r="AD58" s="382"/>
      <c r="AE58" s="382"/>
      <c r="AF58" s="382"/>
      <c r="AG58" s="382"/>
      <c r="AH58" s="382"/>
      <c r="AI58" s="382"/>
      <c r="AJ58" s="383"/>
      <c r="AK58" s="171"/>
      <c r="AL58" s="171"/>
      <c r="AM58" s="19"/>
      <c r="AN58" s="19"/>
      <c r="AO58" s="19"/>
      <c r="AP58" s="19"/>
      <c r="AQ58" s="19"/>
      <c r="AR58" s="19"/>
      <c r="AS58" s="19"/>
      <c r="AT58" s="5"/>
      <c r="AU58" s="5"/>
      <c r="AV58" s="5"/>
      <c r="AW58" s="5"/>
      <c r="AX58" s="5"/>
      <c r="AY58" s="5"/>
      <c r="AZ58" s="5"/>
      <c r="BA58" s="5"/>
      <c r="BB58" s="5"/>
      <c r="BC58" s="5"/>
    </row>
    <row r="59" spans="1:55" ht="22.5" x14ac:dyDescent="0.25">
      <c r="A59" s="713"/>
      <c r="B59" s="696"/>
      <c r="C59" s="722" t="s">
        <v>395</v>
      </c>
      <c r="D59" s="389" t="s">
        <v>348</v>
      </c>
      <c r="E59" s="387">
        <v>3</v>
      </c>
      <c r="F59" s="387">
        <v>3</v>
      </c>
      <c r="G59" s="390">
        <v>5</v>
      </c>
      <c r="H59" s="390">
        <v>5</v>
      </c>
      <c r="I59" s="390"/>
      <c r="J59" s="387">
        <v>3</v>
      </c>
      <c r="K59" s="390">
        <v>5</v>
      </c>
      <c r="L59" s="390">
        <v>8</v>
      </c>
      <c r="M59" s="390"/>
      <c r="N59" s="722" t="s">
        <v>396</v>
      </c>
      <c r="O59" s="718" t="s">
        <v>350</v>
      </c>
      <c r="P59" s="718" t="s">
        <v>351</v>
      </c>
      <c r="Q59" s="718" t="s">
        <v>352</v>
      </c>
      <c r="R59" s="720" t="s">
        <v>353</v>
      </c>
      <c r="S59" s="720">
        <v>348023</v>
      </c>
      <c r="T59" s="696"/>
      <c r="U59" s="720" t="s">
        <v>354</v>
      </c>
      <c r="V59" s="720" t="s">
        <v>355</v>
      </c>
      <c r="W59" s="720" t="s">
        <v>356</v>
      </c>
      <c r="X59" s="720" t="s">
        <v>357</v>
      </c>
      <c r="Y59" s="721">
        <v>348023</v>
      </c>
      <c r="Z59" s="381"/>
      <c r="AA59" s="382">
        <v>12</v>
      </c>
      <c r="AB59" s="382" t="s">
        <v>358</v>
      </c>
      <c r="AC59" s="382"/>
      <c r="AD59" s="382"/>
      <c r="AE59" s="382"/>
      <c r="AF59" s="382" t="s">
        <v>359</v>
      </c>
      <c r="AG59" s="382"/>
      <c r="AH59" s="382"/>
      <c r="AI59" s="382"/>
      <c r="AJ59" s="383"/>
      <c r="AK59" s="171"/>
      <c r="AL59" s="171"/>
      <c r="AM59" s="19"/>
      <c r="AN59" s="19"/>
      <c r="AO59" s="19"/>
      <c r="AP59" s="19"/>
      <c r="AQ59" s="19"/>
      <c r="AR59" s="19"/>
      <c r="AS59" s="19"/>
      <c r="AT59" s="5"/>
      <c r="AU59" s="5"/>
      <c r="AV59" s="5"/>
      <c r="AW59" s="5"/>
      <c r="AX59" s="5"/>
      <c r="AY59" s="5"/>
      <c r="AZ59" s="5"/>
      <c r="BA59" s="5"/>
      <c r="BB59" s="5"/>
      <c r="BC59" s="5"/>
    </row>
    <row r="60" spans="1:55" ht="22.5" customHeight="1" x14ac:dyDescent="0.25">
      <c r="A60" s="713"/>
      <c r="B60" s="696"/>
      <c r="C60" s="696"/>
      <c r="D60" s="384" t="s">
        <v>360</v>
      </c>
      <c r="E60" s="385">
        <f>(E59*$E$8)/$E$7</f>
        <v>9402486.1500000004</v>
      </c>
      <c r="F60" s="385">
        <f>(F59*$F$8)/$F$7</f>
        <v>9402486.1500000004</v>
      </c>
      <c r="G60" s="385">
        <f>(G59*$G$8)/$G$7</f>
        <v>15670810.25</v>
      </c>
      <c r="H60" s="385">
        <f>15670810</f>
        <v>15670810</v>
      </c>
      <c r="I60" s="386"/>
      <c r="J60" s="385">
        <f>(J59*$J$8)/$J$7</f>
        <v>32409222</v>
      </c>
      <c r="K60" s="385">
        <f>(K59*$K$8)/$K$7</f>
        <v>22741849.696969695</v>
      </c>
      <c r="L60" s="385">
        <f>(L59*$L$8)/$L$7</f>
        <v>24588202.404907975</v>
      </c>
      <c r="M60" s="386"/>
      <c r="N60" s="696"/>
      <c r="O60" s="696"/>
      <c r="P60" s="696"/>
      <c r="Q60" s="696"/>
      <c r="R60" s="696"/>
      <c r="S60" s="696"/>
      <c r="T60" s="696"/>
      <c r="U60" s="696"/>
      <c r="V60" s="696"/>
      <c r="W60" s="696"/>
      <c r="X60" s="696"/>
      <c r="Y60" s="699"/>
      <c r="Z60" s="381"/>
      <c r="AA60" s="382">
        <v>13</v>
      </c>
      <c r="AB60" s="382" t="s">
        <v>363</v>
      </c>
      <c r="AC60" s="382"/>
      <c r="AD60" s="382"/>
      <c r="AE60" s="382"/>
      <c r="AF60" s="382" t="s">
        <v>364</v>
      </c>
      <c r="AG60" s="382"/>
      <c r="AH60" s="382"/>
      <c r="AI60" s="382"/>
      <c r="AJ60" s="383"/>
      <c r="AK60" s="171"/>
      <c r="AL60" s="171"/>
      <c r="AM60" s="19"/>
      <c r="AN60" s="19"/>
      <c r="AO60" s="19"/>
      <c r="AP60" s="19"/>
      <c r="AQ60" s="19"/>
      <c r="AR60" s="19"/>
      <c r="AS60" s="19"/>
      <c r="AT60" s="5"/>
      <c r="AU60" s="5"/>
      <c r="AV60" s="5"/>
      <c r="AW60" s="5"/>
      <c r="AX60" s="5"/>
      <c r="AY60" s="5"/>
      <c r="AZ60" s="5"/>
      <c r="BA60" s="5"/>
      <c r="BB60" s="5"/>
      <c r="BC60" s="5"/>
    </row>
    <row r="61" spans="1:55" ht="21.75" customHeight="1" x14ac:dyDescent="0.25">
      <c r="A61" s="713"/>
      <c r="B61" s="696"/>
      <c r="C61" s="696"/>
      <c r="D61" s="384" t="s">
        <v>365</v>
      </c>
      <c r="E61" s="387">
        <v>0</v>
      </c>
      <c r="F61" s="387">
        <v>0</v>
      </c>
      <c r="G61" s="387">
        <v>0</v>
      </c>
      <c r="H61" s="387">
        <v>0</v>
      </c>
      <c r="I61" s="390"/>
      <c r="J61" s="387">
        <v>0</v>
      </c>
      <c r="K61" s="387">
        <v>0</v>
      </c>
      <c r="L61" s="387">
        <v>0</v>
      </c>
      <c r="M61" s="390"/>
      <c r="N61" s="696"/>
      <c r="O61" s="696"/>
      <c r="P61" s="696"/>
      <c r="Q61" s="696"/>
      <c r="R61" s="696"/>
      <c r="S61" s="696"/>
      <c r="T61" s="696"/>
      <c r="U61" s="696"/>
      <c r="V61" s="696"/>
      <c r="W61" s="696"/>
      <c r="X61" s="696"/>
      <c r="Y61" s="699"/>
      <c r="Z61" s="381"/>
      <c r="AA61" s="382">
        <v>14</v>
      </c>
      <c r="AB61" s="382" t="s">
        <v>367</v>
      </c>
      <c r="AC61" s="382"/>
      <c r="AD61" s="382"/>
      <c r="AE61" s="382"/>
      <c r="AF61" s="382" t="s">
        <v>369</v>
      </c>
      <c r="AG61" s="382"/>
      <c r="AH61" s="382"/>
      <c r="AI61" s="382"/>
      <c r="AJ61" s="383"/>
      <c r="AK61" s="171"/>
      <c r="AL61" s="171"/>
      <c r="AM61" s="19"/>
      <c r="AN61" s="19"/>
      <c r="AO61" s="19"/>
      <c r="AP61" s="19"/>
      <c r="AQ61" s="19"/>
      <c r="AR61" s="19"/>
      <c r="AS61" s="19"/>
      <c r="AT61" s="5"/>
      <c r="AU61" s="5"/>
      <c r="AV61" s="5"/>
      <c r="AW61" s="5"/>
      <c r="AX61" s="5"/>
      <c r="AY61" s="5"/>
      <c r="AZ61" s="5"/>
      <c r="BA61" s="5"/>
      <c r="BB61" s="5"/>
      <c r="BC61" s="5"/>
    </row>
    <row r="62" spans="1:55" ht="22.5" x14ac:dyDescent="0.25">
      <c r="A62" s="713"/>
      <c r="B62" s="696"/>
      <c r="C62" s="696"/>
      <c r="D62" s="384" t="s">
        <v>370</v>
      </c>
      <c r="E62" s="388">
        <v>0</v>
      </c>
      <c r="F62" s="388">
        <v>0</v>
      </c>
      <c r="G62" s="388">
        <v>0</v>
      </c>
      <c r="H62" s="388">
        <v>0</v>
      </c>
      <c r="I62" s="390"/>
      <c r="J62" s="388">
        <v>0</v>
      </c>
      <c r="K62" s="388">
        <v>0</v>
      </c>
      <c r="L62" s="388">
        <v>0</v>
      </c>
      <c r="M62" s="386"/>
      <c r="N62" s="696"/>
      <c r="O62" s="696"/>
      <c r="P62" s="696"/>
      <c r="Q62" s="696"/>
      <c r="R62" s="696"/>
      <c r="S62" s="696"/>
      <c r="T62" s="696"/>
      <c r="U62" s="696"/>
      <c r="V62" s="696"/>
      <c r="W62" s="696"/>
      <c r="X62" s="696"/>
      <c r="Y62" s="699"/>
      <c r="Z62" s="381"/>
      <c r="AA62" s="382"/>
      <c r="AB62" s="382"/>
      <c r="AC62" s="382"/>
      <c r="AD62" s="382"/>
      <c r="AE62" s="382"/>
      <c r="AF62" s="382"/>
      <c r="AG62" s="382"/>
      <c r="AH62" s="382"/>
      <c r="AI62" s="382"/>
      <c r="AJ62" s="383"/>
      <c r="AK62" s="171"/>
      <c r="AL62" s="171"/>
      <c r="AM62" s="19"/>
      <c r="AN62" s="19"/>
      <c r="AO62" s="19"/>
      <c r="AP62" s="19"/>
      <c r="AQ62" s="19"/>
      <c r="AR62" s="19"/>
      <c r="AS62" s="19"/>
      <c r="AT62" s="5"/>
      <c r="AU62" s="5"/>
      <c r="AV62" s="5"/>
      <c r="AW62" s="5"/>
      <c r="AX62" s="5"/>
      <c r="AY62" s="5"/>
      <c r="AZ62" s="5"/>
      <c r="BA62" s="5"/>
      <c r="BB62" s="5"/>
      <c r="BC62" s="5"/>
    </row>
    <row r="63" spans="1:55" ht="22.5" x14ac:dyDescent="0.25">
      <c r="A63" s="713"/>
      <c r="B63" s="696"/>
      <c r="C63" s="722" t="s">
        <v>398</v>
      </c>
      <c r="D63" s="389" t="s">
        <v>348</v>
      </c>
      <c r="E63" s="387">
        <v>1</v>
      </c>
      <c r="F63" s="387">
        <v>1</v>
      </c>
      <c r="G63" s="390">
        <v>1</v>
      </c>
      <c r="H63" s="390">
        <v>1</v>
      </c>
      <c r="I63" s="390"/>
      <c r="J63" s="387">
        <v>1</v>
      </c>
      <c r="K63" s="390">
        <v>1</v>
      </c>
      <c r="L63" s="390">
        <v>2</v>
      </c>
      <c r="M63" s="390"/>
      <c r="N63" s="722" t="s">
        <v>398</v>
      </c>
      <c r="O63" s="718" t="s">
        <v>350</v>
      </c>
      <c r="P63" s="718" t="s">
        <v>351</v>
      </c>
      <c r="Q63" s="718" t="s">
        <v>352</v>
      </c>
      <c r="R63" s="720" t="s">
        <v>353</v>
      </c>
      <c r="S63" s="720">
        <v>392220</v>
      </c>
      <c r="T63" s="696"/>
      <c r="U63" s="720" t="s">
        <v>354</v>
      </c>
      <c r="V63" s="720" t="s">
        <v>355</v>
      </c>
      <c r="W63" s="720" t="s">
        <v>356</v>
      </c>
      <c r="X63" s="720" t="s">
        <v>357</v>
      </c>
      <c r="Y63" s="721">
        <v>392220</v>
      </c>
      <c r="Z63" s="381"/>
      <c r="AA63" s="382">
        <v>12</v>
      </c>
      <c r="AB63" s="382" t="s">
        <v>358</v>
      </c>
      <c r="AC63" s="382"/>
      <c r="AD63" s="382"/>
      <c r="AE63" s="382"/>
      <c r="AF63" s="382" t="s">
        <v>359</v>
      </c>
      <c r="AG63" s="382"/>
      <c r="AH63" s="382"/>
      <c r="AI63" s="382"/>
      <c r="AJ63" s="383"/>
      <c r="AK63" s="171"/>
      <c r="AL63" s="171"/>
      <c r="AM63" s="19"/>
      <c r="AN63" s="19"/>
      <c r="AO63" s="19"/>
      <c r="AP63" s="19"/>
      <c r="AQ63" s="19"/>
      <c r="AR63" s="19"/>
      <c r="AS63" s="19"/>
      <c r="AT63" s="5"/>
      <c r="AU63" s="5"/>
      <c r="AV63" s="5"/>
      <c r="AW63" s="5"/>
      <c r="AX63" s="5"/>
      <c r="AY63" s="5"/>
      <c r="AZ63" s="5"/>
      <c r="BA63" s="5"/>
      <c r="BB63" s="5"/>
      <c r="BC63" s="5"/>
    </row>
    <row r="64" spans="1:55" ht="20.25" customHeight="1" x14ac:dyDescent="0.25">
      <c r="A64" s="713"/>
      <c r="B64" s="696"/>
      <c r="C64" s="696"/>
      <c r="D64" s="384" t="s">
        <v>360</v>
      </c>
      <c r="E64" s="385">
        <f>(E63*$E$8)/$E$7</f>
        <v>3134162.05</v>
      </c>
      <c r="F64" s="385">
        <f>(F63*$F$8)/$F$7</f>
        <v>3134162.05</v>
      </c>
      <c r="G64" s="385">
        <f>(G63*$G$8)/$G$7</f>
        <v>3134162.05</v>
      </c>
      <c r="H64" s="385">
        <f>(H63*$H$8)/$H$7</f>
        <v>3153210</v>
      </c>
      <c r="I64" s="386"/>
      <c r="J64" s="385">
        <f>(J63*$J$8)/$J$7</f>
        <v>10803074</v>
      </c>
      <c r="K64" s="385">
        <f>(K63*$K$8)/$K$7</f>
        <v>4548369.9393939395</v>
      </c>
      <c r="L64" s="385">
        <f>(L63*$L$8)/$L$7</f>
        <v>6147050.6012269938</v>
      </c>
      <c r="M64" s="386"/>
      <c r="N64" s="696"/>
      <c r="O64" s="696"/>
      <c r="P64" s="696"/>
      <c r="Q64" s="696"/>
      <c r="R64" s="696"/>
      <c r="S64" s="696"/>
      <c r="T64" s="696"/>
      <c r="U64" s="696"/>
      <c r="V64" s="696"/>
      <c r="W64" s="696"/>
      <c r="X64" s="696"/>
      <c r="Y64" s="699"/>
      <c r="Z64" s="381"/>
      <c r="AA64" s="382">
        <v>13</v>
      </c>
      <c r="AB64" s="382" t="s">
        <v>363</v>
      </c>
      <c r="AC64" s="382"/>
      <c r="AD64" s="382"/>
      <c r="AE64" s="382"/>
      <c r="AF64" s="382" t="s">
        <v>364</v>
      </c>
      <c r="AG64" s="382"/>
      <c r="AH64" s="382"/>
      <c r="AI64" s="382"/>
      <c r="AJ64" s="383"/>
      <c r="AK64" s="171"/>
      <c r="AL64" s="171"/>
      <c r="AM64" s="19"/>
      <c r="AN64" s="19"/>
      <c r="AO64" s="19"/>
      <c r="AP64" s="19"/>
      <c r="AQ64" s="19"/>
      <c r="AR64" s="19"/>
      <c r="AS64" s="19"/>
      <c r="AT64" s="5"/>
      <c r="AU64" s="5"/>
      <c r="AV64" s="5"/>
      <c r="AW64" s="5"/>
      <c r="AX64" s="5"/>
      <c r="AY64" s="5"/>
      <c r="AZ64" s="5"/>
      <c r="BA64" s="5"/>
      <c r="BB64" s="5"/>
      <c r="BC64" s="5"/>
    </row>
    <row r="65" spans="1:55" ht="17.25" customHeight="1" x14ac:dyDescent="0.25">
      <c r="A65" s="713"/>
      <c r="B65" s="696"/>
      <c r="C65" s="696"/>
      <c r="D65" s="384" t="s">
        <v>365</v>
      </c>
      <c r="E65" s="387">
        <v>0</v>
      </c>
      <c r="F65" s="387">
        <v>0</v>
      </c>
      <c r="G65" s="387">
        <v>0</v>
      </c>
      <c r="H65" s="387">
        <v>0</v>
      </c>
      <c r="I65" s="390"/>
      <c r="J65" s="387">
        <v>0</v>
      </c>
      <c r="K65" s="387">
        <v>0</v>
      </c>
      <c r="L65" s="387">
        <v>0</v>
      </c>
      <c r="M65" s="390"/>
      <c r="N65" s="696"/>
      <c r="O65" s="696"/>
      <c r="P65" s="696"/>
      <c r="Q65" s="696"/>
      <c r="R65" s="696"/>
      <c r="S65" s="696"/>
      <c r="T65" s="696"/>
      <c r="U65" s="696"/>
      <c r="V65" s="696"/>
      <c r="W65" s="696"/>
      <c r="X65" s="696"/>
      <c r="Y65" s="699"/>
      <c r="Z65" s="381"/>
      <c r="AA65" s="382">
        <v>14</v>
      </c>
      <c r="AB65" s="382" t="s">
        <v>367</v>
      </c>
      <c r="AC65" s="382"/>
      <c r="AD65" s="382"/>
      <c r="AE65" s="382"/>
      <c r="AF65" s="382" t="s">
        <v>369</v>
      </c>
      <c r="AG65" s="382"/>
      <c r="AH65" s="382"/>
      <c r="AI65" s="382"/>
      <c r="AJ65" s="383"/>
      <c r="AK65" s="171"/>
      <c r="AL65" s="171"/>
      <c r="AM65" s="19"/>
      <c r="AN65" s="19"/>
      <c r="AO65" s="19"/>
      <c r="AP65" s="19"/>
      <c r="AQ65" s="19"/>
      <c r="AR65" s="19"/>
      <c r="AS65" s="19"/>
      <c r="AT65" s="5"/>
      <c r="AU65" s="5"/>
      <c r="AV65" s="5"/>
      <c r="AW65" s="5"/>
      <c r="AX65" s="5"/>
      <c r="AY65" s="5"/>
      <c r="AZ65" s="5"/>
      <c r="BA65" s="5"/>
      <c r="BB65" s="5"/>
      <c r="BC65" s="5"/>
    </row>
    <row r="66" spans="1:55" ht="22.5" x14ac:dyDescent="0.25">
      <c r="A66" s="713"/>
      <c r="B66" s="696"/>
      <c r="C66" s="696"/>
      <c r="D66" s="384" t="s">
        <v>370</v>
      </c>
      <c r="E66" s="388">
        <v>0</v>
      </c>
      <c r="F66" s="388">
        <v>0</v>
      </c>
      <c r="G66" s="388">
        <v>0</v>
      </c>
      <c r="H66" s="388">
        <v>0</v>
      </c>
      <c r="I66" s="390"/>
      <c r="J66" s="388">
        <v>0</v>
      </c>
      <c r="K66" s="388">
        <v>0</v>
      </c>
      <c r="L66" s="388">
        <v>0</v>
      </c>
      <c r="M66" s="386"/>
      <c r="N66" s="696"/>
      <c r="O66" s="696"/>
      <c r="P66" s="696"/>
      <c r="Q66" s="696"/>
      <c r="R66" s="696"/>
      <c r="S66" s="696"/>
      <c r="T66" s="696"/>
      <c r="U66" s="696"/>
      <c r="V66" s="696"/>
      <c r="W66" s="696"/>
      <c r="X66" s="696"/>
      <c r="Y66" s="699"/>
      <c r="Z66" s="381"/>
      <c r="AA66" s="382"/>
      <c r="AB66" s="382"/>
      <c r="AC66" s="382"/>
      <c r="AD66" s="382"/>
      <c r="AE66" s="382"/>
      <c r="AF66" s="382"/>
      <c r="AG66" s="382"/>
      <c r="AH66" s="382"/>
      <c r="AI66" s="382"/>
      <c r="AJ66" s="383"/>
      <c r="AK66" s="171"/>
      <c r="AL66" s="171"/>
      <c r="AM66" s="19"/>
      <c r="AN66" s="19"/>
      <c r="AO66" s="19"/>
      <c r="AP66" s="19"/>
      <c r="AQ66" s="19"/>
      <c r="AR66" s="19"/>
      <c r="AS66" s="19"/>
      <c r="AT66" s="5"/>
      <c r="AU66" s="5"/>
      <c r="AV66" s="5"/>
      <c r="AW66" s="5"/>
      <c r="AX66" s="5"/>
      <c r="AY66" s="5"/>
      <c r="AZ66" s="5"/>
      <c r="BA66" s="5"/>
      <c r="BB66" s="5"/>
      <c r="BC66" s="5"/>
    </row>
    <row r="67" spans="1:55" ht="22.5" x14ac:dyDescent="0.25">
      <c r="A67" s="713"/>
      <c r="B67" s="696"/>
      <c r="C67" s="722" t="s">
        <v>400</v>
      </c>
      <c r="D67" s="389" t="s">
        <v>348</v>
      </c>
      <c r="E67" s="387">
        <v>8</v>
      </c>
      <c r="F67" s="387">
        <v>8</v>
      </c>
      <c r="G67" s="390">
        <v>11</v>
      </c>
      <c r="H67" s="390">
        <v>6</v>
      </c>
      <c r="I67" s="390"/>
      <c r="J67" s="387">
        <v>8</v>
      </c>
      <c r="K67" s="390">
        <v>11</v>
      </c>
      <c r="L67" s="390">
        <v>17</v>
      </c>
      <c r="M67" s="390"/>
      <c r="N67" s="722" t="s">
        <v>400</v>
      </c>
      <c r="O67" s="718" t="s">
        <v>350</v>
      </c>
      <c r="P67" s="718" t="s">
        <v>351</v>
      </c>
      <c r="Q67" s="718" t="s">
        <v>352</v>
      </c>
      <c r="R67" s="720" t="s">
        <v>353</v>
      </c>
      <c r="S67" s="720">
        <v>1315509</v>
      </c>
      <c r="T67" s="696"/>
      <c r="U67" s="720" t="s">
        <v>354</v>
      </c>
      <c r="V67" s="720" t="s">
        <v>355</v>
      </c>
      <c r="W67" s="720" t="s">
        <v>356</v>
      </c>
      <c r="X67" s="720" t="s">
        <v>357</v>
      </c>
      <c r="Y67" s="721">
        <v>1315509</v>
      </c>
      <c r="Z67" s="381"/>
      <c r="AA67" s="382">
        <v>12</v>
      </c>
      <c r="AB67" s="382" t="s">
        <v>358</v>
      </c>
      <c r="AC67" s="382"/>
      <c r="AD67" s="382"/>
      <c r="AE67" s="382"/>
      <c r="AF67" s="382" t="s">
        <v>359</v>
      </c>
      <c r="AG67" s="382"/>
      <c r="AH67" s="382"/>
      <c r="AI67" s="382"/>
      <c r="AJ67" s="383"/>
      <c r="AK67" s="171"/>
      <c r="AL67" s="171"/>
      <c r="AM67" s="19"/>
      <c r="AN67" s="19"/>
      <c r="AO67" s="19"/>
      <c r="AP67" s="19"/>
      <c r="AQ67" s="19"/>
      <c r="AR67" s="19"/>
      <c r="AS67" s="19"/>
      <c r="AT67" s="5"/>
      <c r="AU67" s="5"/>
      <c r="AV67" s="5"/>
      <c r="AW67" s="5"/>
      <c r="AX67" s="5"/>
      <c r="AY67" s="5"/>
      <c r="AZ67" s="5"/>
      <c r="BA67" s="5"/>
      <c r="BB67" s="5"/>
      <c r="BC67" s="5"/>
    </row>
    <row r="68" spans="1:55" ht="17.25" customHeight="1" x14ac:dyDescent="0.25">
      <c r="A68" s="713"/>
      <c r="B68" s="696"/>
      <c r="C68" s="696"/>
      <c r="D68" s="384" t="s">
        <v>360</v>
      </c>
      <c r="E68" s="385">
        <f>(E67*$E$8)/$E$7</f>
        <v>25073296.399999999</v>
      </c>
      <c r="F68" s="385">
        <f>(F67*$F$8)/$F$7</f>
        <v>25073296.399999999</v>
      </c>
      <c r="G68" s="385">
        <f>(G67*$G$8)/$G$7</f>
        <v>34475782.549999997</v>
      </c>
      <c r="H68" s="385">
        <f>(H67*$H$8)/$H$7</f>
        <v>18919260</v>
      </c>
      <c r="I68" s="386"/>
      <c r="J68" s="385">
        <f>(J67*$J$8)/$J$7</f>
        <v>86424592</v>
      </c>
      <c r="K68" s="385">
        <f>(K67*$K$8)/$K$7</f>
        <v>50032069.333333336</v>
      </c>
      <c r="L68" s="385">
        <f>(L67*$L$8)/$L$7</f>
        <v>52249930.110429451</v>
      </c>
      <c r="M68" s="386"/>
      <c r="N68" s="696"/>
      <c r="O68" s="696"/>
      <c r="P68" s="696"/>
      <c r="Q68" s="696"/>
      <c r="R68" s="696"/>
      <c r="S68" s="696"/>
      <c r="T68" s="696"/>
      <c r="U68" s="696"/>
      <c r="V68" s="696"/>
      <c r="W68" s="696"/>
      <c r="X68" s="696"/>
      <c r="Y68" s="699"/>
      <c r="Z68" s="381"/>
      <c r="AA68" s="382">
        <v>13</v>
      </c>
      <c r="AB68" s="382" t="s">
        <v>363</v>
      </c>
      <c r="AC68" s="382"/>
      <c r="AD68" s="382"/>
      <c r="AE68" s="382"/>
      <c r="AF68" s="382" t="s">
        <v>364</v>
      </c>
      <c r="AG68" s="382"/>
      <c r="AH68" s="382"/>
      <c r="AI68" s="382"/>
      <c r="AJ68" s="383"/>
      <c r="AK68" s="171"/>
      <c r="AL68" s="171"/>
      <c r="AM68" s="19"/>
      <c r="AN68" s="19"/>
      <c r="AO68" s="19"/>
      <c r="AP68" s="19"/>
      <c r="AQ68" s="19"/>
      <c r="AR68" s="19"/>
      <c r="AS68" s="19"/>
      <c r="AT68" s="5"/>
      <c r="AU68" s="5"/>
      <c r="AV68" s="5"/>
      <c r="AW68" s="5"/>
      <c r="AX68" s="5"/>
      <c r="AY68" s="5"/>
      <c r="AZ68" s="5"/>
      <c r="BA68" s="5"/>
      <c r="BB68" s="5"/>
      <c r="BC68" s="5"/>
    </row>
    <row r="69" spans="1:55" ht="27" customHeight="1" x14ac:dyDescent="0.25">
      <c r="A69" s="713"/>
      <c r="B69" s="696"/>
      <c r="C69" s="696"/>
      <c r="D69" s="384" t="s">
        <v>365</v>
      </c>
      <c r="E69" s="387">
        <v>0</v>
      </c>
      <c r="F69" s="387">
        <v>0</v>
      </c>
      <c r="G69" s="387">
        <v>0</v>
      </c>
      <c r="H69" s="387">
        <v>0</v>
      </c>
      <c r="I69" s="390"/>
      <c r="J69" s="387">
        <v>0</v>
      </c>
      <c r="K69" s="387">
        <v>0</v>
      </c>
      <c r="L69" s="387">
        <v>0</v>
      </c>
      <c r="M69" s="390"/>
      <c r="N69" s="696"/>
      <c r="O69" s="696"/>
      <c r="P69" s="696"/>
      <c r="Q69" s="696"/>
      <c r="R69" s="696"/>
      <c r="S69" s="696"/>
      <c r="T69" s="696"/>
      <c r="U69" s="696"/>
      <c r="V69" s="696"/>
      <c r="W69" s="696"/>
      <c r="X69" s="696"/>
      <c r="Y69" s="699"/>
      <c r="Z69" s="381"/>
      <c r="AA69" s="382">
        <v>14</v>
      </c>
      <c r="AB69" s="382" t="s">
        <v>367</v>
      </c>
      <c r="AC69" s="382"/>
      <c r="AD69" s="382"/>
      <c r="AE69" s="382"/>
      <c r="AF69" s="382" t="s">
        <v>369</v>
      </c>
      <c r="AG69" s="382"/>
      <c r="AH69" s="382"/>
      <c r="AI69" s="382"/>
      <c r="AJ69" s="383"/>
      <c r="AK69" s="171"/>
      <c r="AL69" s="171"/>
      <c r="AM69" s="19"/>
      <c r="AN69" s="19"/>
      <c r="AO69" s="19"/>
      <c r="AP69" s="19"/>
      <c r="AQ69" s="19"/>
      <c r="AR69" s="19"/>
      <c r="AS69" s="19"/>
      <c r="AT69" s="5"/>
      <c r="AU69" s="5"/>
      <c r="AV69" s="5"/>
      <c r="AW69" s="5"/>
      <c r="AX69" s="5"/>
      <c r="AY69" s="5"/>
      <c r="AZ69" s="5"/>
      <c r="BA69" s="5"/>
      <c r="BB69" s="5"/>
      <c r="BC69" s="5"/>
    </row>
    <row r="70" spans="1:55" ht="22.5" x14ac:dyDescent="0.25">
      <c r="A70" s="713"/>
      <c r="B70" s="696"/>
      <c r="C70" s="696"/>
      <c r="D70" s="384" t="s">
        <v>370</v>
      </c>
      <c r="E70" s="388">
        <v>0</v>
      </c>
      <c r="F70" s="388">
        <v>0</v>
      </c>
      <c r="G70" s="388">
        <v>0</v>
      </c>
      <c r="H70" s="388">
        <v>0</v>
      </c>
      <c r="I70" s="390"/>
      <c r="J70" s="388">
        <v>0</v>
      </c>
      <c r="K70" s="388">
        <v>0</v>
      </c>
      <c r="L70" s="388">
        <v>0</v>
      </c>
      <c r="M70" s="386"/>
      <c r="N70" s="696"/>
      <c r="O70" s="696"/>
      <c r="P70" s="696"/>
      <c r="Q70" s="696"/>
      <c r="R70" s="696"/>
      <c r="S70" s="696"/>
      <c r="T70" s="696"/>
      <c r="U70" s="696"/>
      <c r="V70" s="696"/>
      <c r="W70" s="696"/>
      <c r="X70" s="696"/>
      <c r="Y70" s="699"/>
      <c r="Z70" s="381"/>
      <c r="AA70" s="382"/>
      <c r="AB70" s="382"/>
      <c r="AC70" s="382"/>
      <c r="AD70" s="382"/>
      <c r="AE70" s="382"/>
      <c r="AF70" s="382"/>
      <c r="AG70" s="382"/>
      <c r="AH70" s="382"/>
      <c r="AI70" s="382"/>
      <c r="AJ70" s="383"/>
      <c r="AK70" s="171"/>
      <c r="AL70" s="171"/>
      <c r="AM70" s="19"/>
      <c r="AN70" s="19"/>
      <c r="AO70" s="19"/>
      <c r="AP70" s="19"/>
      <c r="AQ70" s="19"/>
      <c r="AR70" s="19"/>
      <c r="AS70" s="19"/>
      <c r="AT70" s="5"/>
      <c r="AU70" s="5"/>
      <c r="AV70" s="5"/>
      <c r="AW70" s="5"/>
      <c r="AX70" s="5"/>
      <c r="AY70" s="5"/>
      <c r="AZ70" s="5"/>
      <c r="BA70" s="5"/>
      <c r="BB70" s="5"/>
      <c r="BC70" s="5"/>
    </row>
    <row r="71" spans="1:55" ht="22.5" x14ac:dyDescent="0.25">
      <c r="A71" s="713"/>
      <c r="B71" s="696"/>
      <c r="C71" s="722" t="s">
        <v>401</v>
      </c>
      <c r="D71" s="389" t="s">
        <v>348</v>
      </c>
      <c r="E71" s="387">
        <v>1</v>
      </c>
      <c r="F71" s="387">
        <v>1</v>
      </c>
      <c r="G71" s="390">
        <v>2</v>
      </c>
      <c r="H71" s="390">
        <v>1</v>
      </c>
      <c r="I71" s="390"/>
      <c r="J71" s="387">
        <v>1</v>
      </c>
      <c r="K71" s="390">
        <v>2</v>
      </c>
      <c r="L71" s="390">
        <v>3</v>
      </c>
      <c r="M71" s="390"/>
      <c r="N71" s="722" t="s">
        <v>401</v>
      </c>
      <c r="O71" s="718" t="s">
        <v>350</v>
      </c>
      <c r="P71" s="718" t="s">
        <v>351</v>
      </c>
      <c r="Q71" s="718" t="s">
        <v>352</v>
      </c>
      <c r="R71" s="720" t="s">
        <v>353</v>
      </c>
      <c r="S71" s="720">
        <v>140135</v>
      </c>
      <c r="T71" s="696"/>
      <c r="U71" s="720" t="s">
        <v>354</v>
      </c>
      <c r="V71" s="720" t="s">
        <v>355</v>
      </c>
      <c r="W71" s="720" t="s">
        <v>356</v>
      </c>
      <c r="X71" s="720" t="s">
        <v>357</v>
      </c>
      <c r="Y71" s="721">
        <v>140135</v>
      </c>
      <c r="Z71" s="381"/>
      <c r="AA71" s="382">
        <v>12</v>
      </c>
      <c r="AB71" s="382" t="s">
        <v>358</v>
      </c>
      <c r="AC71" s="382"/>
      <c r="AD71" s="382"/>
      <c r="AE71" s="382"/>
      <c r="AF71" s="382" t="s">
        <v>359</v>
      </c>
      <c r="AG71" s="382"/>
      <c r="AH71" s="382"/>
      <c r="AI71" s="382"/>
      <c r="AJ71" s="383"/>
      <c r="AK71" s="171"/>
      <c r="AL71" s="171"/>
      <c r="AM71" s="19"/>
      <c r="AN71" s="19"/>
      <c r="AO71" s="19"/>
      <c r="AP71" s="19"/>
      <c r="AQ71" s="19"/>
      <c r="AR71" s="19"/>
      <c r="AS71" s="19"/>
      <c r="AT71" s="5"/>
      <c r="AU71" s="5"/>
      <c r="AV71" s="5"/>
      <c r="AW71" s="5"/>
      <c r="AX71" s="5"/>
      <c r="AY71" s="5"/>
      <c r="AZ71" s="5"/>
      <c r="BA71" s="5"/>
      <c r="BB71" s="5"/>
      <c r="BC71" s="5"/>
    </row>
    <row r="72" spans="1:55" ht="17.25" customHeight="1" x14ac:dyDescent="0.25">
      <c r="A72" s="713"/>
      <c r="B72" s="696"/>
      <c r="C72" s="696"/>
      <c r="D72" s="384" t="s">
        <v>360</v>
      </c>
      <c r="E72" s="385">
        <f>(E71*$E$8)/$E$7</f>
        <v>3134162.05</v>
      </c>
      <c r="F72" s="385">
        <f>(F71*$F$8)/$F$7</f>
        <v>3134162.05</v>
      </c>
      <c r="G72" s="385">
        <f>(G71*$G$8)/$G$7</f>
        <v>6268324.0999999996</v>
      </c>
      <c r="H72" s="385">
        <f>(H71*$H$8)/$H$7</f>
        <v>3153210</v>
      </c>
      <c r="I72" s="386"/>
      <c r="J72" s="385">
        <f>(J71*$J$8)/$J$7</f>
        <v>10803074</v>
      </c>
      <c r="K72" s="385">
        <f>(K71*$K$8)/$K$7</f>
        <v>9096739.8787878789</v>
      </c>
      <c r="L72" s="385">
        <v>9096739.8787878789</v>
      </c>
      <c r="M72" s="386"/>
      <c r="N72" s="696"/>
      <c r="O72" s="696"/>
      <c r="P72" s="696"/>
      <c r="Q72" s="696"/>
      <c r="R72" s="696"/>
      <c r="S72" s="696"/>
      <c r="T72" s="696"/>
      <c r="U72" s="696"/>
      <c r="V72" s="696"/>
      <c r="W72" s="696"/>
      <c r="X72" s="696"/>
      <c r="Y72" s="699"/>
      <c r="Z72" s="381"/>
      <c r="AA72" s="382">
        <v>13</v>
      </c>
      <c r="AB72" s="382" t="s">
        <v>363</v>
      </c>
      <c r="AC72" s="382"/>
      <c r="AD72" s="382"/>
      <c r="AE72" s="382"/>
      <c r="AF72" s="382" t="s">
        <v>364</v>
      </c>
      <c r="AG72" s="382"/>
      <c r="AH72" s="382"/>
      <c r="AI72" s="382"/>
      <c r="AJ72" s="383"/>
      <c r="AK72" s="171"/>
      <c r="AL72" s="171"/>
      <c r="AM72" s="19"/>
      <c r="AN72" s="19"/>
      <c r="AO72" s="19"/>
      <c r="AP72" s="19"/>
      <c r="AQ72" s="19"/>
      <c r="AR72" s="19"/>
      <c r="AS72" s="19"/>
      <c r="AT72" s="5"/>
      <c r="AU72" s="5"/>
      <c r="AV72" s="5"/>
      <c r="AW72" s="5"/>
      <c r="AX72" s="5"/>
      <c r="AY72" s="5"/>
      <c r="AZ72" s="5"/>
      <c r="BA72" s="5"/>
      <c r="BB72" s="5"/>
      <c r="BC72" s="5"/>
    </row>
    <row r="73" spans="1:55" ht="18.75" customHeight="1" x14ac:dyDescent="0.25">
      <c r="A73" s="713"/>
      <c r="B73" s="696"/>
      <c r="C73" s="696"/>
      <c r="D73" s="384" t="s">
        <v>365</v>
      </c>
      <c r="E73" s="387">
        <v>0</v>
      </c>
      <c r="F73" s="387">
        <v>0</v>
      </c>
      <c r="G73" s="387">
        <v>0</v>
      </c>
      <c r="H73" s="387">
        <v>0</v>
      </c>
      <c r="I73" s="390"/>
      <c r="J73" s="387">
        <v>0</v>
      </c>
      <c r="K73" s="387">
        <v>0</v>
      </c>
      <c r="L73" s="387">
        <v>0</v>
      </c>
      <c r="M73" s="390"/>
      <c r="N73" s="696"/>
      <c r="O73" s="696"/>
      <c r="P73" s="696"/>
      <c r="Q73" s="696"/>
      <c r="R73" s="696"/>
      <c r="S73" s="696"/>
      <c r="T73" s="696"/>
      <c r="U73" s="696"/>
      <c r="V73" s="696"/>
      <c r="W73" s="696"/>
      <c r="X73" s="696"/>
      <c r="Y73" s="699"/>
      <c r="Z73" s="381"/>
      <c r="AA73" s="382">
        <v>14</v>
      </c>
      <c r="AB73" s="382" t="s">
        <v>367</v>
      </c>
      <c r="AC73" s="382"/>
      <c r="AD73" s="382"/>
      <c r="AE73" s="382"/>
      <c r="AF73" s="382" t="s">
        <v>369</v>
      </c>
      <c r="AG73" s="382"/>
      <c r="AH73" s="382"/>
      <c r="AI73" s="382"/>
      <c r="AJ73" s="383"/>
      <c r="AK73" s="171"/>
      <c r="AL73" s="171"/>
      <c r="AM73" s="19"/>
      <c r="AN73" s="19"/>
      <c r="AO73" s="19"/>
      <c r="AP73" s="19"/>
      <c r="AQ73" s="19"/>
      <c r="AR73" s="19"/>
      <c r="AS73" s="19"/>
      <c r="AT73" s="5"/>
      <c r="AU73" s="5"/>
      <c r="AV73" s="5"/>
      <c r="AW73" s="5"/>
      <c r="AX73" s="5"/>
      <c r="AY73" s="5"/>
      <c r="AZ73" s="5"/>
      <c r="BA73" s="5"/>
      <c r="BB73" s="5"/>
      <c r="BC73" s="5"/>
    </row>
    <row r="74" spans="1:55" ht="22.5" x14ac:dyDescent="0.25">
      <c r="A74" s="713"/>
      <c r="B74" s="696"/>
      <c r="C74" s="696"/>
      <c r="D74" s="384" t="s">
        <v>370</v>
      </c>
      <c r="E74" s="388">
        <v>0</v>
      </c>
      <c r="F74" s="388">
        <v>0</v>
      </c>
      <c r="G74" s="388">
        <v>0</v>
      </c>
      <c r="H74" s="388">
        <v>0</v>
      </c>
      <c r="I74" s="390"/>
      <c r="J74" s="388">
        <v>0</v>
      </c>
      <c r="K74" s="388">
        <v>0</v>
      </c>
      <c r="L74" s="388">
        <v>0</v>
      </c>
      <c r="M74" s="386"/>
      <c r="N74" s="696"/>
      <c r="O74" s="696"/>
      <c r="P74" s="696"/>
      <c r="Q74" s="696"/>
      <c r="R74" s="696"/>
      <c r="S74" s="696"/>
      <c r="T74" s="696"/>
      <c r="U74" s="696"/>
      <c r="V74" s="696"/>
      <c r="W74" s="696"/>
      <c r="X74" s="696"/>
      <c r="Y74" s="699"/>
      <c r="Z74" s="381"/>
      <c r="AA74" s="382"/>
      <c r="AB74" s="382"/>
      <c r="AC74" s="382"/>
      <c r="AD74" s="382"/>
      <c r="AE74" s="382"/>
      <c r="AF74" s="382"/>
      <c r="AG74" s="382"/>
      <c r="AH74" s="382"/>
      <c r="AI74" s="382"/>
      <c r="AJ74" s="383"/>
      <c r="AK74" s="171"/>
      <c r="AL74" s="171"/>
      <c r="AM74" s="19"/>
      <c r="AN74" s="19"/>
      <c r="AO74" s="19"/>
      <c r="AP74" s="19"/>
      <c r="AQ74" s="19"/>
      <c r="AR74" s="19"/>
      <c r="AS74" s="19"/>
      <c r="AT74" s="5"/>
      <c r="AU74" s="5"/>
      <c r="AV74" s="5"/>
      <c r="AW74" s="5"/>
      <c r="AX74" s="5"/>
      <c r="AY74" s="5"/>
      <c r="AZ74" s="5"/>
      <c r="BA74" s="5"/>
      <c r="BB74" s="5"/>
      <c r="BC74" s="5"/>
    </row>
    <row r="75" spans="1:55" ht="22.5" x14ac:dyDescent="0.25">
      <c r="A75" s="713"/>
      <c r="B75" s="696"/>
      <c r="C75" s="722" t="s">
        <v>402</v>
      </c>
      <c r="D75" s="389" t="s">
        <v>348</v>
      </c>
      <c r="E75" s="387">
        <v>2</v>
      </c>
      <c r="F75" s="387">
        <v>2</v>
      </c>
      <c r="G75" s="390">
        <v>6</v>
      </c>
      <c r="H75" s="390">
        <v>1</v>
      </c>
      <c r="I75" s="390"/>
      <c r="J75" s="387">
        <v>2</v>
      </c>
      <c r="K75" s="390">
        <v>6</v>
      </c>
      <c r="L75" s="390">
        <v>6</v>
      </c>
      <c r="M75" s="390"/>
      <c r="N75" s="722" t="s">
        <v>402</v>
      </c>
      <c r="O75" s="718" t="s">
        <v>350</v>
      </c>
      <c r="P75" s="718" t="s">
        <v>351</v>
      </c>
      <c r="Q75" s="718" t="s">
        <v>352</v>
      </c>
      <c r="R75" s="720" t="s">
        <v>353</v>
      </c>
      <c r="S75" s="720">
        <v>186383</v>
      </c>
      <c r="T75" s="696"/>
      <c r="U75" s="720" t="s">
        <v>354</v>
      </c>
      <c r="V75" s="720" t="s">
        <v>355</v>
      </c>
      <c r="W75" s="720" t="s">
        <v>356</v>
      </c>
      <c r="X75" s="720" t="s">
        <v>357</v>
      </c>
      <c r="Y75" s="721">
        <v>186383</v>
      </c>
      <c r="Z75" s="381"/>
      <c r="AA75" s="382">
        <v>12</v>
      </c>
      <c r="AB75" s="382" t="s">
        <v>358</v>
      </c>
      <c r="AC75" s="382"/>
      <c r="AD75" s="382"/>
      <c r="AE75" s="382"/>
      <c r="AF75" s="382" t="s">
        <v>359</v>
      </c>
      <c r="AG75" s="382"/>
      <c r="AH75" s="382"/>
      <c r="AI75" s="382"/>
      <c r="AJ75" s="383"/>
      <c r="AK75" s="171"/>
      <c r="AL75" s="171"/>
      <c r="AM75" s="19"/>
      <c r="AN75" s="19"/>
      <c r="AO75" s="19"/>
      <c r="AP75" s="19"/>
      <c r="AQ75" s="19"/>
      <c r="AR75" s="19"/>
      <c r="AS75" s="19"/>
      <c r="AT75" s="5"/>
      <c r="AU75" s="5"/>
      <c r="AV75" s="5"/>
      <c r="AW75" s="5"/>
      <c r="AX75" s="5"/>
      <c r="AY75" s="5"/>
      <c r="AZ75" s="5"/>
      <c r="BA75" s="5"/>
      <c r="BB75" s="5"/>
      <c r="BC75" s="5"/>
    </row>
    <row r="76" spans="1:55" ht="15.75" customHeight="1" x14ac:dyDescent="0.25">
      <c r="A76" s="713"/>
      <c r="B76" s="696"/>
      <c r="C76" s="696"/>
      <c r="D76" s="384" t="s">
        <v>360</v>
      </c>
      <c r="E76" s="385">
        <f>(E75*$E$8)/$E$7</f>
        <v>6268324.0999999996</v>
      </c>
      <c r="F76" s="385">
        <f>(F75*$F$8)/$F$7</f>
        <v>6268324.0999999996</v>
      </c>
      <c r="G76" s="385">
        <f>(G75*$G$8)/$G$7</f>
        <v>18804972.300000001</v>
      </c>
      <c r="H76" s="385">
        <f>(H75*$H$8)/$H$7</f>
        <v>3153210</v>
      </c>
      <c r="I76" s="386"/>
      <c r="J76" s="385">
        <f>(J75*$J$8)/$J$7</f>
        <v>21606148</v>
      </c>
      <c r="K76" s="385">
        <f>(K75*$K$8)/$K$7</f>
        <v>27290219.636363637</v>
      </c>
      <c r="L76" s="385">
        <v>27290219.636363637</v>
      </c>
      <c r="M76" s="386"/>
      <c r="N76" s="696"/>
      <c r="O76" s="696"/>
      <c r="P76" s="696"/>
      <c r="Q76" s="696"/>
      <c r="R76" s="696"/>
      <c r="S76" s="696"/>
      <c r="T76" s="696"/>
      <c r="U76" s="696"/>
      <c r="V76" s="696"/>
      <c r="W76" s="696"/>
      <c r="X76" s="696"/>
      <c r="Y76" s="699"/>
      <c r="Z76" s="381"/>
      <c r="AA76" s="382">
        <v>13</v>
      </c>
      <c r="AB76" s="382" t="s">
        <v>363</v>
      </c>
      <c r="AC76" s="382"/>
      <c r="AD76" s="382"/>
      <c r="AE76" s="382"/>
      <c r="AF76" s="382" t="s">
        <v>364</v>
      </c>
      <c r="AG76" s="382"/>
      <c r="AH76" s="382"/>
      <c r="AI76" s="382"/>
      <c r="AJ76" s="383"/>
      <c r="AK76" s="171"/>
      <c r="AL76" s="171"/>
      <c r="AM76" s="19"/>
      <c r="AN76" s="19"/>
      <c r="AO76" s="19"/>
      <c r="AP76" s="19"/>
      <c r="AQ76" s="19"/>
      <c r="AR76" s="19"/>
      <c r="AS76" s="19"/>
      <c r="AT76" s="5"/>
      <c r="AU76" s="5"/>
      <c r="AV76" s="5"/>
      <c r="AW76" s="5"/>
      <c r="AX76" s="5"/>
      <c r="AY76" s="5"/>
      <c r="AZ76" s="5"/>
      <c r="BA76" s="5"/>
      <c r="BB76" s="5"/>
      <c r="BC76" s="5"/>
    </row>
    <row r="77" spans="1:55" ht="29.25" customHeight="1" x14ac:dyDescent="0.25">
      <c r="A77" s="713"/>
      <c r="B77" s="696"/>
      <c r="C77" s="696"/>
      <c r="D77" s="384" t="s">
        <v>365</v>
      </c>
      <c r="E77" s="387">
        <v>0</v>
      </c>
      <c r="F77" s="387">
        <v>0</v>
      </c>
      <c r="G77" s="387">
        <v>0</v>
      </c>
      <c r="H77" s="387">
        <v>0</v>
      </c>
      <c r="I77" s="390"/>
      <c r="J77" s="387">
        <v>0</v>
      </c>
      <c r="K77" s="387">
        <v>0</v>
      </c>
      <c r="L77" s="387">
        <v>0</v>
      </c>
      <c r="M77" s="390"/>
      <c r="N77" s="696"/>
      <c r="O77" s="696"/>
      <c r="P77" s="696"/>
      <c r="Q77" s="696"/>
      <c r="R77" s="696"/>
      <c r="S77" s="696"/>
      <c r="T77" s="696"/>
      <c r="U77" s="696"/>
      <c r="V77" s="696"/>
      <c r="W77" s="696"/>
      <c r="X77" s="696"/>
      <c r="Y77" s="699"/>
      <c r="Z77" s="381"/>
      <c r="AA77" s="382">
        <v>14</v>
      </c>
      <c r="AB77" s="382" t="s">
        <v>367</v>
      </c>
      <c r="AC77" s="382"/>
      <c r="AD77" s="382"/>
      <c r="AE77" s="382"/>
      <c r="AF77" s="382" t="s">
        <v>369</v>
      </c>
      <c r="AG77" s="382"/>
      <c r="AH77" s="382"/>
      <c r="AI77" s="382"/>
      <c r="AJ77" s="383"/>
      <c r="AK77" s="171"/>
      <c r="AL77" s="171"/>
      <c r="AM77" s="19"/>
      <c r="AN77" s="19"/>
      <c r="AO77" s="19"/>
      <c r="AP77" s="19"/>
      <c r="AQ77" s="19"/>
      <c r="AR77" s="19"/>
      <c r="AS77" s="19"/>
      <c r="AT77" s="5"/>
      <c r="AU77" s="5"/>
      <c r="AV77" s="5"/>
      <c r="AW77" s="5"/>
      <c r="AX77" s="5"/>
      <c r="AY77" s="5"/>
      <c r="AZ77" s="5"/>
      <c r="BA77" s="5"/>
      <c r="BB77" s="5"/>
      <c r="BC77" s="5"/>
    </row>
    <row r="78" spans="1:55" ht="22.5" x14ac:dyDescent="0.25">
      <c r="A78" s="713"/>
      <c r="B78" s="696"/>
      <c r="C78" s="696"/>
      <c r="D78" s="384" t="s">
        <v>370</v>
      </c>
      <c r="E78" s="388">
        <v>0</v>
      </c>
      <c r="F78" s="388">
        <v>0</v>
      </c>
      <c r="G78" s="388">
        <v>0</v>
      </c>
      <c r="H78" s="388">
        <v>0</v>
      </c>
      <c r="I78" s="390"/>
      <c r="J78" s="388">
        <v>0</v>
      </c>
      <c r="K78" s="388">
        <v>0</v>
      </c>
      <c r="L78" s="388">
        <v>0</v>
      </c>
      <c r="M78" s="386"/>
      <c r="N78" s="696"/>
      <c r="O78" s="696"/>
      <c r="P78" s="696"/>
      <c r="Q78" s="696"/>
      <c r="R78" s="696"/>
      <c r="S78" s="696"/>
      <c r="T78" s="696"/>
      <c r="U78" s="696"/>
      <c r="V78" s="696"/>
      <c r="W78" s="696"/>
      <c r="X78" s="696"/>
      <c r="Y78" s="699"/>
      <c r="Z78" s="381"/>
      <c r="AA78" s="382"/>
      <c r="AB78" s="382"/>
      <c r="AC78" s="382"/>
      <c r="AD78" s="382"/>
      <c r="AE78" s="382"/>
      <c r="AF78" s="382"/>
      <c r="AG78" s="382"/>
      <c r="AH78" s="382"/>
      <c r="AI78" s="382"/>
      <c r="AJ78" s="383"/>
      <c r="AK78" s="171"/>
      <c r="AL78" s="171"/>
      <c r="AM78" s="19"/>
      <c r="AN78" s="19"/>
      <c r="AO78" s="19"/>
      <c r="AP78" s="19"/>
      <c r="AQ78" s="19"/>
      <c r="AR78" s="19"/>
      <c r="AS78" s="19"/>
      <c r="AT78" s="5"/>
      <c r="AU78" s="5"/>
      <c r="AV78" s="5"/>
      <c r="AW78" s="5"/>
      <c r="AX78" s="5"/>
      <c r="AY78" s="5"/>
      <c r="AZ78" s="5"/>
      <c r="BA78" s="5"/>
      <c r="BB78" s="5"/>
      <c r="BC78" s="5"/>
    </row>
    <row r="79" spans="1:55" ht="22.5" x14ac:dyDescent="0.25">
      <c r="A79" s="713"/>
      <c r="B79" s="696"/>
      <c r="C79" s="722" t="s">
        <v>405</v>
      </c>
      <c r="D79" s="389" t="s">
        <v>348</v>
      </c>
      <c r="E79" s="387">
        <v>2</v>
      </c>
      <c r="F79" s="387">
        <v>2</v>
      </c>
      <c r="G79" s="390">
        <v>6</v>
      </c>
      <c r="H79" s="390">
        <v>15</v>
      </c>
      <c r="I79" s="390"/>
      <c r="J79" s="387">
        <v>2</v>
      </c>
      <c r="K79" s="390">
        <v>6</v>
      </c>
      <c r="L79" s="390">
        <v>21</v>
      </c>
      <c r="M79" s="390"/>
      <c r="N79" s="722" t="s">
        <v>405</v>
      </c>
      <c r="O79" s="718" t="s">
        <v>350</v>
      </c>
      <c r="P79" s="718" t="s">
        <v>351</v>
      </c>
      <c r="Q79" s="718" t="s">
        <v>352</v>
      </c>
      <c r="R79" s="720" t="s">
        <v>353</v>
      </c>
      <c r="S79" s="720">
        <v>475275</v>
      </c>
      <c r="T79" s="696"/>
      <c r="U79" s="720" t="s">
        <v>354</v>
      </c>
      <c r="V79" s="720" t="s">
        <v>355</v>
      </c>
      <c r="W79" s="720" t="s">
        <v>356</v>
      </c>
      <c r="X79" s="720" t="s">
        <v>357</v>
      </c>
      <c r="Y79" s="721">
        <v>475275</v>
      </c>
      <c r="Z79" s="381"/>
      <c r="AA79" s="382">
        <v>12</v>
      </c>
      <c r="AB79" s="382" t="s">
        <v>358</v>
      </c>
      <c r="AC79" s="382"/>
      <c r="AD79" s="382"/>
      <c r="AE79" s="382"/>
      <c r="AF79" s="382" t="s">
        <v>359</v>
      </c>
      <c r="AG79" s="382"/>
      <c r="AH79" s="382"/>
      <c r="AI79" s="382"/>
      <c r="AJ79" s="383"/>
      <c r="AK79" s="171"/>
      <c r="AL79" s="171"/>
      <c r="AM79" s="19"/>
      <c r="AN79" s="19"/>
      <c r="AO79" s="19"/>
      <c r="AP79" s="19"/>
      <c r="AQ79" s="19"/>
      <c r="AR79" s="19"/>
      <c r="AS79" s="19"/>
      <c r="AT79" s="5"/>
      <c r="AU79" s="5"/>
      <c r="AV79" s="5"/>
      <c r="AW79" s="5"/>
      <c r="AX79" s="5"/>
      <c r="AY79" s="5"/>
      <c r="AZ79" s="5"/>
      <c r="BA79" s="5"/>
      <c r="BB79" s="5"/>
      <c r="BC79" s="5"/>
    </row>
    <row r="80" spans="1:55" ht="45" x14ac:dyDescent="0.25">
      <c r="A80" s="713"/>
      <c r="B80" s="696"/>
      <c r="C80" s="696"/>
      <c r="D80" s="384" t="s">
        <v>360</v>
      </c>
      <c r="E80" s="385">
        <f>(E79*$E$8)/$E$7</f>
        <v>6268324.0999999996</v>
      </c>
      <c r="F80" s="385">
        <f>(F79*$F$8)/$F$7</f>
        <v>6268324.0999999996</v>
      </c>
      <c r="G80" s="385">
        <f>(G79*$G$8)/$G$7</f>
        <v>18804972.300000001</v>
      </c>
      <c r="H80" s="385">
        <f>(H79*$H$8)/$H$7</f>
        <v>47298150</v>
      </c>
      <c r="I80" s="386"/>
      <c r="J80" s="385">
        <f>(J79*$J$8)/$J$7</f>
        <v>21606148</v>
      </c>
      <c r="K80" s="385">
        <f>(K79*$K$8)/$K$7</f>
        <v>27290219.636363637</v>
      </c>
      <c r="L80" s="385">
        <v>37152351</v>
      </c>
      <c r="M80" s="386"/>
      <c r="N80" s="696"/>
      <c r="O80" s="696"/>
      <c r="P80" s="696"/>
      <c r="Q80" s="696"/>
      <c r="R80" s="696"/>
      <c r="S80" s="696"/>
      <c r="T80" s="696"/>
      <c r="U80" s="696"/>
      <c r="V80" s="696"/>
      <c r="W80" s="696"/>
      <c r="X80" s="696"/>
      <c r="Y80" s="699"/>
      <c r="Z80" s="381"/>
      <c r="AA80" s="382">
        <v>13</v>
      </c>
      <c r="AB80" s="382" t="s">
        <v>363</v>
      </c>
      <c r="AC80" s="382"/>
      <c r="AD80" s="382"/>
      <c r="AE80" s="382"/>
      <c r="AF80" s="382" t="s">
        <v>364</v>
      </c>
      <c r="AG80" s="382"/>
      <c r="AH80" s="382"/>
      <c r="AI80" s="382"/>
      <c r="AJ80" s="383"/>
      <c r="AK80" s="171"/>
      <c r="AL80" s="171"/>
      <c r="AM80" s="19"/>
      <c r="AN80" s="19"/>
      <c r="AO80" s="19"/>
      <c r="AP80" s="19"/>
      <c r="AQ80" s="19"/>
      <c r="AR80" s="19"/>
      <c r="AS80" s="19"/>
      <c r="AT80" s="5"/>
      <c r="AU80" s="5"/>
      <c r="AV80" s="5"/>
      <c r="AW80" s="5"/>
      <c r="AX80" s="5"/>
      <c r="AY80" s="5"/>
      <c r="AZ80" s="5"/>
      <c r="BA80" s="5"/>
      <c r="BB80" s="5"/>
      <c r="BC80" s="5"/>
    </row>
    <row r="81" spans="1:55" ht="78.75" x14ac:dyDescent="0.25">
      <c r="A81" s="713"/>
      <c r="B81" s="696"/>
      <c r="C81" s="696"/>
      <c r="D81" s="384" t="s">
        <v>365</v>
      </c>
      <c r="E81" s="387">
        <v>0</v>
      </c>
      <c r="F81" s="387">
        <v>0</v>
      </c>
      <c r="G81" s="387">
        <v>0</v>
      </c>
      <c r="H81" s="387">
        <v>0</v>
      </c>
      <c r="I81" s="390"/>
      <c r="J81" s="387">
        <v>0</v>
      </c>
      <c r="K81" s="387">
        <v>0</v>
      </c>
      <c r="L81" s="387">
        <v>0</v>
      </c>
      <c r="M81" s="390"/>
      <c r="N81" s="696"/>
      <c r="O81" s="696"/>
      <c r="P81" s="696"/>
      <c r="Q81" s="696"/>
      <c r="R81" s="696"/>
      <c r="S81" s="696"/>
      <c r="T81" s="696"/>
      <c r="U81" s="696"/>
      <c r="V81" s="696"/>
      <c r="W81" s="696"/>
      <c r="X81" s="696"/>
      <c r="Y81" s="699"/>
      <c r="Z81" s="381"/>
      <c r="AA81" s="382">
        <v>14</v>
      </c>
      <c r="AB81" s="382" t="s">
        <v>367</v>
      </c>
      <c r="AC81" s="382"/>
      <c r="AD81" s="382"/>
      <c r="AE81" s="382"/>
      <c r="AF81" s="382" t="s">
        <v>369</v>
      </c>
      <c r="AG81" s="382"/>
      <c r="AH81" s="382"/>
      <c r="AI81" s="382"/>
      <c r="AJ81" s="383"/>
      <c r="AK81" s="171"/>
      <c r="AL81" s="171"/>
      <c r="AM81" s="19"/>
      <c r="AN81" s="19"/>
      <c r="AO81" s="19"/>
      <c r="AP81" s="19"/>
      <c r="AQ81" s="19"/>
      <c r="AR81" s="19"/>
      <c r="AS81" s="19"/>
      <c r="AT81" s="5"/>
      <c r="AU81" s="5"/>
      <c r="AV81" s="5"/>
      <c r="AW81" s="5"/>
      <c r="AX81" s="5"/>
      <c r="AY81" s="5"/>
      <c r="AZ81" s="5"/>
      <c r="BA81" s="5"/>
      <c r="BB81" s="5"/>
      <c r="BC81" s="5"/>
    </row>
    <row r="82" spans="1:55" ht="22.5" x14ac:dyDescent="0.25">
      <c r="A82" s="713"/>
      <c r="B82" s="696"/>
      <c r="C82" s="696"/>
      <c r="D82" s="384" t="s">
        <v>370</v>
      </c>
      <c r="E82" s="388">
        <v>0</v>
      </c>
      <c r="F82" s="388">
        <v>0</v>
      </c>
      <c r="G82" s="388">
        <v>0</v>
      </c>
      <c r="H82" s="388">
        <v>0</v>
      </c>
      <c r="I82" s="390"/>
      <c r="J82" s="388">
        <v>0</v>
      </c>
      <c r="K82" s="388">
        <v>0</v>
      </c>
      <c r="L82" s="388">
        <v>351991450.15151501</v>
      </c>
      <c r="M82" s="386"/>
      <c r="N82" s="696"/>
      <c r="O82" s="696"/>
      <c r="P82" s="696"/>
      <c r="Q82" s="696"/>
      <c r="R82" s="696"/>
      <c r="S82" s="696"/>
      <c r="T82" s="696"/>
      <c r="U82" s="696"/>
      <c r="V82" s="696"/>
      <c r="W82" s="696"/>
      <c r="X82" s="696"/>
      <c r="Y82" s="699"/>
      <c r="Z82" s="381"/>
      <c r="AA82" s="382"/>
      <c r="AB82" s="382"/>
      <c r="AC82" s="382"/>
      <c r="AD82" s="382"/>
      <c r="AE82" s="382"/>
      <c r="AF82" s="382"/>
      <c r="AG82" s="382"/>
      <c r="AH82" s="382"/>
      <c r="AI82" s="382"/>
      <c r="AJ82" s="383"/>
      <c r="AK82" s="171"/>
      <c r="AL82" s="171"/>
      <c r="AM82" s="19"/>
      <c r="AN82" s="19"/>
      <c r="AO82" s="19"/>
      <c r="AP82" s="19"/>
      <c r="AQ82" s="19"/>
      <c r="AR82" s="19"/>
      <c r="AS82" s="19"/>
      <c r="AT82" s="5"/>
      <c r="AU82" s="5"/>
      <c r="AV82" s="5"/>
      <c r="AW82" s="5"/>
      <c r="AX82" s="5"/>
      <c r="AY82" s="5"/>
      <c r="AZ82" s="5"/>
      <c r="BA82" s="5"/>
      <c r="BB82" s="5"/>
      <c r="BC82" s="5"/>
    </row>
    <row r="83" spans="1:55" x14ac:dyDescent="0.25">
      <c r="A83" s="713"/>
      <c r="B83" s="696"/>
      <c r="C83" s="732" t="s">
        <v>406</v>
      </c>
      <c r="D83" s="389" t="s">
        <v>348</v>
      </c>
      <c r="E83" s="387">
        <f>E7-J7</f>
        <v>162</v>
      </c>
      <c r="F83" s="387">
        <f>F7-J7</f>
        <v>162</v>
      </c>
      <c r="G83" s="390">
        <f>200-(G79+G75+G71+G67+G63+G59+G55+G51+G47+G43+G39+G35+G31+G27+G23+G19+G15+G11)</f>
        <v>101</v>
      </c>
      <c r="H83" s="390">
        <v>111</v>
      </c>
      <c r="I83" s="390"/>
      <c r="J83" s="388"/>
      <c r="K83" s="390">
        <f>H83-26</f>
        <v>85</v>
      </c>
      <c r="L83" s="390">
        <v>19</v>
      </c>
      <c r="M83" s="386"/>
      <c r="N83" s="722" t="s">
        <v>349</v>
      </c>
      <c r="O83" s="718" t="s">
        <v>350</v>
      </c>
      <c r="P83" s="718" t="s">
        <v>351</v>
      </c>
      <c r="Q83" s="718" t="s">
        <v>352</v>
      </c>
      <c r="R83" s="720" t="s">
        <v>353</v>
      </c>
      <c r="S83" s="720">
        <v>8185614</v>
      </c>
      <c r="T83" s="696"/>
      <c r="U83" s="720" t="s">
        <v>354</v>
      </c>
      <c r="V83" s="720" t="s">
        <v>355</v>
      </c>
      <c r="W83" s="720" t="s">
        <v>356</v>
      </c>
      <c r="X83" s="720" t="s">
        <v>357</v>
      </c>
      <c r="Y83" s="721">
        <v>8185614</v>
      </c>
      <c r="Z83" s="381"/>
      <c r="AA83" s="382"/>
      <c r="AB83" s="382"/>
      <c r="AC83" s="382"/>
      <c r="AD83" s="382"/>
      <c r="AE83" s="382"/>
      <c r="AF83" s="382"/>
      <c r="AG83" s="382"/>
      <c r="AH83" s="382"/>
      <c r="AI83" s="382"/>
      <c r="AJ83" s="383"/>
      <c r="AK83" s="171"/>
      <c r="AL83" s="171"/>
      <c r="AM83" s="19"/>
      <c r="AN83" s="19"/>
      <c r="AO83" s="19"/>
      <c r="AP83" s="19"/>
      <c r="AQ83" s="19"/>
      <c r="AR83" s="19"/>
      <c r="AS83" s="19"/>
      <c r="AT83" s="5"/>
      <c r="AU83" s="5"/>
      <c r="AV83" s="5"/>
      <c r="AW83" s="5"/>
      <c r="AX83" s="5"/>
      <c r="AY83" s="5"/>
      <c r="AZ83" s="5"/>
      <c r="BA83" s="5"/>
      <c r="BB83" s="5"/>
      <c r="BC83" s="5"/>
    </row>
    <row r="84" spans="1:55" x14ac:dyDescent="0.25">
      <c r="A84" s="713"/>
      <c r="B84" s="696"/>
      <c r="C84" s="696"/>
      <c r="D84" s="384" t="s">
        <v>360</v>
      </c>
      <c r="E84" s="385">
        <f>(E83*$E$8)/$E$7</f>
        <v>507734252.10000002</v>
      </c>
      <c r="F84" s="385">
        <f>(F83*$F$8)/$F$7</f>
        <v>507734252.10000002</v>
      </c>
      <c r="G84" s="385">
        <f>(G83*$G$8)/$G$7</f>
        <v>316550367.05000001</v>
      </c>
      <c r="H84" s="385">
        <v>351991450</v>
      </c>
      <c r="I84" s="390"/>
      <c r="J84" s="388"/>
      <c r="K84" s="390">
        <f>H84-H40</f>
        <v>265572421.15151519</v>
      </c>
      <c r="L84" s="390">
        <v>64346564</v>
      </c>
      <c r="M84" s="386"/>
      <c r="N84" s="696"/>
      <c r="O84" s="696"/>
      <c r="P84" s="696"/>
      <c r="Q84" s="696"/>
      <c r="R84" s="696"/>
      <c r="S84" s="696"/>
      <c r="T84" s="696"/>
      <c r="U84" s="696"/>
      <c r="V84" s="696"/>
      <c r="W84" s="696"/>
      <c r="X84" s="696"/>
      <c r="Y84" s="699"/>
      <c r="Z84" s="381"/>
      <c r="AA84" s="382"/>
      <c r="AB84" s="382"/>
      <c r="AC84" s="382"/>
      <c r="AD84" s="382"/>
      <c r="AE84" s="382"/>
      <c r="AF84" s="382"/>
      <c r="AG84" s="382"/>
      <c r="AH84" s="382"/>
      <c r="AI84" s="382"/>
      <c r="AJ84" s="383"/>
      <c r="AK84" s="171"/>
      <c r="AL84" s="171"/>
      <c r="AM84" s="19"/>
      <c r="AN84" s="19"/>
      <c r="AO84" s="19"/>
      <c r="AP84" s="19"/>
      <c r="AQ84" s="19"/>
      <c r="AR84" s="19"/>
      <c r="AS84" s="19"/>
      <c r="AT84" s="5"/>
      <c r="AU84" s="5"/>
      <c r="AV84" s="5"/>
      <c r="AW84" s="5"/>
      <c r="AX84" s="5"/>
      <c r="AY84" s="5"/>
      <c r="AZ84" s="5"/>
      <c r="BA84" s="5"/>
      <c r="BB84" s="5"/>
      <c r="BC84" s="5"/>
    </row>
    <row r="85" spans="1:55" x14ac:dyDescent="0.25">
      <c r="A85" s="713"/>
      <c r="B85" s="696"/>
      <c r="C85" s="696"/>
      <c r="D85" s="384" t="s">
        <v>365</v>
      </c>
      <c r="E85" s="387">
        <v>0</v>
      </c>
      <c r="F85" s="387">
        <v>0</v>
      </c>
      <c r="G85" s="387">
        <v>0</v>
      </c>
      <c r="H85" s="387">
        <v>0</v>
      </c>
      <c r="I85" s="390"/>
      <c r="J85" s="387">
        <v>0</v>
      </c>
      <c r="K85" s="387">
        <v>0</v>
      </c>
      <c r="L85" s="387" t="s">
        <v>564</v>
      </c>
      <c r="M85" s="386"/>
      <c r="N85" s="696"/>
      <c r="O85" s="696"/>
      <c r="P85" s="696"/>
      <c r="Q85" s="696"/>
      <c r="R85" s="696"/>
      <c r="S85" s="696"/>
      <c r="T85" s="696"/>
      <c r="U85" s="696"/>
      <c r="V85" s="696"/>
      <c r="W85" s="696"/>
      <c r="X85" s="696"/>
      <c r="Y85" s="699"/>
      <c r="Z85" s="381"/>
      <c r="AA85" s="382"/>
      <c r="AB85" s="382"/>
      <c r="AC85" s="382"/>
      <c r="AD85" s="382"/>
      <c r="AE85" s="382"/>
      <c r="AF85" s="382"/>
      <c r="AG85" s="382"/>
      <c r="AH85" s="382"/>
      <c r="AI85" s="382"/>
      <c r="AJ85" s="383"/>
      <c r="AK85" s="171"/>
      <c r="AL85" s="171"/>
      <c r="AM85" s="19"/>
      <c r="AN85" s="19"/>
      <c r="AO85" s="19"/>
      <c r="AP85" s="19"/>
      <c r="AQ85" s="19"/>
      <c r="AR85" s="19"/>
      <c r="AS85" s="19"/>
      <c r="AT85" s="5"/>
      <c r="AU85" s="5"/>
      <c r="AV85" s="5"/>
      <c r="AW85" s="5"/>
      <c r="AX85" s="5"/>
      <c r="AY85" s="5"/>
      <c r="AZ85" s="5"/>
      <c r="BA85" s="5"/>
      <c r="BB85" s="5"/>
      <c r="BC85" s="5"/>
    </row>
    <row r="86" spans="1:55" ht="22.5" x14ac:dyDescent="0.25">
      <c r="A86" s="713"/>
      <c r="B86" s="696"/>
      <c r="C86" s="696"/>
      <c r="D86" s="384" t="s">
        <v>370</v>
      </c>
      <c r="E86" s="388">
        <f t="shared" ref="E86:H86" si="0">E10</f>
        <v>303067630</v>
      </c>
      <c r="F86" s="388">
        <f t="shared" si="0"/>
        <v>174917866</v>
      </c>
      <c r="G86" s="388">
        <f t="shared" si="0"/>
        <v>174917866</v>
      </c>
      <c r="H86" s="388">
        <f t="shared" si="0"/>
        <v>174917866</v>
      </c>
      <c r="I86" s="390"/>
      <c r="J86" s="388">
        <f t="shared" ref="J86:L86" si="1">J10</f>
        <v>83651383</v>
      </c>
      <c r="K86" s="388">
        <f t="shared" si="1"/>
        <v>169161733</v>
      </c>
      <c r="L86" s="388">
        <f t="shared" si="1"/>
        <v>174917866</v>
      </c>
      <c r="M86" s="386"/>
      <c r="N86" s="696"/>
      <c r="O86" s="696"/>
      <c r="P86" s="696"/>
      <c r="Q86" s="696"/>
      <c r="R86" s="696"/>
      <c r="S86" s="696"/>
      <c r="T86" s="696"/>
      <c r="U86" s="696"/>
      <c r="V86" s="696"/>
      <c r="W86" s="696"/>
      <c r="X86" s="696"/>
      <c r="Y86" s="699"/>
      <c r="Z86" s="381"/>
      <c r="AA86" s="382"/>
      <c r="AB86" s="382"/>
      <c r="AC86" s="382"/>
      <c r="AD86" s="382"/>
      <c r="AE86" s="382"/>
      <c r="AF86" s="382"/>
      <c r="AG86" s="382"/>
      <c r="AH86" s="382"/>
      <c r="AI86" s="382"/>
      <c r="AJ86" s="383"/>
      <c r="AK86" s="171"/>
      <c r="AL86" s="171"/>
      <c r="AM86" s="19"/>
      <c r="AN86" s="19"/>
      <c r="AO86" s="19"/>
      <c r="AP86" s="19"/>
      <c r="AQ86" s="19"/>
      <c r="AR86" s="19"/>
      <c r="AS86" s="19"/>
      <c r="AT86" s="5"/>
      <c r="AU86" s="5"/>
      <c r="AV86" s="5"/>
      <c r="AW86" s="5"/>
      <c r="AX86" s="5"/>
      <c r="AY86" s="5"/>
      <c r="AZ86" s="5"/>
      <c r="BA86" s="5"/>
      <c r="BB86" s="5"/>
      <c r="BC86" s="5"/>
    </row>
    <row r="87" spans="1:55" x14ac:dyDescent="0.25">
      <c r="A87" s="713"/>
      <c r="B87" s="696"/>
      <c r="C87" s="701" t="s">
        <v>408</v>
      </c>
      <c r="D87" s="391" t="s">
        <v>348</v>
      </c>
      <c r="E87" s="392">
        <f t="shared" ref="E87:F90" si="2">E11+E15+E19+E39+E43+E47+E51+E55+E59+E63+E67+E71+E75+E79+E83</f>
        <v>200</v>
      </c>
      <c r="F87" s="392">
        <f t="shared" si="2"/>
        <v>200</v>
      </c>
      <c r="G87" s="392">
        <f t="shared" ref="G87:G90" si="3">G11+G15+G19+G39+G43+G47+G51+G55+G59+G63+G67+G71+G75+G79+G83+G23+G27+G31+G35</f>
        <v>200</v>
      </c>
      <c r="H87" s="392">
        <f t="shared" ref="H87:H90" si="4">H11+H15+H19+H23+H27+H31+H35+H39+H43+H47+H51+H55+H59+H63+H67+H71+H75+H79+H83</f>
        <v>198</v>
      </c>
      <c r="I87" s="393"/>
      <c r="J87" s="392">
        <f t="shared" ref="J87:J89" si="5">J11+J15+J19+J39+J43+J47+J51+J55+J59+J63+J67+J71+J75+J79</f>
        <v>38</v>
      </c>
      <c r="K87" s="392">
        <f t="shared" ref="K87:K90" si="6">K11+K15+K19+K39+K43+K47+K51+K55+K59+K63+K67+K71+K75+K79+K83+K23+K27+K31+K35</f>
        <v>184</v>
      </c>
      <c r="L87" s="392">
        <f t="shared" ref="L87:L90" si="7">L11+L15+L19+L23+L27+L31+L35+L39+L43+L47+L51+L55+L59+L63+L67+L71+L75+L79+L83</f>
        <v>163</v>
      </c>
      <c r="M87" s="393"/>
      <c r="N87" s="734"/>
      <c r="O87" s="696"/>
      <c r="P87" s="696"/>
      <c r="Q87" s="696"/>
      <c r="R87" s="696"/>
      <c r="S87" s="696"/>
      <c r="T87" s="696"/>
      <c r="U87" s="696"/>
      <c r="V87" s="696"/>
      <c r="W87" s="696"/>
      <c r="X87" s="696"/>
      <c r="Y87" s="699"/>
      <c r="Z87" s="394"/>
      <c r="AA87" s="395"/>
      <c r="AB87" s="395"/>
      <c r="AC87" s="395"/>
      <c r="AD87" s="395"/>
      <c r="AE87" s="395"/>
      <c r="AF87" s="395"/>
      <c r="AG87" s="395"/>
      <c r="AH87" s="395"/>
      <c r="AI87" s="395"/>
      <c r="AJ87" s="396"/>
      <c r="AK87" s="397"/>
      <c r="AL87" s="397"/>
      <c r="AM87" s="398"/>
      <c r="AN87" s="398"/>
      <c r="AO87" s="398"/>
      <c r="AP87" s="398"/>
      <c r="AQ87" s="398"/>
      <c r="AR87" s="398"/>
      <c r="AS87" s="398"/>
      <c r="AT87" s="398"/>
      <c r="AU87" s="398"/>
      <c r="AV87" s="398"/>
      <c r="AW87" s="398"/>
      <c r="AX87" s="398"/>
      <c r="AY87" s="398"/>
      <c r="AZ87" s="398"/>
      <c r="BA87" s="398"/>
      <c r="BB87" s="398"/>
      <c r="BC87" s="398"/>
    </row>
    <row r="88" spans="1:55" x14ac:dyDescent="0.25">
      <c r="A88" s="713"/>
      <c r="B88" s="696"/>
      <c r="C88" s="696"/>
      <c r="D88" s="399" t="s">
        <v>360</v>
      </c>
      <c r="E88" s="400">
        <f t="shared" si="2"/>
        <v>626832410</v>
      </c>
      <c r="F88" s="400">
        <f t="shared" si="2"/>
        <v>626832410</v>
      </c>
      <c r="G88" s="400">
        <f t="shared" si="3"/>
        <v>626832410</v>
      </c>
      <c r="H88" s="400">
        <f>H12+H16+H20+H24+H28+H32+H36+H40+H44+H48+H52+H56+H60+H64+H68+H72+H76+H80+H84</f>
        <v>630661048.84848475</v>
      </c>
      <c r="I88" s="393"/>
      <c r="J88" s="400">
        <f t="shared" si="5"/>
        <v>410516812</v>
      </c>
      <c r="K88" s="400">
        <f t="shared" si="6"/>
        <v>715861045.15151525</v>
      </c>
      <c r="L88" s="400">
        <f>L12+L16+L20+L24+L28+L32+L36+L40+L44+L48+L52+L56+L60+L64+L68+L72+L76+L80</f>
        <v>436638065.22234625</v>
      </c>
      <c r="M88" s="393"/>
      <c r="N88" s="696"/>
      <c r="O88" s="719"/>
      <c r="P88" s="719"/>
      <c r="Q88" s="719"/>
      <c r="R88" s="719"/>
      <c r="S88" s="719"/>
      <c r="T88" s="719"/>
      <c r="U88" s="719"/>
      <c r="V88" s="719"/>
      <c r="W88" s="719"/>
      <c r="X88" s="719"/>
      <c r="Y88" s="699"/>
      <c r="Z88" s="394"/>
      <c r="AA88" s="395"/>
      <c r="AB88" s="395"/>
      <c r="AC88" s="395"/>
      <c r="AD88" s="395"/>
      <c r="AE88" s="395"/>
      <c r="AF88" s="395"/>
      <c r="AG88" s="395"/>
      <c r="AH88" s="395"/>
      <c r="AI88" s="395"/>
      <c r="AJ88" s="396"/>
      <c r="AK88" s="397"/>
      <c r="AL88" s="397"/>
      <c r="AM88" s="398"/>
      <c r="AN88" s="398"/>
      <c r="AO88" s="398"/>
      <c r="AP88" s="398"/>
      <c r="AQ88" s="398"/>
      <c r="AR88" s="398"/>
      <c r="AS88" s="398"/>
      <c r="AT88" s="398"/>
      <c r="AU88" s="398"/>
      <c r="AV88" s="398"/>
      <c r="AW88" s="398"/>
      <c r="AX88" s="398"/>
      <c r="AY88" s="398"/>
      <c r="AZ88" s="398"/>
      <c r="BA88" s="398"/>
      <c r="BB88" s="398"/>
      <c r="BC88" s="398"/>
    </row>
    <row r="89" spans="1:55" ht="22.5" x14ac:dyDescent="0.25">
      <c r="A89" s="713"/>
      <c r="B89" s="696"/>
      <c r="C89" s="696"/>
      <c r="D89" s="399" t="s">
        <v>365</v>
      </c>
      <c r="E89" s="392">
        <f t="shared" si="2"/>
        <v>0</v>
      </c>
      <c r="F89" s="392">
        <f t="shared" si="2"/>
        <v>0</v>
      </c>
      <c r="G89" s="392">
        <f t="shared" si="3"/>
        <v>0</v>
      </c>
      <c r="H89" s="392">
        <f t="shared" si="4"/>
        <v>0</v>
      </c>
      <c r="I89" s="401"/>
      <c r="J89" s="392">
        <f t="shared" si="5"/>
        <v>0</v>
      </c>
      <c r="K89" s="392">
        <f t="shared" si="6"/>
        <v>0</v>
      </c>
      <c r="L89" s="392">
        <f t="shared" si="7"/>
        <v>64346564</v>
      </c>
      <c r="M89" s="393"/>
      <c r="N89" s="696"/>
      <c r="O89" s="719"/>
      <c r="P89" s="719"/>
      <c r="Q89" s="719"/>
      <c r="R89" s="719"/>
      <c r="S89" s="719"/>
      <c r="T89" s="719"/>
      <c r="U89" s="719"/>
      <c r="V89" s="719"/>
      <c r="W89" s="719"/>
      <c r="X89" s="719"/>
      <c r="Y89" s="699"/>
      <c r="Z89" s="394"/>
      <c r="AA89" s="395"/>
      <c r="AB89" s="395"/>
      <c r="AC89" s="395"/>
      <c r="AD89" s="395"/>
      <c r="AE89" s="395"/>
      <c r="AF89" s="395"/>
      <c r="AG89" s="395"/>
      <c r="AH89" s="395"/>
      <c r="AI89" s="395"/>
      <c r="AJ89" s="396"/>
      <c r="AK89" s="397"/>
      <c r="AL89" s="397"/>
      <c r="AM89" s="398"/>
      <c r="AN89" s="398"/>
      <c r="AO89" s="398"/>
      <c r="AP89" s="398"/>
      <c r="AQ89" s="398"/>
      <c r="AR89" s="398"/>
      <c r="AS89" s="398"/>
      <c r="AT89" s="398"/>
      <c r="AU89" s="398"/>
      <c r="AV89" s="398"/>
      <c r="AW89" s="398"/>
      <c r="AX89" s="398"/>
      <c r="AY89" s="398"/>
      <c r="AZ89" s="398"/>
      <c r="BA89" s="398"/>
      <c r="BB89" s="398"/>
      <c r="BC89" s="398"/>
    </row>
    <row r="90" spans="1:55" ht="23.25" thickBot="1" x14ac:dyDescent="0.3">
      <c r="A90" s="714"/>
      <c r="B90" s="697"/>
      <c r="C90" s="697"/>
      <c r="D90" s="402" t="s">
        <v>370</v>
      </c>
      <c r="E90" s="403">
        <f t="shared" si="2"/>
        <v>303067630</v>
      </c>
      <c r="F90" s="403">
        <f t="shared" si="2"/>
        <v>174917866</v>
      </c>
      <c r="G90" s="403">
        <f t="shared" si="3"/>
        <v>174917866</v>
      </c>
      <c r="H90" s="403">
        <f t="shared" si="4"/>
        <v>174917866</v>
      </c>
      <c r="I90" s="404"/>
      <c r="J90" s="403">
        <f>J14+J18+J22+J42+J46+J50+J54+J58+J62+J66+J70+J74+J78+J82+J86</f>
        <v>83651383</v>
      </c>
      <c r="K90" s="403">
        <f t="shared" si="6"/>
        <v>169161733</v>
      </c>
      <c r="L90" s="403">
        <f t="shared" si="7"/>
        <v>526909316.15151501</v>
      </c>
      <c r="M90" s="404"/>
      <c r="N90" s="697"/>
      <c r="O90" s="697"/>
      <c r="P90" s="697"/>
      <c r="Q90" s="697"/>
      <c r="R90" s="697"/>
      <c r="S90" s="697"/>
      <c r="T90" s="697"/>
      <c r="U90" s="697"/>
      <c r="V90" s="697"/>
      <c r="W90" s="697"/>
      <c r="X90" s="697"/>
      <c r="Y90" s="700"/>
      <c r="Z90" s="394"/>
      <c r="AA90" s="395"/>
      <c r="AB90" s="395"/>
      <c r="AC90" s="395"/>
      <c r="AD90" s="395"/>
      <c r="AE90" s="395"/>
      <c r="AF90" s="395"/>
      <c r="AG90" s="395"/>
      <c r="AH90" s="395"/>
      <c r="AI90" s="395"/>
      <c r="AJ90" s="396"/>
      <c r="AK90" s="397"/>
      <c r="AL90" s="397"/>
      <c r="AM90" s="398"/>
      <c r="AN90" s="398"/>
      <c r="AO90" s="398"/>
      <c r="AP90" s="398"/>
      <c r="AQ90" s="398"/>
      <c r="AR90" s="398"/>
      <c r="AS90" s="398"/>
      <c r="AT90" s="398"/>
      <c r="AU90" s="398"/>
      <c r="AV90" s="398"/>
      <c r="AW90" s="398"/>
      <c r="AX90" s="398"/>
      <c r="AY90" s="398"/>
      <c r="AZ90" s="398"/>
      <c r="BA90" s="398"/>
      <c r="BB90" s="398"/>
      <c r="BC90" s="398"/>
    </row>
    <row r="91" spans="1:55" ht="22.5" x14ac:dyDescent="0.25">
      <c r="A91" s="712">
        <v>2</v>
      </c>
      <c r="B91" s="710" t="s">
        <v>99</v>
      </c>
      <c r="C91" s="737" t="s">
        <v>411</v>
      </c>
      <c r="D91" s="405" t="s">
        <v>348</v>
      </c>
      <c r="E91" s="379">
        <v>0.6</v>
      </c>
      <c r="F91" s="379">
        <v>0.6</v>
      </c>
      <c r="G91" s="379">
        <v>0.6</v>
      </c>
      <c r="H91" s="379">
        <f>[1]INVERSIÓN!V15</f>
        <v>0.6</v>
      </c>
      <c r="I91" s="406"/>
      <c r="J91" s="379">
        <v>0.12</v>
      </c>
      <c r="K91" s="379">
        <v>0.12</v>
      </c>
      <c r="L91" s="379">
        <f>[1]INVERSIÓN!AL15</f>
        <v>0.12</v>
      </c>
      <c r="M91" s="406"/>
      <c r="N91" s="710" t="s">
        <v>413</v>
      </c>
      <c r="O91" s="738" t="s">
        <v>414</v>
      </c>
      <c r="P91" s="736" t="s">
        <v>415</v>
      </c>
      <c r="Q91" s="710" t="s">
        <v>416</v>
      </c>
      <c r="R91" s="695" t="s">
        <v>353</v>
      </c>
      <c r="S91" s="716">
        <v>93152</v>
      </c>
      <c r="T91" s="716">
        <v>94819</v>
      </c>
      <c r="U91" s="695" t="s">
        <v>354</v>
      </c>
      <c r="V91" s="695" t="s">
        <v>355</v>
      </c>
      <c r="W91" s="695" t="s">
        <v>356</v>
      </c>
      <c r="X91" s="695" t="s">
        <v>357</v>
      </c>
      <c r="Y91" s="729">
        <f>SUM(T91+S91)</f>
        <v>187971</v>
      </c>
      <c r="Z91" s="381"/>
      <c r="AA91" s="382">
        <v>12</v>
      </c>
      <c r="AB91" s="382" t="s">
        <v>358</v>
      </c>
      <c r="AC91" s="382"/>
      <c r="AD91" s="382"/>
      <c r="AE91" s="382"/>
      <c r="AF91" s="382" t="s">
        <v>359</v>
      </c>
      <c r="AG91" s="382"/>
      <c r="AH91" s="382"/>
      <c r="AI91" s="382"/>
      <c r="AJ91" s="383"/>
      <c r="AK91" s="171"/>
      <c r="AL91" s="171"/>
      <c r="AM91" s="19"/>
      <c r="AN91" s="19"/>
      <c r="AO91" s="19"/>
      <c r="AP91" s="19"/>
      <c r="AQ91" s="19"/>
      <c r="AR91" s="19"/>
      <c r="AS91" s="19"/>
      <c r="AT91" s="5"/>
      <c r="AU91" s="5"/>
      <c r="AV91" s="5"/>
      <c r="AW91" s="5"/>
      <c r="AX91" s="5"/>
      <c r="AY91" s="5"/>
      <c r="AZ91" s="5"/>
      <c r="BA91" s="5"/>
      <c r="BB91" s="5"/>
      <c r="BC91" s="5"/>
    </row>
    <row r="92" spans="1:55" ht="45" x14ac:dyDescent="0.25">
      <c r="A92" s="713"/>
      <c r="B92" s="696"/>
      <c r="C92" s="696"/>
      <c r="D92" s="384" t="s">
        <v>360</v>
      </c>
      <c r="E92" s="407">
        <v>986508000</v>
      </c>
      <c r="F92" s="407">
        <v>986508000</v>
      </c>
      <c r="G92" s="407">
        <v>986508000</v>
      </c>
      <c r="H92" s="407">
        <f>[1]INVERSIÓN!V16</f>
        <v>986508000</v>
      </c>
      <c r="I92" s="390"/>
      <c r="J92" s="407">
        <v>0</v>
      </c>
      <c r="K92" s="407">
        <v>0</v>
      </c>
      <c r="L92" s="407">
        <f>[1]INVERSIÓN!AL16</f>
        <v>0</v>
      </c>
      <c r="M92" s="390"/>
      <c r="N92" s="696"/>
      <c r="O92" s="696"/>
      <c r="P92" s="696"/>
      <c r="Q92" s="696"/>
      <c r="R92" s="696"/>
      <c r="S92" s="696"/>
      <c r="T92" s="696"/>
      <c r="U92" s="696"/>
      <c r="V92" s="696"/>
      <c r="W92" s="696"/>
      <c r="X92" s="696"/>
      <c r="Y92" s="699"/>
      <c r="Z92" s="381"/>
      <c r="AA92" s="382">
        <v>13</v>
      </c>
      <c r="AB92" s="382" t="s">
        <v>363</v>
      </c>
      <c r="AC92" s="382"/>
      <c r="AD92" s="382"/>
      <c r="AE92" s="382"/>
      <c r="AF92" s="382" t="s">
        <v>364</v>
      </c>
      <c r="AG92" s="382"/>
      <c r="AH92" s="382"/>
      <c r="AI92" s="382"/>
      <c r="AJ92" s="383"/>
      <c r="AK92" s="171"/>
      <c r="AL92" s="171"/>
      <c r="AM92" s="19"/>
      <c r="AN92" s="19"/>
      <c r="AO92" s="19"/>
      <c r="AP92" s="19"/>
      <c r="AQ92" s="19"/>
      <c r="AR92" s="19"/>
      <c r="AS92" s="19"/>
      <c r="AT92" s="5"/>
      <c r="AU92" s="5"/>
      <c r="AV92" s="5"/>
      <c r="AW92" s="5"/>
      <c r="AX92" s="5"/>
      <c r="AY92" s="5"/>
      <c r="AZ92" s="5"/>
      <c r="BA92" s="5"/>
      <c r="BB92" s="5"/>
      <c r="BC92" s="5"/>
    </row>
    <row r="93" spans="1:55" ht="78.75" x14ac:dyDescent="0.25">
      <c r="A93" s="713"/>
      <c r="B93" s="696"/>
      <c r="C93" s="696"/>
      <c r="D93" s="384" t="s">
        <v>365</v>
      </c>
      <c r="E93" s="387">
        <v>0</v>
      </c>
      <c r="F93" s="387">
        <v>0</v>
      </c>
      <c r="G93" s="387">
        <v>0</v>
      </c>
      <c r="H93" s="387">
        <f>[1]INVERSIÓN!V17</f>
        <v>0</v>
      </c>
      <c r="I93" s="390"/>
      <c r="J93" s="387">
        <v>0</v>
      </c>
      <c r="K93" s="387">
        <v>0</v>
      </c>
      <c r="L93" s="387">
        <f>[1]INVERSIÓN!AL17</f>
        <v>0</v>
      </c>
      <c r="M93" s="390"/>
      <c r="N93" s="696"/>
      <c r="O93" s="696"/>
      <c r="P93" s="696"/>
      <c r="Q93" s="696"/>
      <c r="R93" s="696"/>
      <c r="S93" s="696"/>
      <c r="T93" s="696"/>
      <c r="U93" s="696"/>
      <c r="V93" s="696"/>
      <c r="W93" s="696"/>
      <c r="X93" s="696"/>
      <c r="Y93" s="699"/>
      <c r="Z93" s="381"/>
      <c r="AA93" s="382">
        <v>14</v>
      </c>
      <c r="AB93" s="382" t="s">
        <v>367</v>
      </c>
      <c r="AC93" s="382"/>
      <c r="AD93" s="382"/>
      <c r="AE93" s="382"/>
      <c r="AF93" s="382" t="s">
        <v>369</v>
      </c>
      <c r="AG93" s="382"/>
      <c r="AH93" s="382"/>
      <c r="AI93" s="382"/>
      <c r="AJ93" s="383"/>
      <c r="AK93" s="171"/>
      <c r="AL93" s="171"/>
      <c r="AM93" s="19"/>
      <c r="AN93" s="19"/>
      <c r="AO93" s="19"/>
      <c r="AP93" s="19"/>
      <c r="AQ93" s="19"/>
      <c r="AR93" s="19"/>
      <c r="AS93" s="19"/>
      <c r="AT93" s="5"/>
      <c r="AU93" s="5"/>
      <c r="AV93" s="5"/>
      <c r="AW93" s="5"/>
      <c r="AX93" s="5"/>
      <c r="AY93" s="5"/>
      <c r="AZ93" s="5"/>
      <c r="BA93" s="5"/>
      <c r="BB93" s="5"/>
      <c r="BC93" s="5"/>
    </row>
    <row r="94" spans="1:55" ht="22.5" x14ac:dyDescent="0.25">
      <c r="A94" s="713"/>
      <c r="B94" s="696"/>
      <c r="C94" s="696"/>
      <c r="D94" s="384" t="s">
        <v>370</v>
      </c>
      <c r="E94" s="407">
        <v>999763898</v>
      </c>
      <c r="F94" s="407">
        <v>999763898</v>
      </c>
      <c r="G94" s="407">
        <v>999763898</v>
      </c>
      <c r="H94" s="407">
        <f>[1]INVERSIÓN!V18</f>
        <v>999763898</v>
      </c>
      <c r="I94" s="386"/>
      <c r="J94" s="407">
        <f>[1]INVERSIÓN!AJ18</f>
        <v>999763898</v>
      </c>
      <c r="K94" s="407">
        <f>[1]INVERSIÓN!AK18</f>
        <v>999763898</v>
      </c>
      <c r="L94" s="407">
        <f>[1]INVERSIÓN!AL18</f>
        <v>999763898</v>
      </c>
      <c r="M94" s="386"/>
      <c r="N94" s="696"/>
      <c r="O94" s="696"/>
      <c r="P94" s="696"/>
      <c r="Q94" s="696"/>
      <c r="R94" s="696"/>
      <c r="S94" s="696"/>
      <c r="T94" s="696"/>
      <c r="U94" s="696"/>
      <c r="V94" s="696"/>
      <c r="W94" s="696"/>
      <c r="X94" s="696"/>
      <c r="Y94" s="699"/>
      <c r="Z94" s="381"/>
      <c r="AA94" s="382"/>
      <c r="AB94" s="382"/>
      <c r="AC94" s="382"/>
      <c r="AD94" s="382"/>
      <c r="AE94" s="382"/>
      <c r="AF94" s="382"/>
      <c r="AG94" s="382"/>
      <c r="AH94" s="382"/>
      <c r="AI94" s="382"/>
      <c r="AJ94" s="383"/>
      <c r="AK94" s="171"/>
      <c r="AL94" s="171"/>
      <c r="AM94" s="19"/>
      <c r="AN94" s="19"/>
      <c r="AO94" s="19"/>
      <c r="AP94" s="19"/>
      <c r="AQ94" s="19"/>
      <c r="AR94" s="19"/>
      <c r="AS94" s="19"/>
      <c r="AT94" s="5"/>
      <c r="AU94" s="5"/>
      <c r="AV94" s="5"/>
      <c r="AW94" s="5"/>
      <c r="AX94" s="5"/>
      <c r="AY94" s="5"/>
      <c r="AZ94" s="5"/>
      <c r="BA94" s="5"/>
      <c r="BB94" s="5"/>
      <c r="BC94" s="5"/>
    </row>
    <row r="95" spans="1:55" x14ac:dyDescent="0.25">
      <c r="A95" s="713"/>
      <c r="B95" s="696"/>
      <c r="C95" s="701" t="s">
        <v>417</v>
      </c>
      <c r="D95" s="391" t="s">
        <v>348</v>
      </c>
      <c r="E95" s="392">
        <v>0.6</v>
      </c>
      <c r="F95" s="392">
        <v>0.6</v>
      </c>
      <c r="G95" s="392">
        <f t="shared" ref="G95:H98" si="8">G91</f>
        <v>0.6</v>
      </c>
      <c r="H95" s="392">
        <f t="shared" si="8"/>
        <v>0.6</v>
      </c>
      <c r="I95" s="408"/>
      <c r="J95" s="392">
        <v>0</v>
      </c>
      <c r="K95" s="392">
        <f t="shared" ref="K95:L98" si="9">K91</f>
        <v>0.12</v>
      </c>
      <c r="L95" s="392">
        <f t="shared" si="9"/>
        <v>0.12</v>
      </c>
      <c r="M95" s="393"/>
      <c r="N95" s="696"/>
      <c r="O95" s="696"/>
      <c r="P95" s="696"/>
      <c r="Q95" s="696"/>
      <c r="R95" s="696"/>
      <c r="S95" s="696"/>
      <c r="T95" s="696"/>
      <c r="U95" s="696"/>
      <c r="V95" s="696"/>
      <c r="W95" s="696"/>
      <c r="X95" s="696"/>
      <c r="Y95" s="699"/>
      <c r="Z95" s="394"/>
      <c r="AA95" s="395"/>
      <c r="AB95" s="395"/>
      <c r="AC95" s="395"/>
      <c r="AD95" s="395"/>
      <c r="AE95" s="395"/>
      <c r="AF95" s="395"/>
      <c r="AG95" s="395"/>
      <c r="AH95" s="395"/>
      <c r="AI95" s="395"/>
      <c r="AJ95" s="396"/>
      <c r="AK95" s="397"/>
      <c r="AL95" s="397"/>
      <c r="AM95" s="398"/>
      <c r="AN95" s="398"/>
      <c r="AO95" s="398"/>
      <c r="AP95" s="398"/>
      <c r="AQ95" s="398"/>
      <c r="AR95" s="398"/>
      <c r="AS95" s="398"/>
      <c r="AT95" s="398"/>
      <c r="AU95" s="398"/>
      <c r="AV95" s="398"/>
      <c r="AW95" s="398"/>
      <c r="AX95" s="398"/>
      <c r="AY95" s="398"/>
      <c r="AZ95" s="398"/>
      <c r="BA95" s="398"/>
      <c r="BB95" s="398"/>
      <c r="BC95" s="398"/>
    </row>
    <row r="96" spans="1:55" x14ac:dyDescent="0.25">
      <c r="A96" s="713"/>
      <c r="B96" s="696"/>
      <c r="C96" s="696"/>
      <c r="D96" s="399" t="s">
        <v>360</v>
      </c>
      <c r="E96" s="400">
        <v>986508000</v>
      </c>
      <c r="F96" s="400">
        <v>986508000</v>
      </c>
      <c r="G96" s="400">
        <f t="shared" si="8"/>
        <v>986508000</v>
      </c>
      <c r="H96" s="400">
        <f t="shared" si="8"/>
        <v>986508000</v>
      </c>
      <c r="I96" s="408"/>
      <c r="J96" s="400">
        <v>0</v>
      </c>
      <c r="K96" s="400">
        <f t="shared" si="9"/>
        <v>0</v>
      </c>
      <c r="L96" s="400">
        <f t="shared" si="9"/>
        <v>0</v>
      </c>
      <c r="M96" s="393"/>
      <c r="N96" s="696"/>
      <c r="O96" s="696"/>
      <c r="P96" s="696"/>
      <c r="Q96" s="696"/>
      <c r="R96" s="696"/>
      <c r="S96" s="696"/>
      <c r="T96" s="696"/>
      <c r="U96" s="696"/>
      <c r="V96" s="696"/>
      <c r="W96" s="696"/>
      <c r="X96" s="696"/>
      <c r="Y96" s="699"/>
      <c r="Z96" s="394"/>
      <c r="AA96" s="395"/>
      <c r="AB96" s="395"/>
      <c r="AC96" s="395"/>
      <c r="AD96" s="395"/>
      <c r="AE96" s="395"/>
      <c r="AF96" s="395"/>
      <c r="AG96" s="395"/>
      <c r="AH96" s="395"/>
      <c r="AI96" s="395"/>
      <c r="AJ96" s="396"/>
      <c r="AK96" s="397"/>
      <c r="AL96" s="397"/>
      <c r="AM96" s="398"/>
      <c r="AN96" s="398"/>
      <c r="AO96" s="398"/>
      <c r="AP96" s="398"/>
      <c r="AQ96" s="398"/>
      <c r="AR96" s="398"/>
      <c r="AS96" s="398"/>
      <c r="AT96" s="398"/>
      <c r="AU96" s="398"/>
      <c r="AV96" s="398"/>
      <c r="AW96" s="398"/>
      <c r="AX96" s="398"/>
      <c r="AY96" s="398"/>
      <c r="AZ96" s="398"/>
      <c r="BA96" s="398"/>
      <c r="BB96" s="398"/>
      <c r="BC96" s="398"/>
    </row>
    <row r="97" spans="1:55" ht="22.5" x14ac:dyDescent="0.25">
      <c r="A97" s="713"/>
      <c r="B97" s="696"/>
      <c r="C97" s="696"/>
      <c r="D97" s="399" t="s">
        <v>365</v>
      </c>
      <c r="E97" s="392">
        <v>0</v>
      </c>
      <c r="F97" s="392">
        <v>0</v>
      </c>
      <c r="G97" s="392">
        <f t="shared" si="8"/>
        <v>0</v>
      </c>
      <c r="H97" s="392">
        <f t="shared" si="8"/>
        <v>0</v>
      </c>
      <c r="I97" s="409"/>
      <c r="J97" s="392">
        <v>0</v>
      </c>
      <c r="K97" s="392">
        <f t="shared" si="9"/>
        <v>0</v>
      </c>
      <c r="L97" s="392">
        <f t="shared" si="9"/>
        <v>0</v>
      </c>
      <c r="M97" s="393"/>
      <c r="N97" s="696"/>
      <c r="O97" s="696"/>
      <c r="P97" s="696"/>
      <c r="Q97" s="696"/>
      <c r="R97" s="696"/>
      <c r="S97" s="696"/>
      <c r="T97" s="696"/>
      <c r="U97" s="696"/>
      <c r="V97" s="696"/>
      <c r="W97" s="696"/>
      <c r="X97" s="696"/>
      <c r="Y97" s="699"/>
      <c r="Z97" s="394"/>
      <c r="AA97" s="395"/>
      <c r="AB97" s="395"/>
      <c r="AC97" s="395"/>
      <c r="AD97" s="395"/>
      <c r="AE97" s="395"/>
      <c r="AF97" s="395"/>
      <c r="AG97" s="395"/>
      <c r="AH97" s="395"/>
      <c r="AI97" s="395"/>
      <c r="AJ97" s="396"/>
      <c r="AK97" s="397"/>
      <c r="AL97" s="397"/>
      <c r="AM97" s="398"/>
      <c r="AN97" s="398"/>
      <c r="AO97" s="398"/>
      <c r="AP97" s="398"/>
      <c r="AQ97" s="398"/>
      <c r="AR97" s="398"/>
      <c r="AS97" s="398"/>
      <c r="AT97" s="398"/>
      <c r="AU97" s="398"/>
      <c r="AV97" s="398"/>
      <c r="AW97" s="398"/>
      <c r="AX97" s="398"/>
      <c r="AY97" s="398"/>
      <c r="AZ97" s="398"/>
      <c r="BA97" s="398"/>
      <c r="BB97" s="398"/>
      <c r="BC97" s="398"/>
    </row>
    <row r="98" spans="1:55" ht="23.25" thickBot="1" x14ac:dyDescent="0.3">
      <c r="A98" s="714"/>
      <c r="B98" s="697"/>
      <c r="C98" s="697"/>
      <c r="D98" s="402" t="s">
        <v>370</v>
      </c>
      <c r="E98" s="403">
        <v>999763898</v>
      </c>
      <c r="F98" s="403">
        <v>999763898</v>
      </c>
      <c r="G98" s="403">
        <f t="shared" si="8"/>
        <v>999763898</v>
      </c>
      <c r="H98" s="403">
        <f t="shared" si="8"/>
        <v>999763898</v>
      </c>
      <c r="I98" s="410"/>
      <c r="J98" s="403">
        <v>999763898</v>
      </c>
      <c r="K98" s="403">
        <f t="shared" si="9"/>
        <v>999763898</v>
      </c>
      <c r="L98" s="403">
        <f t="shared" si="9"/>
        <v>999763898</v>
      </c>
      <c r="M98" s="404"/>
      <c r="N98" s="697"/>
      <c r="O98" s="697"/>
      <c r="P98" s="697"/>
      <c r="Q98" s="697"/>
      <c r="R98" s="697"/>
      <c r="S98" s="697"/>
      <c r="T98" s="697"/>
      <c r="U98" s="697"/>
      <c r="V98" s="697"/>
      <c r="W98" s="697"/>
      <c r="X98" s="697"/>
      <c r="Y98" s="700"/>
      <c r="Z98" s="394"/>
      <c r="AA98" s="395"/>
      <c r="AB98" s="395"/>
      <c r="AC98" s="395"/>
      <c r="AD98" s="395"/>
      <c r="AE98" s="395"/>
      <c r="AF98" s="395"/>
      <c r="AG98" s="395"/>
      <c r="AH98" s="395"/>
      <c r="AI98" s="395"/>
      <c r="AJ98" s="396"/>
      <c r="AK98" s="397"/>
      <c r="AL98" s="397"/>
      <c r="AM98" s="398"/>
      <c r="AN98" s="398"/>
      <c r="AO98" s="398"/>
      <c r="AP98" s="398"/>
      <c r="AQ98" s="398"/>
      <c r="AR98" s="398"/>
      <c r="AS98" s="398"/>
      <c r="AT98" s="398"/>
      <c r="AU98" s="398"/>
      <c r="AV98" s="398"/>
      <c r="AW98" s="398"/>
      <c r="AX98" s="398"/>
      <c r="AY98" s="398"/>
      <c r="AZ98" s="398"/>
      <c r="BA98" s="398"/>
      <c r="BB98" s="398"/>
      <c r="BC98" s="398"/>
    </row>
    <row r="99" spans="1:55" ht="22.5" x14ac:dyDescent="0.25">
      <c r="A99" s="712">
        <v>3</v>
      </c>
      <c r="B99" s="710" t="s">
        <v>418</v>
      </c>
      <c r="C99" s="710" t="s">
        <v>419</v>
      </c>
      <c r="D99" s="405" t="s">
        <v>348</v>
      </c>
      <c r="E99" s="379">
        <v>4909</v>
      </c>
      <c r="F99" s="379">
        <v>4909</v>
      </c>
      <c r="G99" s="379">
        <v>4909</v>
      </c>
      <c r="H99" s="379">
        <f>[1]INVERSIÓN!V21</f>
        <v>4909</v>
      </c>
      <c r="I99" s="380"/>
      <c r="J99" s="379">
        <v>1308</v>
      </c>
      <c r="K99" s="379">
        <v>2511</v>
      </c>
      <c r="L99" s="379">
        <f>[1]INVERSIÓN!AL21</f>
        <v>3711</v>
      </c>
      <c r="M99" s="380"/>
      <c r="N99" s="710" t="s">
        <v>349</v>
      </c>
      <c r="O99" s="716" t="s">
        <v>350</v>
      </c>
      <c r="P99" s="716" t="s">
        <v>351</v>
      </c>
      <c r="Q99" s="716" t="s">
        <v>352</v>
      </c>
      <c r="R99" s="695" t="s">
        <v>353</v>
      </c>
      <c r="S99" s="695">
        <v>8185614</v>
      </c>
      <c r="T99" s="711"/>
      <c r="U99" s="695" t="s">
        <v>354</v>
      </c>
      <c r="V99" s="695" t="s">
        <v>355</v>
      </c>
      <c r="W99" s="695" t="s">
        <v>356</v>
      </c>
      <c r="X99" s="695" t="s">
        <v>357</v>
      </c>
      <c r="Y99" s="698">
        <v>8185614</v>
      </c>
      <c r="Z99" s="381"/>
      <c r="AA99" s="382">
        <v>12</v>
      </c>
      <c r="AB99" s="382" t="s">
        <v>358</v>
      </c>
      <c r="AC99" s="382"/>
      <c r="AD99" s="382"/>
      <c r="AE99" s="382"/>
      <c r="AF99" s="382" t="s">
        <v>359</v>
      </c>
      <c r="AG99" s="382"/>
      <c r="AH99" s="382"/>
      <c r="AI99" s="382"/>
      <c r="AJ99" s="383"/>
      <c r="AK99" s="171"/>
      <c r="AL99" s="171"/>
      <c r="AM99" s="19"/>
      <c r="AN99" s="19"/>
      <c r="AO99" s="19"/>
      <c r="AP99" s="19"/>
      <c r="AQ99" s="19"/>
      <c r="AR99" s="19"/>
      <c r="AS99" s="19"/>
      <c r="AT99" s="5"/>
      <c r="AU99" s="5"/>
      <c r="AV99" s="5"/>
      <c r="AW99" s="5"/>
      <c r="AX99" s="5"/>
      <c r="AY99" s="5"/>
      <c r="AZ99" s="5"/>
      <c r="BA99" s="5"/>
      <c r="BB99" s="5"/>
      <c r="BC99" s="5"/>
    </row>
    <row r="100" spans="1:55" ht="45" x14ac:dyDescent="0.25">
      <c r="A100" s="713"/>
      <c r="B100" s="696"/>
      <c r="C100" s="696"/>
      <c r="D100" s="384" t="s">
        <v>360</v>
      </c>
      <c r="E100" s="411">
        <v>193095495</v>
      </c>
      <c r="F100" s="411">
        <v>193095495</v>
      </c>
      <c r="G100" s="411">
        <v>198144000</v>
      </c>
      <c r="H100" s="411">
        <f>[1]INVERSIÓN!V22</f>
        <v>198144000</v>
      </c>
      <c r="I100" s="390"/>
      <c r="J100" s="411">
        <v>30855000</v>
      </c>
      <c r="K100" s="411">
        <v>30855000</v>
      </c>
      <c r="L100" s="411">
        <f>[1]INVERSIÓN!AL22</f>
        <v>74450000</v>
      </c>
      <c r="M100" s="390"/>
      <c r="N100" s="696"/>
      <c r="O100" s="696"/>
      <c r="P100" s="696"/>
      <c r="Q100" s="696"/>
      <c r="R100" s="696"/>
      <c r="S100" s="696"/>
      <c r="T100" s="696"/>
      <c r="U100" s="696"/>
      <c r="V100" s="696"/>
      <c r="W100" s="696"/>
      <c r="X100" s="696"/>
      <c r="Y100" s="699"/>
      <c r="Z100" s="381"/>
      <c r="AA100" s="382">
        <v>13</v>
      </c>
      <c r="AB100" s="382" t="s">
        <v>363</v>
      </c>
      <c r="AC100" s="382"/>
      <c r="AD100" s="382"/>
      <c r="AE100" s="382"/>
      <c r="AF100" s="382" t="s">
        <v>364</v>
      </c>
      <c r="AG100" s="382"/>
      <c r="AH100" s="382"/>
      <c r="AI100" s="382"/>
      <c r="AJ100" s="383"/>
      <c r="AK100" s="171"/>
      <c r="AL100" s="171"/>
      <c r="AM100" s="19"/>
      <c r="AN100" s="19"/>
      <c r="AO100" s="19"/>
      <c r="AP100" s="19"/>
      <c r="AQ100" s="19"/>
      <c r="AR100" s="19"/>
      <c r="AS100" s="19"/>
      <c r="AT100" s="5"/>
      <c r="AU100" s="5"/>
      <c r="AV100" s="5"/>
      <c r="AW100" s="5"/>
      <c r="AX100" s="5"/>
      <c r="AY100" s="5"/>
      <c r="AZ100" s="5"/>
      <c r="BA100" s="5"/>
      <c r="BB100" s="5"/>
      <c r="BC100" s="5"/>
    </row>
    <row r="101" spans="1:55" ht="78.75" x14ac:dyDescent="0.25">
      <c r="A101" s="713"/>
      <c r="B101" s="696"/>
      <c r="C101" s="696"/>
      <c r="D101" s="384" t="s">
        <v>365</v>
      </c>
      <c r="E101" s="387">
        <v>0</v>
      </c>
      <c r="F101" s="387">
        <v>0</v>
      </c>
      <c r="G101" s="387">
        <v>0</v>
      </c>
      <c r="H101" s="387">
        <f>[1]INVERSIÓN!V23</f>
        <v>0</v>
      </c>
      <c r="I101" s="390"/>
      <c r="J101" s="387">
        <v>0</v>
      </c>
      <c r="K101" s="387">
        <v>0</v>
      </c>
      <c r="L101" s="387">
        <f>[1]INVERSIÓN!AL23</f>
        <v>0</v>
      </c>
      <c r="M101" s="390"/>
      <c r="N101" s="696"/>
      <c r="O101" s="696"/>
      <c r="P101" s="696"/>
      <c r="Q101" s="696"/>
      <c r="R101" s="696"/>
      <c r="S101" s="696"/>
      <c r="T101" s="696"/>
      <c r="U101" s="696"/>
      <c r="V101" s="696"/>
      <c r="W101" s="696"/>
      <c r="X101" s="696"/>
      <c r="Y101" s="699"/>
      <c r="Z101" s="381"/>
      <c r="AA101" s="382">
        <v>14</v>
      </c>
      <c r="AB101" s="382" t="s">
        <v>367</v>
      </c>
      <c r="AC101" s="382"/>
      <c r="AD101" s="382"/>
      <c r="AE101" s="382"/>
      <c r="AF101" s="382" t="s">
        <v>369</v>
      </c>
      <c r="AG101" s="382"/>
      <c r="AH101" s="382"/>
      <c r="AI101" s="382"/>
      <c r="AJ101" s="383"/>
      <c r="AK101" s="171"/>
      <c r="AL101" s="171"/>
      <c r="AM101" s="19"/>
      <c r="AN101" s="19"/>
      <c r="AO101" s="19"/>
      <c r="AP101" s="19"/>
      <c r="AQ101" s="19"/>
      <c r="AR101" s="19"/>
      <c r="AS101" s="19"/>
      <c r="AT101" s="5"/>
      <c r="AU101" s="5"/>
      <c r="AV101" s="5"/>
      <c r="AW101" s="5"/>
      <c r="AX101" s="5"/>
      <c r="AY101" s="5"/>
      <c r="AZ101" s="5"/>
      <c r="BA101" s="5"/>
      <c r="BB101" s="5"/>
      <c r="BC101" s="5"/>
    </row>
    <row r="102" spans="1:55" ht="22.5" x14ac:dyDescent="0.25">
      <c r="A102" s="713"/>
      <c r="B102" s="696"/>
      <c r="C102" s="696"/>
      <c r="D102" s="384" t="s">
        <v>370</v>
      </c>
      <c r="E102" s="407">
        <f>[1]INVERSIÓN!S24</f>
        <v>118520100</v>
      </c>
      <c r="F102" s="407">
        <f>[1]INVERSIÓN!T24</f>
        <v>118520100</v>
      </c>
      <c r="G102" s="407">
        <f>[1]INVERSIÓN!U24</f>
        <v>118520100</v>
      </c>
      <c r="H102" s="407">
        <f>[1]INVERSIÓN!V24</f>
        <v>118520100</v>
      </c>
      <c r="I102" s="390"/>
      <c r="J102" s="407">
        <f>[1]INVERSIÓN!AJ24</f>
        <v>6579333</v>
      </c>
      <c r="K102" s="407">
        <f>[1]INVERSIÓN!AK24</f>
        <v>6702600</v>
      </c>
      <c r="L102" s="407">
        <f>[1]INVERSIÓN!AL24</f>
        <v>6702600</v>
      </c>
      <c r="M102" s="386"/>
      <c r="N102" s="696"/>
      <c r="O102" s="696"/>
      <c r="P102" s="696"/>
      <c r="Q102" s="696"/>
      <c r="R102" s="696"/>
      <c r="S102" s="696"/>
      <c r="T102" s="696"/>
      <c r="U102" s="696"/>
      <c r="V102" s="696"/>
      <c r="W102" s="696"/>
      <c r="X102" s="696"/>
      <c r="Y102" s="699"/>
      <c r="Z102" s="381"/>
      <c r="AA102" s="382"/>
      <c r="AB102" s="382"/>
      <c r="AC102" s="382"/>
      <c r="AD102" s="382"/>
      <c r="AE102" s="382"/>
      <c r="AF102" s="382"/>
      <c r="AG102" s="382"/>
      <c r="AH102" s="382"/>
      <c r="AI102" s="382"/>
      <c r="AJ102" s="383"/>
      <c r="AK102" s="171"/>
      <c r="AL102" s="171"/>
      <c r="AM102" s="19"/>
      <c r="AN102" s="19"/>
      <c r="AO102" s="19"/>
      <c r="AP102" s="19"/>
      <c r="AQ102" s="19"/>
      <c r="AR102" s="19"/>
      <c r="AS102" s="19"/>
      <c r="AT102" s="5"/>
      <c r="AU102" s="5"/>
      <c r="AV102" s="5"/>
      <c r="AW102" s="5"/>
      <c r="AX102" s="5"/>
      <c r="AY102" s="5"/>
      <c r="AZ102" s="5"/>
      <c r="BA102" s="5"/>
      <c r="BB102" s="5"/>
      <c r="BC102" s="5"/>
    </row>
    <row r="103" spans="1:55" ht="22.5" x14ac:dyDescent="0.25">
      <c r="A103" s="713"/>
      <c r="B103" s="696"/>
      <c r="C103" s="722" t="s">
        <v>371</v>
      </c>
      <c r="D103" s="389" t="s">
        <v>348</v>
      </c>
      <c r="E103" s="387">
        <v>12</v>
      </c>
      <c r="F103" s="387">
        <v>12</v>
      </c>
      <c r="G103" s="390">
        <v>52</v>
      </c>
      <c r="H103" s="387">
        <f>L103</f>
        <v>68</v>
      </c>
      <c r="I103" s="390"/>
      <c r="J103" s="387">
        <v>12</v>
      </c>
      <c r="K103" s="387">
        <f>40+J103</f>
        <v>52</v>
      </c>
      <c r="L103" s="387">
        <f>K103+16</f>
        <v>68</v>
      </c>
      <c r="M103" s="390"/>
      <c r="N103" s="722" t="s">
        <v>371</v>
      </c>
      <c r="O103" s="718" t="s">
        <v>350</v>
      </c>
      <c r="P103" s="718" t="s">
        <v>351</v>
      </c>
      <c r="Q103" s="718" t="s">
        <v>352</v>
      </c>
      <c r="R103" s="720" t="s">
        <v>353</v>
      </c>
      <c r="S103" s="720">
        <v>270280</v>
      </c>
      <c r="T103" s="696"/>
      <c r="U103" s="696"/>
      <c r="V103" s="720" t="s">
        <v>355</v>
      </c>
      <c r="W103" s="720" t="s">
        <v>356</v>
      </c>
      <c r="X103" s="720" t="s">
        <v>357</v>
      </c>
      <c r="Y103" s="721">
        <v>270280</v>
      </c>
      <c r="Z103" s="381"/>
      <c r="AA103" s="382">
        <v>12</v>
      </c>
      <c r="AB103" s="382" t="s">
        <v>358</v>
      </c>
      <c r="AC103" s="382"/>
      <c r="AD103" s="382"/>
      <c r="AE103" s="382"/>
      <c r="AF103" s="382" t="s">
        <v>359</v>
      </c>
      <c r="AG103" s="382"/>
      <c r="AH103" s="382"/>
      <c r="AI103" s="382"/>
      <c r="AJ103" s="383"/>
      <c r="AK103" s="171"/>
      <c r="AL103" s="171"/>
      <c r="AM103" s="19"/>
      <c r="AN103" s="19"/>
      <c r="AO103" s="19"/>
      <c r="AP103" s="19"/>
      <c r="AQ103" s="19"/>
      <c r="AR103" s="19"/>
      <c r="AS103" s="19"/>
      <c r="AT103" s="5"/>
      <c r="AU103" s="5"/>
      <c r="AV103" s="5"/>
      <c r="AW103" s="5"/>
      <c r="AX103" s="5"/>
      <c r="AY103" s="5"/>
      <c r="AZ103" s="5"/>
      <c r="BA103" s="5"/>
      <c r="BB103" s="5"/>
      <c r="BC103" s="5"/>
    </row>
    <row r="104" spans="1:55" ht="45" x14ac:dyDescent="0.25">
      <c r="A104" s="713"/>
      <c r="B104" s="696"/>
      <c r="C104" s="696"/>
      <c r="D104" s="384" t="s">
        <v>360</v>
      </c>
      <c r="E104" s="385">
        <f>(E103*$E$100)/$E$99</f>
        <v>472019.95111020573</v>
      </c>
      <c r="F104" s="385">
        <f>(F103*$F$100)/$F$99</f>
        <v>472019.95111020573</v>
      </c>
      <c r="G104" s="385">
        <f>(G103*$G$100)/$G$99</f>
        <v>2098897.5351395397</v>
      </c>
      <c r="H104" s="385">
        <f>(H103*$H$100)/$H$99</f>
        <v>2744712.1613363209</v>
      </c>
      <c r="I104" s="390"/>
      <c r="J104" s="385">
        <f>(J103*$J$100)/$J$99</f>
        <v>283073.39449541282</v>
      </c>
      <c r="K104" s="385">
        <f>(K103*$K$100)/$K$99</f>
        <v>638972.52090800484</v>
      </c>
      <c r="L104" s="385">
        <f>(L103*$L$100)/$L$99</f>
        <v>1364214.4974400431</v>
      </c>
      <c r="M104" s="390"/>
      <c r="N104" s="696"/>
      <c r="O104" s="696"/>
      <c r="P104" s="696"/>
      <c r="Q104" s="696"/>
      <c r="R104" s="696"/>
      <c r="S104" s="696"/>
      <c r="T104" s="696"/>
      <c r="U104" s="696"/>
      <c r="V104" s="696"/>
      <c r="W104" s="696"/>
      <c r="X104" s="696"/>
      <c r="Y104" s="699"/>
      <c r="Z104" s="381"/>
      <c r="AA104" s="382">
        <v>13</v>
      </c>
      <c r="AB104" s="382" t="s">
        <v>363</v>
      </c>
      <c r="AC104" s="382"/>
      <c r="AD104" s="382"/>
      <c r="AE104" s="382"/>
      <c r="AF104" s="382" t="s">
        <v>364</v>
      </c>
      <c r="AG104" s="382"/>
      <c r="AH104" s="382"/>
      <c r="AI104" s="382"/>
      <c r="AJ104" s="383"/>
      <c r="AK104" s="171"/>
      <c r="AL104" s="171"/>
      <c r="AM104" s="19"/>
      <c r="AN104" s="19"/>
      <c r="AO104" s="19"/>
      <c r="AP104" s="19"/>
      <c r="AQ104" s="19"/>
      <c r="AR104" s="19"/>
      <c r="AS104" s="19"/>
      <c r="AT104" s="5"/>
      <c r="AU104" s="5"/>
      <c r="AV104" s="5"/>
      <c r="AW104" s="5"/>
      <c r="AX104" s="5"/>
      <c r="AY104" s="5"/>
      <c r="AZ104" s="5"/>
      <c r="BA104" s="5"/>
      <c r="BB104" s="5"/>
      <c r="BC104" s="5"/>
    </row>
    <row r="105" spans="1:55" ht="78.75" x14ac:dyDescent="0.25">
      <c r="A105" s="713"/>
      <c r="B105" s="696"/>
      <c r="C105" s="696"/>
      <c r="D105" s="384" t="s">
        <v>365</v>
      </c>
      <c r="E105" s="387">
        <v>0</v>
      </c>
      <c r="F105" s="387">
        <v>0</v>
      </c>
      <c r="G105" s="387">
        <v>0</v>
      </c>
      <c r="H105" s="387">
        <v>0</v>
      </c>
      <c r="I105" s="390"/>
      <c r="J105" s="387">
        <v>0</v>
      </c>
      <c r="K105" s="387">
        <v>0</v>
      </c>
      <c r="L105" s="387">
        <v>0</v>
      </c>
      <c r="M105" s="390"/>
      <c r="N105" s="696"/>
      <c r="O105" s="696"/>
      <c r="P105" s="696"/>
      <c r="Q105" s="696"/>
      <c r="R105" s="696"/>
      <c r="S105" s="696"/>
      <c r="T105" s="696"/>
      <c r="U105" s="696"/>
      <c r="V105" s="696"/>
      <c r="W105" s="696"/>
      <c r="X105" s="696"/>
      <c r="Y105" s="699"/>
      <c r="Z105" s="381"/>
      <c r="AA105" s="382">
        <v>14</v>
      </c>
      <c r="AB105" s="382" t="s">
        <v>367</v>
      </c>
      <c r="AC105" s="382"/>
      <c r="AD105" s="382"/>
      <c r="AE105" s="382"/>
      <c r="AF105" s="382" t="s">
        <v>369</v>
      </c>
      <c r="AG105" s="382"/>
      <c r="AH105" s="382"/>
      <c r="AI105" s="382"/>
      <c r="AJ105" s="383"/>
      <c r="AK105" s="171"/>
      <c r="AL105" s="171"/>
      <c r="AM105" s="19"/>
      <c r="AN105" s="19"/>
      <c r="AO105" s="19"/>
      <c r="AP105" s="19"/>
      <c r="AQ105" s="19"/>
      <c r="AR105" s="19"/>
      <c r="AS105" s="19"/>
      <c r="AT105" s="5"/>
      <c r="AU105" s="5"/>
      <c r="AV105" s="5"/>
      <c r="AW105" s="5"/>
      <c r="AX105" s="5"/>
      <c r="AY105" s="5"/>
      <c r="AZ105" s="5"/>
      <c r="BA105" s="5"/>
      <c r="BB105" s="5"/>
      <c r="BC105" s="5"/>
    </row>
    <row r="106" spans="1:55" ht="22.5" x14ac:dyDescent="0.25">
      <c r="A106" s="713"/>
      <c r="B106" s="696"/>
      <c r="C106" s="696"/>
      <c r="D106" s="384" t="s">
        <v>370</v>
      </c>
      <c r="E106" s="388">
        <v>0</v>
      </c>
      <c r="F106" s="388">
        <v>0</v>
      </c>
      <c r="G106" s="388">
        <v>0</v>
      </c>
      <c r="H106" s="388">
        <v>0</v>
      </c>
      <c r="I106" s="390"/>
      <c r="J106" s="388">
        <v>0</v>
      </c>
      <c r="K106" s="388">
        <v>0</v>
      </c>
      <c r="L106" s="388">
        <v>0</v>
      </c>
      <c r="M106" s="386"/>
      <c r="N106" s="696"/>
      <c r="O106" s="696"/>
      <c r="P106" s="696"/>
      <c r="Q106" s="696"/>
      <c r="R106" s="696"/>
      <c r="S106" s="696"/>
      <c r="T106" s="696"/>
      <c r="U106" s="696"/>
      <c r="V106" s="696"/>
      <c r="W106" s="696"/>
      <c r="X106" s="696"/>
      <c r="Y106" s="699"/>
      <c r="Z106" s="381"/>
      <c r="AA106" s="382"/>
      <c r="AB106" s="382"/>
      <c r="AC106" s="382"/>
      <c r="AD106" s="382"/>
      <c r="AE106" s="382"/>
      <c r="AF106" s="382"/>
      <c r="AG106" s="382"/>
      <c r="AH106" s="382"/>
      <c r="AI106" s="382"/>
      <c r="AJ106" s="383"/>
      <c r="AK106" s="171"/>
      <c r="AL106" s="171"/>
      <c r="AM106" s="19"/>
      <c r="AN106" s="19"/>
      <c r="AO106" s="19"/>
      <c r="AP106" s="19"/>
      <c r="AQ106" s="19"/>
      <c r="AR106" s="19"/>
      <c r="AS106" s="19"/>
      <c r="AT106" s="5"/>
      <c r="AU106" s="5"/>
      <c r="AV106" s="5"/>
      <c r="AW106" s="5"/>
      <c r="AX106" s="5"/>
      <c r="AY106" s="5"/>
      <c r="AZ106" s="5"/>
      <c r="BA106" s="5"/>
      <c r="BB106" s="5"/>
      <c r="BC106" s="5"/>
    </row>
    <row r="107" spans="1:55" x14ac:dyDescent="0.25">
      <c r="A107" s="713"/>
      <c r="B107" s="696"/>
      <c r="C107" s="722" t="s">
        <v>401</v>
      </c>
      <c r="D107" s="389" t="s">
        <v>348</v>
      </c>
      <c r="E107" s="412"/>
      <c r="F107" s="387"/>
      <c r="G107" s="390">
        <v>14</v>
      </c>
      <c r="H107" s="387">
        <f>G107</f>
        <v>14</v>
      </c>
      <c r="I107" s="390"/>
      <c r="J107" s="387"/>
      <c r="K107" s="387">
        <v>4</v>
      </c>
      <c r="L107" s="387">
        <f>K107+7</f>
        <v>11</v>
      </c>
      <c r="M107" s="386"/>
      <c r="N107" s="413"/>
      <c r="O107" s="390"/>
      <c r="P107" s="390"/>
      <c r="Q107" s="390"/>
      <c r="R107" s="413"/>
      <c r="S107" s="414"/>
      <c r="T107" s="414"/>
      <c r="U107" s="414"/>
      <c r="V107" s="414"/>
      <c r="W107" s="413"/>
      <c r="X107" s="413"/>
      <c r="Y107" s="415"/>
      <c r="Z107" s="381"/>
      <c r="AA107" s="382"/>
      <c r="AB107" s="382"/>
      <c r="AC107" s="382"/>
      <c r="AD107" s="382"/>
      <c r="AE107" s="382"/>
      <c r="AF107" s="382"/>
      <c r="AG107" s="382"/>
      <c r="AH107" s="382"/>
      <c r="AI107" s="382"/>
      <c r="AJ107" s="383"/>
      <c r="AK107" s="171"/>
      <c r="AL107" s="171"/>
      <c r="AM107" s="19"/>
      <c r="AN107" s="19"/>
      <c r="AO107" s="19"/>
      <c r="AP107" s="19"/>
      <c r="AQ107" s="19"/>
      <c r="AR107" s="19"/>
      <c r="AS107" s="19"/>
      <c r="AT107" s="5"/>
      <c r="AU107" s="5"/>
      <c r="AV107" s="5"/>
      <c r="AW107" s="5"/>
      <c r="AX107" s="5"/>
      <c r="AY107" s="5"/>
      <c r="AZ107" s="5"/>
      <c r="BA107" s="5"/>
      <c r="BB107" s="5"/>
      <c r="BC107" s="5"/>
    </row>
    <row r="108" spans="1:55" x14ac:dyDescent="0.25">
      <c r="A108" s="713"/>
      <c r="B108" s="696"/>
      <c r="C108" s="696"/>
      <c r="D108" s="384" t="s">
        <v>360</v>
      </c>
      <c r="E108" s="385"/>
      <c r="F108" s="385"/>
      <c r="G108" s="385">
        <f>(G107*$G$100)/$G$99</f>
        <v>565087.79792218376</v>
      </c>
      <c r="H108" s="385">
        <f>(H107*$H$100)/$H$99</f>
        <v>565087.79792218376</v>
      </c>
      <c r="I108" s="386"/>
      <c r="J108" s="385"/>
      <c r="K108" s="385">
        <f>(K107*$K$100)/$K$99</f>
        <v>49151.732377538829</v>
      </c>
      <c r="L108" s="385">
        <f>(L107*$L$100)/$L$99</f>
        <v>220681.75693883051</v>
      </c>
      <c r="M108" s="386"/>
      <c r="N108" s="413"/>
      <c r="O108" s="390"/>
      <c r="P108" s="390"/>
      <c r="Q108" s="390"/>
      <c r="R108" s="413"/>
      <c r="S108" s="414"/>
      <c r="T108" s="414"/>
      <c r="U108" s="414"/>
      <c r="V108" s="414"/>
      <c r="W108" s="413"/>
      <c r="X108" s="413"/>
      <c r="Y108" s="415"/>
      <c r="Z108" s="381"/>
      <c r="AA108" s="382"/>
      <c r="AB108" s="382"/>
      <c r="AC108" s="382"/>
      <c r="AD108" s="382"/>
      <c r="AE108" s="382"/>
      <c r="AF108" s="382"/>
      <c r="AG108" s="382"/>
      <c r="AH108" s="382"/>
      <c r="AI108" s="382"/>
      <c r="AJ108" s="383"/>
      <c r="AK108" s="171"/>
      <c r="AL108" s="171"/>
      <c r="AM108" s="19"/>
      <c r="AN108" s="19"/>
      <c r="AO108" s="19"/>
      <c r="AP108" s="19"/>
      <c r="AQ108" s="19"/>
      <c r="AR108" s="19"/>
      <c r="AS108" s="19"/>
      <c r="AT108" s="5"/>
      <c r="AU108" s="5"/>
      <c r="AV108" s="5"/>
      <c r="AW108" s="5"/>
      <c r="AX108" s="5"/>
      <c r="AY108" s="5"/>
      <c r="AZ108" s="5"/>
      <c r="BA108" s="5"/>
      <c r="BB108" s="5"/>
      <c r="BC108" s="5"/>
    </row>
    <row r="109" spans="1:55" x14ac:dyDescent="0.25">
      <c r="A109" s="713"/>
      <c r="B109" s="696"/>
      <c r="C109" s="696"/>
      <c r="D109" s="384" t="s">
        <v>365</v>
      </c>
      <c r="E109" s="387"/>
      <c r="F109" s="387"/>
      <c r="G109" s="387">
        <v>0</v>
      </c>
      <c r="H109" s="387">
        <v>0</v>
      </c>
      <c r="I109" s="390"/>
      <c r="J109" s="387"/>
      <c r="K109" s="387">
        <v>0</v>
      </c>
      <c r="L109" s="387">
        <v>0</v>
      </c>
      <c r="M109" s="386"/>
      <c r="N109" s="413"/>
      <c r="O109" s="390"/>
      <c r="P109" s="390"/>
      <c r="Q109" s="390"/>
      <c r="R109" s="413"/>
      <c r="S109" s="414"/>
      <c r="T109" s="414"/>
      <c r="U109" s="414"/>
      <c r="V109" s="414"/>
      <c r="W109" s="413"/>
      <c r="X109" s="413"/>
      <c r="Y109" s="415"/>
      <c r="Z109" s="381"/>
      <c r="AA109" s="382"/>
      <c r="AB109" s="382"/>
      <c r="AC109" s="382"/>
      <c r="AD109" s="382"/>
      <c r="AE109" s="382"/>
      <c r="AF109" s="382"/>
      <c r="AG109" s="382"/>
      <c r="AH109" s="382"/>
      <c r="AI109" s="382"/>
      <c r="AJ109" s="383"/>
      <c r="AK109" s="171"/>
      <c r="AL109" s="171"/>
      <c r="AM109" s="19"/>
      <c r="AN109" s="19"/>
      <c r="AO109" s="19"/>
      <c r="AP109" s="19"/>
      <c r="AQ109" s="19"/>
      <c r="AR109" s="19"/>
      <c r="AS109" s="19"/>
      <c r="AT109" s="5"/>
      <c r="AU109" s="5"/>
      <c r="AV109" s="5"/>
      <c r="AW109" s="5"/>
      <c r="AX109" s="5"/>
      <c r="AY109" s="5"/>
      <c r="AZ109" s="5"/>
      <c r="BA109" s="5"/>
      <c r="BB109" s="5"/>
      <c r="BC109" s="5"/>
    </row>
    <row r="110" spans="1:55" ht="22.5" x14ac:dyDescent="0.25">
      <c r="A110" s="713"/>
      <c r="B110" s="696"/>
      <c r="C110" s="696"/>
      <c r="D110" s="384" t="s">
        <v>370</v>
      </c>
      <c r="E110" s="388"/>
      <c r="F110" s="388"/>
      <c r="G110" s="388">
        <v>0</v>
      </c>
      <c r="H110" s="388">
        <v>0</v>
      </c>
      <c r="I110" s="390"/>
      <c r="J110" s="388"/>
      <c r="K110" s="388">
        <v>0</v>
      </c>
      <c r="L110" s="388">
        <v>0</v>
      </c>
      <c r="M110" s="386"/>
      <c r="N110" s="413"/>
      <c r="O110" s="390"/>
      <c r="P110" s="390"/>
      <c r="Q110" s="390"/>
      <c r="R110" s="413"/>
      <c r="S110" s="414"/>
      <c r="T110" s="414"/>
      <c r="U110" s="414"/>
      <c r="V110" s="414"/>
      <c r="W110" s="413"/>
      <c r="X110" s="413"/>
      <c r="Y110" s="415"/>
      <c r="Z110" s="381"/>
      <c r="AA110" s="382"/>
      <c r="AB110" s="382"/>
      <c r="AC110" s="382"/>
      <c r="AD110" s="382"/>
      <c r="AE110" s="382"/>
      <c r="AF110" s="382"/>
      <c r="AG110" s="382"/>
      <c r="AH110" s="382"/>
      <c r="AI110" s="382"/>
      <c r="AJ110" s="383"/>
      <c r="AK110" s="171"/>
      <c r="AL110" s="171"/>
      <c r="AM110" s="19"/>
      <c r="AN110" s="19"/>
      <c r="AO110" s="19"/>
      <c r="AP110" s="19"/>
      <c r="AQ110" s="19"/>
      <c r="AR110" s="19"/>
      <c r="AS110" s="19"/>
      <c r="AT110" s="5"/>
      <c r="AU110" s="5"/>
      <c r="AV110" s="5"/>
      <c r="AW110" s="5"/>
      <c r="AX110" s="5"/>
      <c r="AY110" s="5"/>
      <c r="AZ110" s="5"/>
      <c r="BA110" s="5"/>
      <c r="BB110" s="5"/>
      <c r="BC110" s="5"/>
    </row>
    <row r="111" spans="1:55" ht="22.5" x14ac:dyDescent="0.25">
      <c r="A111" s="713"/>
      <c r="B111" s="696"/>
      <c r="C111" s="722" t="s">
        <v>373</v>
      </c>
      <c r="D111" s="389" t="s">
        <v>348</v>
      </c>
      <c r="E111" s="387">
        <v>166</v>
      </c>
      <c r="F111" s="387">
        <v>166</v>
      </c>
      <c r="G111" s="390">
        <v>1201</v>
      </c>
      <c r="H111" s="387">
        <f>L111</f>
        <v>1695</v>
      </c>
      <c r="I111" s="390"/>
      <c r="J111" s="387">
        <v>166</v>
      </c>
      <c r="K111" s="387">
        <f>J111+1039</f>
        <v>1205</v>
      </c>
      <c r="L111" s="387">
        <f>K111+490</f>
        <v>1695</v>
      </c>
      <c r="M111" s="390"/>
      <c r="N111" s="722" t="s">
        <v>373</v>
      </c>
      <c r="O111" s="718" t="s">
        <v>350</v>
      </c>
      <c r="P111" s="718" t="s">
        <v>351</v>
      </c>
      <c r="Q111" s="718" t="s">
        <v>352</v>
      </c>
      <c r="R111" s="720" t="s">
        <v>353</v>
      </c>
      <c r="S111" s="720">
        <v>126192</v>
      </c>
      <c r="T111" s="696"/>
      <c r="U111" s="720" t="s">
        <v>354</v>
      </c>
      <c r="V111" s="720" t="s">
        <v>355</v>
      </c>
      <c r="W111" s="720" t="s">
        <v>356</v>
      </c>
      <c r="X111" s="720" t="s">
        <v>357</v>
      </c>
      <c r="Y111" s="721">
        <v>126192</v>
      </c>
      <c r="Z111" s="381"/>
      <c r="AA111" s="382">
        <v>12</v>
      </c>
      <c r="AB111" s="382" t="s">
        <v>358</v>
      </c>
      <c r="AC111" s="382"/>
      <c r="AD111" s="382"/>
      <c r="AE111" s="382"/>
      <c r="AF111" s="382" t="s">
        <v>359</v>
      </c>
      <c r="AG111" s="382"/>
      <c r="AH111" s="382"/>
      <c r="AI111" s="382"/>
      <c r="AJ111" s="383"/>
      <c r="AK111" s="171"/>
      <c r="AL111" s="171"/>
      <c r="AM111" s="19"/>
      <c r="AN111" s="19"/>
      <c r="AO111" s="19"/>
      <c r="AP111" s="19"/>
      <c r="AQ111" s="19"/>
      <c r="AR111" s="19"/>
      <c r="AS111" s="19"/>
      <c r="AT111" s="5"/>
      <c r="AU111" s="5"/>
      <c r="AV111" s="5"/>
      <c r="AW111" s="5"/>
      <c r="AX111" s="5"/>
      <c r="AY111" s="5"/>
      <c r="AZ111" s="5"/>
      <c r="BA111" s="5"/>
      <c r="BB111" s="5"/>
      <c r="BC111" s="5"/>
    </row>
    <row r="112" spans="1:55" ht="45" x14ac:dyDescent="0.25">
      <c r="A112" s="713"/>
      <c r="B112" s="696"/>
      <c r="C112" s="696"/>
      <c r="D112" s="384" t="s">
        <v>360</v>
      </c>
      <c r="E112" s="385">
        <f>(E111*$E$100)/$E$99</f>
        <v>6529609.323691179</v>
      </c>
      <c r="F112" s="385">
        <f>(F111*$F$100)/$F$99</f>
        <v>6529609.323691179</v>
      </c>
      <c r="G112" s="385">
        <f>(G111*$G$100)/$G$99</f>
        <v>48476460.378895909</v>
      </c>
      <c r="H112" s="385">
        <f>(H111*$H$100)/$H$99</f>
        <v>68415986.962721527</v>
      </c>
      <c r="I112" s="390"/>
      <c r="J112" s="385">
        <f>(J111*$J$100)/$J$99</f>
        <v>3915848.6238532108</v>
      </c>
      <c r="K112" s="385">
        <f>(K111*$K$100)/$K$99</f>
        <v>14806959.378733572</v>
      </c>
      <c r="L112" s="385">
        <f>(L111*$L$100)/$L$99</f>
        <v>34005052.546483427</v>
      </c>
      <c r="M112" s="390"/>
      <c r="N112" s="696"/>
      <c r="O112" s="696"/>
      <c r="P112" s="696"/>
      <c r="Q112" s="696"/>
      <c r="R112" s="696"/>
      <c r="S112" s="696"/>
      <c r="T112" s="696"/>
      <c r="U112" s="696"/>
      <c r="V112" s="696"/>
      <c r="W112" s="696"/>
      <c r="X112" s="696"/>
      <c r="Y112" s="699"/>
      <c r="Z112" s="381"/>
      <c r="AA112" s="382">
        <v>13</v>
      </c>
      <c r="AB112" s="382" t="s">
        <v>363</v>
      </c>
      <c r="AC112" s="382"/>
      <c r="AD112" s="382"/>
      <c r="AE112" s="382"/>
      <c r="AF112" s="382" t="s">
        <v>364</v>
      </c>
      <c r="AG112" s="382"/>
      <c r="AH112" s="382"/>
      <c r="AI112" s="382"/>
      <c r="AJ112" s="383"/>
      <c r="AK112" s="171"/>
      <c r="AL112" s="171"/>
      <c r="AM112" s="19"/>
      <c r="AN112" s="19"/>
      <c r="AO112" s="19"/>
      <c r="AP112" s="19"/>
      <c r="AQ112" s="19"/>
      <c r="AR112" s="19"/>
      <c r="AS112" s="19"/>
      <c r="AT112" s="5"/>
      <c r="AU112" s="5"/>
      <c r="AV112" s="5"/>
      <c r="AW112" s="5"/>
      <c r="AX112" s="5"/>
      <c r="AY112" s="5"/>
      <c r="AZ112" s="5"/>
      <c r="BA112" s="5"/>
      <c r="BB112" s="5"/>
      <c r="BC112" s="5"/>
    </row>
    <row r="113" spans="1:55" ht="78.75" x14ac:dyDescent="0.25">
      <c r="A113" s="713"/>
      <c r="B113" s="696"/>
      <c r="C113" s="696"/>
      <c r="D113" s="384" t="s">
        <v>365</v>
      </c>
      <c r="E113" s="387">
        <v>0</v>
      </c>
      <c r="F113" s="387">
        <v>0</v>
      </c>
      <c r="G113" s="387">
        <v>0</v>
      </c>
      <c r="H113" s="387">
        <v>0</v>
      </c>
      <c r="I113" s="390"/>
      <c r="J113" s="387">
        <v>0</v>
      </c>
      <c r="K113" s="387">
        <v>0</v>
      </c>
      <c r="L113" s="387">
        <v>0</v>
      </c>
      <c r="M113" s="390"/>
      <c r="N113" s="696"/>
      <c r="O113" s="696"/>
      <c r="P113" s="696"/>
      <c r="Q113" s="696"/>
      <c r="R113" s="696"/>
      <c r="S113" s="696"/>
      <c r="T113" s="696"/>
      <c r="U113" s="696"/>
      <c r="V113" s="696"/>
      <c r="W113" s="696"/>
      <c r="X113" s="696"/>
      <c r="Y113" s="699"/>
      <c r="Z113" s="381"/>
      <c r="AA113" s="382">
        <v>14</v>
      </c>
      <c r="AB113" s="382" t="s">
        <v>367</v>
      </c>
      <c r="AC113" s="382"/>
      <c r="AD113" s="382"/>
      <c r="AE113" s="382"/>
      <c r="AF113" s="382" t="s">
        <v>369</v>
      </c>
      <c r="AG113" s="382"/>
      <c r="AH113" s="382"/>
      <c r="AI113" s="382"/>
      <c r="AJ113" s="383"/>
      <c r="AK113" s="171"/>
      <c r="AL113" s="171"/>
      <c r="AM113" s="19"/>
      <c r="AN113" s="19"/>
      <c r="AO113" s="19"/>
      <c r="AP113" s="19"/>
      <c r="AQ113" s="19"/>
      <c r="AR113" s="19"/>
      <c r="AS113" s="19"/>
      <c r="AT113" s="5"/>
      <c r="AU113" s="5"/>
      <c r="AV113" s="5"/>
      <c r="AW113" s="5"/>
      <c r="AX113" s="5"/>
      <c r="AY113" s="5"/>
      <c r="AZ113" s="5"/>
      <c r="BA113" s="5"/>
      <c r="BB113" s="5"/>
      <c r="BC113" s="5"/>
    </row>
    <row r="114" spans="1:55" ht="22.5" x14ac:dyDescent="0.25">
      <c r="A114" s="713"/>
      <c r="B114" s="696"/>
      <c r="C114" s="696"/>
      <c r="D114" s="384" t="s">
        <v>370</v>
      </c>
      <c r="E114" s="388">
        <v>0</v>
      </c>
      <c r="F114" s="388">
        <v>0</v>
      </c>
      <c r="G114" s="388">
        <v>0</v>
      </c>
      <c r="H114" s="388">
        <v>0</v>
      </c>
      <c r="I114" s="390"/>
      <c r="J114" s="388">
        <v>0</v>
      </c>
      <c r="K114" s="388">
        <v>0</v>
      </c>
      <c r="L114" s="388">
        <v>0</v>
      </c>
      <c r="M114" s="386"/>
      <c r="N114" s="696"/>
      <c r="O114" s="696"/>
      <c r="P114" s="696"/>
      <c r="Q114" s="696"/>
      <c r="R114" s="696"/>
      <c r="S114" s="696"/>
      <c r="T114" s="696"/>
      <c r="U114" s="696"/>
      <c r="V114" s="696"/>
      <c r="W114" s="696"/>
      <c r="X114" s="696"/>
      <c r="Y114" s="699"/>
      <c r="Z114" s="381"/>
      <c r="AA114" s="382"/>
      <c r="AB114" s="382"/>
      <c r="AC114" s="382"/>
      <c r="AD114" s="382"/>
      <c r="AE114" s="382"/>
      <c r="AF114" s="382"/>
      <c r="AG114" s="382"/>
      <c r="AH114" s="382"/>
      <c r="AI114" s="382"/>
      <c r="AJ114" s="383"/>
      <c r="AK114" s="171"/>
      <c r="AL114" s="171"/>
      <c r="AM114" s="19"/>
      <c r="AN114" s="19"/>
      <c r="AO114" s="19"/>
      <c r="AP114" s="19"/>
      <c r="AQ114" s="19"/>
      <c r="AR114" s="19"/>
      <c r="AS114" s="19"/>
      <c r="AT114" s="5"/>
      <c r="AU114" s="5"/>
      <c r="AV114" s="5"/>
      <c r="AW114" s="5"/>
      <c r="AX114" s="5"/>
      <c r="AY114" s="5"/>
      <c r="AZ114" s="5"/>
      <c r="BA114" s="5"/>
      <c r="BB114" s="5"/>
      <c r="BC114" s="5"/>
    </row>
    <row r="115" spans="1:55" ht="22.5" x14ac:dyDescent="0.25">
      <c r="A115" s="713"/>
      <c r="B115" s="696"/>
      <c r="C115" s="722" t="s">
        <v>387</v>
      </c>
      <c r="D115" s="389" t="s">
        <v>348</v>
      </c>
      <c r="E115" s="387">
        <v>17</v>
      </c>
      <c r="F115" s="387">
        <v>17</v>
      </c>
      <c r="G115" s="390">
        <v>17</v>
      </c>
      <c r="H115" s="387">
        <f>G115</f>
        <v>17</v>
      </c>
      <c r="I115" s="390"/>
      <c r="J115" s="387">
        <v>17</v>
      </c>
      <c r="K115" s="387">
        <v>17</v>
      </c>
      <c r="L115" s="387">
        <f>K115</f>
        <v>17</v>
      </c>
      <c r="M115" s="390"/>
      <c r="N115" s="722" t="s">
        <v>387</v>
      </c>
      <c r="O115" s="718" t="s">
        <v>350</v>
      </c>
      <c r="P115" s="718" t="s">
        <v>351</v>
      </c>
      <c r="Q115" s="718" t="s">
        <v>352</v>
      </c>
      <c r="R115" s="720" t="s">
        <v>353</v>
      </c>
      <c r="S115" s="718">
        <v>424038</v>
      </c>
      <c r="T115" s="696"/>
      <c r="U115" s="696"/>
      <c r="V115" s="720" t="s">
        <v>355</v>
      </c>
      <c r="W115" s="720" t="s">
        <v>356</v>
      </c>
      <c r="X115" s="720" t="s">
        <v>357</v>
      </c>
      <c r="Y115" s="717">
        <v>424038</v>
      </c>
      <c r="Z115" s="381"/>
      <c r="AA115" s="382">
        <v>12</v>
      </c>
      <c r="AB115" s="382" t="s">
        <v>358</v>
      </c>
      <c r="AC115" s="382"/>
      <c r="AD115" s="382"/>
      <c r="AE115" s="382"/>
      <c r="AF115" s="382" t="s">
        <v>359</v>
      </c>
      <c r="AG115" s="382"/>
      <c r="AH115" s="382"/>
      <c r="AI115" s="382"/>
      <c r="AJ115" s="383"/>
      <c r="AK115" s="171"/>
      <c r="AL115" s="171"/>
      <c r="AM115" s="19"/>
      <c r="AN115" s="19"/>
      <c r="AO115" s="19"/>
      <c r="AP115" s="19"/>
      <c r="AQ115" s="19"/>
      <c r="AR115" s="19"/>
      <c r="AS115" s="19"/>
      <c r="AT115" s="5"/>
      <c r="AU115" s="5"/>
      <c r="AV115" s="5"/>
      <c r="AW115" s="5"/>
      <c r="AX115" s="5"/>
      <c r="AY115" s="5"/>
      <c r="AZ115" s="5"/>
      <c r="BA115" s="5"/>
      <c r="BB115" s="5"/>
      <c r="BC115" s="5"/>
    </row>
    <row r="116" spans="1:55" ht="45" x14ac:dyDescent="0.25">
      <c r="A116" s="713"/>
      <c r="B116" s="696"/>
      <c r="C116" s="696"/>
      <c r="D116" s="384" t="s">
        <v>360</v>
      </c>
      <c r="E116" s="385">
        <f>(E115*$E$100)/$E$99</f>
        <v>668694.93073945818</v>
      </c>
      <c r="F116" s="385">
        <f>(F115*$F$100)/$F$99</f>
        <v>668694.93073945818</v>
      </c>
      <c r="G116" s="385">
        <f>(G115*$G$100)/$G$99</f>
        <v>686178.04033408023</v>
      </c>
      <c r="H116" s="385">
        <f>(H115*$H$100)/$H$99</f>
        <v>686178.04033408023</v>
      </c>
      <c r="I116" s="390"/>
      <c r="J116" s="385">
        <f>(J115*$J$100)/$J$99</f>
        <v>401020.64220183488</v>
      </c>
      <c r="K116" s="385">
        <f>(K115*$K$100)/$K$99</f>
        <v>208894.86260454002</v>
      </c>
      <c r="L116" s="385">
        <f>(L115*$L$100)/$L$99</f>
        <v>341053.62436001078</v>
      </c>
      <c r="M116" s="390"/>
      <c r="N116" s="696"/>
      <c r="O116" s="696"/>
      <c r="P116" s="696"/>
      <c r="Q116" s="696"/>
      <c r="R116" s="696"/>
      <c r="S116" s="696"/>
      <c r="T116" s="696"/>
      <c r="U116" s="696"/>
      <c r="V116" s="696"/>
      <c r="W116" s="696"/>
      <c r="X116" s="696"/>
      <c r="Y116" s="699"/>
      <c r="Z116" s="381"/>
      <c r="AA116" s="382">
        <v>13</v>
      </c>
      <c r="AB116" s="382" t="s">
        <v>363</v>
      </c>
      <c r="AC116" s="382"/>
      <c r="AD116" s="382"/>
      <c r="AE116" s="382"/>
      <c r="AF116" s="382" t="s">
        <v>364</v>
      </c>
      <c r="AG116" s="382"/>
      <c r="AH116" s="382"/>
      <c r="AI116" s="382"/>
      <c r="AJ116" s="383"/>
      <c r="AK116" s="171"/>
      <c r="AL116" s="171"/>
      <c r="AM116" s="19"/>
      <c r="AN116" s="19"/>
      <c r="AO116" s="19"/>
      <c r="AP116" s="19"/>
      <c r="AQ116" s="19"/>
      <c r="AR116" s="19"/>
      <c r="AS116" s="19"/>
      <c r="AT116" s="5"/>
      <c r="AU116" s="5"/>
      <c r="AV116" s="5"/>
      <c r="AW116" s="5"/>
      <c r="AX116" s="5"/>
      <c r="AY116" s="5"/>
      <c r="AZ116" s="5"/>
      <c r="BA116" s="5"/>
      <c r="BB116" s="5"/>
      <c r="BC116" s="5"/>
    </row>
    <row r="117" spans="1:55" ht="78.75" x14ac:dyDescent="0.25">
      <c r="A117" s="713"/>
      <c r="B117" s="696"/>
      <c r="C117" s="696"/>
      <c r="D117" s="384" t="s">
        <v>365</v>
      </c>
      <c r="E117" s="387">
        <v>0</v>
      </c>
      <c r="F117" s="387">
        <v>0</v>
      </c>
      <c r="G117" s="387">
        <v>0</v>
      </c>
      <c r="H117" s="387">
        <v>0</v>
      </c>
      <c r="I117" s="390"/>
      <c r="J117" s="387">
        <v>0</v>
      </c>
      <c r="K117" s="387">
        <v>0</v>
      </c>
      <c r="L117" s="387">
        <v>0</v>
      </c>
      <c r="M117" s="390"/>
      <c r="N117" s="696"/>
      <c r="O117" s="696"/>
      <c r="P117" s="696"/>
      <c r="Q117" s="696"/>
      <c r="R117" s="696"/>
      <c r="S117" s="696"/>
      <c r="T117" s="696"/>
      <c r="U117" s="696"/>
      <c r="V117" s="696"/>
      <c r="W117" s="696"/>
      <c r="X117" s="696"/>
      <c r="Y117" s="699"/>
      <c r="Z117" s="381"/>
      <c r="AA117" s="382">
        <v>14</v>
      </c>
      <c r="AB117" s="382" t="s">
        <v>367</v>
      </c>
      <c r="AC117" s="382"/>
      <c r="AD117" s="382"/>
      <c r="AE117" s="382"/>
      <c r="AF117" s="382" t="s">
        <v>369</v>
      </c>
      <c r="AG117" s="382"/>
      <c r="AH117" s="382"/>
      <c r="AI117" s="382"/>
      <c r="AJ117" s="383"/>
      <c r="AK117" s="171"/>
      <c r="AL117" s="171"/>
      <c r="AM117" s="19"/>
      <c r="AN117" s="19"/>
      <c r="AO117" s="19"/>
      <c r="AP117" s="19"/>
      <c r="AQ117" s="19"/>
      <c r="AR117" s="19"/>
      <c r="AS117" s="19"/>
      <c r="AT117" s="5"/>
      <c r="AU117" s="5"/>
      <c r="AV117" s="5"/>
      <c r="AW117" s="5"/>
      <c r="AX117" s="5"/>
      <c r="AY117" s="5"/>
      <c r="AZ117" s="5"/>
      <c r="BA117" s="5"/>
      <c r="BB117" s="5"/>
      <c r="BC117" s="5"/>
    </row>
    <row r="118" spans="1:55" ht="22.5" x14ac:dyDescent="0.25">
      <c r="A118" s="713"/>
      <c r="B118" s="696"/>
      <c r="C118" s="696"/>
      <c r="D118" s="384" t="s">
        <v>370</v>
      </c>
      <c r="E118" s="388">
        <v>0</v>
      </c>
      <c r="F118" s="388">
        <v>0</v>
      </c>
      <c r="G118" s="388">
        <v>0</v>
      </c>
      <c r="H118" s="388">
        <v>0</v>
      </c>
      <c r="I118" s="390"/>
      <c r="J118" s="388">
        <v>0</v>
      </c>
      <c r="K118" s="388">
        <v>0</v>
      </c>
      <c r="L118" s="388">
        <v>0</v>
      </c>
      <c r="M118" s="386"/>
      <c r="N118" s="696"/>
      <c r="O118" s="696"/>
      <c r="P118" s="696"/>
      <c r="Q118" s="696"/>
      <c r="R118" s="696"/>
      <c r="S118" s="696"/>
      <c r="T118" s="696"/>
      <c r="U118" s="696"/>
      <c r="V118" s="696"/>
      <c r="W118" s="696"/>
      <c r="X118" s="696"/>
      <c r="Y118" s="699"/>
      <c r="Z118" s="381"/>
      <c r="AA118" s="382"/>
      <c r="AB118" s="382"/>
      <c r="AC118" s="382"/>
      <c r="AD118" s="382"/>
      <c r="AE118" s="382"/>
      <c r="AF118" s="382"/>
      <c r="AG118" s="382"/>
      <c r="AH118" s="382"/>
      <c r="AI118" s="382"/>
      <c r="AJ118" s="383"/>
      <c r="AK118" s="171"/>
      <c r="AL118" s="171"/>
      <c r="AM118" s="19"/>
      <c r="AN118" s="19"/>
      <c r="AO118" s="19"/>
      <c r="AP118" s="19"/>
      <c r="AQ118" s="19"/>
      <c r="AR118" s="19"/>
      <c r="AS118" s="19"/>
      <c r="AT118" s="5"/>
      <c r="AU118" s="5"/>
      <c r="AV118" s="5"/>
      <c r="AW118" s="5"/>
      <c r="AX118" s="5"/>
      <c r="AY118" s="5"/>
      <c r="AZ118" s="5"/>
      <c r="BA118" s="5"/>
      <c r="BB118" s="5"/>
      <c r="BC118" s="5"/>
    </row>
    <row r="119" spans="1:55" ht="22.5" x14ac:dyDescent="0.25">
      <c r="A119" s="713"/>
      <c r="B119" s="696"/>
      <c r="C119" s="722" t="s">
        <v>377</v>
      </c>
      <c r="D119" s="389" t="s">
        <v>348</v>
      </c>
      <c r="E119" s="387">
        <v>9</v>
      </c>
      <c r="F119" s="387">
        <v>9</v>
      </c>
      <c r="G119" s="390">
        <v>9</v>
      </c>
      <c r="H119" s="387">
        <f>L119</f>
        <v>12</v>
      </c>
      <c r="I119" s="390"/>
      <c r="J119" s="387">
        <v>9</v>
      </c>
      <c r="K119" s="387">
        <v>9</v>
      </c>
      <c r="L119" s="387">
        <f>K119+3</f>
        <v>12</v>
      </c>
      <c r="M119" s="390"/>
      <c r="N119" s="722" t="s">
        <v>377</v>
      </c>
      <c r="O119" s="718" t="s">
        <v>350</v>
      </c>
      <c r="P119" s="718" t="s">
        <v>351</v>
      </c>
      <c r="Q119" s="718" t="s">
        <v>352</v>
      </c>
      <c r="R119" s="720" t="s">
        <v>353</v>
      </c>
      <c r="S119" s="718">
        <v>93857</v>
      </c>
      <c r="T119" s="696"/>
      <c r="U119" s="720" t="s">
        <v>354</v>
      </c>
      <c r="V119" s="720" t="s">
        <v>355</v>
      </c>
      <c r="W119" s="720" t="s">
        <v>356</v>
      </c>
      <c r="X119" s="720" t="s">
        <v>357</v>
      </c>
      <c r="Y119" s="717">
        <v>93857</v>
      </c>
      <c r="Z119" s="381"/>
      <c r="AA119" s="382">
        <v>12</v>
      </c>
      <c r="AB119" s="382" t="s">
        <v>358</v>
      </c>
      <c r="AC119" s="382"/>
      <c r="AD119" s="382"/>
      <c r="AE119" s="382"/>
      <c r="AF119" s="382" t="s">
        <v>359</v>
      </c>
      <c r="AG119" s="382"/>
      <c r="AH119" s="382"/>
      <c r="AI119" s="382"/>
      <c r="AJ119" s="383"/>
      <c r="AK119" s="171"/>
      <c r="AL119" s="171"/>
      <c r="AM119" s="19"/>
      <c r="AN119" s="19"/>
      <c r="AO119" s="19"/>
      <c r="AP119" s="19"/>
      <c r="AQ119" s="19"/>
      <c r="AR119" s="19"/>
      <c r="AS119" s="19"/>
      <c r="AT119" s="5"/>
      <c r="AU119" s="5"/>
      <c r="AV119" s="5"/>
      <c r="AW119" s="5"/>
      <c r="AX119" s="5"/>
      <c r="AY119" s="5"/>
      <c r="AZ119" s="5"/>
      <c r="BA119" s="5"/>
      <c r="BB119" s="5"/>
      <c r="BC119" s="5"/>
    </row>
    <row r="120" spans="1:55" ht="16.5" customHeight="1" x14ac:dyDescent="0.25">
      <c r="A120" s="713"/>
      <c r="B120" s="696"/>
      <c r="C120" s="696"/>
      <c r="D120" s="384" t="s">
        <v>360</v>
      </c>
      <c r="E120" s="385">
        <f>(E119*$E$100)/$E$99</f>
        <v>354014.96333265433</v>
      </c>
      <c r="F120" s="385">
        <f>(F119*$F$100)/$F$99</f>
        <v>354014.96333265433</v>
      </c>
      <c r="G120" s="385">
        <f>(G119*$G$100)/$G$99</f>
        <v>363270.72723568953</v>
      </c>
      <c r="H120" s="385">
        <f>(H119*$H$100)/$H$99</f>
        <v>484360.96964758605</v>
      </c>
      <c r="I120" s="416"/>
      <c r="J120" s="385">
        <f>(J119*$J$100)/$J$99</f>
        <v>212305.04587155965</v>
      </c>
      <c r="K120" s="385">
        <f>(K119*$K$100)/$K$99</f>
        <v>110591.39784946236</v>
      </c>
      <c r="L120" s="385">
        <f>(L119*$L$100)/$L$99</f>
        <v>240743.73484236054</v>
      </c>
      <c r="M120" s="390"/>
      <c r="N120" s="696"/>
      <c r="O120" s="696"/>
      <c r="P120" s="696"/>
      <c r="Q120" s="696"/>
      <c r="R120" s="696"/>
      <c r="S120" s="696"/>
      <c r="T120" s="696"/>
      <c r="U120" s="696"/>
      <c r="V120" s="696"/>
      <c r="W120" s="696"/>
      <c r="X120" s="696"/>
      <c r="Y120" s="699"/>
      <c r="Z120" s="381"/>
      <c r="AA120" s="382">
        <v>13</v>
      </c>
      <c r="AB120" s="382" t="s">
        <v>363</v>
      </c>
      <c r="AC120" s="382"/>
      <c r="AD120" s="382"/>
      <c r="AE120" s="382"/>
      <c r="AF120" s="382" t="s">
        <v>364</v>
      </c>
      <c r="AG120" s="382"/>
      <c r="AH120" s="382"/>
      <c r="AI120" s="382"/>
      <c r="AJ120" s="383"/>
      <c r="AK120" s="171"/>
      <c r="AL120" s="171"/>
      <c r="AM120" s="19"/>
      <c r="AN120" s="19"/>
      <c r="AO120" s="19"/>
      <c r="AP120" s="19"/>
      <c r="AQ120" s="19"/>
      <c r="AR120" s="19"/>
      <c r="AS120" s="19"/>
      <c r="AT120" s="5"/>
      <c r="AU120" s="5"/>
      <c r="AV120" s="5"/>
      <c r="AW120" s="5"/>
      <c r="AX120" s="5"/>
      <c r="AY120" s="5"/>
      <c r="AZ120" s="5"/>
      <c r="BA120" s="5"/>
      <c r="BB120" s="5"/>
      <c r="BC120" s="5"/>
    </row>
    <row r="121" spans="1:55" ht="15.75" customHeight="1" x14ac:dyDescent="0.25">
      <c r="A121" s="713"/>
      <c r="B121" s="696"/>
      <c r="C121" s="696"/>
      <c r="D121" s="384" t="s">
        <v>365</v>
      </c>
      <c r="E121" s="387">
        <v>0</v>
      </c>
      <c r="F121" s="387">
        <v>0</v>
      </c>
      <c r="G121" s="387">
        <v>0</v>
      </c>
      <c r="H121" s="387">
        <v>0</v>
      </c>
      <c r="I121" s="390"/>
      <c r="J121" s="387">
        <v>0</v>
      </c>
      <c r="K121" s="387">
        <v>0</v>
      </c>
      <c r="L121" s="387">
        <v>0</v>
      </c>
      <c r="M121" s="390"/>
      <c r="N121" s="696"/>
      <c r="O121" s="696"/>
      <c r="P121" s="696"/>
      <c r="Q121" s="696"/>
      <c r="R121" s="696"/>
      <c r="S121" s="696"/>
      <c r="T121" s="696"/>
      <c r="U121" s="696"/>
      <c r="V121" s="696"/>
      <c r="W121" s="696"/>
      <c r="X121" s="696"/>
      <c r="Y121" s="699"/>
      <c r="Z121" s="381"/>
      <c r="AA121" s="382">
        <v>14</v>
      </c>
      <c r="AB121" s="382" t="s">
        <v>367</v>
      </c>
      <c r="AC121" s="382"/>
      <c r="AD121" s="382"/>
      <c r="AE121" s="382"/>
      <c r="AF121" s="382" t="s">
        <v>369</v>
      </c>
      <c r="AG121" s="382"/>
      <c r="AH121" s="382"/>
      <c r="AI121" s="382"/>
      <c r="AJ121" s="383"/>
      <c r="AK121" s="171"/>
      <c r="AL121" s="171"/>
      <c r="AM121" s="19"/>
      <c r="AN121" s="19"/>
      <c r="AO121" s="19"/>
      <c r="AP121" s="19"/>
      <c r="AQ121" s="19"/>
      <c r="AR121" s="19"/>
      <c r="AS121" s="19"/>
      <c r="AT121" s="5"/>
      <c r="AU121" s="5"/>
      <c r="AV121" s="5"/>
      <c r="AW121" s="5"/>
      <c r="AX121" s="5"/>
      <c r="AY121" s="5"/>
      <c r="AZ121" s="5"/>
      <c r="BA121" s="5"/>
      <c r="BB121" s="5"/>
      <c r="BC121" s="5"/>
    </row>
    <row r="122" spans="1:55" ht="22.5" x14ac:dyDescent="0.25">
      <c r="A122" s="713"/>
      <c r="B122" s="696"/>
      <c r="C122" s="696"/>
      <c r="D122" s="384" t="s">
        <v>370</v>
      </c>
      <c r="E122" s="388">
        <v>0</v>
      </c>
      <c r="F122" s="388">
        <v>0</v>
      </c>
      <c r="G122" s="388">
        <v>0</v>
      </c>
      <c r="H122" s="388">
        <v>0</v>
      </c>
      <c r="I122" s="390"/>
      <c r="J122" s="388">
        <v>0</v>
      </c>
      <c r="K122" s="388">
        <v>0</v>
      </c>
      <c r="L122" s="388">
        <v>0</v>
      </c>
      <c r="M122" s="386"/>
      <c r="N122" s="696"/>
      <c r="O122" s="696"/>
      <c r="P122" s="696"/>
      <c r="Q122" s="696"/>
      <c r="R122" s="696"/>
      <c r="S122" s="696"/>
      <c r="T122" s="696"/>
      <c r="U122" s="696"/>
      <c r="V122" s="696"/>
      <c r="W122" s="696"/>
      <c r="X122" s="696"/>
      <c r="Y122" s="699"/>
      <c r="Z122" s="381"/>
      <c r="AA122" s="382"/>
      <c r="AB122" s="382"/>
      <c r="AC122" s="382"/>
      <c r="AD122" s="382"/>
      <c r="AE122" s="382"/>
      <c r="AF122" s="382"/>
      <c r="AG122" s="382"/>
      <c r="AH122" s="382"/>
      <c r="AI122" s="382"/>
      <c r="AJ122" s="383"/>
      <c r="AK122" s="171"/>
      <c r="AL122" s="171"/>
      <c r="AM122" s="19"/>
      <c r="AN122" s="19"/>
      <c r="AO122" s="19"/>
      <c r="AP122" s="19"/>
      <c r="AQ122" s="19"/>
      <c r="AR122" s="19"/>
      <c r="AS122" s="19"/>
      <c r="AT122" s="5"/>
      <c r="AU122" s="5"/>
      <c r="AV122" s="5"/>
      <c r="AW122" s="5"/>
      <c r="AX122" s="5"/>
      <c r="AY122" s="5"/>
      <c r="AZ122" s="5"/>
      <c r="BA122" s="5"/>
      <c r="BB122" s="5"/>
      <c r="BC122" s="5"/>
    </row>
    <row r="123" spans="1:55" ht="22.5" x14ac:dyDescent="0.25">
      <c r="A123" s="713"/>
      <c r="B123" s="696"/>
      <c r="C123" s="722" t="s">
        <v>405</v>
      </c>
      <c r="D123" s="389" t="s">
        <v>348</v>
      </c>
      <c r="E123" s="387">
        <v>1096</v>
      </c>
      <c r="F123" s="387">
        <v>1096</v>
      </c>
      <c r="G123" s="390">
        <v>1216</v>
      </c>
      <c r="H123" s="387">
        <f>L123</f>
        <v>1246</v>
      </c>
      <c r="I123" s="390"/>
      <c r="J123" s="387">
        <v>1096</v>
      </c>
      <c r="K123" s="387">
        <f>120+J123</f>
        <v>1216</v>
      </c>
      <c r="L123" s="387">
        <f>K123+30</f>
        <v>1246</v>
      </c>
      <c r="M123" s="390"/>
      <c r="N123" s="722" t="s">
        <v>405</v>
      </c>
      <c r="O123" s="718" t="s">
        <v>350</v>
      </c>
      <c r="P123" s="718" t="s">
        <v>351</v>
      </c>
      <c r="Q123" s="718" t="s">
        <v>352</v>
      </c>
      <c r="R123" s="720" t="s">
        <v>353</v>
      </c>
      <c r="S123" s="718">
        <v>475275</v>
      </c>
      <c r="T123" s="696"/>
      <c r="U123" s="696"/>
      <c r="V123" s="720" t="s">
        <v>355</v>
      </c>
      <c r="W123" s="720" t="s">
        <v>356</v>
      </c>
      <c r="X123" s="720" t="s">
        <v>357</v>
      </c>
      <c r="Y123" s="717">
        <v>475275</v>
      </c>
      <c r="Z123" s="381"/>
      <c r="AA123" s="382">
        <v>12</v>
      </c>
      <c r="AB123" s="382" t="s">
        <v>358</v>
      </c>
      <c r="AC123" s="382"/>
      <c r="AD123" s="382"/>
      <c r="AE123" s="382"/>
      <c r="AF123" s="382" t="s">
        <v>359</v>
      </c>
      <c r="AG123" s="382"/>
      <c r="AH123" s="382"/>
      <c r="AI123" s="382"/>
      <c r="AJ123" s="383"/>
      <c r="AK123" s="171"/>
      <c r="AL123" s="171"/>
      <c r="AM123" s="19"/>
      <c r="AN123" s="19"/>
      <c r="AO123" s="19"/>
      <c r="AP123" s="19"/>
      <c r="AQ123" s="19"/>
      <c r="AR123" s="19"/>
      <c r="AS123" s="19"/>
      <c r="AT123" s="5"/>
      <c r="AU123" s="5"/>
      <c r="AV123" s="5"/>
      <c r="AW123" s="5"/>
      <c r="AX123" s="5"/>
      <c r="AY123" s="5"/>
      <c r="AZ123" s="5"/>
      <c r="BA123" s="5"/>
      <c r="BB123" s="5"/>
      <c r="BC123" s="5"/>
    </row>
    <row r="124" spans="1:55" ht="45" x14ac:dyDescent="0.25">
      <c r="A124" s="713"/>
      <c r="B124" s="696"/>
      <c r="C124" s="696"/>
      <c r="D124" s="384" t="s">
        <v>360</v>
      </c>
      <c r="E124" s="385">
        <f>(E123*$E$100)/$E$99</f>
        <v>43111155.534732126</v>
      </c>
      <c r="F124" s="385">
        <f>(F123*$F$100)/$F$99</f>
        <v>43111155.534732126</v>
      </c>
      <c r="G124" s="385">
        <f>(G123*$G$100)/$G$99</f>
        <v>49081911.590955392</v>
      </c>
      <c r="H124" s="385">
        <f>(H123*$H$100)/$H$99</f>
        <v>50292814.01507435</v>
      </c>
      <c r="I124" s="390"/>
      <c r="J124" s="385">
        <f>(J123*$J$100)/$J$99</f>
        <v>25854036.697247706</v>
      </c>
      <c r="K124" s="385">
        <f>(K123*$K$100)/$K$99</f>
        <v>14942126.642771805</v>
      </c>
      <c r="L124" s="385">
        <f>(L123*$L$100)/$L$99</f>
        <v>24997224.467798438</v>
      </c>
      <c r="M124" s="390"/>
      <c r="N124" s="696"/>
      <c r="O124" s="696"/>
      <c r="P124" s="696"/>
      <c r="Q124" s="696"/>
      <c r="R124" s="696"/>
      <c r="S124" s="696"/>
      <c r="T124" s="696"/>
      <c r="U124" s="696"/>
      <c r="V124" s="696"/>
      <c r="W124" s="696"/>
      <c r="X124" s="696"/>
      <c r="Y124" s="699"/>
      <c r="Z124" s="381"/>
      <c r="AA124" s="382">
        <v>13</v>
      </c>
      <c r="AB124" s="382" t="s">
        <v>363</v>
      </c>
      <c r="AC124" s="382"/>
      <c r="AD124" s="382"/>
      <c r="AE124" s="382"/>
      <c r="AF124" s="382" t="s">
        <v>364</v>
      </c>
      <c r="AG124" s="382"/>
      <c r="AH124" s="382"/>
      <c r="AI124" s="382"/>
      <c r="AJ124" s="383"/>
      <c r="AK124" s="171"/>
      <c r="AL124" s="171"/>
      <c r="AM124" s="19"/>
      <c r="AN124" s="19"/>
      <c r="AO124" s="19"/>
      <c r="AP124" s="19"/>
      <c r="AQ124" s="19"/>
      <c r="AR124" s="19"/>
      <c r="AS124" s="19"/>
      <c r="AT124" s="5"/>
      <c r="AU124" s="5"/>
      <c r="AV124" s="5"/>
      <c r="AW124" s="5"/>
      <c r="AX124" s="5"/>
      <c r="AY124" s="5"/>
      <c r="AZ124" s="5"/>
      <c r="BA124" s="5"/>
      <c r="BB124" s="5"/>
      <c r="BC124" s="5"/>
    </row>
    <row r="125" spans="1:55" ht="78.75" x14ac:dyDescent="0.25">
      <c r="A125" s="713"/>
      <c r="B125" s="696"/>
      <c r="C125" s="696"/>
      <c r="D125" s="384" t="s">
        <v>365</v>
      </c>
      <c r="E125" s="387">
        <v>0</v>
      </c>
      <c r="F125" s="387">
        <v>0</v>
      </c>
      <c r="G125" s="387">
        <v>0</v>
      </c>
      <c r="H125" s="387">
        <v>0</v>
      </c>
      <c r="I125" s="390"/>
      <c r="J125" s="387">
        <v>0</v>
      </c>
      <c r="K125" s="387">
        <v>0</v>
      </c>
      <c r="L125" s="387">
        <v>0</v>
      </c>
      <c r="M125" s="390"/>
      <c r="N125" s="696"/>
      <c r="O125" s="696"/>
      <c r="P125" s="696"/>
      <c r="Q125" s="696"/>
      <c r="R125" s="696"/>
      <c r="S125" s="696"/>
      <c r="T125" s="696"/>
      <c r="U125" s="696"/>
      <c r="V125" s="696"/>
      <c r="W125" s="696"/>
      <c r="X125" s="696"/>
      <c r="Y125" s="699"/>
      <c r="Z125" s="381"/>
      <c r="AA125" s="382">
        <v>14</v>
      </c>
      <c r="AB125" s="382" t="s">
        <v>367</v>
      </c>
      <c r="AC125" s="382"/>
      <c r="AD125" s="382"/>
      <c r="AE125" s="382"/>
      <c r="AF125" s="382" t="s">
        <v>369</v>
      </c>
      <c r="AG125" s="382"/>
      <c r="AH125" s="382"/>
      <c r="AI125" s="382"/>
      <c r="AJ125" s="383"/>
      <c r="AK125" s="171"/>
      <c r="AL125" s="171"/>
      <c r="AM125" s="19"/>
      <c r="AN125" s="19"/>
      <c r="AO125" s="19"/>
      <c r="AP125" s="19"/>
      <c r="AQ125" s="19"/>
      <c r="AR125" s="19"/>
      <c r="AS125" s="19"/>
      <c r="AT125" s="5"/>
      <c r="AU125" s="5"/>
      <c r="AV125" s="5"/>
      <c r="AW125" s="5"/>
      <c r="AX125" s="5"/>
      <c r="AY125" s="5"/>
      <c r="AZ125" s="5"/>
      <c r="BA125" s="5"/>
      <c r="BB125" s="5"/>
      <c r="BC125" s="5"/>
    </row>
    <row r="126" spans="1:55" ht="22.5" x14ac:dyDescent="0.25">
      <c r="A126" s="713"/>
      <c r="B126" s="696"/>
      <c r="C126" s="696"/>
      <c r="D126" s="384" t="s">
        <v>370</v>
      </c>
      <c r="E126" s="388">
        <v>0</v>
      </c>
      <c r="F126" s="388">
        <v>0</v>
      </c>
      <c r="G126" s="388">
        <v>0</v>
      </c>
      <c r="H126" s="388">
        <v>0</v>
      </c>
      <c r="I126" s="390"/>
      <c r="J126" s="388">
        <v>0</v>
      </c>
      <c r="K126" s="388">
        <v>0</v>
      </c>
      <c r="L126" s="388">
        <v>0</v>
      </c>
      <c r="M126" s="386"/>
      <c r="N126" s="696"/>
      <c r="O126" s="696"/>
      <c r="P126" s="696"/>
      <c r="Q126" s="696"/>
      <c r="R126" s="696"/>
      <c r="S126" s="696"/>
      <c r="T126" s="696"/>
      <c r="U126" s="696"/>
      <c r="V126" s="696"/>
      <c r="W126" s="696"/>
      <c r="X126" s="696"/>
      <c r="Y126" s="699"/>
      <c r="Z126" s="381"/>
      <c r="AA126" s="382"/>
      <c r="AB126" s="382"/>
      <c r="AC126" s="382"/>
      <c r="AD126" s="382"/>
      <c r="AE126" s="382"/>
      <c r="AF126" s="382"/>
      <c r="AG126" s="382"/>
      <c r="AH126" s="382"/>
      <c r="AI126" s="382"/>
      <c r="AJ126" s="383"/>
      <c r="AK126" s="171"/>
      <c r="AL126" s="171"/>
      <c r="AM126" s="19"/>
      <c r="AN126" s="19"/>
      <c r="AO126" s="19"/>
      <c r="AP126" s="19"/>
      <c r="AQ126" s="19"/>
      <c r="AR126" s="19"/>
      <c r="AS126" s="19"/>
      <c r="AT126" s="5"/>
      <c r="AU126" s="5"/>
      <c r="AV126" s="5"/>
      <c r="AW126" s="5"/>
      <c r="AX126" s="5"/>
      <c r="AY126" s="5"/>
      <c r="AZ126" s="5"/>
      <c r="BA126" s="5"/>
      <c r="BB126" s="5"/>
      <c r="BC126" s="5"/>
    </row>
    <row r="127" spans="1:55" ht="22.5" x14ac:dyDescent="0.25">
      <c r="A127" s="713"/>
      <c r="B127" s="696"/>
      <c r="C127" s="722" t="s">
        <v>430</v>
      </c>
      <c r="D127" s="389" t="s">
        <v>348</v>
      </c>
      <c r="E127" s="387"/>
      <c r="F127" s="387"/>
      <c r="G127" s="390"/>
      <c r="H127" s="387">
        <v>65</v>
      </c>
      <c r="I127" s="390"/>
      <c r="J127" s="387"/>
      <c r="K127" s="387"/>
      <c r="L127" s="387"/>
      <c r="M127" s="390"/>
      <c r="N127" s="722" t="s">
        <v>385</v>
      </c>
      <c r="O127" s="718" t="s">
        <v>350</v>
      </c>
      <c r="P127" s="718" t="s">
        <v>351</v>
      </c>
      <c r="Q127" s="718" t="s">
        <v>352</v>
      </c>
      <c r="R127" s="720" t="s">
        <v>353</v>
      </c>
      <c r="S127" s="720">
        <v>887886</v>
      </c>
      <c r="T127" s="696"/>
      <c r="U127" s="720" t="s">
        <v>354</v>
      </c>
      <c r="V127" s="720" t="s">
        <v>355</v>
      </c>
      <c r="W127" s="720" t="s">
        <v>356</v>
      </c>
      <c r="X127" s="720" t="s">
        <v>357</v>
      </c>
      <c r="Y127" s="721">
        <v>887886</v>
      </c>
      <c r="Z127" s="381"/>
      <c r="AA127" s="382">
        <v>12</v>
      </c>
      <c r="AB127" s="382" t="s">
        <v>358</v>
      </c>
      <c r="AC127" s="382"/>
      <c r="AD127" s="382"/>
      <c r="AE127" s="382"/>
      <c r="AF127" s="382" t="s">
        <v>359</v>
      </c>
      <c r="AG127" s="382"/>
      <c r="AH127" s="382"/>
      <c r="AI127" s="382"/>
      <c r="AJ127" s="383"/>
      <c r="AK127" s="171"/>
      <c r="AL127" s="171"/>
      <c r="AM127" s="19"/>
      <c r="AN127" s="19"/>
      <c r="AO127" s="19"/>
      <c r="AP127" s="19"/>
      <c r="AQ127" s="19"/>
      <c r="AR127" s="19"/>
      <c r="AS127" s="19"/>
      <c r="AT127" s="5"/>
      <c r="AU127" s="5"/>
      <c r="AV127" s="5"/>
      <c r="AW127" s="5"/>
      <c r="AX127" s="5"/>
      <c r="AY127" s="5"/>
      <c r="AZ127" s="5"/>
      <c r="BA127" s="5"/>
      <c r="BB127" s="5"/>
      <c r="BC127" s="5"/>
    </row>
    <row r="128" spans="1:55" ht="45" x14ac:dyDescent="0.25">
      <c r="A128" s="713"/>
      <c r="B128" s="696"/>
      <c r="C128" s="696"/>
      <c r="D128" s="384" t="s">
        <v>360</v>
      </c>
      <c r="E128" s="385"/>
      <c r="F128" s="385"/>
      <c r="G128" s="385"/>
      <c r="H128" s="385">
        <f>(H127*$H$100)/$H$99</f>
        <v>2623621.9189244243</v>
      </c>
      <c r="I128" s="390"/>
      <c r="J128" s="385"/>
      <c r="K128" s="385"/>
      <c r="L128" s="385"/>
      <c r="M128" s="390"/>
      <c r="N128" s="696"/>
      <c r="O128" s="696"/>
      <c r="P128" s="696"/>
      <c r="Q128" s="696"/>
      <c r="R128" s="696"/>
      <c r="S128" s="696"/>
      <c r="T128" s="696"/>
      <c r="U128" s="696"/>
      <c r="V128" s="696"/>
      <c r="W128" s="696"/>
      <c r="X128" s="696"/>
      <c r="Y128" s="699"/>
      <c r="Z128" s="381"/>
      <c r="AA128" s="382">
        <v>13</v>
      </c>
      <c r="AB128" s="382" t="s">
        <v>363</v>
      </c>
      <c r="AC128" s="382"/>
      <c r="AD128" s="382"/>
      <c r="AE128" s="382"/>
      <c r="AF128" s="382" t="s">
        <v>364</v>
      </c>
      <c r="AG128" s="382"/>
      <c r="AH128" s="382"/>
      <c r="AI128" s="382"/>
      <c r="AJ128" s="383"/>
      <c r="AK128" s="171"/>
      <c r="AL128" s="171"/>
      <c r="AM128" s="19"/>
      <c r="AN128" s="19"/>
      <c r="AO128" s="19"/>
      <c r="AP128" s="19"/>
      <c r="AQ128" s="19"/>
      <c r="AR128" s="19"/>
      <c r="AS128" s="19"/>
      <c r="AT128" s="5"/>
      <c r="AU128" s="5"/>
      <c r="AV128" s="5"/>
      <c r="AW128" s="5"/>
      <c r="AX128" s="5"/>
      <c r="AY128" s="5"/>
      <c r="AZ128" s="5"/>
      <c r="BA128" s="5"/>
      <c r="BB128" s="5"/>
      <c r="BC128" s="5"/>
    </row>
    <row r="129" spans="1:55" ht="78.75" x14ac:dyDescent="0.25">
      <c r="A129" s="713"/>
      <c r="B129" s="696"/>
      <c r="C129" s="696"/>
      <c r="D129" s="384" t="s">
        <v>365</v>
      </c>
      <c r="E129" s="387"/>
      <c r="F129" s="387"/>
      <c r="G129" s="387"/>
      <c r="H129" s="387">
        <v>0</v>
      </c>
      <c r="I129" s="390"/>
      <c r="J129" s="387"/>
      <c r="K129" s="387"/>
      <c r="L129" s="387">
        <v>0</v>
      </c>
      <c r="M129" s="390"/>
      <c r="N129" s="696"/>
      <c r="O129" s="696"/>
      <c r="P129" s="696"/>
      <c r="Q129" s="696"/>
      <c r="R129" s="696"/>
      <c r="S129" s="696"/>
      <c r="T129" s="696"/>
      <c r="U129" s="696"/>
      <c r="V129" s="696"/>
      <c r="W129" s="696"/>
      <c r="X129" s="696"/>
      <c r="Y129" s="699"/>
      <c r="Z129" s="381"/>
      <c r="AA129" s="382">
        <v>14</v>
      </c>
      <c r="AB129" s="382" t="s">
        <v>367</v>
      </c>
      <c r="AC129" s="382"/>
      <c r="AD129" s="382"/>
      <c r="AE129" s="382"/>
      <c r="AF129" s="382" t="s">
        <v>369</v>
      </c>
      <c r="AG129" s="382"/>
      <c r="AH129" s="382"/>
      <c r="AI129" s="382"/>
      <c r="AJ129" s="383"/>
      <c r="AK129" s="171"/>
      <c r="AL129" s="171"/>
      <c r="AM129" s="19"/>
      <c r="AN129" s="19"/>
      <c r="AO129" s="19"/>
      <c r="AP129" s="19"/>
      <c r="AQ129" s="19"/>
      <c r="AR129" s="19"/>
      <c r="AS129" s="19"/>
      <c r="AT129" s="5"/>
      <c r="AU129" s="5"/>
      <c r="AV129" s="5"/>
      <c r="AW129" s="5"/>
      <c r="AX129" s="5"/>
      <c r="AY129" s="5"/>
      <c r="AZ129" s="5"/>
      <c r="BA129" s="5"/>
      <c r="BB129" s="5"/>
      <c r="BC129" s="5"/>
    </row>
    <row r="130" spans="1:55" ht="22.5" x14ac:dyDescent="0.25">
      <c r="A130" s="713"/>
      <c r="B130" s="696"/>
      <c r="C130" s="696"/>
      <c r="D130" s="384" t="s">
        <v>370</v>
      </c>
      <c r="E130" s="388"/>
      <c r="F130" s="388"/>
      <c r="G130" s="388"/>
      <c r="H130" s="388">
        <v>0</v>
      </c>
      <c r="I130" s="390"/>
      <c r="J130" s="388"/>
      <c r="K130" s="388"/>
      <c r="L130" s="388">
        <v>0</v>
      </c>
      <c r="M130" s="386"/>
      <c r="N130" s="696"/>
      <c r="O130" s="696"/>
      <c r="P130" s="696"/>
      <c r="Q130" s="696"/>
      <c r="R130" s="696"/>
      <c r="S130" s="696"/>
      <c r="T130" s="696"/>
      <c r="U130" s="696"/>
      <c r="V130" s="696"/>
      <c r="W130" s="696"/>
      <c r="X130" s="696"/>
      <c r="Y130" s="699"/>
      <c r="Z130" s="381"/>
      <c r="AA130" s="382"/>
      <c r="AB130" s="382"/>
      <c r="AC130" s="382"/>
      <c r="AD130" s="382"/>
      <c r="AE130" s="382"/>
      <c r="AF130" s="382"/>
      <c r="AG130" s="382"/>
      <c r="AH130" s="382"/>
      <c r="AI130" s="382"/>
      <c r="AJ130" s="383"/>
      <c r="AK130" s="171"/>
      <c r="AL130" s="171"/>
      <c r="AM130" s="19"/>
      <c r="AN130" s="19"/>
      <c r="AO130" s="19"/>
      <c r="AP130" s="19"/>
      <c r="AQ130" s="19"/>
      <c r="AR130" s="19"/>
      <c r="AS130" s="19"/>
      <c r="AT130" s="5"/>
      <c r="AU130" s="5"/>
      <c r="AV130" s="5"/>
      <c r="AW130" s="5"/>
      <c r="AX130" s="5"/>
      <c r="AY130" s="5"/>
      <c r="AZ130" s="5"/>
      <c r="BA130" s="5"/>
      <c r="BB130" s="5"/>
      <c r="BC130" s="5"/>
    </row>
    <row r="131" spans="1:55" ht="22.5" x14ac:dyDescent="0.25">
      <c r="A131" s="713"/>
      <c r="B131" s="696"/>
      <c r="C131" s="722" t="s">
        <v>393</v>
      </c>
      <c r="D131" s="389" t="s">
        <v>348</v>
      </c>
      <c r="E131" s="387"/>
      <c r="F131" s="387"/>
      <c r="G131" s="390"/>
      <c r="H131" s="387">
        <v>86</v>
      </c>
      <c r="I131" s="390"/>
      <c r="J131" s="387"/>
      <c r="K131" s="387"/>
      <c r="L131" s="417"/>
      <c r="M131" s="390"/>
      <c r="N131" s="722" t="s">
        <v>393</v>
      </c>
      <c r="O131" s="718" t="s">
        <v>350</v>
      </c>
      <c r="P131" s="718" t="s">
        <v>351</v>
      </c>
      <c r="Q131" s="718" t="s">
        <v>352</v>
      </c>
      <c r="R131" s="720" t="s">
        <v>353</v>
      </c>
      <c r="S131" s="720">
        <v>1230539</v>
      </c>
      <c r="T131" s="696"/>
      <c r="U131" s="720" t="s">
        <v>354</v>
      </c>
      <c r="V131" s="720" t="s">
        <v>355</v>
      </c>
      <c r="W131" s="720" t="s">
        <v>356</v>
      </c>
      <c r="X131" s="720" t="s">
        <v>357</v>
      </c>
      <c r="Y131" s="721">
        <v>1230539</v>
      </c>
      <c r="Z131" s="381"/>
      <c r="AA131" s="382">
        <v>12</v>
      </c>
      <c r="AB131" s="382" t="s">
        <v>358</v>
      </c>
      <c r="AC131" s="382"/>
      <c r="AD131" s="382"/>
      <c r="AE131" s="382"/>
      <c r="AF131" s="382" t="s">
        <v>359</v>
      </c>
      <c r="AG131" s="382"/>
      <c r="AH131" s="382"/>
      <c r="AI131" s="382"/>
      <c r="AJ131" s="383"/>
      <c r="AK131" s="171"/>
      <c r="AL131" s="171"/>
      <c r="AM131" s="19"/>
      <c r="AN131" s="19"/>
      <c r="AO131" s="19"/>
      <c r="AP131" s="19"/>
      <c r="AQ131" s="19"/>
      <c r="AR131" s="19"/>
      <c r="AS131" s="19"/>
      <c r="AT131" s="5"/>
      <c r="AU131" s="5"/>
      <c r="AV131" s="5"/>
      <c r="AW131" s="5"/>
      <c r="AX131" s="5"/>
      <c r="AY131" s="5"/>
      <c r="AZ131" s="5"/>
      <c r="BA131" s="5"/>
      <c r="BB131" s="5"/>
      <c r="BC131" s="5"/>
    </row>
    <row r="132" spans="1:55" ht="45" x14ac:dyDescent="0.25">
      <c r="A132" s="713"/>
      <c r="B132" s="696"/>
      <c r="C132" s="696"/>
      <c r="D132" s="384" t="s">
        <v>360</v>
      </c>
      <c r="E132" s="385"/>
      <c r="F132" s="385"/>
      <c r="G132" s="385"/>
      <c r="H132" s="385">
        <f>(H131*$H$100)/$H$99</f>
        <v>3471253.6158077</v>
      </c>
      <c r="I132" s="390"/>
      <c r="J132" s="385"/>
      <c r="K132" s="385"/>
      <c r="L132" s="418"/>
      <c r="M132" s="390"/>
      <c r="N132" s="696"/>
      <c r="O132" s="696"/>
      <c r="P132" s="696"/>
      <c r="Q132" s="696"/>
      <c r="R132" s="696"/>
      <c r="S132" s="696"/>
      <c r="T132" s="696"/>
      <c r="U132" s="696"/>
      <c r="V132" s="696"/>
      <c r="W132" s="696"/>
      <c r="X132" s="696"/>
      <c r="Y132" s="699"/>
      <c r="Z132" s="381"/>
      <c r="AA132" s="382">
        <v>13</v>
      </c>
      <c r="AB132" s="382" t="s">
        <v>363</v>
      </c>
      <c r="AC132" s="382"/>
      <c r="AD132" s="382"/>
      <c r="AE132" s="382"/>
      <c r="AF132" s="382" t="s">
        <v>364</v>
      </c>
      <c r="AG132" s="382"/>
      <c r="AH132" s="382"/>
      <c r="AI132" s="382"/>
      <c r="AJ132" s="383"/>
      <c r="AK132" s="171"/>
      <c r="AL132" s="171"/>
      <c r="AM132" s="19"/>
      <c r="AN132" s="19"/>
      <c r="AO132" s="19"/>
      <c r="AP132" s="19"/>
      <c r="AQ132" s="19"/>
      <c r="AR132" s="19"/>
      <c r="AS132" s="19"/>
      <c r="AT132" s="5"/>
      <c r="AU132" s="5"/>
      <c r="AV132" s="5"/>
      <c r="AW132" s="5"/>
      <c r="AX132" s="5"/>
      <c r="AY132" s="5"/>
      <c r="AZ132" s="5"/>
      <c r="BA132" s="5"/>
      <c r="BB132" s="5"/>
      <c r="BC132" s="5"/>
    </row>
    <row r="133" spans="1:55" ht="78.75" x14ac:dyDescent="0.25">
      <c r="A133" s="713"/>
      <c r="B133" s="696"/>
      <c r="C133" s="696"/>
      <c r="D133" s="384" t="s">
        <v>365</v>
      </c>
      <c r="E133" s="387"/>
      <c r="F133" s="387"/>
      <c r="G133" s="387"/>
      <c r="H133" s="387">
        <v>0</v>
      </c>
      <c r="I133" s="390"/>
      <c r="J133" s="387"/>
      <c r="K133" s="387"/>
      <c r="L133" s="387">
        <v>0</v>
      </c>
      <c r="M133" s="390"/>
      <c r="N133" s="696"/>
      <c r="O133" s="696"/>
      <c r="P133" s="696"/>
      <c r="Q133" s="696"/>
      <c r="R133" s="696"/>
      <c r="S133" s="696"/>
      <c r="T133" s="696"/>
      <c r="U133" s="696"/>
      <c r="V133" s="696"/>
      <c r="W133" s="696"/>
      <c r="X133" s="696"/>
      <c r="Y133" s="699"/>
      <c r="Z133" s="381"/>
      <c r="AA133" s="382">
        <v>14</v>
      </c>
      <c r="AB133" s="382" t="s">
        <v>367</v>
      </c>
      <c r="AC133" s="382"/>
      <c r="AD133" s="382"/>
      <c r="AE133" s="382"/>
      <c r="AF133" s="382" t="s">
        <v>369</v>
      </c>
      <c r="AG133" s="382"/>
      <c r="AH133" s="382"/>
      <c r="AI133" s="382"/>
      <c r="AJ133" s="383"/>
      <c r="AK133" s="171"/>
      <c r="AL133" s="171"/>
      <c r="AM133" s="19"/>
      <c r="AN133" s="19"/>
      <c r="AO133" s="19"/>
      <c r="AP133" s="19"/>
      <c r="AQ133" s="19"/>
      <c r="AR133" s="19"/>
      <c r="AS133" s="19"/>
      <c r="AT133" s="5"/>
      <c r="AU133" s="5"/>
      <c r="AV133" s="5"/>
      <c r="AW133" s="5"/>
      <c r="AX133" s="5"/>
      <c r="AY133" s="5"/>
      <c r="AZ133" s="5"/>
      <c r="BA133" s="5"/>
      <c r="BB133" s="5"/>
      <c r="BC133" s="5"/>
    </row>
    <row r="134" spans="1:55" ht="22.5" x14ac:dyDescent="0.25">
      <c r="A134" s="713"/>
      <c r="B134" s="696"/>
      <c r="C134" s="696"/>
      <c r="D134" s="384" t="s">
        <v>370</v>
      </c>
      <c r="E134" s="388"/>
      <c r="F134" s="388"/>
      <c r="G134" s="388"/>
      <c r="H134" s="388">
        <v>0</v>
      </c>
      <c r="I134" s="390"/>
      <c r="J134" s="388"/>
      <c r="K134" s="388"/>
      <c r="L134" s="388">
        <v>0</v>
      </c>
      <c r="M134" s="386"/>
      <c r="N134" s="696"/>
      <c r="O134" s="696"/>
      <c r="P134" s="696"/>
      <c r="Q134" s="696"/>
      <c r="R134" s="696"/>
      <c r="S134" s="696"/>
      <c r="T134" s="696"/>
      <c r="U134" s="696"/>
      <c r="V134" s="696"/>
      <c r="W134" s="696"/>
      <c r="X134" s="696"/>
      <c r="Y134" s="699"/>
      <c r="Z134" s="381"/>
      <c r="AA134" s="382"/>
      <c r="AB134" s="382"/>
      <c r="AC134" s="382"/>
      <c r="AD134" s="382"/>
      <c r="AE134" s="382"/>
      <c r="AF134" s="382"/>
      <c r="AG134" s="382"/>
      <c r="AH134" s="382"/>
      <c r="AI134" s="382"/>
      <c r="AJ134" s="383"/>
      <c r="AK134" s="171"/>
      <c r="AL134" s="171"/>
      <c r="AM134" s="19"/>
      <c r="AN134" s="19"/>
      <c r="AO134" s="19"/>
      <c r="AP134" s="19"/>
      <c r="AQ134" s="19"/>
      <c r="AR134" s="19"/>
      <c r="AS134" s="19"/>
      <c r="AT134" s="5"/>
      <c r="AU134" s="5"/>
      <c r="AV134" s="5"/>
      <c r="AW134" s="5"/>
      <c r="AX134" s="5"/>
      <c r="AY134" s="5"/>
      <c r="AZ134" s="5"/>
      <c r="BA134" s="5"/>
      <c r="BB134" s="5"/>
      <c r="BC134" s="5"/>
    </row>
    <row r="135" spans="1:55" ht="22.5" x14ac:dyDescent="0.25">
      <c r="A135" s="713"/>
      <c r="B135" s="696"/>
      <c r="C135" s="722" t="s">
        <v>394</v>
      </c>
      <c r="D135" s="389" t="s">
        <v>348</v>
      </c>
      <c r="E135" s="387"/>
      <c r="F135" s="387"/>
      <c r="G135" s="390"/>
      <c r="H135" s="387">
        <v>498</v>
      </c>
      <c r="I135" s="390"/>
      <c r="J135" s="387"/>
      <c r="K135" s="387"/>
      <c r="L135" s="387">
        <v>498</v>
      </c>
      <c r="M135" s="390"/>
      <c r="N135" s="722" t="s">
        <v>394</v>
      </c>
      <c r="O135" s="718" t="s">
        <v>350</v>
      </c>
      <c r="P135" s="718" t="s">
        <v>351</v>
      </c>
      <c r="Q135" s="718" t="s">
        <v>352</v>
      </c>
      <c r="R135" s="720" t="s">
        <v>353</v>
      </c>
      <c r="S135" s="720">
        <v>93248</v>
      </c>
      <c r="T135" s="696"/>
      <c r="U135" s="720" t="s">
        <v>354</v>
      </c>
      <c r="V135" s="720" t="s">
        <v>355</v>
      </c>
      <c r="W135" s="720" t="s">
        <v>356</v>
      </c>
      <c r="X135" s="720" t="s">
        <v>357</v>
      </c>
      <c r="Y135" s="721">
        <v>93248</v>
      </c>
      <c r="Z135" s="381"/>
      <c r="AA135" s="382">
        <v>12</v>
      </c>
      <c r="AB135" s="382" t="s">
        <v>358</v>
      </c>
      <c r="AC135" s="382"/>
      <c r="AD135" s="382"/>
      <c r="AE135" s="382"/>
      <c r="AF135" s="382" t="s">
        <v>359</v>
      </c>
      <c r="AG135" s="382"/>
      <c r="AH135" s="382"/>
      <c r="AI135" s="382"/>
      <c r="AJ135" s="383"/>
      <c r="AK135" s="171"/>
      <c r="AL135" s="171"/>
      <c r="AM135" s="19"/>
      <c r="AN135" s="19"/>
      <c r="AO135" s="19"/>
      <c r="AP135" s="19"/>
      <c r="AQ135" s="19"/>
      <c r="AR135" s="19"/>
      <c r="AS135" s="19"/>
      <c r="AT135" s="5"/>
      <c r="AU135" s="5"/>
      <c r="AV135" s="5"/>
      <c r="AW135" s="5"/>
      <c r="AX135" s="5"/>
      <c r="AY135" s="5"/>
      <c r="AZ135" s="5"/>
      <c r="BA135" s="5"/>
      <c r="BB135" s="5"/>
      <c r="BC135" s="5"/>
    </row>
    <row r="136" spans="1:55" ht="45" x14ac:dyDescent="0.25">
      <c r="A136" s="713"/>
      <c r="B136" s="696"/>
      <c r="C136" s="696"/>
      <c r="D136" s="384" t="s">
        <v>360</v>
      </c>
      <c r="E136" s="385"/>
      <c r="F136" s="385"/>
      <c r="G136" s="385"/>
      <c r="H136" s="385">
        <f>(H135*$H$100)/$H$99</f>
        <v>20100980.240374822</v>
      </c>
      <c r="I136" s="390"/>
      <c r="J136" s="385"/>
      <c r="K136" s="385"/>
      <c r="L136" s="385" t="s">
        <v>565</v>
      </c>
      <c r="M136" s="390"/>
      <c r="N136" s="696"/>
      <c r="O136" s="696"/>
      <c r="P136" s="696"/>
      <c r="Q136" s="696"/>
      <c r="R136" s="696"/>
      <c r="S136" s="696"/>
      <c r="T136" s="696"/>
      <c r="U136" s="696"/>
      <c r="V136" s="696"/>
      <c r="W136" s="696"/>
      <c r="X136" s="696"/>
      <c r="Y136" s="699"/>
      <c r="Z136" s="381"/>
      <c r="AA136" s="382">
        <v>13</v>
      </c>
      <c r="AB136" s="382" t="s">
        <v>363</v>
      </c>
      <c r="AC136" s="382"/>
      <c r="AD136" s="382"/>
      <c r="AE136" s="382"/>
      <c r="AF136" s="382" t="s">
        <v>364</v>
      </c>
      <c r="AG136" s="382"/>
      <c r="AH136" s="382"/>
      <c r="AI136" s="382"/>
      <c r="AJ136" s="383"/>
      <c r="AK136" s="171"/>
      <c r="AL136" s="171"/>
      <c r="AM136" s="19"/>
      <c r="AN136" s="19"/>
      <c r="AO136" s="19"/>
      <c r="AP136" s="19"/>
      <c r="AQ136" s="19"/>
      <c r="AR136" s="19"/>
      <c r="AS136" s="19"/>
      <c r="AT136" s="5"/>
      <c r="AU136" s="5"/>
      <c r="AV136" s="5"/>
      <c r="AW136" s="5"/>
      <c r="AX136" s="5"/>
      <c r="AY136" s="5"/>
      <c r="AZ136" s="5"/>
      <c r="BA136" s="5"/>
      <c r="BB136" s="5"/>
      <c r="BC136" s="5"/>
    </row>
    <row r="137" spans="1:55" ht="78.75" x14ac:dyDescent="0.25">
      <c r="A137" s="713"/>
      <c r="B137" s="696"/>
      <c r="C137" s="696"/>
      <c r="D137" s="384" t="s">
        <v>365</v>
      </c>
      <c r="E137" s="387"/>
      <c r="F137" s="387"/>
      <c r="G137" s="387"/>
      <c r="H137" s="387">
        <v>0</v>
      </c>
      <c r="I137" s="390"/>
      <c r="J137" s="387"/>
      <c r="K137" s="387"/>
      <c r="L137" s="387">
        <v>0</v>
      </c>
      <c r="M137" s="390"/>
      <c r="N137" s="696"/>
      <c r="O137" s="696"/>
      <c r="P137" s="696"/>
      <c r="Q137" s="696"/>
      <c r="R137" s="696"/>
      <c r="S137" s="696"/>
      <c r="T137" s="696"/>
      <c r="U137" s="696"/>
      <c r="V137" s="696"/>
      <c r="W137" s="696"/>
      <c r="X137" s="696"/>
      <c r="Y137" s="699"/>
      <c r="Z137" s="381"/>
      <c r="AA137" s="382">
        <v>14</v>
      </c>
      <c r="AB137" s="382" t="s">
        <v>367</v>
      </c>
      <c r="AC137" s="382"/>
      <c r="AD137" s="382"/>
      <c r="AE137" s="382"/>
      <c r="AF137" s="382" t="s">
        <v>369</v>
      </c>
      <c r="AG137" s="382"/>
      <c r="AH137" s="382"/>
      <c r="AI137" s="382"/>
      <c r="AJ137" s="383"/>
      <c r="AK137" s="171"/>
      <c r="AL137" s="171"/>
      <c r="AM137" s="19"/>
      <c r="AN137" s="19"/>
      <c r="AO137" s="19"/>
      <c r="AP137" s="19"/>
      <c r="AQ137" s="19"/>
      <c r="AR137" s="19"/>
      <c r="AS137" s="19"/>
      <c r="AT137" s="5"/>
      <c r="AU137" s="5"/>
      <c r="AV137" s="5"/>
      <c r="AW137" s="5"/>
      <c r="AX137" s="5"/>
      <c r="AY137" s="5"/>
      <c r="AZ137" s="5"/>
      <c r="BA137" s="5"/>
      <c r="BB137" s="5"/>
      <c r="BC137" s="5"/>
    </row>
    <row r="138" spans="1:55" ht="22.5" x14ac:dyDescent="0.25">
      <c r="A138" s="713"/>
      <c r="B138" s="696"/>
      <c r="C138" s="696"/>
      <c r="D138" s="384" t="s">
        <v>370</v>
      </c>
      <c r="E138" s="388"/>
      <c r="F138" s="388"/>
      <c r="G138" s="388"/>
      <c r="H138" s="388">
        <v>0</v>
      </c>
      <c r="I138" s="390"/>
      <c r="J138" s="388"/>
      <c r="K138" s="388"/>
      <c r="L138" s="388">
        <v>0</v>
      </c>
      <c r="M138" s="386"/>
      <c r="N138" s="696"/>
      <c r="O138" s="696"/>
      <c r="P138" s="696"/>
      <c r="Q138" s="696"/>
      <c r="R138" s="696"/>
      <c r="S138" s="696"/>
      <c r="T138" s="696"/>
      <c r="U138" s="696"/>
      <c r="V138" s="696"/>
      <c r="W138" s="696"/>
      <c r="X138" s="696"/>
      <c r="Y138" s="699"/>
      <c r="Z138" s="381"/>
      <c r="AA138" s="382"/>
      <c r="AB138" s="382"/>
      <c r="AC138" s="382"/>
      <c r="AD138" s="382"/>
      <c r="AE138" s="382"/>
      <c r="AF138" s="382"/>
      <c r="AG138" s="382"/>
      <c r="AH138" s="382"/>
      <c r="AI138" s="382"/>
      <c r="AJ138" s="383"/>
      <c r="AK138" s="171"/>
      <c r="AL138" s="171"/>
      <c r="AM138" s="19"/>
      <c r="AN138" s="19"/>
      <c r="AO138" s="19"/>
      <c r="AP138" s="19"/>
      <c r="AQ138" s="19"/>
      <c r="AR138" s="19"/>
      <c r="AS138" s="19"/>
      <c r="AT138" s="5"/>
      <c r="AU138" s="5"/>
      <c r="AV138" s="5"/>
      <c r="AW138" s="5"/>
      <c r="AX138" s="5"/>
      <c r="AY138" s="5"/>
      <c r="AZ138" s="5"/>
      <c r="BA138" s="5"/>
      <c r="BB138" s="5"/>
      <c r="BC138" s="5"/>
    </row>
    <row r="139" spans="1:55" ht="22.5" x14ac:dyDescent="0.25">
      <c r="A139" s="713"/>
      <c r="B139" s="696"/>
      <c r="C139" s="722" t="s">
        <v>402</v>
      </c>
      <c r="D139" s="389" t="s">
        <v>348</v>
      </c>
      <c r="E139" s="387"/>
      <c r="F139" s="387"/>
      <c r="G139" s="390"/>
      <c r="H139" s="387">
        <v>5</v>
      </c>
      <c r="I139" s="390"/>
      <c r="J139" s="387"/>
      <c r="K139" s="387"/>
      <c r="L139" s="387"/>
      <c r="M139" s="390"/>
      <c r="N139" s="722" t="s">
        <v>402</v>
      </c>
      <c r="O139" s="718" t="s">
        <v>350</v>
      </c>
      <c r="P139" s="718" t="s">
        <v>351</v>
      </c>
      <c r="Q139" s="718" t="s">
        <v>352</v>
      </c>
      <c r="R139" s="720" t="s">
        <v>353</v>
      </c>
      <c r="S139" s="720">
        <v>186383</v>
      </c>
      <c r="T139" s="696"/>
      <c r="U139" s="720" t="s">
        <v>354</v>
      </c>
      <c r="V139" s="720" t="s">
        <v>355</v>
      </c>
      <c r="W139" s="720" t="s">
        <v>356</v>
      </c>
      <c r="X139" s="720" t="s">
        <v>357</v>
      </c>
      <c r="Y139" s="721">
        <v>186383</v>
      </c>
      <c r="Z139" s="381"/>
      <c r="AA139" s="382">
        <v>12</v>
      </c>
      <c r="AB139" s="382" t="s">
        <v>358</v>
      </c>
      <c r="AC139" s="382"/>
      <c r="AD139" s="382"/>
      <c r="AE139" s="382"/>
      <c r="AF139" s="382" t="s">
        <v>359</v>
      </c>
      <c r="AG139" s="382"/>
      <c r="AH139" s="382"/>
      <c r="AI139" s="382"/>
      <c r="AJ139" s="383"/>
      <c r="AK139" s="171"/>
      <c r="AL139" s="171"/>
      <c r="AM139" s="19"/>
      <c r="AN139" s="19"/>
      <c r="AO139" s="19"/>
      <c r="AP139" s="19"/>
      <c r="AQ139" s="19"/>
      <c r="AR139" s="19"/>
      <c r="AS139" s="19"/>
      <c r="AT139" s="5"/>
      <c r="AU139" s="5"/>
      <c r="AV139" s="5"/>
      <c r="AW139" s="5"/>
      <c r="AX139" s="5"/>
      <c r="AY139" s="5"/>
      <c r="AZ139" s="5"/>
      <c r="BA139" s="5"/>
      <c r="BB139" s="5"/>
      <c r="BC139" s="5"/>
    </row>
    <row r="140" spans="1:55" ht="45" x14ac:dyDescent="0.25">
      <c r="A140" s="713"/>
      <c r="B140" s="696"/>
      <c r="C140" s="696"/>
      <c r="D140" s="384" t="s">
        <v>360</v>
      </c>
      <c r="E140" s="385"/>
      <c r="F140" s="385"/>
      <c r="G140" s="385"/>
      <c r="H140" s="385">
        <f>(H139*$H$100)/$H$99</f>
        <v>201817.0706864942</v>
      </c>
      <c r="I140" s="390"/>
      <c r="J140" s="385"/>
      <c r="K140" s="385"/>
      <c r="L140" s="385"/>
      <c r="M140" s="390"/>
      <c r="N140" s="696"/>
      <c r="O140" s="696"/>
      <c r="P140" s="696"/>
      <c r="Q140" s="696"/>
      <c r="R140" s="696"/>
      <c r="S140" s="696"/>
      <c r="T140" s="696"/>
      <c r="U140" s="696"/>
      <c r="V140" s="696"/>
      <c r="W140" s="696"/>
      <c r="X140" s="696"/>
      <c r="Y140" s="699"/>
      <c r="Z140" s="381"/>
      <c r="AA140" s="382">
        <v>13</v>
      </c>
      <c r="AB140" s="382" t="s">
        <v>363</v>
      </c>
      <c r="AC140" s="382"/>
      <c r="AD140" s="382"/>
      <c r="AE140" s="382"/>
      <c r="AF140" s="382" t="s">
        <v>364</v>
      </c>
      <c r="AG140" s="382"/>
      <c r="AH140" s="382"/>
      <c r="AI140" s="382"/>
      <c r="AJ140" s="383"/>
      <c r="AK140" s="171"/>
      <c r="AL140" s="171"/>
      <c r="AM140" s="19"/>
      <c r="AN140" s="19"/>
      <c r="AO140" s="19"/>
      <c r="AP140" s="19"/>
      <c r="AQ140" s="19"/>
      <c r="AR140" s="19"/>
      <c r="AS140" s="19"/>
      <c r="AT140" s="5"/>
      <c r="AU140" s="5"/>
      <c r="AV140" s="5"/>
      <c r="AW140" s="5"/>
      <c r="AX140" s="5"/>
      <c r="AY140" s="5"/>
      <c r="AZ140" s="5"/>
      <c r="BA140" s="5"/>
      <c r="BB140" s="5"/>
      <c r="BC140" s="5"/>
    </row>
    <row r="141" spans="1:55" ht="78.75" x14ac:dyDescent="0.25">
      <c r="A141" s="713"/>
      <c r="B141" s="696"/>
      <c r="C141" s="696"/>
      <c r="D141" s="384" t="s">
        <v>365</v>
      </c>
      <c r="E141" s="387"/>
      <c r="F141" s="387"/>
      <c r="G141" s="387"/>
      <c r="H141" s="387">
        <v>0</v>
      </c>
      <c r="I141" s="390"/>
      <c r="J141" s="387"/>
      <c r="K141" s="387"/>
      <c r="L141" s="387">
        <v>0</v>
      </c>
      <c r="M141" s="390"/>
      <c r="N141" s="696"/>
      <c r="O141" s="696"/>
      <c r="P141" s="696"/>
      <c r="Q141" s="696"/>
      <c r="R141" s="696"/>
      <c r="S141" s="696"/>
      <c r="T141" s="696"/>
      <c r="U141" s="696"/>
      <c r="V141" s="696"/>
      <c r="W141" s="696"/>
      <c r="X141" s="696"/>
      <c r="Y141" s="699"/>
      <c r="Z141" s="381"/>
      <c r="AA141" s="382">
        <v>14</v>
      </c>
      <c r="AB141" s="382" t="s">
        <v>367</v>
      </c>
      <c r="AC141" s="382"/>
      <c r="AD141" s="382"/>
      <c r="AE141" s="382"/>
      <c r="AF141" s="382" t="s">
        <v>369</v>
      </c>
      <c r="AG141" s="382"/>
      <c r="AH141" s="382"/>
      <c r="AI141" s="382"/>
      <c r="AJ141" s="383"/>
      <c r="AK141" s="171"/>
      <c r="AL141" s="171"/>
      <c r="AM141" s="19"/>
      <c r="AN141" s="19"/>
      <c r="AO141" s="19"/>
      <c r="AP141" s="19"/>
      <c r="AQ141" s="19"/>
      <c r="AR141" s="19"/>
      <c r="AS141" s="19"/>
      <c r="AT141" s="5"/>
      <c r="AU141" s="5"/>
      <c r="AV141" s="5"/>
      <c r="AW141" s="5"/>
      <c r="AX141" s="5"/>
      <c r="AY141" s="5"/>
      <c r="AZ141" s="5"/>
      <c r="BA141" s="5"/>
      <c r="BB141" s="5"/>
      <c r="BC141" s="5"/>
    </row>
    <row r="142" spans="1:55" ht="22.5" x14ac:dyDescent="0.25">
      <c r="A142" s="713"/>
      <c r="B142" s="696"/>
      <c r="C142" s="696"/>
      <c r="D142" s="384" t="s">
        <v>370</v>
      </c>
      <c r="E142" s="388"/>
      <c r="F142" s="388"/>
      <c r="G142" s="388"/>
      <c r="H142" s="388">
        <v>0</v>
      </c>
      <c r="I142" s="390"/>
      <c r="J142" s="388"/>
      <c r="K142" s="388"/>
      <c r="L142" s="388">
        <v>0</v>
      </c>
      <c r="M142" s="386"/>
      <c r="N142" s="696"/>
      <c r="O142" s="696"/>
      <c r="P142" s="696"/>
      <c r="Q142" s="696"/>
      <c r="R142" s="696"/>
      <c r="S142" s="696"/>
      <c r="T142" s="696"/>
      <c r="U142" s="696"/>
      <c r="V142" s="696"/>
      <c r="W142" s="696"/>
      <c r="X142" s="696"/>
      <c r="Y142" s="699"/>
      <c r="Z142" s="381"/>
      <c r="AA142" s="382"/>
      <c r="AB142" s="382"/>
      <c r="AC142" s="382"/>
      <c r="AD142" s="382"/>
      <c r="AE142" s="382"/>
      <c r="AF142" s="382"/>
      <c r="AG142" s="382"/>
      <c r="AH142" s="382"/>
      <c r="AI142" s="382"/>
      <c r="AJ142" s="383"/>
      <c r="AK142" s="171"/>
      <c r="AL142" s="171"/>
      <c r="AM142" s="19"/>
      <c r="AN142" s="19"/>
      <c r="AO142" s="19"/>
      <c r="AP142" s="19"/>
      <c r="AQ142" s="19"/>
      <c r="AR142" s="19"/>
      <c r="AS142" s="19"/>
      <c r="AT142" s="5"/>
      <c r="AU142" s="5"/>
      <c r="AV142" s="5"/>
      <c r="AW142" s="5"/>
      <c r="AX142" s="5"/>
      <c r="AY142" s="5"/>
      <c r="AZ142" s="5"/>
      <c r="BA142" s="5"/>
      <c r="BB142" s="5"/>
      <c r="BC142" s="5"/>
    </row>
    <row r="143" spans="1:55" ht="22.5" x14ac:dyDescent="0.25">
      <c r="A143" s="713"/>
      <c r="B143" s="696"/>
      <c r="C143" s="722" t="s">
        <v>379</v>
      </c>
      <c r="D143" s="389" t="s">
        <v>348</v>
      </c>
      <c r="E143" s="387">
        <v>8</v>
      </c>
      <c r="F143" s="387">
        <v>8</v>
      </c>
      <c r="G143" s="390">
        <v>8</v>
      </c>
      <c r="H143" s="387">
        <f>G143</f>
        <v>8</v>
      </c>
      <c r="I143" s="390"/>
      <c r="J143" s="387">
        <v>8</v>
      </c>
      <c r="K143" s="387">
        <v>8</v>
      </c>
      <c r="L143" s="387">
        <f>K143</f>
        <v>8</v>
      </c>
      <c r="M143" s="390"/>
      <c r="N143" s="722" t="s">
        <v>379</v>
      </c>
      <c r="O143" s="718" t="s">
        <v>350</v>
      </c>
      <c r="P143" s="718" t="s">
        <v>351</v>
      </c>
      <c r="Q143" s="718" t="s">
        <v>352</v>
      </c>
      <c r="R143" s="720" t="s">
        <v>353</v>
      </c>
      <c r="S143" s="718">
        <v>342940</v>
      </c>
      <c r="T143" s="696"/>
      <c r="U143" s="720" t="s">
        <v>354</v>
      </c>
      <c r="V143" s="720" t="s">
        <v>355</v>
      </c>
      <c r="W143" s="720" t="s">
        <v>356</v>
      </c>
      <c r="X143" s="720" t="s">
        <v>357</v>
      </c>
      <c r="Y143" s="717">
        <v>342940</v>
      </c>
      <c r="Z143" s="381"/>
      <c r="AA143" s="382">
        <v>12</v>
      </c>
      <c r="AB143" s="382" t="s">
        <v>358</v>
      </c>
      <c r="AC143" s="382"/>
      <c r="AD143" s="382"/>
      <c r="AE143" s="382"/>
      <c r="AF143" s="382" t="s">
        <v>359</v>
      </c>
      <c r="AG143" s="382"/>
      <c r="AH143" s="382"/>
      <c r="AI143" s="382"/>
      <c r="AJ143" s="383"/>
      <c r="AK143" s="171"/>
      <c r="AL143" s="171"/>
      <c r="AM143" s="19"/>
      <c r="AN143" s="19"/>
      <c r="AO143" s="19"/>
      <c r="AP143" s="19"/>
      <c r="AQ143" s="19"/>
      <c r="AR143" s="19"/>
      <c r="AS143" s="19"/>
      <c r="AT143" s="5"/>
      <c r="AU143" s="5"/>
      <c r="AV143" s="5"/>
      <c r="AW143" s="5"/>
      <c r="AX143" s="5"/>
      <c r="AY143" s="5"/>
      <c r="AZ143" s="5"/>
      <c r="BA143" s="5"/>
      <c r="BB143" s="5"/>
      <c r="BC143" s="5"/>
    </row>
    <row r="144" spans="1:55" ht="45" x14ac:dyDescent="0.25">
      <c r="A144" s="713"/>
      <c r="B144" s="696"/>
      <c r="C144" s="696"/>
      <c r="D144" s="384" t="s">
        <v>360</v>
      </c>
      <c r="E144" s="385">
        <f>(E143*$E$100)/$E$99</f>
        <v>314679.96740680386</v>
      </c>
      <c r="F144" s="385">
        <f>(F143*$F$100)/$F$99</f>
        <v>314679.96740680386</v>
      </c>
      <c r="G144" s="385">
        <f>(G143*$G$100)/$G$99</f>
        <v>322907.3130983907</v>
      </c>
      <c r="H144" s="385">
        <f>(H143*$H$100)/$H$99</f>
        <v>322907.3130983907</v>
      </c>
      <c r="I144" s="390"/>
      <c r="J144" s="385">
        <f>(J143*$J$100)/$J$99</f>
        <v>188715.59633027524</v>
      </c>
      <c r="K144" s="385">
        <f>(K143*$K$100)/$K$99</f>
        <v>98303.464755077657</v>
      </c>
      <c r="L144" s="385">
        <f>(L143*$L$100)/$L$99</f>
        <v>160495.82322824036</v>
      </c>
      <c r="M144" s="390"/>
      <c r="N144" s="696"/>
      <c r="O144" s="696"/>
      <c r="P144" s="696"/>
      <c r="Q144" s="696"/>
      <c r="R144" s="696"/>
      <c r="S144" s="696"/>
      <c r="T144" s="696"/>
      <c r="U144" s="696"/>
      <c r="V144" s="696"/>
      <c r="W144" s="696"/>
      <c r="X144" s="696"/>
      <c r="Y144" s="699"/>
      <c r="Z144" s="381"/>
      <c r="AA144" s="382">
        <v>13</v>
      </c>
      <c r="AB144" s="382" t="s">
        <v>363</v>
      </c>
      <c r="AC144" s="382"/>
      <c r="AD144" s="382"/>
      <c r="AE144" s="382"/>
      <c r="AF144" s="382" t="s">
        <v>364</v>
      </c>
      <c r="AG144" s="382"/>
      <c r="AH144" s="382"/>
      <c r="AI144" s="382"/>
      <c r="AJ144" s="383"/>
      <c r="AK144" s="171"/>
      <c r="AL144" s="171"/>
      <c r="AM144" s="19"/>
      <c r="AN144" s="19"/>
      <c r="AO144" s="19"/>
      <c r="AP144" s="19"/>
      <c r="AQ144" s="19"/>
      <c r="AR144" s="19"/>
      <c r="AS144" s="19"/>
      <c r="AT144" s="5"/>
      <c r="AU144" s="5"/>
      <c r="AV144" s="5"/>
      <c r="AW144" s="5"/>
      <c r="AX144" s="5"/>
      <c r="AY144" s="5"/>
      <c r="AZ144" s="5"/>
      <c r="BA144" s="5"/>
      <c r="BB144" s="5"/>
      <c r="BC144" s="5"/>
    </row>
    <row r="145" spans="1:55" ht="78.75" x14ac:dyDescent="0.25">
      <c r="A145" s="713"/>
      <c r="B145" s="696"/>
      <c r="C145" s="696"/>
      <c r="D145" s="384" t="s">
        <v>365</v>
      </c>
      <c r="E145" s="387">
        <v>0</v>
      </c>
      <c r="F145" s="387">
        <v>0</v>
      </c>
      <c r="G145" s="387">
        <v>0</v>
      </c>
      <c r="H145" s="387">
        <v>0</v>
      </c>
      <c r="I145" s="390"/>
      <c r="J145" s="387">
        <v>0</v>
      </c>
      <c r="K145" s="387">
        <v>0</v>
      </c>
      <c r="L145" s="387">
        <v>0</v>
      </c>
      <c r="M145" s="390"/>
      <c r="N145" s="696"/>
      <c r="O145" s="696"/>
      <c r="P145" s="696"/>
      <c r="Q145" s="696"/>
      <c r="R145" s="696"/>
      <c r="S145" s="696"/>
      <c r="T145" s="696"/>
      <c r="U145" s="696"/>
      <c r="V145" s="696"/>
      <c r="W145" s="696"/>
      <c r="X145" s="696"/>
      <c r="Y145" s="699"/>
      <c r="Z145" s="381"/>
      <c r="AA145" s="382">
        <v>14</v>
      </c>
      <c r="AB145" s="382" t="s">
        <v>367</v>
      </c>
      <c r="AC145" s="382"/>
      <c r="AD145" s="382"/>
      <c r="AE145" s="382"/>
      <c r="AF145" s="382" t="s">
        <v>369</v>
      </c>
      <c r="AG145" s="382"/>
      <c r="AH145" s="382"/>
      <c r="AI145" s="382"/>
      <c r="AJ145" s="383"/>
      <c r="AK145" s="171"/>
      <c r="AL145" s="171"/>
      <c r="AM145" s="19"/>
      <c r="AN145" s="19"/>
      <c r="AO145" s="19"/>
      <c r="AP145" s="19"/>
      <c r="AQ145" s="19"/>
      <c r="AR145" s="19"/>
      <c r="AS145" s="19"/>
      <c r="AT145" s="5"/>
      <c r="AU145" s="5"/>
      <c r="AV145" s="5"/>
      <c r="AW145" s="5"/>
      <c r="AX145" s="5"/>
      <c r="AY145" s="5"/>
      <c r="AZ145" s="5"/>
      <c r="BA145" s="5"/>
      <c r="BB145" s="5"/>
      <c r="BC145" s="5"/>
    </row>
    <row r="146" spans="1:55" ht="22.5" x14ac:dyDescent="0.25">
      <c r="A146" s="713"/>
      <c r="B146" s="696"/>
      <c r="C146" s="696"/>
      <c r="D146" s="384" t="s">
        <v>370</v>
      </c>
      <c r="E146" s="388">
        <v>0</v>
      </c>
      <c r="F146" s="388">
        <v>0</v>
      </c>
      <c r="G146" s="388">
        <v>0</v>
      </c>
      <c r="H146" s="388">
        <v>0</v>
      </c>
      <c r="I146" s="390"/>
      <c r="J146" s="388">
        <v>0</v>
      </c>
      <c r="K146" s="388">
        <v>0</v>
      </c>
      <c r="L146" s="388">
        <v>0</v>
      </c>
      <c r="M146" s="386"/>
      <c r="N146" s="696"/>
      <c r="O146" s="696"/>
      <c r="P146" s="696"/>
      <c r="Q146" s="696"/>
      <c r="R146" s="696"/>
      <c r="S146" s="696"/>
      <c r="T146" s="696"/>
      <c r="U146" s="696"/>
      <c r="V146" s="696"/>
      <c r="W146" s="696"/>
      <c r="X146" s="696"/>
      <c r="Y146" s="699"/>
      <c r="Z146" s="381"/>
      <c r="AA146" s="382"/>
      <c r="AB146" s="382"/>
      <c r="AC146" s="382"/>
      <c r="AD146" s="382"/>
      <c r="AE146" s="382"/>
      <c r="AF146" s="382"/>
      <c r="AG146" s="382"/>
      <c r="AH146" s="382"/>
      <c r="AI146" s="382"/>
      <c r="AJ146" s="383"/>
      <c r="AK146" s="171"/>
      <c r="AL146" s="171"/>
      <c r="AM146" s="19"/>
      <c r="AN146" s="19"/>
      <c r="AO146" s="19"/>
      <c r="AP146" s="19"/>
      <c r="AQ146" s="19"/>
      <c r="AR146" s="19"/>
      <c r="AS146" s="19"/>
      <c r="AT146" s="5"/>
      <c r="AU146" s="5"/>
      <c r="AV146" s="5"/>
      <c r="AW146" s="5"/>
      <c r="AX146" s="5"/>
      <c r="AY146" s="5"/>
      <c r="AZ146" s="5"/>
      <c r="BA146" s="5"/>
      <c r="BB146" s="5"/>
      <c r="BC146" s="5"/>
    </row>
    <row r="147" spans="1:55" x14ac:dyDescent="0.25">
      <c r="A147" s="713"/>
      <c r="B147" s="696"/>
      <c r="C147" s="732" t="s">
        <v>406</v>
      </c>
      <c r="D147" s="389" t="s">
        <v>348</v>
      </c>
      <c r="E147" s="387">
        <f>E99-$J$99</f>
        <v>3601</v>
      </c>
      <c r="F147" s="387">
        <f>F99-$J$99</f>
        <v>3601</v>
      </c>
      <c r="G147" s="387">
        <f>G99-(G143+G123+G119+G115+G111+G107+G103)</f>
        <v>2392</v>
      </c>
      <c r="H147" s="387">
        <f>H99-(H103+H107+H111+H115+H119+H123+H127+H131+H135+H139+H143)</f>
        <v>1195</v>
      </c>
      <c r="I147" s="390"/>
      <c r="J147" s="387"/>
      <c r="K147" s="387"/>
      <c r="L147" s="387">
        <v>10000000</v>
      </c>
      <c r="M147" s="386"/>
      <c r="N147" s="722" t="s">
        <v>349</v>
      </c>
      <c r="O147" s="718" t="s">
        <v>350</v>
      </c>
      <c r="P147" s="718" t="s">
        <v>351</v>
      </c>
      <c r="Q147" s="718" t="s">
        <v>352</v>
      </c>
      <c r="R147" s="720" t="s">
        <v>353</v>
      </c>
      <c r="S147" s="720">
        <v>8185614</v>
      </c>
      <c r="T147" s="696"/>
      <c r="U147" s="696"/>
      <c r="V147" s="720" t="s">
        <v>355</v>
      </c>
      <c r="W147" s="720" t="s">
        <v>356</v>
      </c>
      <c r="X147" s="720" t="s">
        <v>357</v>
      </c>
      <c r="Y147" s="721">
        <v>8185614</v>
      </c>
      <c r="Z147" s="381"/>
      <c r="AA147" s="382"/>
      <c r="AB147" s="382"/>
      <c r="AC147" s="382"/>
      <c r="AD147" s="382"/>
      <c r="AE147" s="382"/>
      <c r="AF147" s="382"/>
      <c r="AG147" s="382"/>
      <c r="AH147" s="382"/>
      <c r="AI147" s="382"/>
      <c r="AJ147" s="383"/>
      <c r="AK147" s="171"/>
      <c r="AL147" s="171"/>
      <c r="AM147" s="19"/>
      <c r="AN147" s="19"/>
      <c r="AO147" s="19"/>
      <c r="AP147" s="19"/>
      <c r="AQ147" s="19"/>
      <c r="AR147" s="19"/>
      <c r="AS147" s="19"/>
      <c r="AT147" s="5"/>
      <c r="AU147" s="5"/>
      <c r="AV147" s="5"/>
      <c r="AW147" s="5"/>
      <c r="AX147" s="5"/>
      <c r="AY147" s="5"/>
      <c r="AZ147" s="5"/>
      <c r="BA147" s="5"/>
      <c r="BB147" s="5"/>
      <c r="BC147" s="5"/>
    </row>
    <row r="148" spans="1:55" x14ac:dyDescent="0.25">
      <c r="A148" s="713"/>
      <c r="B148" s="696"/>
      <c r="C148" s="696"/>
      <c r="D148" s="384" t="s">
        <v>360</v>
      </c>
      <c r="E148" s="385">
        <f>(E147*$E$100)/$E$99</f>
        <v>141645320.32898757</v>
      </c>
      <c r="F148" s="385">
        <f>(F147*$F$100)/$F$99</f>
        <v>141645320.32898757</v>
      </c>
      <c r="G148" s="385">
        <f>(G147*$G$100)/$G$99</f>
        <v>96549286.616418824</v>
      </c>
      <c r="H148" s="385">
        <f>(H147*$H$100)/$H$99</f>
        <v>48234279.894072115</v>
      </c>
      <c r="I148" s="390"/>
      <c r="J148" s="385"/>
      <c r="K148" s="385"/>
      <c r="L148" s="385">
        <v>3120537</v>
      </c>
      <c r="M148" s="386"/>
      <c r="N148" s="696"/>
      <c r="O148" s="696"/>
      <c r="P148" s="696"/>
      <c r="Q148" s="696"/>
      <c r="R148" s="696"/>
      <c r="S148" s="696"/>
      <c r="T148" s="696"/>
      <c r="U148" s="696"/>
      <c r="V148" s="696"/>
      <c r="W148" s="696"/>
      <c r="X148" s="696"/>
      <c r="Y148" s="699"/>
      <c r="Z148" s="381"/>
      <c r="AA148" s="382"/>
      <c r="AB148" s="382"/>
      <c r="AC148" s="382"/>
      <c r="AD148" s="382"/>
      <c r="AE148" s="382"/>
      <c r="AF148" s="382"/>
      <c r="AG148" s="382"/>
      <c r="AH148" s="382"/>
      <c r="AI148" s="382"/>
      <c r="AJ148" s="383">
        <v>8181047</v>
      </c>
      <c r="AK148" s="171">
        <v>3060.47</v>
      </c>
      <c r="AL148" s="171"/>
      <c r="AM148" s="19"/>
      <c r="AN148" s="19"/>
      <c r="AO148" s="19"/>
      <c r="AP148" s="19"/>
      <c r="AQ148" s="19"/>
      <c r="AR148" s="19"/>
      <c r="AS148" s="19"/>
      <c r="AT148" s="5"/>
      <c r="AU148" s="5"/>
      <c r="AV148" s="5"/>
      <c r="AW148" s="5"/>
      <c r="AX148" s="5"/>
      <c r="AY148" s="5"/>
      <c r="AZ148" s="5"/>
      <c r="BA148" s="5"/>
      <c r="BB148" s="5"/>
      <c r="BC148" s="5"/>
    </row>
    <row r="149" spans="1:55" x14ac:dyDescent="0.25">
      <c r="A149" s="713"/>
      <c r="B149" s="696"/>
      <c r="C149" s="696"/>
      <c r="D149" s="384" t="s">
        <v>365</v>
      </c>
      <c r="E149" s="387">
        <v>0</v>
      </c>
      <c r="F149" s="387">
        <v>0</v>
      </c>
      <c r="G149" s="387">
        <v>0</v>
      </c>
      <c r="H149" s="387">
        <v>0</v>
      </c>
      <c r="I149" s="390"/>
      <c r="J149" s="387">
        <v>0</v>
      </c>
      <c r="K149" s="387">
        <v>0</v>
      </c>
      <c r="L149" s="387">
        <v>0</v>
      </c>
      <c r="M149" s="386"/>
      <c r="N149" s="696"/>
      <c r="O149" s="696"/>
      <c r="P149" s="696"/>
      <c r="Q149" s="696"/>
      <c r="R149" s="696"/>
      <c r="S149" s="696"/>
      <c r="T149" s="696"/>
      <c r="U149" s="696"/>
      <c r="V149" s="696"/>
      <c r="W149" s="696"/>
      <c r="X149" s="696"/>
      <c r="Y149" s="699"/>
      <c r="Z149" s="381"/>
      <c r="AA149" s="382"/>
      <c r="AB149" s="382"/>
      <c r="AC149" s="382"/>
      <c r="AD149" s="382"/>
      <c r="AE149" s="382"/>
      <c r="AF149" s="382"/>
      <c r="AG149" s="382"/>
      <c r="AH149" s="382"/>
      <c r="AI149" s="382"/>
      <c r="AJ149" s="383">
        <f>AJ148/11</f>
        <v>743731.54545454541</v>
      </c>
      <c r="AK149" s="171">
        <f>AK148/11</f>
        <v>278.22454545454542</v>
      </c>
      <c r="AL149" s="171"/>
      <c r="AM149" s="19"/>
      <c r="AN149" s="19"/>
      <c r="AO149" s="19"/>
      <c r="AP149" s="19"/>
      <c r="AQ149" s="19"/>
      <c r="AR149" s="19"/>
      <c r="AS149" s="19"/>
      <c r="AT149" s="5"/>
      <c r="AU149" s="5"/>
      <c r="AV149" s="5"/>
      <c r="AW149" s="5"/>
      <c r="AX149" s="5"/>
      <c r="AY149" s="5"/>
      <c r="AZ149" s="5"/>
      <c r="BA149" s="5"/>
      <c r="BB149" s="5"/>
      <c r="BC149" s="5"/>
    </row>
    <row r="150" spans="1:55" ht="22.5" x14ac:dyDescent="0.25">
      <c r="A150" s="713"/>
      <c r="B150" s="696"/>
      <c r="C150" s="696"/>
      <c r="D150" s="384" t="s">
        <v>370</v>
      </c>
      <c r="E150" s="388">
        <f t="shared" ref="E150:L150" si="10">E102</f>
        <v>118520100</v>
      </c>
      <c r="F150" s="388">
        <f t="shared" si="10"/>
        <v>118520100</v>
      </c>
      <c r="G150" s="388">
        <f t="shared" si="10"/>
        <v>118520100</v>
      </c>
      <c r="H150" s="388">
        <f t="shared" si="10"/>
        <v>118520100</v>
      </c>
      <c r="I150" s="388">
        <f t="shared" si="10"/>
        <v>0</v>
      </c>
      <c r="J150" s="388">
        <f t="shared" si="10"/>
        <v>6579333</v>
      </c>
      <c r="K150" s="388">
        <f t="shared" si="10"/>
        <v>6702600</v>
      </c>
      <c r="L150" s="388">
        <f t="shared" si="10"/>
        <v>6702600</v>
      </c>
      <c r="M150" s="386"/>
      <c r="N150" s="696"/>
      <c r="O150" s="696"/>
      <c r="P150" s="696"/>
      <c r="Q150" s="696"/>
      <c r="R150" s="696"/>
      <c r="S150" s="696"/>
      <c r="T150" s="696"/>
      <c r="U150" s="696"/>
      <c r="V150" s="696"/>
      <c r="W150" s="696"/>
      <c r="X150" s="696"/>
      <c r="Y150" s="699"/>
      <c r="Z150" s="381"/>
      <c r="AA150" s="382"/>
      <c r="AB150" s="382"/>
      <c r="AC150" s="382"/>
      <c r="AD150" s="382"/>
      <c r="AE150" s="382"/>
      <c r="AF150" s="382"/>
      <c r="AG150" s="382"/>
      <c r="AH150" s="382"/>
      <c r="AI150" s="382"/>
      <c r="AJ150" s="383"/>
      <c r="AK150" s="419">
        <f>AK149+129685</f>
        <v>129963.22454545455</v>
      </c>
      <c r="AL150" s="171"/>
      <c r="AM150" s="19"/>
      <c r="AN150" s="19"/>
      <c r="AO150" s="19"/>
      <c r="AP150" s="19"/>
      <c r="AQ150" s="19"/>
      <c r="AR150" s="19"/>
      <c r="AS150" s="19"/>
      <c r="AT150" s="5"/>
      <c r="AU150" s="5"/>
      <c r="AV150" s="5"/>
      <c r="AW150" s="5"/>
      <c r="AX150" s="5"/>
      <c r="AY150" s="5"/>
      <c r="AZ150" s="5"/>
      <c r="BA150" s="5"/>
      <c r="BB150" s="5"/>
      <c r="BC150" s="5"/>
    </row>
    <row r="151" spans="1:55" x14ac:dyDescent="0.25">
      <c r="A151" s="713"/>
      <c r="B151" s="696"/>
      <c r="C151" s="701" t="s">
        <v>408</v>
      </c>
      <c r="D151" s="391" t="s">
        <v>348</v>
      </c>
      <c r="E151" s="392">
        <f t="shared" ref="E151:G154" si="11">E103+E107+E111+E115+E119+E123+E143+E147</f>
        <v>4909</v>
      </c>
      <c r="F151" s="392">
        <f t="shared" si="11"/>
        <v>4909</v>
      </c>
      <c r="G151" s="392">
        <f t="shared" si="11"/>
        <v>4909</v>
      </c>
      <c r="H151" s="392">
        <f t="shared" ref="H151:H154" si="12">H103+H107+H111+H115+H119+H123+H127+H131+H135+H139+H143+H147</f>
        <v>4909</v>
      </c>
      <c r="I151" s="392">
        <f t="shared" ref="I151:K154" si="13">I103+I107+I111+I115+I119+I123+I143+I147</f>
        <v>0</v>
      </c>
      <c r="J151" s="392">
        <f t="shared" si="13"/>
        <v>1308</v>
      </c>
      <c r="K151" s="392">
        <f t="shared" si="13"/>
        <v>2511</v>
      </c>
      <c r="L151" s="392">
        <f t="shared" ref="L151:L154" si="14">L103+L107+L111+L115+L119+L123+L127+L131+L135+L139+L143+L147</f>
        <v>10003555</v>
      </c>
      <c r="M151" s="393"/>
      <c r="N151" s="734"/>
      <c r="O151" s="696"/>
      <c r="P151" s="696"/>
      <c r="Q151" s="696"/>
      <c r="R151" s="696"/>
      <c r="S151" s="696"/>
      <c r="T151" s="696"/>
      <c r="U151" s="696"/>
      <c r="V151" s="696"/>
      <c r="W151" s="696"/>
      <c r="X151" s="696"/>
      <c r="Y151" s="699"/>
      <c r="Z151" s="394"/>
      <c r="AA151" s="395"/>
      <c r="AB151" s="395"/>
      <c r="AC151" s="395"/>
      <c r="AD151" s="395"/>
      <c r="AE151" s="395"/>
      <c r="AF151" s="395"/>
      <c r="AG151" s="395"/>
      <c r="AH151" s="395"/>
      <c r="AI151" s="395"/>
      <c r="AJ151" s="396"/>
      <c r="AK151" s="397">
        <v>129963.224545455</v>
      </c>
      <c r="AL151" s="397"/>
      <c r="AM151" s="398"/>
      <c r="AN151" s="398"/>
      <c r="AO151" s="398"/>
      <c r="AP151" s="398"/>
      <c r="AQ151" s="398"/>
      <c r="AR151" s="398"/>
      <c r="AS151" s="398"/>
      <c r="AT151" s="398"/>
      <c r="AU151" s="398"/>
      <c r="AV151" s="398"/>
      <c r="AW151" s="398"/>
      <c r="AX151" s="398"/>
      <c r="AY151" s="398"/>
      <c r="AZ151" s="398"/>
      <c r="BA151" s="398"/>
      <c r="BB151" s="398"/>
      <c r="BC151" s="398"/>
    </row>
    <row r="152" spans="1:55" x14ac:dyDescent="0.25">
      <c r="A152" s="713"/>
      <c r="B152" s="696"/>
      <c r="C152" s="696"/>
      <c r="D152" s="399" t="s">
        <v>360</v>
      </c>
      <c r="E152" s="400">
        <f t="shared" si="11"/>
        <v>193095495</v>
      </c>
      <c r="F152" s="400">
        <f t="shared" si="11"/>
        <v>193095495</v>
      </c>
      <c r="G152" s="400">
        <f t="shared" si="11"/>
        <v>198144000</v>
      </c>
      <c r="H152" s="400">
        <f t="shared" si="12"/>
        <v>198144000</v>
      </c>
      <c r="I152" s="400">
        <f t="shared" si="13"/>
        <v>0</v>
      </c>
      <c r="J152" s="400">
        <f t="shared" si="13"/>
        <v>30855000</v>
      </c>
      <c r="K152" s="400">
        <f t="shared" si="13"/>
        <v>30855000</v>
      </c>
      <c r="L152" s="400" t="e">
        <f t="shared" si="14"/>
        <v>#VALUE!</v>
      </c>
      <c r="M152" s="393"/>
      <c r="N152" s="696"/>
      <c r="O152" s="719"/>
      <c r="P152" s="719"/>
      <c r="Q152" s="719"/>
      <c r="R152" s="719"/>
      <c r="S152" s="719"/>
      <c r="T152" s="719"/>
      <c r="U152" s="719"/>
      <c r="V152" s="719"/>
      <c r="W152" s="719"/>
      <c r="X152" s="719"/>
      <c r="Y152" s="699"/>
      <c r="Z152" s="394"/>
      <c r="AA152" s="395"/>
      <c r="AB152" s="395"/>
      <c r="AC152" s="395"/>
      <c r="AD152" s="395"/>
      <c r="AE152" s="395"/>
      <c r="AF152" s="395"/>
      <c r="AG152" s="395"/>
      <c r="AH152" s="395"/>
      <c r="AI152" s="395"/>
      <c r="AJ152" s="396"/>
      <c r="AK152" s="397"/>
      <c r="AL152" s="397"/>
      <c r="AM152" s="398"/>
      <c r="AN152" s="398"/>
      <c r="AO152" s="398"/>
      <c r="AP152" s="398"/>
      <c r="AQ152" s="398"/>
      <c r="AR152" s="398"/>
      <c r="AS152" s="398"/>
      <c r="AT152" s="398"/>
      <c r="AU152" s="398"/>
      <c r="AV152" s="398"/>
      <c r="AW152" s="398"/>
      <c r="AX152" s="398"/>
      <c r="AY152" s="398"/>
      <c r="AZ152" s="398"/>
      <c r="BA152" s="398"/>
      <c r="BB152" s="398"/>
      <c r="BC152" s="398"/>
    </row>
    <row r="153" spans="1:55" ht="22.5" x14ac:dyDescent="0.25">
      <c r="A153" s="713"/>
      <c r="B153" s="696"/>
      <c r="C153" s="696"/>
      <c r="D153" s="399" t="s">
        <v>365</v>
      </c>
      <c r="E153" s="392">
        <f t="shared" si="11"/>
        <v>0</v>
      </c>
      <c r="F153" s="392">
        <f t="shared" si="11"/>
        <v>0</v>
      </c>
      <c r="G153" s="392">
        <f t="shared" si="11"/>
        <v>0</v>
      </c>
      <c r="H153" s="392">
        <f t="shared" si="12"/>
        <v>0</v>
      </c>
      <c r="I153" s="392">
        <f t="shared" si="13"/>
        <v>0</v>
      </c>
      <c r="J153" s="392">
        <f t="shared" si="13"/>
        <v>0</v>
      </c>
      <c r="K153" s="392">
        <f t="shared" si="13"/>
        <v>0</v>
      </c>
      <c r="L153" s="392">
        <f t="shared" si="14"/>
        <v>0</v>
      </c>
      <c r="M153" s="393"/>
      <c r="N153" s="696"/>
      <c r="O153" s="719"/>
      <c r="P153" s="719"/>
      <c r="Q153" s="719"/>
      <c r="R153" s="719"/>
      <c r="S153" s="719"/>
      <c r="T153" s="719"/>
      <c r="U153" s="719"/>
      <c r="V153" s="719"/>
      <c r="W153" s="719"/>
      <c r="X153" s="719"/>
      <c r="Y153" s="699"/>
      <c r="Z153" s="394"/>
      <c r="AA153" s="395"/>
      <c r="AB153" s="395"/>
      <c r="AC153" s="395"/>
      <c r="AD153" s="395"/>
      <c r="AE153" s="395"/>
      <c r="AF153" s="395"/>
      <c r="AG153" s="395"/>
      <c r="AH153" s="395"/>
      <c r="AI153" s="395"/>
      <c r="AJ153" s="396"/>
      <c r="AK153" s="397"/>
      <c r="AL153" s="397"/>
      <c r="AM153" s="398"/>
      <c r="AN153" s="398"/>
      <c r="AO153" s="398"/>
      <c r="AP153" s="398"/>
      <c r="AQ153" s="398"/>
      <c r="AR153" s="398"/>
      <c r="AS153" s="398"/>
      <c r="AT153" s="398"/>
      <c r="AU153" s="398"/>
      <c r="AV153" s="398"/>
      <c r="AW153" s="398"/>
      <c r="AX153" s="398"/>
      <c r="AY153" s="398"/>
      <c r="AZ153" s="398"/>
      <c r="BA153" s="398"/>
      <c r="BB153" s="398"/>
      <c r="BC153" s="398"/>
    </row>
    <row r="154" spans="1:55" ht="23.25" thickBot="1" x14ac:dyDescent="0.3">
      <c r="A154" s="714"/>
      <c r="B154" s="697"/>
      <c r="C154" s="697"/>
      <c r="D154" s="402" t="s">
        <v>370</v>
      </c>
      <c r="E154" s="403">
        <f t="shared" si="11"/>
        <v>118520100</v>
      </c>
      <c r="F154" s="403">
        <f t="shared" si="11"/>
        <v>118520100</v>
      </c>
      <c r="G154" s="403">
        <f t="shared" si="11"/>
        <v>118520100</v>
      </c>
      <c r="H154" s="403">
        <f t="shared" si="12"/>
        <v>118520100</v>
      </c>
      <c r="I154" s="403">
        <f t="shared" si="13"/>
        <v>0</v>
      </c>
      <c r="J154" s="403">
        <f t="shared" si="13"/>
        <v>6579333</v>
      </c>
      <c r="K154" s="403">
        <f t="shared" si="13"/>
        <v>6702600</v>
      </c>
      <c r="L154" s="403">
        <f t="shared" si="14"/>
        <v>6702600</v>
      </c>
      <c r="M154" s="404"/>
      <c r="N154" s="697"/>
      <c r="O154" s="697"/>
      <c r="P154" s="697"/>
      <c r="Q154" s="697"/>
      <c r="R154" s="697"/>
      <c r="S154" s="697"/>
      <c r="T154" s="697"/>
      <c r="U154" s="697"/>
      <c r="V154" s="697"/>
      <c r="W154" s="697"/>
      <c r="X154" s="697"/>
      <c r="Y154" s="700"/>
      <c r="Z154" s="394"/>
      <c r="AA154" s="395"/>
      <c r="AB154" s="395"/>
      <c r="AC154" s="395"/>
      <c r="AD154" s="395"/>
      <c r="AE154" s="395"/>
      <c r="AF154" s="395"/>
      <c r="AG154" s="395"/>
      <c r="AH154" s="395"/>
      <c r="AI154" s="395"/>
      <c r="AJ154" s="396"/>
      <c r="AK154" s="397"/>
      <c r="AL154" s="397"/>
      <c r="AM154" s="398"/>
      <c r="AN154" s="398"/>
      <c r="AO154" s="398"/>
      <c r="AP154" s="398"/>
      <c r="AQ154" s="398"/>
      <c r="AR154" s="398"/>
      <c r="AS154" s="398"/>
      <c r="AT154" s="398"/>
      <c r="AU154" s="398"/>
      <c r="AV154" s="398"/>
      <c r="AW154" s="398"/>
      <c r="AX154" s="398"/>
      <c r="AY154" s="398"/>
      <c r="AZ154" s="398"/>
      <c r="BA154" s="398"/>
      <c r="BB154" s="398"/>
      <c r="BC154" s="398"/>
    </row>
    <row r="155" spans="1:55" x14ac:dyDescent="0.25">
      <c r="A155" s="735">
        <v>4</v>
      </c>
      <c r="B155" s="715" t="s">
        <v>439</v>
      </c>
      <c r="C155" s="710" t="s">
        <v>440</v>
      </c>
      <c r="D155" s="405" t="s">
        <v>348</v>
      </c>
      <c r="E155" s="379">
        <v>130</v>
      </c>
      <c r="F155" s="379">
        <v>130</v>
      </c>
      <c r="G155" s="379">
        <v>130</v>
      </c>
      <c r="H155" s="379">
        <f>[1]INVERSIÓN!V27</f>
        <v>130</v>
      </c>
      <c r="I155" s="380"/>
      <c r="J155" s="420">
        <v>0</v>
      </c>
      <c r="K155" s="420">
        <v>30</v>
      </c>
      <c r="L155" s="379">
        <f>[1]INVERSIÓN!AL27</f>
        <v>54</v>
      </c>
      <c r="M155" s="380"/>
      <c r="N155" s="710" t="s">
        <v>349</v>
      </c>
      <c r="O155" s="710" t="s">
        <v>104</v>
      </c>
      <c r="P155" s="710" t="s">
        <v>104</v>
      </c>
      <c r="Q155" s="710" t="s">
        <v>104</v>
      </c>
      <c r="R155" s="716" t="s">
        <v>353</v>
      </c>
      <c r="S155" s="695">
        <v>8185614</v>
      </c>
      <c r="T155" s="711"/>
      <c r="U155" s="695" t="s">
        <v>354</v>
      </c>
      <c r="V155" s="695" t="s">
        <v>355</v>
      </c>
      <c r="W155" s="695" t="s">
        <v>356</v>
      </c>
      <c r="X155" s="695" t="s">
        <v>357</v>
      </c>
      <c r="Y155" s="698">
        <v>8185614</v>
      </c>
      <c r="Z155" s="381"/>
      <c r="AA155" s="382"/>
      <c r="AB155" s="382"/>
      <c r="AC155" s="382"/>
      <c r="AD155" s="382"/>
      <c r="AE155" s="382"/>
      <c r="AF155" s="382"/>
      <c r="AG155" s="382"/>
      <c r="AH155" s="382"/>
      <c r="AI155" s="382"/>
      <c r="AJ155" s="383"/>
      <c r="AK155" s="171"/>
      <c r="AL155" s="171"/>
      <c r="AM155" s="19"/>
      <c r="AN155" s="19"/>
      <c r="AO155" s="19"/>
      <c r="AP155" s="19"/>
      <c r="AQ155" s="19"/>
      <c r="AR155" s="19"/>
      <c r="AS155" s="19"/>
      <c r="AT155" s="5"/>
      <c r="AU155" s="5"/>
      <c r="AV155" s="5"/>
      <c r="AW155" s="5"/>
      <c r="AX155" s="5"/>
      <c r="AY155" s="5"/>
      <c r="AZ155" s="5"/>
      <c r="BA155" s="5"/>
      <c r="BB155" s="5"/>
      <c r="BC155" s="5"/>
    </row>
    <row r="156" spans="1:55" x14ac:dyDescent="0.25">
      <c r="A156" s="713"/>
      <c r="B156" s="696"/>
      <c r="C156" s="696"/>
      <c r="D156" s="384" t="s">
        <v>360</v>
      </c>
      <c r="E156" s="407">
        <v>1318836000</v>
      </c>
      <c r="F156" s="388">
        <v>1318836000</v>
      </c>
      <c r="G156" s="388">
        <v>1116781000</v>
      </c>
      <c r="H156" s="388">
        <f>[1]INVERSIÓN!V28</f>
        <v>1116781000</v>
      </c>
      <c r="I156" s="421"/>
      <c r="J156" s="385">
        <v>529800512</v>
      </c>
      <c r="K156" s="385">
        <v>559572324</v>
      </c>
      <c r="L156" s="388">
        <f>[1]INVERSIÓN!AL28</f>
        <v>671344324</v>
      </c>
      <c r="M156" s="390"/>
      <c r="N156" s="696"/>
      <c r="O156" s="696"/>
      <c r="P156" s="696"/>
      <c r="Q156" s="696"/>
      <c r="R156" s="696"/>
      <c r="S156" s="696"/>
      <c r="T156" s="696"/>
      <c r="U156" s="696"/>
      <c r="V156" s="696"/>
      <c r="W156" s="696"/>
      <c r="X156" s="696"/>
      <c r="Y156" s="699"/>
      <c r="Z156" s="381"/>
      <c r="AA156" s="382"/>
      <c r="AB156" s="382"/>
      <c r="AC156" s="382"/>
      <c r="AD156" s="382"/>
      <c r="AE156" s="382"/>
      <c r="AF156" s="382"/>
      <c r="AG156" s="382"/>
      <c r="AH156" s="382"/>
      <c r="AI156" s="382"/>
      <c r="AJ156" s="383"/>
      <c r="AK156" s="171"/>
      <c r="AL156" s="171"/>
      <c r="AM156" s="19"/>
      <c r="AN156" s="19"/>
      <c r="AO156" s="19"/>
      <c r="AP156" s="19"/>
      <c r="AQ156" s="19"/>
      <c r="AR156" s="19"/>
      <c r="AS156" s="19"/>
      <c r="AT156" s="5"/>
      <c r="AU156" s="5"/>
      <c r="AV156" s="5"/>
      <c r="AW156" s="5"/>
      <c r="AX156" s="5"/>
      <c r="AY156" s="5"/>
      <c r="AZ156" s="5"/>
      <c r="BA156" s="5"/>
      <c r="BB156" s="5"/>
      <c r="BC156" s="5"/>
    </row>
    <row r="157" spans="1:55" x14ac:dyDescent="0.25">
      <c r="A157" s="713"/>
      <c r="B157" s="696"/>
      <c r="C157" s="696"/>
      <c r="D157" s="384" t="s">
        <v>365</v>
      </c>
      <c r="E157" s="387">
        <v>17</v>
      </c>
      <c r="F157" s="387">
        <v>17</v>
      </c>
      <c r="G157" s="387">
        <v>17</v>
      </c>
      <c r="H157" s="387">
        <f>[1]INVERSIÓN!V29</f>
        <v>17</v>
      </c>
      <c r="I157" s="390"/>
      <c r="J157" s="422">
        <v>0</v>
      </c>
      <c r="K157" s="422">
        <v>0</v>
      </c>
      <c r="L157" s="387">
        <f>[1]INVERSIÓN!AL29</f>
        <v>0</v>
      </c>
      <c r="M157" s="390"/>
      <c r="N157" s="696"/>
      <c r="O157" s="696"/>
      <c r="P157" s="696"/>
      <c r="Q157" s="696"/>
      <c r="R157" s="696"/>
      <c r="S157" s="696"/>
      <c r="T157" s="696"/>
      <c r="U157" s="696"/>
      <c r="V157" s="696"/>
      <c r="W157" s="696"/>
      <c r="X157" s="696"/>
      <c r="Y157" s="699"/>
      <c r="Z157" s="381"/>
      <c r="AA157" s="382"/>
      <c r="AB157" s="382"/>
      <c r="AC157" s="382"/>
      <c r="AD157" s="382"/>
      <c r="AE157" s="382"/>
      <c r="AF157" s="382"/>
      <c r="AG157" s="382"/>
      <c r="AH157" s="382"/>
      <c r="AI157" s="382"/>
      <c r="AJ157" s="383"/>
      <c r="AK157" s="171"/>
      <c r="AL157" s="171"/>
      <c r="AM157" s="19"/>
      <c r="AN157" s="19"/>
      <c r="AO157" s="19"/>
      <c r="AP157" s="19"/>
      <c r="AQ157" s="19"/>
      <c r="AR157" s="19"/>
      <c r="AS157" s="19"/>
      <c r="AT157" s="5"/>
      <c r="AU157" s="5"/>
      <c r="AV157" s="5"/>
      <c r="AW157" s="5"/>
      <c r="AX157" s="5"/>
      <c r="AY157" s="5"/>
      <c r="AZ157" s="5"/>
      <c r="BA157" s="5"/>
      <c r="BB157" s="5"/>
      <c r="BC157" s="5"/>
    </row>
    <row r="158" spans="1:55" ht="22.5" x14ac:dyDescent="0.25">
      <c r="A158" s="713"/>
      <c r="B158" s="696"/>
      <c r="C158" s="696"/>
      <c r="D158" s="384" t="s">
        <v>370</v>
      </c>
      <c r="E158" s="407">
        <v>214683998</v>
      </c>
      <c r="F158" s="388">
        <v>311257910</v>
      </c>
      <c r="G158" s="388">
        <v>294014810</v>
      </c>
      <c r="H158" s="388">
        <f>[1]INVERSIÓN!V30</f>
        <v>294014810</v>
      </c>
      <c r="I158" s="421"/>
      <c r="J158" s="385">
        <f>[1]INVERSIÓN!AJ30</f>
        <v>165396503</v>
      </c>
      <c r="K158" s="385">
        <f>[1]INVERSIÓN!AK30</f>
        <v>235753620</v>
      </c>
      <c r="L158" s="388">
        <f>[1]INVERSIÓN!AL30</f>
        <v>292059044</v>
      </c>
      <c r="M158" s="390"/>
      <c r="N158" s="696"/>
      <c r="O158" s="696"/>
      <c r="P158" s="696"/>
      <c r="Q158" s="696"/>
      <c r="R158" s="696"/>
      <c r="S158" s="696"/>
      <c r="T158" s="696"/>
      <c r="U158" s="696"/>
      <c r="V158" s="696"/>
      <c r="W158" s="696"/>
      <c r="X158" s="696"/>
      <c r="Y158" s="699"/>
      <c r="Z158" s="381"/>
      <c r="AA158" s="382"/>
      <c r="AB158" s="382"/>
      <c r="AC158" s="382"/>
      <c r="AD158" s="382"/>
      <c r="AE158" s="382"/>
      <c r="AF158" s="382"/>
      <c r="AG158" s="382"/>
      <c r="AH158" s="382"/>
      <c r="AI158" s="382"/>
      <c r="AJ158" s="383"/>
      <c r="AK158" s="171"/>
      <c r="AL158" s="171"/>
      <c r="AM158" s="19"/>
      <c r="AN158" s="19"/>
      <c r="AO158" s="19"/>
      <c r="AP158" s="19"/>
      <c r="AQ158" s="19"/>
      <c r="AR158" s="19"/>
      <c r="AS158" s="19"/>
      <c r="AT158" s="5"/>
      <c r="AU158" s="5"/>
      <c r="AV158" s="5"/>
      <c r="AW158" s="5"/>
      <c r="AX158" s="5"/>
      <c r="AY158" s="5"/>
      <c r="AZ158" s="5"/>
      <c r="BA158" s="5"/>
      <c r="BB158" s="5"/>
      <c r="BC158" s="5"/>
    </row>
    <row r="159" spans="1:55" x14ac:dyDescent="0.25">
      <c r="A159" s="713"/>
      <c r="B159" s="696"/>
      <c r="C159" s="701" t="s">
        <v>442</v>
      </c>
      <c r="D159" s="391" t="s">
        <v>348</v>
      </c>
      <c r="E159" s="392">
        <f t="shared" ref="E159:H162" si="15">E155</f>
        <v>130</v>
      </c>
      <c r="F159" s="392">
        <f t="shared" si="15"/>
        <v>130</v>
      </c>
      <c r="G159" s="392">
        <f t="shared" si="15"/>
        <v>130</v>
      </c>
      <c r="H159" s="392">
        <f t="shared" si="15"/>
        <v>130</v>
      </c>
      <c r="I159" s="408"/>
      <c r="J159" s="392">
        <f t="shared" ref="J159:L162" si="16">J155</f>
        <v>0</v>
      </c>
      <c r="K159" s="392">
        <f t="shared" si="16"/>
        <v>30</v>
      </c>
      <c r="L159" s="392">
        <f t="shared" si="16"/>
        <v>54</v>
      </c>
      <c r="M159" s="393"/>
      <c r="N159" s="696"/>
      <c r="O159" s="696"/>
      <c r="P159" s="696"/>
      <c r="Q159" s="696"/>
      <c r="R159" s="696"/>
      <c r="S159" s="696"/>
      <c r="T159" s="696"/>
      <c r="U159" s="696"/>
      <c r="V159" s="696"/>
      <c r="W159" s="696"/>
      <c r="X159" s="696"/>
      <c r="Y159" s="699"/>
      <c r="Z159" s="394"/>
      <c r="AA159" s="395"/>
      <c r="AB159" s="395"/>
      <c r="AC159" s="395"/>
      <c r="AD159" s="395"/>
      <c r="AE159" s="395"/>
      <c r="AF159" s="395"/>
      <c r="AG159" s="395"/>
      <c r="AH159" s="395"/>
      <c r="AI159" s="395"/>
      <c r="AJ159" s="396"/>
      <c r="AK159" s="397"/>
      <c r="AL159" s="397"/>
      <c r="AM159" s="398"/>
      <c r="AN159" s="398"/>
      <c r="AO159" s="398"/>
      <c r="AP159" s="398"/>
      <c r="AQ159" s="398"/>
      <c r="AR159" s="398"/>
      <c r="AS159" s="398"/>
      <c r="AT159" s="398"/>
      <c r="AU159" s="398"/>
      <c r="AV159" s="398"/>
      <c r="AW159" s="398"/>
      <c r="AX159" s="398"/>
      <c r="AY159" s="398"/>
      <c r="AZ159" s="398"/>
      <c r="BA159" s="398"/>
      <c r="BB159" s="398"/>
      <c r="BC159" s="398"/>
    </row>
    <row r="160" spans="1:55" x14ac:dyDescent="0.25">
      <c r="A160" s="713"/>
      <c r="B160" s="696"/>
      <c r="C160" s="696"/>
      <c r="D160" s="399" t="s">
        <v>360</v>
      </c>
      <c r="E160" s="400">
        <f t="shared" si="15"/>
        <v>1318836000</v>
      </c>
      <c r="F160" s="423">
        <f t="shared" si="15"/>
        <v>1318836000</v>
      </c>
      <c r="G160" s="423">
        <f t="shared" si="15"/>
        <v>1116781000</v>
      </c>
      <c r="H160" s="423">
        <f t="shared" si="15"/>
        <v>1116781000</v>
      </c>
      <c r="I160" s="408"/>
      <c r="J160" s="423">
        <f t="shared" si="16"/>
        <v>529800512</v>
      </c>
      <c r="K160" s="423">
        <f t="shared" si="16"/>
        <v>559572324</v>
      </c>
      <c r="L160" s="423">
        <f t="shared" si="16"/>
        <v>671344324</v>
      </c>
      <c r="M160" s="393"/>
      <c r="N160" s="696"/>
      <c r="O160" s="696"/>
      <c r="P160" s="696"/>
      <c r="Q160" s="696"/>
      <c r="R160" s="696"/>
      <c r="S160" s="696"/>
      <c r="T160" s="696"/>
      <c r="U160" s="696"/>
      <c r="V160" s="696"/>
      <c r="W160" s="696"/>
      <c r="X160" s="696"/>
      <c r="Y160" s="699"/>
      <c r="Z160" s="394"/>
      <c r="AA160" s="395"/>
      <c r="AB160" s="395"/>
      <c r="AC160" s="395"/>
      <c r="AD160" s="395"/>
      <c r="AE160" s="395"/>
      <c r="AF160" s="395"/>
      <c r="AG160" s="395"/>
      <c r="AH160" s="395"/>
      <c r="AI160" s="395"/>
      <c r="AJ160" s="396"/>
      <c r="AK160" s="397"/>
      <c r="AL160" s="397"/>
      <c r="AM160" s="398"/>
      <c r="AN160" s="398"/>
      <c r="AO160" s="398"/>
      <c r="AP160" s="398"/>
      <c r="AQ160" s="398"/>
      <c r="AR160" s="398"/>
      <c r="AS160" s="398"/>
      <c r="AT160" s="398"/>
      <c r="AU160" s="398"/>
      <c r="AV160" s="398"/>
      <c r="AW160" s="398"/>
      <c r="AX160" s="398"/>
      <c r="AY160" s="398"/>
      <c r="AZ160" s="398"/>
      <c r="BA160" s="398"/>
      <c r="BB160" s="398"/>
      <c r="BC160" s="398"/>
    </row>
    <row r="161" spans="1:55" ht="22.5" x14ac:dyDescent="0.25">
      <c r="A161" s="713"/>
      <c r="B161" s="696"/>
      <c r="C161" s="696"/>
      <c r="D161" s="399" t="s">
        <v>365</v>
      </c>
      <c r="E161" s="392">
        <f t="shared" si="15"/>
        <v>17</v>
      </c>
      <c r="F161" s="424">
        <f t="shared" si="15"/>
        <v>17</v>
      </c>
      <c r="G161" s="424">
        <f t="shared" si="15"/>
        <v>17</v>
      </c>
      <c r="H161" s="424">
        <f t="shared" si="15"/>
        <v>17</v>
      </c>
      <c r="I161" s="409"/>
      <c r="J161" s="424">
        <f t="shared" si="16"/>
        <v>0</v>
      </c>
      <c r="K161" s="424">
        <f t="shared" si="16"/>
        <v>0</v>
      </c>
      <c r="L161" s="424">
        <f t="shared" si="16"/>
        <v>0</v>
      </c>
      <c r="M161" s="393"/>
      <c r="N161" s="696"/>
      <c r="O161" s="696"/>
      <c r="P161" s="696"/>
      <c r="Q161" s="696"/>
      <c r="R161" s="696"/>
      <c r="S161" s="696"/>
      <c r="T161" s="696"/>
      <c r="U161" s="696"/>
      <c r="V161" s="696"/>
      <c r="W161" s="696"/>
      <c r="X161" s="696"/>
      <c r="Y161" s="699"/>
      <c r="Z161" s="394"/>
      <c r="AA161" s="395"/>
      <c r="AB161" s="395"/>
      <c r="AC161" s="395"/>
      <c r="AD161" s="395"/>
      <c r="AE161" s="395"/>
      <c r="AF161" s="395"/>
      <c r="AG161" s="395"/>
      <c r="AH161" s="395"/>
      <c r="AI161" s="395"/>
      <c r="AJ161" s="396"/>
      <c r="AK161" s="397"/>
      <c r="AL161" s="397"/>
      <c r="AM161" s="398"/>
      <c r="AN161" s="398"/>
      <c r="AO161" s="398"/>
      <c r="AP161" s="398"/>
      <c r="AQ161" s="398"/>
      <c r="AR161" s="398"/>
      <c r="AS161" s="398"/>
      <c r="AT161" s="398"/>
      <c r="AU161" s="398"/>
      <c r="AV161" s="398"/>
      <c r="AW161" s="398"/>
      <c r="AX161" s="398"/>
      <c r="AY161" s="398"/>
      <c r="AZ161" s="398"/>
      <c r="BA161" s="398"/>
      <c r="BB161" s="398"/>
      <c r="BC161" s="398"/>
    </row>
    <row r="162" spans="1:55" ht="23.25" thickBot="1" x14ac:dyDescent="0.3">
      <c r="A162" s="714"/>
      <c r="B162" s="697"/>
      <c r="C162" s="697"/>
      <c r="D162" s="402" t="s">
        <v>370</v>
      </c>
      <c r="E162" s="403">
        <f t="shared" si="15"/>
        <v>214683998</v>
      </c>
      <c r="F162" s="425">
        <f t="shared" si="15"/>
        <v>311257910</v>
      </c>
      <c r="G162" s="425">
        <f t="shared" si="15"/>
        <v>294014810</v>
      </c>
      <c r="H162" s="425">
        <f t="shared" si="15"/>
        <v>294014810</v>
      </c>
      <c r="I162" s="410"/>
      <c r="J162" s="425">
        <f t="shared" si="16"/>
        <v>165396503</v>
      </c>
      <c r="K162" s="425">
        <f t="shared" si="16"/>
        <v>235753620</v>
      </c>
      <c r="L162" s="425">
        <f t="shared" si="16"/>
        <v>292059044</v>
      </c>
      <c r="M162" s="404"/>
      <c r="N162" s="697"/>
      <c r="O162" s="697"/>
      <c r="P162" s="697"/>
      <c r="Q162" s="697"/>
      <c r="R162" s="697"/>
      <c r="S162" s="697"/>
      <c r="T162" s="697"/>
      <c r="U162" s="697"/>
      <c r="V162" s="697"/>
      <c r="W162" s="697"/>
      <c r="X162" s="697"/>
      <c r="Y162" s="700"/>
      <c r="Z162" s="394"/>
      <c r="AA162" s="395"/>
      <c r="AB162" s="395"/>
      <c r="AC162" s="395"/>
      <c r="AD162" s="395"/>
      <c r="AE162" s="395"/>
      <c r="AF162" s="395"/>
      <c r="AG162" s="395"/>
      <c r="AH162" s="395"/>
      <c r="AI162" s="395"/>
      <c r="AJ162" s="396"/>
      <c r="AK162" s="397"/>
      <c r="AL162" s="397"/>
      <c r="AM162" s="398"/>
      <c r="AN162" s="398"/>
      <c r="AO162" s="398"/>
      <c r="AP162" s="398"/>
      <c r="AQ162" s="398"/>
      <c r="AR162" s="398"/>
      <c r="AS162" s="398"/>
      <c r="AT162" s="398"/>
      <c r="AU162" s="398"/>
      <c r="AV162" s="398"/>
      <c r="AW162" s="398"/>
      <c r="AX162" s="398"/>
      <c r="AY162" s="398"/>
      <c r="AZ162" s="398"/>
      <c r="BA162" s="398"/>
      <c r="BB162" s="398"/>
      <c r="BC162" s="398"/>
    </row>
    <row r="163" spans="1:55" x14ac:dyDescent="0.25">
      <c r="A163" s="712">
        <v>5</v>
      </c>
      <c r="B163" s="710" t="s">
        <v>443</v>
      </c>
      <c r="C163" s="710" t="s">
        <v>444</v>
      </c>
      <c r="D163" s="405" t="s">
        <v>348</v>
      </c>
      <c r="E163" s="426">
        <v>60</v>
      </c>
      <c r="F163" s="426">
        <v>60</v>
      </c>
      <c r="G163" s="426">
        <v>60</v>
      </c>
      <c r="H163" s="426">
        <f>[1]INVERSIÓN!V33</f>
        <v>60</v>
      </c>
      <c r="I163" s="380"/>
      <c r="J163" s="426">
        <v>27</v>
      </c>
      <c r="K163" s="426">
        <v>34</v>
      </c>
      <c r="L163" s="426">
        <f>[1]INVERSIÓN!AL33</f>
        <v>40</v>
      </c>
      <c r="M163" s="380"/>
      <c r="N163" s="710" t="s">
        <v>349</v>
      </c>
      <c r="O163" s="710" t="s">
        <v>104</v>
      </c>
      <c r="P163" s="710" t="s">
        <v>104</v>
      </c>
      <c r="Q163" s="710" t="s">
        <v>104</v>
      </c>
      <c r="R163" s="716" t="s">
        <v>353</v>
      </c>
      <c r="S163" s="695">
        <v>8185614</v>
      </c>
      <c r="T163" s="711"/>
      <c r="U163" s="695" t="s">
        <v>354</v>
      </c>
      <c r="V163" s="695" t="s">
        <v>355</v>
      </c>
      <c r="W163" s="695" t="s">
        <v>356</v>
      </c>
      <c r="X163" s="695" t="s">
        <v>357</v>
      </c>
      <c r="Y163" s="698">
        <v>8185614</v>
      </c>
      <c r="Z163" s="394"/>
      <c r="AA163" s="395"/>
      <c r="AB163" s="395"/>
      <c r="AC163" s="395"/>
      <c r="AD163" s="395"/>
      <c r="AE163" s="395"/>
      <c r="AF163" s="395"/>
      <c r="AG163" s="395"/>
      <c r="AH163" s="395"/>
      <c r="AI163" s="395"/>
      <c r="AJ163" s="396"/>
      <c r="AK163" s="397"/>
      <c r="AL163" s="397"/>
      <c r="AM163" s="398"/>
      <c r="AN163" s="398"/>
      <c r="AO163" s="398"/>
      <c r="AP163" s="398"/>
      <c r="AQ163" s="398"/>
      <c r="AR163" s="398"/>
      <c r="AS163" s="398"/>
      <c r="AT163" s="5"/>
      <c r="AU163" s="5"/>
      <c r="AV163" s="5"/>
      <c r="AW163" s="5"/>
      <c r="AX163" s="5"/>
      <c r="AY163" s="5"/>
      <c r="AZ163" s="5"/>
      <c r="BA163" s="5"/>
      <c r="BB163" s="5"/>
      <c r="BC163" s="5"/>
    </row>
    <row r="164" spans="1:55" x14ac:dyDescent="0.25">
      <c r="A164" s="713"/>
      <c r="B164" s="696"/>
      <c r="C164" s="696"/>
      <c r="D164" s="384" t="s">
        <v>360</v>
      </c>
      <c r="E164" s="427">
        <v>642865788</v>
      </c>
      <c r="F164" s="427">
        <v>642865788</v>
      </c>
      <c r="G164" s="427">
        <v>844920788</v>
      </c>
      <c r="H164" s="427">
        <f>[1]INVERSIÓN!V34</f>
        <v>844920788</v>
      </c>
      <c r="I164" s="390"/>
      <c r="J164" s="427">
        <v>424569000</v>
      </c>
      <c r="K164" s="427">
        <v>424569000</v>
      </c>
      <c r="L164" s="427">
        <f>[1]INVERSIÓN!AL34</f>
        <v>503407100</v>
      </c>
      <c r="M164" s="390"/>
      <c r="N164" s="696"/>
      <c r="O164" s="696"/>
      <c r="P164" s="696"/>
      <c r="Q164" s="696"/>
      <c r="R164" s="696"/>
      <c r="S164" s="696"/>
      <c r="T164" s="696"/>
      <c r="U164" s="696"/>
      <c r="V164" s="696"/>
      <c r="W164" s="696"/>
      <c r="X164" s="696"/>
      <c r="Y164" s="699"/>
      <c r="Z164" s="394"/>
      <c r="AA164" s="395"/>
      <c r="AB164" s="395"/>
      <c r="AC164" s="395"/>
      <c r="AD164" s="395"/>
      <c r="AE164" s="395"/>
      <c r="AF164" s="395"/>
      <c r="AG164" s="395"/>
      <c r="AH164" s="395"/>
      <c r="AI164" s="395"/>
      <c r="AJ164" s="396"/>
      <c r="AK164" s="397"/>
      <c r="AL164" s="397"/>
      <c r="AM164" s="398"/>
      <c r="AN164" s="398"/>
      <c r="AO164" s="398"/>
      <c r="AP164" s="398"/>
      <c r="AQ164" s="398"/>
      <c r="AR164" s="398"/>
      <c r="AS164" s="398"/>
      <c r="AT164" s="5"/>
      <c r="AU164" s="5"/>
      <c r="AV164" s="5"/>
      <c r="AW164" s="5"/>
      <c r="AX164" s="5"/>
      <c r="AY164" s="5"/>
      <c r="AZ164" s="5"/>
      <c r="BA164" s="5"/>
      <c r="BB164" s="5"/>
      <c r="BC164" s="5"/>
    </row>
    <row r="165" spans="1:55" x14ac:dyDescent="0.25">
      <c r="A165" s="713"/>
      <c r="B165" s="696"/>
      <c r="C165" s="696"/>
      <c r="D165" s="384" t="s">
        <v>365</v>
      </c>
      <c r="E165" s="428">
        <v>0</v>
      </c>
      <c r="F165" s="428">
        <v>0</v>
      </c>
      <c r="G165" s="428">
        <v>0</v>
      </c>
      <c r="H165" s="428">
        <f>[1]INVERSIÓN!V35</f>
        <v>0</v>
      </c>
      <c r="I165" s="390"/>
      <c r="J165" s="428">
        <v>0</v>
      </c>
      <c r="K165" s="428">
        <v>0</v>
      </c>
      <c r="L165" s="428">
        <f>[1]INVERSIÓN!AL35</f>
        <v>0</v>
      </c>
      <c r="M165" s="386"/>
      <c r="N165" s="696"/>
      <c r="O165" s="696"/>
      <c r="P165" s="696"/>
      <c r="Q165" s="696"/>
      <c r="R165" s="696"/>
      <c r="S165" s="696"/>
      <c r="T165" s="696"/>
      <c r="U165" s="696"/>
      <c r="V165" s="696"/>
      <c r="W165" s="696"/>
      <c r="X165" s="696"/>
      <c r="Y165" s="699"/>
      <c r="Z165" s="394"/>
      <c r="AA165" s="395"/>
      <c r="AB165" s="395"/>
      <c r="AC165" s="395"/>
      <c r="AD165" s="395"/>
      <c r="AE165" s="395"/>
      <c r="AF165" s="395"/>
      <c r="AG165" s="395"/>
      <c r="AH165" s="395"/>
      <c r="AI165" s="395"/>
      <c r="AJ165" s="396"/>
      <c r="AK165" s="397"/>
      <c r="AL165" s="397"/>
      <c r="AM165" s="398"/>
      <c r="AN165" s="398"/>
      <c r="AO165" s="398"/>
      <c r="AP165" s="398"/>
      <c r="AQ165" s="398"/>
      <c r="AR165" s="398"/>
      <c r="AS165" s="398"/>
      <c r="AT165" s="5"/>
      <c r="AU165" s="5"/>
      <c r="AV165" s="5"/>
      <c r="AW165" s="5"/>
      <c r="AX165" s="5"/>
      <c r="AY165" s="5"/>
      <c r="AZ165" s="5"/>
      <c r="BA165" s="5"/>
      <c r="BB165" s="5"/>
      <c r="BC165" s="5"/>
    </row>
    <row r="166" spans="1:55" ht="22.5" x14ac:dyDescent="0.25">
      <c r="A166" s="713"/>
      <c r="B166" s="696"/>
      <c r="C166" s="696"/>
      <c r="D166" s="384" t="s">
        <v>370</v>
      </c>
      <c r="E166" s="407">
        <v>510200</v>
      </c>
      <c r="F166" s="407">
        <v>26848540</v>
      </c>
      <c r="G166" s="407">
        <v>26848540</v>
      </c>
      <c r="H166" s="407">
        <f>[1]INVERSIÓN!V36</f>
        <v>26848540</v>
      </c>
      <c r="I166" s="390"/>
      <c r="J166" s="407">
        <f>[1]INVERSIÓN!AJ36</f>
        <v>26848540</v>
      </c>
      <c r="K166" s="407">
        <f>[1]INVERSIÓN!AK36</f>
        <v>26848540</v>
      </c>
      <c r="L166" s="407">
        <f>[1]INVERSIÓN!AL36</f>
        <v>26848540</v>
      </c>
      <c r="M166" s="390"/>
      <c r="N166" s="696"/>
      <c r="O166" s="696"/>
      <c r="P166" s="696"/>
      <c r="Q166" s="696"/>
      <c r="R166" s="696"/>
      <c r="S166" s="696"/>
      <c r="T166" s="696"/>
      <c r="U166" s="696"/>
      <c r="V166" s="696"/>
      <c r="W166" s="696"/>
      <c r="X166" s="696"/>
      <c r="Y166" s="699"/>
      <c r="Z166" s="394"/>
      <c r="AA166" s="395"/>
      <c r="AB166" s="395"/>
      <c r="AC166" s="395"/>
      <c r="AD166" s="395"/>
      <c r="AE166" s="395"/>
      <c r="AF166" s="395"/>
      <c r="AG166" s="395"/>
      <c r="AH166" s="395"/>
      <c r="AI166" s="395"/>
      <c r="AJ166" s="396"/>
      <c r="AK166" s="397"/>
      <c r="AL166" s="397"/>
      <c r="AM166" s="398"/>
      <c r="AN166" s="398"/>
      <c r="AO166" s="398"/>
      <c r="AP166" s="398"/>
      <c r="AQ166" s="398"/>
      <c r="AR166" s="398"/>
      <c r="AS166" s="398"/>
      <c r="AT166" s="5"/>
      <c r="AU166" s="5"/>
      <c r="AV166" s="5"/>
      <c r="AW166" s="5"/>
      <c r="AX166" s="5"/>
      <c r="AY166" s="5"/>
      <c r="AZ166" s="5"/>
      <c r="BA166" s="5"/>
      <c r="BB166" s="5"/>
      <c r="BC166" s="5"/>
    </row>
    <row r="167" spans="1:55" x14ac:dyDescent="0.25">
      <c r="A167" s="713"/>
      <c r="B167" s="696"/>
      <c r="C167" s="701" t="s">
        <v>417</v>
      </c>
      <c r="D167" s="391" t="s">
        <v>348</v>
      </c>
      <c r="E167" s="429">
        <v>60</v>
      </c>
      <c r="F167" s="429">
        <f t="shared" ref="F167:H170" si="17">F163</f>
        <v>60</v>
      </c>
      <c r="G167" s="429">
        <f t="shared" si="17"/>
        <v>60</v>
      </c>
      <c r="H167" s="429">
        <f t="shared" si="17"/>
        <v>60</v>
      </c>
      <c r="I167" s="430"/>
      <c r="J167" s="429">
        <f t="shared" ref="J167:L170" si="18">J163</f>
        <v>27</v>
      </c>
      <c r="K167" s="429">
        <f t="shared" si="18"/>
        <v>34</v>
      </c>
      <c r="L167" s="429">
        <f t="shared" si="18"/>
        <v>40</v>
      </c>
      <c r="M167" s="393"/>
      <c r="N167" s="696"/>
      <c r="O167" s="696"/>
      <c r="P167" s="696"/>
      <c r="Q167" s="696"/>
      <c r="R167" s="696"/>
      <c r="S167" s="696"/>
      <c r="T167" s="696"/>
      <c r="U167" s="696"/>
      <c r="V167" s="696"/>
      <c r="W167" s="696"/>
      <c r="X167" s="696"/>
      <c r="Y167" s="699"/>
      <c r="Z167" s="394"/>
      <c r="AA167" s="395"/>
      <c r="AB167" s="395"/>
      <c r="AC167" s="395"/>
      <c r="AD167" s="395"/>
      <c r="AE167" s="395"/>
      <c r="AF167" s="395"/>
      <c r="AG167" s="395"/>
      <c r="AH167" s="395"/>
      <c r="AI167" s="395"/>
      <c r="AJ167" s="396"/>
      <c r="AK167" s="397"/>
      <c r="AL167" s="397"/>
      <c r="AM167" s="398"/>
      <c r="AN167" s="398"/>
      <c r="AO167" s="398"/>
      <c r="AP167" s="398"/>
      <c r="AQ167" s="398"/>
      <c r="AR167" s="398"/>
      <c r="AS167" s="398"/>
      <c r="AT167" s="398"/>
      <c r="AU167" s="398"/>
      <c r="AV167" s="398"/>
      <c r="AW167" s="398"/>
      <c r="AX167" s="398"/>
      <c r="AY167" s="398"/>
      <c r="AZ167" s="398"/>
      <c r="BA167" s="398"/>
      <c r="BB167" s="398"/>
      <c r="BC167" s="398"/>
    </row>
    <row r="168" spans="1:55" x14ac:dyDescent="0.25">
      <c r="A168" s="713"/>
      <c r="B168" s="696"/>
      <c r="C168" s="696"/>
      <c r="D168" s="399" t="s">
        <v>360</v>
      </c>
      <c r="E168" s="431">
        <v>642865788</v>
      </c>
      <c r="F168" s="431">
        <f t="shared" si="17"/>
        <v>642865788</v>
      </c>
      <c r="G168" s="431">
        <f t="shared" si="17"/>
        <v>844920788</v>
      </c>
      <c r="H168" s="431">
        <f t="shared" si="17"/>
        <v>844920788</v>
      </c>
      <c r="I168" s="430"/>
      <c r="J168" s="431">
        <f t="shared" si="18"/>
        <v>424569000</v>
      </c>
      <c r="K168" s="431">
        <f t="shared" si="18"/>
        <v>424569000</v>
      </c>
      <c r="L168" s="431">
        <f t="shared" si="18"/>
        <v>503407100</v>
      </c>
      <c r="M168" s="393"/>
      <c r="N168" s="696"/>
      <c r="O168" s="696"/>
      <c r="P168" s="696"/>
      <c r="Q168" s="696"/>
      <c r="R168" s="696"/>
      <c r="S168" s="696"/>
      <c r="T168" s="696"/>
      <c r="U168" s="696"/>
      <c r="V168" s="696"/>
      <c r="W168" s="696"/>
      <c r="X168" s="696"/>
      <c r="Y168" s="699"/>
      <c r="Z168" s="394"/>
      <c r="AA168" s="395"/>
      <c r="AB168" s="395"/>
      <c r="AC168" s="395"/>
      <c r="AD168" s="395"/>
      <c r="AE168" s="395"/>
      <c r="AF168" s="395"/>
      <c r="AG168" s="395"/>
      <c r="AH168" s="395"/>
      <c r="AI168" s="395"/>
      <c r="AJ168" s="396"/>
      <c r="AK168" s="397"/>
      <c r="AL168" s="397"/>
      <c r="AM168" s="398"/>
      <c r="AN168" s="398"/>
      <c r="AO168" s="398"/>
      <c r="AP168" s="398"/>
      <c r="AQ168" s="398"/>
      <c r="AR168" s="398"/>
      <c r="AS168" s="398"/>
      <c r="AT168" s="398"/>
      <c r="AU168" s="398"/>
      <c r="AV168" s="398"/>
      <c r="AW168" s="398"/>
      <c r="AX168" s="398"/>
      <c r="AY168" s="398"/>
      <c r="AZ168" s="398"/>
      <c r="BA168" s="398"/>
      <c r="BB168" s="398"/>
      <c r="BC168" s="398"/>
    </row>
    <row r="169" spans="1:55" ht="22.5" x14ac:dyDescent="0.25">
      <c r="A169" s="713"/>
      <c r="B169" s="696"/>
      <c r="C169" s="696"/>
      <c r="D169" s="399" t="s">
        <v>365</v>
      </c>
      <c r="E169" s="429">
        <v>0</v>
      </c>
      <c r="F169" s="429">
        <f t="shared" si="17"/>
        <v>0</v>
      </c>
      <c r="G169" s="429">
        <f t="shared" si="17"/>
        <v>0</v>
      </c>
      <c r="H169" s="429">
        <f t="shared" si="17"/>
        <v>0</v>
      </c>
      <c r="I169" s="430"/>
      <c r="J169" s="429">
        <f t="shared" si="18"/>
        <v>0</v>
      </c>
      <c r="K169" s="429">
        <f t="shared" si="18"/>
        <v>0</v>
      </c>
      <c r="L169" s="429">
        <f t="shared" si="18"/>
        <v>0</v>
      </c>
      <c r="M169" s="393"/>
      <c r="N169" s="696"/>
      <c r="O169" s="696"/>
      <c r="P169" s="696"/>
      <c r="Q169" s="696"/>
      <c r="R169" s="696"/>
      <c r="S169" s="696"/>
      <c r="T169" s="696"/>
      <c r="U169" s="696"/>
      <c r="V169" s="696"/>
      <c r="W169" s="696"/>
      <c r="X169" s="696"/>
      <c r="Y169" s="699"/>
      <c r="Z169" s="394"/>
      <c r="AA169" s="395"/>
      <c r="AB169" s="395"/>
      <c r="AC169" s="395"/>
      <c r="AD169" s="395"/>
      <c r="AE169" s="395"/>
      <c r="AF169" s="395"/>
      <c r="AG169" s="395"/>
      <c r="AH169" s="395"/>
      <c r="AI169" s="395"/>
      <c r="AJ169" s="396"/>
      <c r="AK169" s="397"/>
      <c r="AL169" s="397"/>
      <c r="AM169" s="398"/>
      <c r="AN169" s="398"/>
      <c r="AO169" s="398"/>
      <c r="AP169" s="398"/>
      <c r="AQ169" s="398"/>
      <c r="AR169" s="398"/>
      <c r="AS169" s="398"/>
      <c r="AT169" s="398"/>
      <c r="AU169" s="398"/>
      <c r="AV169" s="398"/>
      <c r="AW169" s="398"/>
      <c r="AX169" s="398"/>
      <c r="AY169" s="398"/>
      <c r="AZ169" s="398"/>
      <c r="BA169" s="398"/>
      <c r="BB169" s="398"/>
      <c r="BC169" s="398"/>
    </row>
    <row r="170" spans="1:55" ht="23.25" thickBot="1" x14ac:dyDescent="0.3">
      <c r="A170" s="714"/>
      <c r="B170" s="697"/>
      <c r="C170" s="697"/>
      <c r="D170" s="402" t="s">
        <v>370</v>
      </c>
      <c r="E170" s="432">
        <v>510200</v>
      </c>
      <c r="F170" s="432">
        <f t="shared" si="17"/>
        <v>26848540</v>
      </c>
      <c r="G170" s="432">
        <f t="shared" si="17"/>
        <v>26848540</v>
      </c>
      <c r="H170" s="432">
        <f t="shared" si="17"/>
        <v>26848540</v>
      </c>
      <c r="I170" s="433"/>
      <c r="J170" s="432">
        <f t="shared" si="18"/>
        <v>26848540</v>
      </c>
      <c r="K170" s="432">
        <f t="shared" si="18"/>
        <v>26848540</v>
      </c>
      <c r="L170" s="432">
        <f t="shared" si="18"/>
        <v>26848540</v>
      </c>
      <c r="M170" s="404"/>
      <c r="N170" s="697"/>
      <c r="O170" s="697"/>
      <c r="P170" s="697"/>
      <c r="Q170" s="697"/>
      <c r="R170" s="697"/>
      <c r="S170" s="697"/>
      <c r="T170" s="697"/>
      <c r="U170" s="697"/>
      <c r="V170" s="697"/>
      <c r="W170" s="697"/>
      <c r="X170" s="697"/>
      <c r="Y170" s="700"/>
      <c r="Z170" s="394"/>
      <c r="AA170" s="395"/>
      <c r="AB170" s="395"/>
      <c r="AC170" s="395"/>
      <c r="AD170" s="395"/>
      <c r="AE170" s="395"/>
      <c r="AF170" s="395"/>
      <c r="AG170" s="395"/>
      <c r="AH170" s="395"/>
      <c r="AI170" s="395"/>
      <c r="AJ170" s="396"/>
      <c r="AK170" s="397"/>
      <c r="AL170" s="397"/>
      <c r="AM170" s="398"/>
      <c r="AN170" s="398"/>
      <c r="AO170" s="398"/>
      <c r="AP170" s="398"/>
      <c r="AQ170" s="398"/>
      <c r="AR170" s="398"/>
      <c r="AS170" s="398"/>
      <c r="AT170" s="398"/>
      <c r="AU170" s="398"/>
      <c r="AV170" s="398"/>
      <c r="AW170" s="398"/>
      <c r="AX170" s="398"/>
      <c r="AY170" s="398"/>
      <c r="AZ170" s="398"/>
      <c r="BA170" s="398"/>
      <c r="BB170" s="398"/>
      <c r="BC170" s="398"/>
    </row>
    <row r="171" spans="1:55" x14ac:dyDescent="0.25">
      <c r="A171" s="712">
        <v>6</v>
      </c>
      <c r="B171" s="710" t="s">
        <v>306</v>
      </c>
      <c r="C171" s="710" t="s">
        <v>445</v>
      </c>
      <c r="D171" s="405" t="s">
        <v>348</v>
      </c>
      <c r="E171" s="379">
        <v>80</v>
      </c>
      <c r="F171" s="379">
        <v>80</v>
      </c>
      <c r="G171" s="379">
        <v>80</v>
      </c>
      <c r="H171" s="379">
        <f>[1]INVERSIÓN!V39</f>
        <v>80</v>
      </c>
      <c r="I171" s="380"/>
      <c r="J171" s="379">
        <v>72.5</v>
      </c>
      <c r="K171" s="379">
        <v>73.5</v>
      </c>
      <c r="L171" s="379">
        <f>[1]INVERSIÓN!AL39</f>
        <v>74</v>
      </c>
      <c r="M171" s="380"/>
      <c r="N171" s="716" t="s">
        <v>446</v>
      </c>
      <c r="O171" s="710" t="s">
        <v>104</v>
      </c>
      <c r="P171" s="695" t="s">
        <v>447</v>
      </c>
      <c r="Q171" s="710" t="s">
        <v>104</v>
      </c>
      <c r="R171" s="695" t="s">
        <v>353</v>
      </c>
      <c r="S171" s="695">
        <v>7878783</v>
      </c>
      <c r="T171" s="711"/>
      <c r="U171" s="695" t="s">
        <v>354</v>
      </c>
      <c r="V171" s="695" t="s">
        <v>355</v>
      </c>
      <c r="W171" s="695" t="s">
        <v>356</v>
      </c>
      <c r="X171" s="695" t="s">
        <v>357</v>
      </c>
      <c r="Y171" s="698">
        <v>7878783</v>
      </c>
      <c r="Z171" s="394"/>
      <c r="AA171" s="395"/>
      <c r="AB171" s="395"/>
      <c r="AC171" s="395"/>
      <c r="AD171" s="395"/>
      <c r="AE171" s="395"/>
      <c r="AF171" s="395"/>
      <c r="AG171" s="395"/>
      <c r="AH171" s="395"/>
      <c r="AI171" s="395"/>
      <c r="AJ171" s="396"/>
      <c r="AK171" s="397"/>
      <c r="AL171" s="397"/>
      <c r="AM171" s="398"/>
      <c r="AN171" s="398"/>
      <c r="AO171" s="398"/>
      <c r="AP171" s="398"/>
      <c r="AQ171" s="398"/>
      <c r="AR171" s="398"/>
      <c r="AS171" s="398"/>
      <c r="AT171" s="5"/>
      <c r="AU171" s="5"/>
      <c r="AV171" s="5"/>
      <c r="AW171" s="5"/>
      <c r="AX171" s="5"/>
      <c r="AY171" s="5"/>
      <c r="AZ171" s="5"/>
      <c r="BA171" s="5"/>
      <c r="BB171" s="5"/>
      <c r="BC171" s="5"/>
    </row>
    <row r="172" spans="1:55" x14ac:dyDescent="0.25">
      <c r="A172" s="713"/>
      <c r="B172" s="696"/>
      <c r="C172" s="696"/>
      <c r="D172" s="384" t="s">
        <v>360</v>
      </c>
      <c r="E172" s="407">
        <v>134322300</v>
      </c>
      <c r="F172" s="407">
        <v>134322300</v>
      </c>
      <c r="G172" s="407">
        <v>134322300</v>
      </c>
      <c r="H172" s="407">
        <f>[1]INVERSIÓN!V40</f>
        <v>134322300</v>
      </c>
      <c r="I172" s="390"/>
      <c r="J172" s="407">
        <v>114448000</v>
      </c>
      <c r="K172" s="407">
        <v>114448000</v>
      </c>
      <c r="L172" s="407">
        <f>[1]INVERSIÓN!AL40</f>
        <v>114448000</v>
      </c>
      <c r="M172" s="390"/>
      <c r="N172" s="696"/>
      <c r="O172" s="696"/>
      <c r="P172" s="696"/>
      <c r="Q172" s="696"/>
      <c r="R172" s="696"/>
      <c r="S172" s="696"/>
      <c r="T172" s="696"/>
      <c r="U172" s="696"/>
      <c r="V172" s="696"/>
      <c r="W172" s="696"/>
      <c r="X172" s="696"/>
      <c r="Y172" s="699"/>
      <c r="Z172" s="394"/>
      <c r="AA172" s="395"/>
      <c r="AB172" s="395"/>
      <c r="AC172" s="395"/>
      <c r="AD172" s="395"/>
      <c r="AE172" s="395"/>
      <c r="AF172" s="395"/>
      <c r="AG172" s="395"/>
      <c r="AH172" s="395"/>
      <c r="AI172" s="395"/>
      <c r="AJ172" s="396"/>
      <c r="AK172" s="397"/>
      <c r="AL172" s="397"/>
      <c r="AM172" s="398"/>
      <c r="AN172" s="398"/>
      <c r="AO172" s="398"/>
      <c r="AP172" s="398"/>
      <c r="AQ172" s="398"/>
      <c r="AR172" s="398"/>
      <c r="AS172" s="398"/>
      <c r="AT172" s="5"/>
      <c r="AU172" s="5"/>
      <c r="AV172" s="5"/>
      <c r="AW172" s="5"/>
      <c r="AX172" s="5"/>
      <c r="AY172" s="5"/>
      <c r="AZ172" s="5"/>
      <c r="BA172" s="5"/>
      <c r="BB172" s="5"/>
      <c r="BC172" s="5"/>
    </row>
    <row r="173" spans="1:55" x14ac:dyDescent="0.25">
      <c r="A173" s="713"/>
      <c r="B173" s="696"/>
      <c r="C173" s="696"/>
      <c r="D173" s="384" t="s">
        <v>365</v>
      </c>
      <c r="E173" s="387">
        <v>0</v>
      </c>
      <c r="F173" s="387">
        <v>0</v>
      </c>
      <c r="G173" s="387">
        <v>0</v>
      </c>
      <c r="H173" s="387">
        <f>[1]INVERSIÓN!V41</f>
        <v>0</v>
      </c>
      <c r="I173" s="390"/>
      <c r="J173" s="387">
        <v>0</v>
      </c>
      <c r="K173" s="387">
        <v>0</v>
      </c>
      <c r="L173" s="387" t="e">
        <f>[1]INVERSIÓN!AL41</f>
        <v>#REF!</v>
      </c>
      <c r="M173" s="386"/>
      <c r="N173" s="696"/>
      <c r="O173" s="696"/>
      <c r="P173" s="696"/>
      <c r="Q173" s="696"/>
      <c r="R173" s="696"/>
      <c r="S173" s="696"/>
      <c r="T173" s="696"/>
      <c r="U173" s="696"/>
      <c r="V173" s="696"/>
      <c r="W173" s="696"/>
      <c r="X173" s="696"/>
      <c r="Y173" s="699"/>
      <c r="Z173" s="394"/>
      <c r="AA173" s="395"/>
      <c r="AB173" s="395"/>
      <c r="AC173" s="395"/>
      <c r="AD173" s="395"/>
      <c r="AE173" s="395"/>
      <c r="AF173" s="395"/>
      <c r="AG173" s="395"/>
      <c r="AH173" s="395"/>
      <c r="AI173" s="395"/>
      <c r="AJ173" s="396"/>
      <c r="AK173" s="397"/>
      <c r="AL173" s="397"/>
      <c r="AM173" s="398"/>
      <c r="AN173" s="398"/>
      <c r="AO173" s="398"/>
      <c r="AP173" s="398"/>
      <c r="AQ173" s="398"/>
      <c r="AR173" s="398"/>
      <c r="AS173" s="398"/>
      <c r="AT173" s="5"/>
      <c r="AU173" s="5"/>
      <c r="AV173" s="5"/>
      <c r="AW173" s="5"/>
      <c r="AX173" s="5"/>
      <c r="AY173" s="5"/>
      <c r="AZ173" s="5"/>
      <c r="BA173" s="5"/>
      <c r="BB173" s="5"/>
      <c r="BC173" s="5"/>
    </row>
    <row r="174" spans="1:55" ht="22.5" x14ac:dyDescent="0.25">
      <c r="A174" s="713"/>
      <c r="B174" s="696"/>
      <c r="C174" s="696"/>
      <c r="D174" s="384" t="s">
        <v>370</v>
      </c>
      <c r="E174" s="407">
        <v>0</v>
      </c>
      <c r="F174" s="407">
        <v>0</v>
      </c>
      <c r="G174" s="407">
        <v>0</v>
      </c>
      <c r="H174" s="407">
        <f>[1]INVERSIÓN!V42</f>
        <v>0</v>
      </c>
      <c r="I174" s="390"/>
      <c r="J174" s="407">
        <v>0</v>
      </c>
      <c r="K174" s="407">
        <v>0</v>
      </c>
      <c r="L174" s="407">
        <f>[1]INVERSIÓN!AL42</f>
        <v>0</v>
      </c>
      <c r="M174" s="390"/>
      <c r="N174" s="696"/>
      <c r="O174" s="696"/>
      <c r="P174" s="696"/>
      <c r="Q174" s="696"/>
      <c r="R174" s="696"/>
      <c r="S174" s="696"/>
      <c r="T174" s="696"/>
      <c r="U174" s="696"/>
      <c r="V174" s="696"/>
      <c r="W174" s="696"/>
      <c r="X174" s="696"/>
      <c r="Y174" s="699"/>
      <c r="Z174" s="394"/>
      <c r="AA174" s="395"/>
      <c r="AB174" s="395"/>
      <c r="AC174" s="395"/>
      <c r="AD174" s="395"/>
      <c r="AE174" s="395"/>
      <c r="AF174" s="395"/>
      <c r="AG174" s="395"/>
      <c r="AH174" s="395"/>
      <c r="AI174" s="395"/>
      <c r="AJ174" s="396"/>
      <c r="AK174" s="397"/>
      <c r="AL174" s="397"/>
      <c r="AM174" s="398"/>
      <c r="AN174" s="398"/>
      <c r="AO174" s="398"/>
      <c r="AP174" s="398"/>
      <c r="AQ174" s="398"/>
      <c r="AR174" s="398"/>
      <c r="AS174" s="398"/>
      <c r="AT174" s="5"/>
      <c r="AU174" s="5"/>
      <c r="AV174" s="5"/>
      <c r="AW174" s="5"/>
      <c r="AX174" s="5"/>
      <c r="AY174" s="5"/>
      <c r="AZ174" s="5"/>
      <c r="BA174" s="5"/>
      <c r="BB174" s="5"/>
      <c r="BC174" s="5"/>
    </row>
    <row r="175" spans="1:55" x14ac:dyDescent="0.25">
      <c r="A175" s="713"/>
      <c r="B175" s="696"/>
      <c r="C175" s="701" t="s">
        <v>417</v>
      </c>
      <c r="D175" s="391" t="s">
        <v>348</v>
      </c>
      <c r="E175" s="392">
        <v>80</v>
      </c>
      <c r="F175" s="392">
        <f t="shared" ref="F175:H178" si="19">F171</f>
        <v>80</v>
      </c>
      <c r="G175" s="392">
        <f t="shared" si="19"/>
        <v>80</v>
      </c>
      <c r="H175" s="392">
        <f t="shared" si="19"/>
        <v>80</v>
      </c>
      <c r="I175" s="408"/>
      <c r="J175" s="392">
        <f t="shared" ref="J175:L178" si="20">J171</f>
        <v>72.5</v>
      </c>
      <c r="K175" s="392">
        <f t="shared" si="20"/>
        <v>73.5</v>
      </c>
      <c r="L175" s="392">
        <f t="shared" si="20"/>
        <v>74</v>
      </c>
      <c r="M175" s="393"/>
      <c r="N175" s="696"/>
      <c r="O175" s="696"/>
      <c r="P175" s="696"/>
      <c r="Q175" s="696"/>
      <c r="R175" s="696"/>
      <c r="S175" s="696"/>
      <c r="T175" s="696"/>
      <c r="U175" s="696"/>
      <c r="V175" s="696"/>
      <c r="W175" s="696"/>
      <c r="X175" s="696"/>
      <c r="Y175" s="699"/>
      <c r="Z175" s="394"/>
      <c r="AA175" s="395"/>
      <c r="AB175" s="395"/>
      <c r="AC175" s="395"/>
      <c r="AD175" s="395"/>
      <c r="AE175" s="395"/>
      <c r="AF175" s="395"/>
      <c r="AG175" s="395"/>
      <c r="AH175" s="395"/>
      <c r="AI175" s="395"/>
      <c r="AJ175" s="396"/>
      <c r="AK175" s="397"/>
      <c r="AL175" s="397"/>
      <c r="AM175" s="398"/>
      <c r="AN175" s="398"/>
      <c r="AO175" s="398"/>
      <c r="AP175" s="398"/>
      <c r="AQ175" s="398"/>
      <c r="AR175" s="398"/>
      <c r="AS175" s="398"/>
      <c r="AT175" s="398"/>
      <c r="AU175" s="398"/>
      <c r="AV175" s="398"/>
      <c r="AW175" s="398"/>
      <c r="AX175" s="398"/>
      <c r="AY175" s="398"/>
      <c r="AZ175" s="398"/>
      <c r="BA175" s="398"/>
      <c r="BB175" s="398"/>
      <c r="BC175" s="398"/>
    </row>
    <row r="176" spans="1:55" x14ac:dyDescent="0.25">
      <c r="A176" s="713"/>
      <c r="B176" s="696"/>
      <c r="C176" s="696"/>
      <c r="D176" s="399" t="s">
        <v>360</v>
      </c>
      <c r="E176" s="400">
        <v>134322300</v>
      </c>
      <c r="F176" s="400">
        <f t="shared" si="19"/>
        <v>134322300</v>
      </c>
      <c r="G176" s="400">
        <f t="shared" si="19"/>
        <v>134322300</v>
      </c>
      <c r="H176" s="400">
        <f t="shared" si="19"/>
        <v>134322300</v>
      </c>
      <c r="I176" s="408"/>
      <c r="J176" s="400">
        <f t="shared" si="20"/>
        <v>114448000</v>
      </c>
      <c r="K176" s="400">
        <f t="shared" si="20"/>
        <v>114448000</v>
      </c>
      <c r="L176" s="400">
        <f t="shared" si="20"/>
        <v>114448000</v>
      </c>
      <c r="M176" s="393"/>
      <c r="N176" s="696"/>
      <c r="O176" s="696"/>
      <c r="P176" s="696"/>
      <c r="Q176" s="696"/>
      <c r="R176" s="696"/>
      <c r="S176" s="696"/>
      <c r="T176" s="696"/>
      <c r="U176" s="696"/>
      <c r="V176" s="696"/>
      <c r="W176" s="696"/>
      <c r="X176" s="696"/>
      <c r="Y176" s="699"/>
      <c r="Z176" s="394"/>
      <c r="AA176" s="395"/>
      <c r="AB176" s="395"/>
      <c r="AC176" s="395"/>
      <c r="AD176" s="395"/>
      <c r="AE176" s="395"/>
      <c r="AF176" s="395"/>
      <c r="AG176" s="395"/>
      <c r="AH176" s="395"/>
      <c r="AI176" s="395"/>
      <c r="AJ176" s="396"/>
      <c r="AK176" s="397"/>
      <c r="AL176" s="397"/>
      <c r="AM176" s="398"/>
      <c r="AN176" s="398"/>
      <c r="AO176" s="398"/>
      <c r="AP176" s="398"/>
      <c r="AQ176" s="398"/>
      <c r="AR176" s="398"/>
      <c r="AS176" s="398"/>
      <c r="AT176" s="398"/>
      <c r="AU176" s="398"/>
      <c r="AV176" s="398"/>
      <c r="AW176" s="398"/>
      <c r="AX176" s="398"/>
      <c r="AY176" s="398"/>
      <c r="AZ176" s="398"/>
      <c r="BA176" s="398"/>
      <c r="BB176" s="398"/>
      <c r="BC176" s="398"/>
    </row>
    <row r="177" spans="1:55" ht="22.5" x14ac:dyDescent="0.25">
      <c r="A177" s="713"/>
      <c r="B177" s="696"/>
      <c r="C177" s="696"/>
      <c r="D177" s="399" t="s">
        <v>365</v>
      </c>
      <c r="E177" s="392">
        <v>0</v>
      </c>
      <c r="F177" s="392">
        <f t="shared" si="19"/>
        <v>0</v>
      </c>
      <c r="G177" s="392">
        <f t="shared" si="19"/>
        <v>0</v>
      </c>
      <c r="H177" s="392">
        <f t="shared" si="19"/>
        <v>0</v>
      </c>
      <c r="I177" s="409"/>
      <c r="J177" s="392">
        <f t="shared" si="20"/>
        <v>0</v>
      </c>
      <c r="K177" s="392">
        <f t="shared" si="20"/>
        <v>0</v>
      </c>
      <c r="L177" s="392" t="e">
        <f t="shared" si="20"/>
        <v>#REF!</v>
      </c>
      <c r="M177" s="393"/>
      <c r="N177" s="696"/>
      <c r="O177" s="696"/>
      <c r="P177" s="696"/>
      <c r="Q177" s="696"/>
      <c r="R177" s="696"/>
      <c r="S177" s="696"/>
      <c r="T177" s="696"/>
      <c r="U177" s="696"/>
      <c r="V177" s="696"/>
      <c r="W177" s="696"/>
      <c r="X177" s="696"/>
      <c r="Y177" s="699"/>
      <c r="Z177" s="394"/>
      <c r="AA177" s="395"/>
      <c r="AB177" s="395"/>
      <c r="AC177" s="395"/>
      <c r="AD177" s="395"/>
      <c r="AE177" s="395"/>
      <c r="AF177" s="395"/>
      <c r="AG177" s="395"/>
      <c r="AH177" s="395"/>
      <c r="AI177" s="395"/>
      <c r="AJ177" s="396"/>
      <c r="AK177" s="397"/>
      <c r="AL177" s="397"/>
      <c r="AM177" s="398"/>
      <c r="AN177" s="398"/>
      <c r="AO177" s="398"/>
      <c r="AP177" s="398"/>
      <c r="AQ177" s="398"/>
      <c r="AR177" s="398"/>
      <c r="AS177" s="398"/>
      <c r="AT177" s="398"/>
      <c r="AU177" s="398"/>
      <c r="AV177" s="398"/>
      <c r="AW177" s="398"/>
      <c r="AX177" s="398"/>
      <c r="AY177" s="398"/>
      <c r="AZ177" s="398"/>
      <c r="BA177" s="398"/>
      <c r="BB177" s="398"/>
      <c r="BC177" s="398"/>
    </row>
    <row r="178" spans="1:55" ht="23.25" thickBot="1" x14ac:dyDescent="0.3">
      <c r="A178" s="714"/>
      <c r="B178" s="697"/>
      <c r="C178" s="697"/>
      <c r="D178" s="402" t="s">
        <v>370</v>
      </c>
      <c r="E178" s="403">
        <v>0</v>
      </c>
      <c r="F178" s="403">
        <f t="shared" si="19"/>
        <v>0</v>
      </c>
      <c r="G178" s="403">
        <f t="shared" si="19"/>
        <v>0</v>
      </c>
      <c r="H178" s="403">
        <f t="shared" si="19"/>
        <v>0</v>
      </c>
      <c r="I178" s="410"/>
      <c r="J178" s="403">
        <f t="shared" si="20"/>
        <v>0</v>
      </c>
      <c r="K178" s="403">
        <f t="shared" si="20"/>
        <v>0</v>
      </c>
      <c r="L178" s="403">
        <f t="shared" si="20"/>
        <v>0</v>
      </c>
      <c r="M178" s="404"/>
      <c r="N178" s="697"/>
      <c r="O178" s="697"/>
      <c r="P178" s="697"/>
      <c r="Q178" s="697"/>
      <c r="R178" s="697"/>
      <c r="S178" s="697"/>
      <c r="T178" s="697"/>
      <c r="U178" s="697"/>
      <c r="V178" s="697"/>
      <c r="W178" s="697"/>
      <c r="X178" s="697"/>
      <c r="Y178" s="700"/>
      <c r="Z178" s="394"/>
      <c r="AA178" s="395"/>
      <c r="AB178" s="395"/>
      <c r="AC178" s="395"/>
      <c r="AD178" s="395"/>
      <c r="AE178" s="395"/>
      <c r="AF178" s="395"/>
      <c r="AG178" s="395"/>
      <c r="AH178" s="395"/>
      <c r="AI178" s="395"/>
      <c r="AJ178" s="396"/>
      <c r="AK178" s="397"/>
      <c r="AL178" s="397"/>
      <c r="AM178" s="398"/>
      <c r="AN178" s="398"/>
      <c r="AO178" s="398"/>
      <c r="AP178" s="398"/>
      <c r="AQ178" s="398"/>
      <c r="AR178" s="398"/>
      <c r="AS178" s="398"/>
      <c r="AT178" s="398"/>
      <c r="AU178" s="398"/>
      <c r="AV178" s="398"/>
      <c r="AW178" s="398"/>
      <c r="AX178" s="398"/>
      <c r="AY178" s="398"/>
      <c r="AZ178" s="398"/>
      <c r="BA178" s="398"/>
      <c r="BB178" s="398"/>
      <c r="BC178" s="398"/>
    </row>
    <row r="179" spans="1:55" x14ac:dyDescent="0.25">
      <c r="A179" s="712">
        <v>7</v>
      </c>
      <c r="B179" s="710" t="s">
        <v>362</v>
      </c>
      <c r="C179" s="710" t="s">
        <v>448</v>
      </c>
      <c r="D179" s="405" t="s">
        <v>348</v>
      </c>
      <c r="E179" s="434">
        <v>4500</v>
      </c>
      <c r="F179" s="434">
        <v>4500</v>
      </c>
      <c r="G179" s="434">
        <v>4500</v>
      </c>
      <c r="H179" s="434">
        <f>[1]INVERSIÓN!V45</f>
        <v>4500</v>
      </c>
      <c r="I179" s="380"/>
      <c r="J179" s="434">
        <v>395.24099999999999</v>
      </c>
      <c r="K179" s="434">
        <v>980.8</v>
      </c>
      <c r="L179" s="434">
        <f>[1]INVERSIÓN!AL45</f>
        <v>2430.8999999999996</v>
      </c>
      <c r="M179" s="380"/>
      <c r="N179" s="710" t="s">
        <v>349</v>
      </c>
      <c r="O179" s="716" t="s">
        <v>350</v>
      </c>
      <c r="P179" s="716" t="s">
        <v>351</v>
      </c>
      <c r="Q179" s="716" t="s">
        <v>352</v>
      </c>
      <c r="R179" s="716" t="s">
        <v>353</v>
      </c>
      <c r="S179" s="695">
        <v>8185614</v>
      </c>
      <c r="T179" s="711"/>
      <c r="U179" s="695" t="s">
        <v>354</v>
      </c>
      <c r="V179" s="695" t="s">
        <v>355</v>
      </c>
      <c r="W179" s="695" t="s">
        <v>356</v>
      </c>
      <c r="X179" s="695" t="s">
        <v>357</v>
      </c>
      <c r="Y179" s="698">
        <v>8185614</v>
      </c>
      <c r="Z179" s="394"/>
      <c r="AA179" s="395"/>
      <c r="AB179" s="395"/>
      <c r="AC179" s="395"/>
      <c r="AD179" s="395"/>
      <c r="AE179" s="395"/>
      <c r="AF179" s="395"/>
      <c r="AG179" s="395"/>
      <c r="AH179" s="395"/>
      <c r="AI179" s="395"/>
      <c r="AJ179" s="396"/>
      <c r="AK179" s="397"/>
      <c r="AL179" s="397"/>
      <c r="AM179" s="398"/>
      <c r="AN179" s="398"/>
      <c r="AO179" s="398"/>
      <c r="AP179" s="398"/>
      <c r="AQ179" s="398"/>
      <c r="AR179" s="398"/>
      <c r="AS179" s="398"/>
      <c r="AT179" s="5"/>
      <c r="AU179" s="5"/>
      <c r="AV179" s="5"/>
      <c r="AW179" s="5"/>
      <c r="AX179" s="5"/>
      <c r="AY179" s="5"/>
      <c r="AZ179" s="5"/>
      <c r="BA179" s="5"/>
      <c r="BB179" s="5"/>
      <c r="BC179" s="5"/>
    </row>
    <row r="180" spans="1:55" x14ac:dyDescent="0.25">
      <c r="A180" s="713"/>
      <c r="B180" s="696"/>
      <c r="C180" s="696"/>
      <c r="D180" s="384" t="s">
        <v>360</v>
      </c>
      <c r="E180" s="388">
        <v>463445300</v>
      </c>
      <c r="F180" s="388">
        <v>463445300</v>
      </c>
      <c r="G180" s="388">
        <v>463445300</v>
      </c>
      <c r="H180" s="388">
        <f>[1]INVERSIÓN!V46</f>
        <v>463445300</v>
      </c>
      <c r="I180" s="390"/>
      <c r="J180" s="435">
        <v>232491812</v>
      </c>
      <c r="K180" s="435">
        <v>262263624</v>
      </c>
      <c r="L180" s="388">
        <f>[1]INVERSIÓN!AL46</f>
        <v>319062624</v>
      </c>
      <c r="M180" s="390"/>
      <c r="N180" s="696"/>
      <c r="O180" s="696"/>
      <c r="P180" s="696"/>
      <c r="Q180" s="696"/>
      <c r="R180" s="696"/>
      <c r="S180" s="696"/>
      <c r="T180" s="696"/>
      <c r="U180" s="696"/>
      <c r="V180" s="696"/>
      <c r="W180" s="696"/>
      <c r="X180" s="696"/>
      <c r="Y180" s="699"/>
      <c r="Z180" s="394"/>
      <c r="AA180" s="395"/>
      <c r="AB180" s="395"/>
      <c r="AC180" s="395"/>
      <c r="AD180" s="395"/>
      <c r="AE180" s="395"/>
      <c r="AF180" s="395"/>
      <c r="AG180" s="395"/>
      <c r="AH180" s="395"/>
      <c r="AI180" s="395"/>
      <c r="AJ180" s="396"/>
      <c r="AK180" s="397"/>
      <c r="AL180" s="397"/>
      <c r="AM180" s="398"/>
      <c r="AN180" s="398"/>
      <c r="AO180" s="398"/>
      <c r="AP180" s="398"/>
      <c r="AQ180" s="398"/>
      <c r="AR180" s="398"/>
      <c r="AS180" s="398"/>
      <c r="AT180" s="5"/>
      <c r="AU180" s="5"/>
      <c r="AV180" s="5"/>
      <c r="AW180" s="5"/>
      <c r="AX180" s="5"/>
      <c r="AY180" s="5"/>
      <c r="AZ180" s="5"/>
      <c r="BA180" s="5"/>
      <c r="BB180" s="5"/>
      <c r="BC180" s="5"/>
    </row>
    <row r="181" spans="1:55" x14ac:dyDescent="0.25">
      <c r="A181" s="713"/>
      <c r="B181" s="696"/>
      <c r="C181" s="696"/>
      <c r="D181" s="384" t="s">
        <v>365</v>
      </c>
      <c r="E181" s="436">
        <v>200</v>
      </c>
      <c r="F181" s="436">
        <v>200</v>
      </c>
      <c r="G181" s="436">
        <v>200</v>
      </c>
      <c r="H181" s="436">
        <f>[1]INVERSIÓN!V47</f>
        <v>200</v>
      </c>
      <c r="I181" s="390"/>
      <c r="J181" s="436">
        <v>47.381900000000002</v>
      </c>
      <c r="K181" s="436">
        <v>47.381900000000002</v>
      </c>
      <c r="L181" s="436">
        <f>[1]INVERSIÓN!AL47</f>
        <v>200</v>
      </c>
      <c r="M181" s="386"/>
      <c r="N181" s="696"/>
      <c r="O181" s="696"/>
      <c r="P181" s="696"/>
      <c r="Q181" s="696"/>
      <c r="R181" s="696"/>
      <c r="S181" s="696"/>
      <c r="T181" s="696"/>
      <c r="U181" s="696"/>
      <c r="V181" s="696"/>
      <c r="W181" s="696"/>
      <c r="X181" s="696"/>
      <c r="Y181" s="699"/>
      <c r="Z181" s="394"/>
      <c r="AA181" s="395"/>
      <c r="AB181" s="395"/>
      <c r="AC181" s="395"/>
      <c r="AD181" s="395"/>
      <c r="AE181" s="395"/>
      <c r="AF181" s="395"/>
      <c r="AG181" s="395"/>
      <c r="AH181" s="395"/>
      <c r="AI181" s="395"/>
      <c r="AJ181" s="396"/>
      <c r="AK181" s="397"/>
      <c r="AL181" s="397"/>
      <c r="AM181" s="398"/>
      <c r="AN181" s="398"/>
      <c r="AO181" s="398"/>
      <c r="AP181" s="398"/>
      <c r="AQ181" s="398"/>
      <c r="AR181" s="398"/>
      <c r="AS181" s="398"/>
      <c r="AT181" s="5"/>
      <c r="AU181" s="5"/>
      <c r="AV181" s="5"/>
      <c r="AW181" s="5"/>
      <c r="AX181" s="5"/>
      <c r="AY181" s="5"/>
      <c r="AZ181" s="5"/>
      <c r="BA181" s="5"/>
      <c r="BB181" s="5"/>
      <c r="BC181" s="5"/>
    </row>
    <row r="182" spans="1:55" ht="22.5" x14ac:dyDescent="0.25">
      <c r="A182" s="713"/>
      <c r="B182" s="696"/>
      <c r="C182" s="696"/>
      <c r="D182" s="384" t="s">
        <v>370</v>
      </c>
      <c r="E182" s="388">
        <v>575846067</v>
      </c>
      <c r="F182" s="388">
        <v>579357845</v>
      </c>
      <c r="G182" s="388">
        <v>579357845</v>
      </c>
      <c r="H182" s="388">
        <f>[1]INVERSIÓN!V48</f>
        <v>579357845</v>
      </c>
      <c r="I182" s="390"/>
      <c r="J182" s="388">
        <f>[1]INVERSIÓN!AJ48</f>
        <v>136416027</v>
      </c>
      <c r="K182" s="388">
        <f>[1]INVERSIÓN!AK48</f>
        <v>150569377</v>
      </c>
      <c r="L182" s="388">
        <f>[1]INVERSIÓN!AL48</f>
        <v>389053045</v>
      </c>
      <c r="M182" s="390"/>
      <c r="N182" s="696"/>
      <c r="O182" s="696"/>
      <c r="P182" s="696"/>
      <c r="Q182" s="696"/>
      <c r="R182" s="696"/>
      <c r="S182" s="696"/>
      <c r="T182" s="696"/>
      <c r="U182" s="696"/>
      <c r="V182" s="696"/>
      <c r="W182" s="696"/>
      <c r="X182" s="696"/>
      <c r="Y182" s="699"/>
      <c r="Z182" s="394"/>
      <c r="AA182" s="395"/>
      <c r="AB182" s="395"/>
      <c r="AC182" s="395"/>
      <c r="AD182" s="395"/>
      <c r="AE182" s="395"/>
      <c r="AF182" s="395"/>
      <c r="AG182" s="395"/>
      <c r="AH182" s="395"/>
      <c r="AI182" s="395"/>
      <c r="AJ182" s="396"/>
      <c r="AK182" s="397"/>
      <c r="AL182" s="397"/>
      <c r="AM182" s="398"/>
      <c r="AN182" s="398"/>
      <c r="AO182" s="398"/>
      <c r="AP182" s="398"/>
      <c r="AQ182" s="398"/>
      <c r="AR182" s="398"/>
      <c r="AS182" s="398"/>
      <c r="AT182" s="5"/>
      <c r="AU182" s="5"/>
      <c r="AV182" s="5"/>
      <c r="AW182" s="5"/>
      <c r="AX182" s="5"/>
      <c r="AY182" s="5"/>
      <c r="AZ182" s="5"/>
      <c r="BA182" s="5"/>
      <c r="BB182" s="5"/>
      <c r="BC182" s="5"/>
    </row>
    <row r="183" spans="1:55" x14ac:dyDescent="0.25">
      <c r="A183" s="713"/>
      <c r="B183" s="696"/>
      <c r="C183" s="722" t="s">
        <v>449</v>
      </c>
      <c r="D183" s="389" t="s">
        <v>348</v>
      </c>
      <c r="E183" s="387">
        <v>2.9091999999999998</v>
      </c>
      <c r="F183" s="387">
        <v>2.9091999999999998</v>
      </c>
      <c r="G183" s="437">
        <f>2.995+F183</f>
        <v>5.9041999999999994</v>
      </c>
      <c r="H183" s="437">
        <f>G183</f>
        <v>5.9041999999999994</v>
      </c>
      <c r="I183" s="438"/>
      <c r="J183" s="387">
        <v>2.9091999999999998</v>
      </c>
      <c r="K183" s="437">
        <f>2.995+J183</f>
        <v>5.9041999999999994</v>
      </c>
      <c r="L183" s="437">
        <v>17.821000000000002</v>
      </c>
      <c r="M183" s="438"/>
      <c r="N183" s="722" t="s">
        <v>449</v>
      </c>
      <c r="O183" s="722" t="s">
        <v>450</v>
      </c>
      <c r="P183" s="720" t="s">
        <v>451</v>
      </c>
      <c r="Q183" s="722" t="s">
        <v>452</v>
      </c>
      <c r="R183" s="720" t="s">
        <v>353</v>
      </c>
      <c r="S183" s="733">
        <v>109254</v>
      </c>
      <c r="T183" s="696"/>
      <c r="U183" s="720" t="s">
        <v>453</v>
      </c>
      <c r="V183" s="720" t="s">
        <v>453</v>
      </c>
      <c r="W183" s="720" t="s">
        <v>356</v>
      </c>
      <c r="X183" s="720" t="s">
        <v>357</v>
      </c>
      <c r="Y183" s="721">
        <v>109254</v>
      </c>
      <c r="Z183" s="394"/>
      <c r="AA183" s="395"/>
      <c r="AB183" s="395"/>
      <c r="AC183" s="395"/>
      <c r="AD183" s="395"/>
      <c r="AE183" s="395"/>
      <c r="AF183" s="395"/>
      <c r="AG183" s="395"/>
      <c r="AH183" s="395"/>
      <c r="AI183" s="395"/>
      <c r="AJ183" s="396"/>
      <c r="AK183" s="397"/>
      <c r="AL183" s="397"/>
      <c r="AM183" s="398"/>
      <c r="AN183" s="398"/>
      <c r="AO183" s="398"/>
      <c r="AP183" s="398"/>
      <c r="AQ183" s="398"/>
      <c r="AR183" s="398"/>
      <c r="AS183" s="398"/>
      <c r="AT183" s="5"/>
      <c r="AU183" s="5"/>
      <c r="AV183" s="5"/>
      <c r="AW183" s="5"/>
      <c r="AX183" s="5"/>
      <c r="AY183" s="5"/>
      <c r="AZ183" s="5"/>
      <c r="BA183" s="5"/>
      <c r="BB183" s="5"/>
      <c r="BC183" s="5"/>
    </row>
    <row r="184" spans="1:55" x14ac:dyDescent="0.25">
      <c r="A184" s="713"/>
      <c r="B184" s="696"/>
      <c r="C184" s="696"/>
      <c r="D184" s="384" t="s">
        <v>360</v>
      </c>
      <c r="E184" s="388">
        <f>(E183*$E$180)/$E$179</f>
        <v>299612.23705777776</v>
      </c>
      <c r="F184" s="388">
        <f>(F183*$F$180)/$F$179</f>
        <v>299612.23705777776</v>
      </c>
      <c r="G184" s="388">
        <f>(G183*$G$180)/$G$179</f>
        <v>608060.83116888884</v>
      </c>
      <c r="H184" s="388">
        <f>(H183*$H$180)/$H$179</f>
        <v>608060.83116888884</v>
      </c>
      <c r="I184" s="439"/>
      <c r="J184" s="388">
        <f>(J183*$J$180)/$J$179</f>
        <v>1711272.8170164532</v>
      </c>
      <c r="K184" s="388">
        <f>(K183*$K$180)/$K$179</f>
        <v>1578769.2585856442</v>
      </c>
      <c r="L184" s="388">
        <f>(L183*$L$180)/$L$179</f>
        <v>2339057.5598765896</v>
      </c>
      <c r="M184" s="439"/>
      <c r="N184" s="696"/>
      <c r="O184" s="696"/>
      <c r="P184" s="696"/>
      <c r="Q184" s="696"/>
      <c r="R184" s="696"/>
      <c r="S184" s="696"/>
      <c r="T184" s="696"/>
      <c r="U184" s="696"/>
      <c r="V184" s="696"/>
      <c r="W184" s="696"/>
      <c r="X184" s="696"/>
      <c r="Y184" s="699"/>
      <c r="Z184" s="394"/>
      <c r="AA184" s="395"/>
      <c r="AB184" s="395"/>
      <c r="AC184" s="395"/>
      <c r="AD184" s="395"/>
      <c r="AE184" s="395"/>
      <c r="AF184" s="395"/>
      <c r="AG184" s="395"/>
      <c r="AH184" s="395"/>
      <c r="AI184" s="395"/>
      <c r="AJ184" s="396"/>
      <c r="AK184" s="397"/>
      <c r="AL184" s="397"/>
      <c r="AM184" s="398"/>
      <c r="AN184" s="398"/>
      <c r="AO184" s="398"/>
      <c r="AP184" s="398"/>
      <c r="AQ184" s="398"/>
      <c r="AR184" s="398"/>
      <c r="AS184" s="398"/>
      <c r="AT184" s="5"/>
      <c r="AU184" s="5"/>
      <c r="AV184" s="5"/>
      <c r="AW184" s="5"/>
      <c r="AX184" s="5"/>
      <c r="AY184" s="5"/>
      <c r="AZ184" s="5"/>
      <c r="BA184" s="5"/>
      <c r="BB184" s="5"/>
      <c r="BC184" s="5"/>
    </row>
    <row r="185" spans="1:55" x14ac:dyDescent="0.25">
      <c r="A185" s="713"/>
      <c r="B185" s="696"/>
      <c r="C185" s="696"/>
      <c r="D185" s="384" t="s">
        <v>365</v>
      </c>
      <c r="E185" s="387">
        <v>0</v>
      </c>
      <c r="F185" s="387">
        <v>0</v>
      </c>
      <c r="G185" s="387">
        <v>0</v>
      </c>
      <c r="H185" s="387">
        <v>0</v>
      </c>
      <c r="I185" s="390"/>
      <c r="J185" s="387">
        <v>0</v>
      </c>
      <c r="K185" s="387">
        <v>0</v>
      </c>
      <c r="L185" s="387">
        <v>0</v>
      </c>
      <c r="M185" s="386"/>
      <c r="N185" s="696"/>
      <c r="O185" s="696"/>
      <c r="P185" s="696"/>
      <c r="Q185" s="696"/>
      <c r="R185" s="696"/>
      <c r="S185" s="696"/>
      <c r="T185" s="696"/>
      <c r="U185" s="696"/>
      <c r="V185" s="696"/>
      <c r="W185" s="696"/>
      <c r="X185" s="696"/>
      <c r="Y185" s="699"/>
      <c r="Z185" s="394"/>
      <c r="AA185" s="395"/>
      <c r="AB185" s="395"/>
      <c r="AC185" s="395"/>
      <c r="AD185" s="395"/>
      <c r="AE185" s="395"/>
      <c r="AF185" s="395"/>
      <c r="AG185" s="395"/>
      <c r="AH185" s="395"/>
      <c r="AI185" s="395"/>
      <c r="AJ185" s="396"/>
      <c r="AK185" s="397"/>
      <c r="AL185" s="397"/>
      <c r="AM185" s="398"/>
      <c r="AN185" s="398"/>
      <c r="AO185" s="398"/>
      <c r="AP185" s="398"/>
      <c r="AQ185" s="398"/>
      <c r="AR185" s="398"/>
      <c r="AS185" s="398"/>
      <c r="AT185" s="5"/>
      <c r="AU185" s="5"/>
      <c r="AV185" s="5"/>
      <c r="AW185" s="5"/>
      <c r="AX185" s="5"/>
      <c r="AY185" s="5"/>
      <c r="AZ185" s="5"/>
      <c r="BA185" s="5"/>
      <c r="BB185" s="5"/>
      <c r="BC185" s="5"/>
    </row>
    <row r="186" spans="1:55" ht="22.5" x14ac:dyDescent="0.25">
      <c r="A186" s="713"/>
      <c r="B186" s="696"/>
      <c r="C186" s="696"/>
      <c r="D186" s="384" t="s">
        <v>370</v>
      </c>
      <c r="E186" s="388">
        <v>0</v>
      </c>
      <c r="F186" s="388">
        <v>0</v>
      </c>
      <c r="G186" s="388">
        <v>0</v>
      </c>
      <c r="H186" s="388">
        <v>0</v>
      </c>
      <c r="I186" s="390"/>
      <c r="J186" s="388">
        <v>0</v>
      </c>
      <c r="K186" s="388">
        <v>0</v>
      </c>
      <c r="L186" s="388">
        <v>0</v>
      </c>
      <c r="M186" s="390"/>
      <c r="N186" s="696"/>
      <c r="O186" s="696"/>
      <c r="P186" s="696"/>
      <c r="Q186" s="696"/>
      <c r="R186" s="696"/>
      <c r="S186" s="696"/>
      <c r="T186" s="696"/>
      <c r="U186" s="696"/>
      <c r="V186" s="696"/>
      <c r="W186" s="696"/>
      <c r="X186" s="696"/>
      <c r="Y186" s="699"/>
      <c r="Z186" s="394"/>
      <c r="AA186" s="395"/>
      <c r="AB186" s="395"/>
      <c r="AC186" s="395"/>
      <c r="AD186" s="395"/>
      <c r="AE186" s="395"/>
      <c r="AF186" s="395"/>
      <c r="AG186" s="395"/>
      <c r="AH186" s="395"/>
      <c r="AI186" s="395"/>
      <c r="AJ186" s="396"/>
      <c r="AK186" s="397"/>
      <c r="AL186" s="397"/>
      <c r="AM186" s="398"/>
      <c r="AN186" s="398"/>
      <c r="AO186" s="398"/>
      <c r="AP186" s="398"/>
      <c r="AQ186" s="398"/>
      <c r="AR186" s="398"/>
      <c r="AS186" s="398"/>
      <c r="AT186" s="5"/>
      <c r="AU186" s="5"/>
      <c r="AV186" s="5"/>
      <c r="AW186" s="5"/>
      <c r="AX186" s="5"/>
      <c r="AY186" s="5"/>
      <c r="AZ186" s="5"/>
      <c r="BA186" s="5"/>
      <c r="BB186" s="5"/>
      <c r="BC186" s="5"/>
    </row>
    <row r="187" spans="1:55" x14ac:dyDescent="0.25">
      <c r="A187" s="713"/>
      <c r="B187" s="696"/>
      <c r="C187" s="722" t="s">
        <v>454</v>
      </c>
      <c r="D187" s="389" t="s">
        <v>348</v>
      </c>
      <c r="E187" s="387">
        <v>8.3039000000000005</v>
      </c>
      <c r="F187" s="387">
        <v>8.3039000000000005</v>
      </c>
      <c r="G187" s="437">
        <f>17.869+F187</f>
        <v>26.172899999999998</v>
      </c>
      <c r="H187" s="437">
        <f>G187</f>
        <v>26.172899999999998</v>
      </c>
      <c r="I187" s="438"/>
      <c r="J187" s="387">
        <v>8.3039000000000005</v>
      </c>
      <c r="K187" s="437">
        <f>17.869+J187</f>
        <v>26.172899999999998</v>
      </c>
      <c r="L187" s="437">
        <v>91.557000000000002</v>
      </c>
      <c r="M187" s="438"/>
      <c r="N187" s="722" t="s">
        <v>454</v>
      </c>
      <c r="O187" s="722" t="s">
        <v>455</v>
      </c>
      <c r="P187" s="720" t="s">
        <v>456</v>
      </c>
      <c r="Q187" s="722" t="s">
        <v>452</v>
      </c>
      <c r="R187" s="720" t="s">
        <v>353</v>
      </c>
      <c r="S187" s="733">
        <v>267106</v>
      </c>
      <c r="T187" s="696"/>
      <c r="U187" s="720" t="s">
        <v>453</v>
      </c>
      <c r="V187" s="720" t="s">
        <v>453</v>
      </c>
      <c r="W187" s="720" t="s">
        <v>356</v>
      </c>
      <c r="X187" s="720" t="s">
        <v>357</v>
      </c>
      <c r="Y187" s="721">
        <v>267106</v>
      </c>
      <c r="Z187" s="394"/>
      <c r="AA187" s="395"/>
      <c r="AB187" s="395"/>
      <c r="AC187" s="395"/>
      <c r="AD187" s="395"/>
      <c r="AE187" s="395"/>
      <c r="AF187" s="395"/>
      <c r="AG187" s="395"/>
      <c r="AH187" s="395"/>
      <c r="AI187" s="395"/>
      <c r="AJ187" s="396"/>
      <c r="AK187" s="397"/>
      <c r="AL187" s="397"/>
      <c r="AM187" s="398"/>
      <c r="AN187" s="398"/>
      <c r="AO187" s="398"/>
      <c r="AP187" s="398"/>
      <c r="AQ187" s="398"/>
      <c r="AR187" s="398"/>
      <c r="AS187" s="398"/>
      <c r="AT187" s="5"/>
      <c r="AU187" s="5"/>
      <c r="AV187" s="5"/>
      <c r="AW187" s="5"/>
      <c r="AX187" s="5"/>
      <c r="AY187" s="5"/>
      <c r="AZ187" s="5"/>
      <c r="BA187" s="5"/>
      <c r="BB187" s="5"/>
      <c r="BC187" s="5"/>
    </row>
    <row r="188" spans="1:55" x14ac:dyDescent="0.25">
      <c r="A188" s="713"/>
      <c r="B188" s="696"/>
      <c r="C188" s="696"/>
      <c r="D188" s="384" t="s">
        <v>360</v>
      </c>
      <c r="E188" s="388">
        <f>(E187*$E$180)/$E$179</f>
        <v>855200.76148222224</v>
      </c>
      <c r="F188" s="388">
        <f>(F187*$F$180)/$F$179</f>
        <v>855200.76148222224</v>
      </c>
      <c r="G188" s="388">
        <f>(G187*$G$180)/$G$179</f>
        <v>2695490.5538599999</v>
      </c>
      <c r="H188" s="388">
        <f>(H187*$H$180)/$H$179</f>
        <v>2695490.5538599999</v>
      </c>
      <c r="I188" s="439"/>
      <c r="J188" s="388">
        <f>(J187*$J$180)/$J$179</f>
        <v>4884586.2591856616</v>
      </c>
      <c r="K188" s="388">
        <f>(K187*$K$180)/$K$179</f>
        <v>6998572.1906500813</v>
      </c>
      <c r="L188" s="388">
        <v>7998572.1906500803</v>
      </c>
      <c r="M188" s="439"/>
      <c r="N188" s="696"/>
      <c r="O188" s="696"/>
      <c r="P188" s="696"/>
      <c r="Q188" s="696"/>
      <c r="R188" s="696"/>
      <c r="S188" s="696"/>
      <c r="T188" s="696"/>
      <c r="U188" s="696"/>
      <c r="V188" s="696"/>
      <c r="W188" s="696"/>
      <c r="X188" s="696"/>
      <c r="Y188" s="699"/>
      <c r="Z188" s="394"/>
      <c r="AA188" s="395"/>
      <c r="AB188" s="395"/>
      <c r="AC188" s="395"/>
      <c r="AD188" s="395"/>
      <c r="AE188" s="395"/>
      <c r="AF188" s="395"/>
      <c r="AG188" s="395"/>
      <c r="AH188" s="395"/>
      <c r="AI188" s="395"/>
      <c r="AJ188" s="396"/>
      <c r="AK188" s="397"/>
      <c r="AL188" s="397"/>
      <c r="AM188" s="398"/>
      <c r="AN188" s="398"/>
      <c r="AO188" s="398"/>
      <c r="AP188" s="398"/>
      <c r="AQ188" s="398"/>
      <c r="AR188" s="398"/>
      <c r="AS188" s="398"/>
      <c r="AT188" s="5"/>
      <c r="AU188" s="5"/>
      <c r="AV188" s="5"/>
      <c r="AW188" s="5"/>
      <c r="AX188" s="5"/>
      <c r="AY188" s="5"/>
      <c r="AZ188" s="5"/>
      <c r="BA188" s="5"/>
      <c r="BB188" s="5"/>
      <c r="BC188" s="5"/>
    </row>
    <row r="189" spans="1:55" x14ac:dyDescent="0.25">
      <c r="A189" s="713"/>
      <c r="B189" s="696"/>
      <c r="C189" s="696"/>
      <c r="D189" s="384" t="s">
        <v>365</v>
      </c>
      <c r="E189" s="387">
        <v>0</v>
      </c>
      <c r="F189" s="387">
        <v>0</v>
      </c>
      <c r="G189" s="387">
        <v>0</v>
      </c>
      <c r="H189" s="387">
        <v>0</v>
      </c>
      <c r="I189" s="390"/>
      <c r="J189" s="387">
        <v>0</v>
      </c>
      <c r="K189" s="387">
        <v>0</v>
      </c>
      <c r="L189" s="387">
        <v>0</v>
      </c>
      <c r="M189" s="386"/>
      <c r="N189" s="696"/>
      <c r="O189" s="696"/>
      <c r="P189" s="696"/>
      <c r="Q189" s="696"/>
      <c r="R189" s="696"/>
      <c r="S189" s="696"/>
      <c r="T189" s="696"/>
      <c r="U189" s="696"/>
      <c r="V189" s="696"/>
      <c r="W189" s="696"/>
      <c r="X189" s="696"/>
      <c r="Y189" s="699"/>
      <c r="Z189" s="394"/>
      <c r="AA189" s="395"/>
      <c r="AB189" s="395"/>
      <c r="AC189" s="395"/>
      <c r="AD189" s="395"/>
      <c r="AE189" s="395"/>
      <c r="AF189" s="395"/>
      <c r="AG189" s="395"/>
      <c r="AH189" s="395"/>
      <c r="AI189" s="395"/>
      <c r="AJ189" s="396"/>
      <c r="AK189" s="397"/>
      <c r="AL189" s="397"/>
      <c r="AM189" s="398"/>
      <c r="AN189" s="398"/>
      <c r="AO189" s="398"/>
      <c r="AP189" s="398"/>
      <c r="AQ189" s="398"/>
      <c r="AR189" s="398"/>
      <c r="AS189" s="398"/>
      <c r="AT189" s="5"/>
      <c r="AU189" s="5"/>
      <c r="AV189" s="5"/>
      <c r="AW189" s="5"/>
      <c r="AX189" s="5"/>
      <c r="AY189" s="5"/>
      <c r="AZ189" s="5"/>
      <c r="BA189" s="5"/>
      <c r="BB189" s="5"/>
      <c r="BC189" s="5"/>
    </row>
    <row r="190" spans="1:55" ht="22.5" x14ac:dyDescent="0.25">
      <c r="A190" s="713"/>
      <c r="B190" s="696"/>
      <c r="C190" s="696"/>
      <c r="D190" s="384" t="s">
        <v>370</v>
      </c>
      <c r="E190" s="388">
        <v>0</v>
      </c>
      <c r="F190" s="388">
        <v>0</v>
      </c>
      <c r="G190" s="388">
        <v>0</v>
      </c>
      <c r="H190" s="388">
        <v>0</v>
      </c>
      <c r="I190" s="390"/>
      <c r="J190" s="388">
        <v>0</v>
      </c>
      <c r="K190" s="388">
        <v>0</v>
      </c>
      <c r="L190" s="388">
        <v>0</v>
      </c>
      <c r="M190" s="390"/>
      <c r="N190" s="696"/>
      <c r="O190" s="696"/>
      <c r="P190" s="696"/>
      <c r="Q190" s="696"/>
      <c r="R190" s="696"/>
      <c r="S190" s="696"/>
      <c r="T190" s="696"/>
      <c r="U190" s="696"/>
      <c r="V190" s="696"/>
      <c r="W190" s="696"/>
      <c r="X190" s="696"/>
      <c r="Y190" s="699"/>
      <c r="Z190" s="394"/>
      <c r="AA190" s="395"/>
      <c r="AB190" s="395"/>
      <c r="AC190" s="395"/>
      <c r="AD190" s="395"/>
      <c r="AE190" s="395"/>
      <c r="AF190" s="395"/>
      <c r="AG190" s="395"/>
      <c r="AH190" s="395"/>
      <c r="AI190" s="395"/>
      <c r="AJ190" s="396"/>
      <c r="AK190" s="397"/>
      <c r="AL190" s="397"/>
      <c r="AM190" s="398"/>
      <c r="AN190" s="398"/>
      <c r="AO190" s="398"/>
      <c r="AP190" s="398"/>
      <c r="AQ190" s="398"/>
      <c r="AR190" s="398"/>
      <c r="AS190" s="398"/>
      <c r="AT190" s="5"/>
      <c r="AU190" s="5"/>
      <c r="AV190" s="5"/>
      <c r="AW190" s="5"/>
      <c r="AX190" s="5"/>
      <c r="AY190" s="5"/>
      <c r="AZ190" s="5"/>
      <c r="BA190" s="5"/>
      <c r="BB190" s="5"/>
      <c r="BC190" s="5"/>
    </row>
    <row r="191" spans="1:55" x14ac:dyDescent="0.25">
      <c r="A191" s="713"/>
      <c r="B191" s="696"/>
      <c r="C191" s="722" t="s">
        <v>372</v>
      </c>
      <c r="D191" s="389" t="s">
        <v>348</v>
      </c>
      <c r="E191" s="387">
        <v>5.0465</v>
      </c>
      <c r="F191" s="387">
        <v>5.0465</v>
      </c>
      <c r="G191" s="437">
        <f>1.785+F191</f>
        <v>6.8315000000000001</v>
      </c>
      <c r="H191" s="437">
        <f>G191</f>
        <v>6.8315000000000001</v>
      </c>
      <c r="I191" s="438"/>
      <c r="J191" s="387">
        <v>5.0465</v>
      </c>
      <c r="K191" s="437">
        <f>1.785+J191</f>
        <v>6.8315000000000001</v>
      </c>
      <c r="L191" s="437">
        <v>12.579000000000001</v>
      </c>
      <c r="M191" s="438"/>
      <c r="N191" s="722" t="s">
        <v>372</v>
      </c>
      <c r="O191" s="722" t="s">
        <v>457</v>
      </c>
      <c r="P191" s="720" t="s">
        <v>458</v>
      </c>
      <c r="Q191" s="722" t="s">
        <v>452</v>
      </c>
      <c r="R191" s="720" t="s">
        <v>353</v>
      </c>
      <c r="S191" s="733">
        <v>731047</v>
      </c>
      <c r="T191" s="696"/>
      <c r="U191" s="720" t="s">
        <v>453</v>
      </c>
      <c r="V191" s="720" t="s">
        <v>453</v>
      </c>
      <c r="W191" s="720" t="s">
        <v>356</v>
      </c>
      <c r="X191" s="720" t="s">
        <v>357</v>
      </c>
      <c r="Y191" s="721">
        <v>731047</v>
      </c>
      <c r="Z191" s="394"/>
      <c r="AA191" s="395"/>
      <c r="AB191" s="395"/>
      <c r="AC191" s="395"/>
      <c r="AD191" s="395"/>
      <c r="AE191" s="395"/>
      <c r="AF191" s="395"/>
      <c r="AG191" s="395"/>
      <c r="AH191" s="395"/>
      <c r="AI191" s="395"/>
      <c r="AJ191" s="396"/>
      <c r="AK191" s="397"/>
      <c r="AL191" s="397"/>
      <c r="AM191" s="398"/>
      <c r="AN191" s="398"/>
      <c r="AO191" s="398"/>
      <c r="AP191" s="398"/>
      <c r="AQ191" s="398"/>
      <c r="AR191" s="398"/>
      <c r="AS191" s="398"/>
      <c r="AT191" s="5"/>
      <c r="AU191" s="5"/>
      <c r="AV191" s="5"/>
      <c r="AW191" s="5"/>
      <c r="AX191" s="5"/>
      <c r="AY191" s="5"/>
      <c r="AZ191" s="5"/>
      <c r="BA191" s="5"/>
      <c r="BB191" s="5"/>
      <c r="BC191" s="5"/>
    </row>
    <row r="192" spans="1:55" x14ac:dyDescent="0.25">
      <c r="A192" s="713"/>
      <c r="B192" s="696"/>
      <c r="C192" s="696"/>
      <c r="D192" s="384" t="s">
        <v>360</v>
      </c>
      <c r="E192" s="388">
        <f>(E191*$E$180)/$E$179</f>
        <v>519728.15698888886</v>
      </c>
      <c r="F192" s="388">
        <f>(F191*$F$180)/$F$179</f>
        <v>519728.15698888886</v>
      </c>
      <c r="G192" s="388">
        <f>(G191*$G$180)/$G$179</f>
        <v>703561.45932222228</v>
      </c>
      <c r="H192" s="388">
        <f>(H191*$H$180)/$H$179</f>
        <v>703561.45932222228</v>
      </c>
      <c r="I192" s="439"/>
      <c r="J192" s="388">
        <f>(J191*$J$180)/$J$179</f>
        <v>2968492.4622141933</v>
      </c>
      <c r="K192" s="388">
        <f>(K191*$K$180)/$K$179</f>
        <v>1826727.1078262643</v>
      </c>
      <c r="L192" s="388">
        <v>1826727.1078262643</v>
      </c>
      <c r="M192" s="439"/>
      <c r="N192" s="696"/>
      <c r="O192" s="696"/>
      <c r="P192" s="696"/>
      <c r="Q192" s="696"/>
      <c r="R192" s="696"/>
      <c r="S192" s="696"/>
      <c r="T192" s="696"/>
      <c r="U192" s="696"/>
      <c r="V192" s="696"/>
      <c r="W192" s="696"/>
      <c r="X192" s="696"/>
      <c r="Y192" s="699"/>
      <c r="Z192" s="394"/>
      <c r="AA192" s="395"/>
      <c r="AB192" s="395"/>
      <c r="AC192" s="395"/>
      <c r="AD192" s="395"/>
      <c r="AE192" s="395"/>
      <c r="AF192" s="395"/>
      <c r="AG192" s="395"/>
      <c r="AH192" s="395"/>
      <c r="AI192" s="395"/>
      <c r="AJ192" s="396"/>
      <c r="AK192" s="397"/>
      <c r="AL192" s="397"/>
      <c r="AM192" s="398"/>
      <c r="AN192" s="398"/>
      <c r="AO192" s="398"/>
      <c r="AP192" s="398"/>
      <c r="AQ192" s="398"/>
      <c r="AR192" s="398"/>
      <c r="AS192" s="398"/>
      <c r="AT192" s="5"/>
      <c r="AU192" s="5"/>
      <c r="AV192" s="5"/>
      <c r="AW192" s="5"/>
      <c r="AX192" s="5"/>
      <c r="AY192" s="5"/>
      <c r="AZ192" s="5"/>
      <c r="BA192" s="5"/>
      <c r="BB192" s="5"/>
      <c r="BC192" s="5"/>
    </row>
    <row r="193" spans="1:55" x14ac:dyDescent="0.25">
      <c r="A193" s="713"/>
      <c r="B193" s="696"/>
      <c r="C193" s="696"/>
      <c r="D193" s="384" t="s">
        <v>365</v>
      </c>
      <c r="E193" s="387">
        <v>0</v>
      </c>
      <c r="F193" s="387">
        <v>0</v>
      </c>
      <c r="G193" s="387">
        <v>0</v>
      </c>
      <c r="H193" s="387">
        <v>0</v>
      </c>
      <c r="I193" s="390"/>
      <c r="J193" s="387">
        <v>0</v>
      </c>
      <c r="K193" s="387">
        <v>0</v>
      </c>
      <c r="L193" s="387">
        <v>0</v>
      </c>
      <c r="M193" s="386"/>
      <c r="N193" s="696"/>
      <c r="O193" s="696"/>
      <c r="P193" s="696"/>
      <c r="Q193" s="696"/>
      <c r="R193" s="696"/>
      <c r="S193" s="696"/>
      <c r="T193" s="696"/>
      <c r="U193" s="696"/>
      <c r="V193" s="696"/>
      <c r="W193" s="696"/>
      <c r="X193" s="696"/>
      <c r="Y193" s="699"/>
      <c r="Z193" s="394"/>
      <c r="AA193" s="395"/>
      <c r="AB193" s="395"/>
      <c r="AC193" s="395"/>
      <c r="AD193" s="395"/>
      <c r="AE193" s="395"/>
      <c r="AF193" s="395"/>
      <c r="AG193" s="395"/>
      <c r="AH193" s="395"/>
      <c r="AI193" s="395"/>
      <c r="AJ193" s="396"/>
      <c r="AK193" s="397"/>
      <c r="AL193" s="397"/>
      <c r="AM193" s="398"/>
      <c r="AN193" s="398"/>
      <c r="AO193" s="398"/>
      <c r="AP193" s="398"/>
      <c r="AQ193" s="398"/>
      <c r="AR193" s="398"/>
      <c r="AS193" s="398"/>
      <c r="AT193" s="5"/>
      <c r="AU193" s="5"/>
      <c r="AV193" s="5"/>
      <c r="AW193" s="5"/>
      <c r="AX193" s="5"/>
      <c r="AY193" s="5"/>
      <c r="AZ193" s="5"/>
      <c r="BA193" s="5"/>
      <c r="BB193" s="5"/>
      <c r="BC193" s="5"/>
    </row>
    <row r="194" spans="1:55" ht="22.5" x14ac:dyDescent="0.25">
      <c r="A194" s="713"/>
      <c r="B194" s="696"/>
      <c r="C194" s="696"/>
      <c r="D194" s="384" t="s">
        <v>370</v>
      </c>
      <c r="E194" s="388">
        <v>0</v>
      </c>
      <c r="F194" s="388">
        <v>0</v>
      </c>
      <c r="G194" s="388">
        <v>0</v>
      </c>
      <c r="H194" s="388">
        <v>0</v>
      </c>
      <c r="I194" s="390"/>
      <c r="J194" s="388">
        <v>0</v>
      </c>
      <c r="K194" s="388">
        <v>0</v>
      </c>
      <c r="L194" s="388">
        <v>0</v>
      </c>
      <c r="M194" s="390"/>
      <c r="N194" s="696"/>
      <c r="O194" s="696"/>
      <c r="P194" s="696"/>
      <c r="Q194" s="696"/>
      <c r="R194" s="696"/>
      <c r="S194" s="696"/>
      <c r="T194" s="696"/>
      <c r="U194" s="696"/>
      <c r="V194" s="696"/>
      <c r="W194" s="696"/>
      <c r="X194" s="696"/>
      <c r="Y194" s="699"/>
      <c r="Z194" s="394"/>
      <c r="AA194" s="395"/>
      <c r="AB194" s="395"/>
      <c r="AC194" s="395"/>
      <c r="AD194" s="395"/>
      <c r="AE194" s="395"/>
      <c r="AF194" s="395"/>
      <c r="AG194" s="395"/>
      <c r="AH194" s="395"/>
      <c r="AI194" s="395"/>
      <c r="AJ194" s="396"/>
      <c r="AK194" s="397"/>
      <c r="AL194" s="397"/>
      <c r="AM194" s="398"/>
      <c r="AN194" s="398"/>
      <c r="AO194" s="398"/>
      <c r="AP194" s="398"/>
      <c r="AQ194" s="398"/>
      <c r="AR194" s="398"/>
      <c r="AS194" s="398"/>
      <c r="AT194" s="5"/>
      <c r="AU194" s="5"/>
      <c r="AV194" s="5"/>
      <c r="AW194" s="5"/>
      <c r="AX194" s="5"/>
      <c r="AY194" s="5"/>
      <c r="AZ194" s="5"/>
      <c r="BA194" s="5"/>
      <c r="BB194" s="5"/>
      <c r="BC194" s="5"/>
    </row>
    <row r="195" spans="1:55" x14ac:dyDescent="0.25">
      <c r="A195" s="713"/>
      <c r="B195" s="696"/>
      <c r="C195" s="722" t="s">
        <v>376</v>
      </c>
      <c r="D195" s="389" t="s">
        <v>348</v>
      </c>
      <c r="E195" s="387">
        <v>1.1399999999999999</v>
      </c>
      <c r="F195" s="387">
        <v>1.1399999999999999</v>
      </c>
      <c r="G195" s="437">
        <f>2.815+F195</f>
        <v>3.9550000000000001</v>
      </c>
      <c r="H195" s="437">
        <f>G195</f>
        <v>3.9550000000000001</v>
      </c>
      <c r="I195" s="438"/>
      <c r="J195" s="387">
        <v>1.1399999999999999</v>
      </c>
      <c r="K195" s="437">
        <f>2.815+J195</f>
        <v>3.9550000000000001</v>
      </c>
      <c r="L195" s="437">
        <v>19.273</v>
      </c>
      <c r="M195" s="438"/>
      <c r="N195" s="722" t="s">
        <v>376</v>
      </c>
      <c r="O195" s="722" t="s">
        <v>459</v>
      </c>
      <c r="P195" s="720" t="s">
        <v>460</v>
      </c>
      <c r="Q195" s="722" t="s">
        <v>452</v>
      </c>
      <c r="R195" s="720" t="s">
        <v>353</v>
      </c>
      <c r="S195" s="733">
        <v>22438</v>
      </c>
      <c r="T195" s="696"/>
      <c r="U195" s="720" t="s">
        <v>453</v>
      </c>
      <c r="V195" s="720" t="s">
        <v>453</v>
      </c>
      <c r="W195" s="720" t="s">
        <v>356</v>
      </c>
      <c r="X195" s="720" t="s">
        <v>357</v>
      </c>
      <c r="Y195" s="721">
        <v>22438</v>
      </c>
      <c r="Z195" s="394"/>
      <c r="AA195" s="395"/>
      <c r="AB195" s="395"/>
      <c r="AC195" s="395"/>
      <c r="AD195" s="395"/>
      <c r="AE195" s="395"/>
      <c r="AF195" s="395"/>
      <c r="AG195" s="395"/>
      <c r="AH195" s="395"/>
      <c r="AI195" s="395"/>
      <c r="AJ195" s="396"/>
      <c r="AK195" s="397"/>
      <c r="AL195" s="397"/>
      <c r="AM195" s="398"/>
      <c r="AN195" s="398"/>
      <c r="AO195" s="398"/>
      <c r="AP195" s="398"/>
      <c r="AQ195" s="398"/>
      <c r="AR195" s="398"/>
      <c r="AS195" s="398"/>
      <c r="AT195" s="5"/>
      <c r="AU195" s="5"/>
      <c r="AV195" s="5"/>
      <c r="AW195" s="5"/>
      <c r="AX195" s="5"/>
      <c r="AY195" s="5"/>
      <c r="AZ195" s="5"/>
      <c r="BA195" s="5"/>
      <c r="BB195" s="5"/>
      <c r="BC195" s="5"/>
    </row>
    <row r="196" spans="1:55" x14ac:dyDescent="0.25">
      <c r="A196" s="713"/>
      <c r="B196" s="696"/>
      <c r="C196" s="696"/>
      <c r="D196" s="384" t="s">
        <v>360</v>
      </c>
      <c r="E196" s="388">
        <f>(E195*$E$180)/$E$179</f>
        <v>117406.14266666665</v>
      </c>
      <c r="F196" s="388">
        <f>(F195*$F$180)/$F$179</f>
        <v>117406.14266666665</v>
      </c>
      <c r="G196" s="388">
        <f>(G195*$G$180)/$G$179</f>
        <v>407316.92477777775</v>
      </c>
      <c r="H196" s="388">
        <f>(H195*$H$180)/$H$179</f>
        <v>407316.92477777775</v>
      </c>
      <c r="I196" s="439"/>
      <c r="J196" s="388">
        <f>(J195*$J$180)/$J$179</f>
        <v>670579.88842250674</v>
      </c>
      <c r="K196" s="388">
        <f>(K195*$K$180)/$K$179</f>
        <v>1057557.741557912</v>
      </c>
      <c r="L196" s="388">
        <f>(L195*$L$180)/$L$179</f>
        <v>2529636.7404467487</v>
      </c>
      <c r="M196" s="439"/>
      <c r="N196" s="696"/>
      <c r="O196" s="696"/>
      <c r="P196" s="696"/>
      <c r="Q196" s="696"/>
      <c r="R196" s="696"/>
      <c r="S196" s="696"/>
      <c r="T196" s="696"/>
      <c r="U196" s="696"/>
      <c r="V196" s="696"/>
      <c r="W196" s="696"/>
      <c r="X196" s="696"/>
      <c r="Y196" s="699"/>
      <c r="Z196" s="394"/>
      <c r="AA196" s="395"/>
      <c r="AB196" s="395"/>
      <c r="AC196" s="395"/>
      <c r="AD196" s="395"/>
      <c r="AE196" s="395"/>
      <c r="AF196" s="395"/>
      <c r="AG196" s="395"/>
      <c r="AH196" s="395"/>
      <c r="AI196" s="395"/>
      <c r="AJ196" s="396"/>
      <c r="AK196" s="397"/>
      <c r="AL196" s="397"/>
      <c r="AM196" s="398"/>
      <c r="AN196" s="398"/>
      <c r="AO196" s="398"/>
      <c r="AP196" s="398"/>
      <c r="AQ196" s="398"/>
      <c r="AR196" s="398"/>
      <c r="AS196" s="398"/>
      <c r="AT196" s="5"/>
      <c r="AU196" s="5"/>
      <c r="AV196" s="5"/>
      <c r="AW196" s="5"/>
      <c r="AX196" s="5"/>
      <c r="AY196" s="5"/>
      <c r="AZ196" s="5"/>
      <c r="BA196" s="5"/>
      <c r="BB196" s="5"/>
      <c r="BC196" s="5"/>
    </row>
    <row r="197" spans="1:55" x14ac:dyDescent="0.25">
      <c r="A197" s="713"/>
      <c r="B197" s="696"/>
      <c r="C197" s="696"/>
      <c r="D197" s="384" t="s">
        <v>365</v>
      </c>
      <c r="E197" s="387">
        <v>0</v>
      </c>
      <c r="F197" s="387">
        <v>0</v>
      </c>
      <c r="G197" s="387">
        <v>0</v>
      </c>
      <c r="H197" s="387">
        <v>0</v>
      </c>
      <c r="I197" s="390"/>
      <c r="J197" s="387">
        <v>0</v>
      </c>
      <c r="K197" s="387">
        <v>0</v>
      </c>
      <c r="L197" s="387">
        <v>0</v>
      </c>
      <c r="M197" s="386"/>
      <c r="N197" s="696"/>
      <c r="O197" s="696"/>
      <c r="P197" s="696"/>
      <c r="Q197" s="696"/>
      <c r="R197" s="696"/>
      <c r="S197" s="696"/>
      <c r="T197" s="696"/>
      <c r="U197" s="696"/>
      <c r="V197" s="696"/>
      <c r="W197" s="696"/>
      <c r="X197" s="696"/>
      <c r="Y197" s="699"/>
      <c r="Z197" s="394"/>
      <c r="AA197" s="395"/>
      <c r="AB197" s="395"/>
      <c r="AC197" s="395"/>
      <c r="AD197" s="395"/>
      <c r="AE197" s="395"/>
      <c r="AF197" s="395"/>
      <c r="AG197" s="395"/>
      <c r="AH197" s="395"/>
      <c r="AI197" s="395"/>
      <c r="AJ197" s="396"/>
      <c r="AK197" s="397"/>
      <c r="AL197" s="397"/>
      <c r="AM197" s="398"/>
      <c r="AN197" s="398"/>
      <c r="AO197" s="398"/>
      <c r="AP197" s="398"/>
      <c r="AQ197" s="398"/>
      <c r="AR197" s="398"/>
      <c r="AS197" s="398"/>
      <c r="AT197" s="5"/>
      <c r="AU197" s="5"/>
      <c r="AV197" s="5"/>
      <c r="AW197" s="5"/>
      <c r="AX197" s="5"/>
      <c r="AY197" s="5"/>
      <c r="AZ197" s="5"/>
      <c r="BA197" s="5"/>
      <c r="BB197" s="5"/>
      <c r="BC197" s="5"/>
    </row>
    <row r="198" spans="1:55" ht="22.5" x14ac:dyDescent="0.25">
      <c r="A198" s="713"/>
      <c r="B198" s="696"/>
      <c r="C198" s="696"/>
      <c r="D198" s="384" t="s">
        <v>370</v>
      </c>
      <c r="E198" s="388">
        <v>0</v>
      </c>
      <c r="F198" s="388">
        <v>0</v>
      </c>
      <c r="G198" s="388">
        <v>0</v>
      </c>
      <c r="H198" s="388">
        <v>0</v>
      </c>
      <c r="I198" s="390"/>
      <c r="J198" s="388">
        <v>0</v>
      </c>
      <c r="K198" s="388">
        <v>0</v>
      </c>
      <c r="L198" s="388">
        <v>0</v>
      </c>
      <c r="M198" s="390"/>
      <c r="N198" s="696"/>
      <c r="O198" s="696"/>
      <c r="P198" s="696"/>
      <c r="Q198" s="696"/>
      <c r="R198" s="696"/>
      <c r="S198" s="696"/>
      <c r="T198" s="696"/>
      <c r="U198" s="696"/>
      <c r="V198" s="696"/>
      <c r="W198" s="696"/>
      <c r="X198" s="696"/>
      <c r="Y198" s="699"/>
      <c r="Z198" s="394"/>
      <c r="AA198" s="395"/>
      <c r="AB198" s="395"/>
      <c r="AC198" s="395"/>
      <c r="AD198" s="395"/>
      <c r="AE198" s="395"/>
      <c r="AF198" s="395"/>
      <c r="AG198" s="395"/>
      <c r="AH198" s="395"/>
      <c r="AI198" s="395"/>
      <c r="AJ198" s="396"/>
      <c r="AK198" s="397"/>
      <c r="AL198" s="397"/>
      <c r="AM198" s="398"/>
      <c r="AN198" s="398"/>
      <c r="AO198" s="398"/>
      <c r="AP198" s="398"/>
      <c r="AQ198" s="398"/>
      <c r="AR198" s="398"/>
      <c r="AS198" s="398"/>
      <c r="AT198" s="5"/>
      <c r="AU198" s="5"/>
      <c r="AV198" s="5"/>
      <c r="AW198" s="5"/>
      <c r="AX198" s="5"/>
      <c r="AY198" s="5"/>
      <c r="AZ198" s="5"/>
      <c r="BA198" s="5"/>
      <c r="BB198" s="5"/>
      <c r="BC198" s="5"/>
    </row>
    <row r="199" spans="1:55" x14ac:dyDescent="0.25">
      <c r="A199" s="713"/>
      <c r="B199" s="696"/>
      <c r="C199" s="722" t="s">
        <v>373</v>
      </c>
      <c r="D199" s="389" t="s">
        <v>348</v>
      </c>
      <c r="E199" s="387">
        <v>43.546599999999998</v>
      </c>
      <c r="F199" s="387">
        <v>43.546599999999998</v>
      </c>
      <c r="G199" s="437">
        <f>39.664+F199</f>
        <v>83.210599999999999</v>
      </c>
      <c r="H199" s="437">
        <f>G199</f>
        <v>83.210599999999999</v>
      </c>
      <c r="I199" s="438"/>
      <c r="J199" s="387">
        <v>43.546599999999998</v>
      </c>
      <c r="K199" s="437">
        <f>39.664+J199</f>
        <v>83.210599999999999</v>
      </c>
      <c r="L199" s="437">
        <v>263.83999999999997</v>
      </c>
      <c r="M199" s="438"/>
      <c r="N199" s="722" t="s">
        <v>373</v>
      </c>
      <c r="O199" s="722" t="s">
        <v>461</v>
      </c>
      <c r="P199" s="720" t="s">
        <v>462</v>
      </c>
      <c r="Q199" s="722" t="s">
        <v>452</v>
      </c>
      <c r="R199" s="720" t="s">
        <v>353</v>
      </c>
      <c r="S199" s="733">
        <v>126595</v>
      </c>
      <c r="T199" s="696"/>
      <c r="U199" s="720" t="s">
        <v>453</v>
      </c>
      <c r="V199" s="720" t="s">
        <v>453</v>
      </c>
      <c r="W199" s="720" t="s">
        <v>356</v>
      </c>
      <c r="X199" s="720" t="s">
        <v>357</v>
      </c>
      <c r="Y199" s="721">
        <v>126595</v>
      </c>
      <c r="Z199" s="394"/>
      <c r="AA199" s="395"/>
      <c r="AB199" s="395"/>
      <c r="AC199" s="395"/>
      <c r="AD199" s="395"/>
      <c r="AE199" s="395"/>
      <c r="AF199" s="395"/>
      <c r="AG199" s="395"/>
      <c r="AH199" s="395"/>
      <c r="AI199" s="395"/>
      <c r="AJ199" s="396"/>
      <c r="AK199" s="397"/>
      <c r="AL199" s="397"/>
      <c r="AM199" s="398"/>
      <c r="AN199" s="398"/>
      <c r="AO199" s="398"/>
      <c r="AP199" s="398"/>
      <c r="AQ199" s="398"/>
      <c r="AR199" s="398"/>
      <c r="AS199" s="398"/>
      <c r="AT199" s="5"/>
      <c r="AU199" s="5"/>
      <c r="AV199" s="5"/>
      <c r="AW199" s="5"/>
      <c r="AX199" s="5"/>
      <c r="AY199" s="5"/>
      <c r="AZ199" s="5"/>
      <c r="BA199" s="5"/>
      <c r="BB199" s="5"/>
      <c r="BC199" s="5"/>
    </row>
    <row r="200" spans="1:55" x14ac:dyDescent="0.25">
      <c r="A200" s="713"/>
      <c r="B200" s="696"/>
      <c r="C200" s="696"/>
      <c r="D200" s="384" t="s">
        <v>360</v>
      </c>
      <c r="E200" s="388">
        <f>(E199*$E$180)/$E$179</f>
        <v>4484770.4668844445</v>
      </c>
      <c r="F200" s="388">
        <f>(F199*$F$180)/$F$179</f>
        <v>4484770.4668844445</v>
      </c>
      <c r="G200" s="388">
        <f>(G199*$G$180)/$G$179</f>
        <v>8569680.3289288897</v>
      </c>
      <c r="H200" s="388">
        <f>(H199*$H$180)/$H$179</f>
        <v>8569680.3289288897</v>
      </c>
      <c r="I200" s="439"/>
      <c r="J200" s="388">
        <f>(J199*$J$180)/$J$179</f>
        <v>25615328.218578536</v>
      </c>
      <c r="K200" s="388">
        <f>(K199*$K$180)/$K$179</f>
        <v>22250319.648464929</v>
      </c>
      <c r="L200" s="388">
        <f>(L199*$L$180)/$L$179</f>
        <v>34629759.642996423</v>
      </c>
      <c r="M200" s="439"/>
      <c r="N200" s="696"/>
      <c r="O200" s="696"/>
      <c r="P200" s="696"/>
      <c r="Q200" s="696"/>
      <c r="R200" s="696"/>
      <c r="S200" s="696"/>
      <c r="T200" s="696"/>
      <c r="U200" s="696"/>
      <c r="V200" s="696"/>
      <c r="W200" s="696"/>
      <c r="X200" s="696"/>
      <c r="Y200" s="699"/>
      <c r="Z200" s="394"/>
      <c r="AA200" s="395"/>
      <c r="AB200" s="395"/>
      <c r="AC200" s="395"/>
      <c r="AD200" s="395"/>
      <c r="AE200" s="395"/>
      <c r="AF200" s="395"/>
      <c r="AG200" s="395"/>
      <c r="AH200" s="395"/>
      <c r="AI200" s="395"/>
      <c r="AJ200" s="396"/>
      <c r="AK200" s="397"/>
      <c r="AL200" s="397"/>
      <c r="AM200" s="398"/>
      <c r="AN200" s="398"/>
      <c r="AO200" s="398"/>
      <c r="AP200" s="398"/>
      <c r="AQ200" s="398"/>
      <c r="AR200" s="398"/>
      <c r="AS200" s="398"/>
      <c r="AT200" s="5"/>
      <c r="AU200" s="5"/>
      <c r="AV200" s="5"/>
      <c r="AW200" s="5"/>
      <c r="AX200" s="5"/>
      <c r="AY200" s="5"/>
      <c r="AZ200" s="5"/>
      <c r="BA200" s="5"/>
      <c r="BB200" s="5"/>
      <c r="BC200" s="5"/>
    </row>
    <row r="201" spans="1:55" x14ac:dyDescent="0.25">
      <c r="A201" s="713"/>
      <c r="B201" s="696"/>
      <c r="C201" s="696"/>
      <c r="D201" s="384" t="s">
        <v>365</v>
      </c>
      <c r="E201" s="387">
        <v>0</v>
      </c>
      <c r="F201" s="387">
        <v>0</v>
      </c>
      <c r="G201" s="387">
        <v>0</v>
      </c>
      <c r="H201" s="387">
        <v>0</v>
      </c>
      <c r="I201" s="390"/>
      <c r="J201" s="387">
        <v>0</v>
      </c>
      <c r="K201" s="387">
        <v>0</v>
      </c>
      <c r="L201" s="387">
        <v>0</v>
      </c>
      <c r="M201" s="386"/>
      <c r="N201" s="696"/>
      <c r="O201" s="696"/>
      <c r="P201" s="696"/>
      <c r="Q201" s="696"/>
      <c r="R201" s="696"/>
      <c r="S201" s="696"/>
      <c r="T201" s="696"/>
      <c r="U201" s="696"/>
      <c r="V201" s="696"/>
      <c r="W201" s="696"/>
      <c r="X201" s="696"/>
      <c r="Y201" s="699"/>
      <c r="Z201" s="394"/>
      <c r="AA201" s="395"/>
      <c r="AB201" s="395"/>
      <c r="AC201" s="395"/>
      <c r="AD201" s="395"/>
      <c r="AE201" s="395"/>
      <c r="AF201" s="395"/>
      <c r="AG201" s="395"/>
      <c r="AH201" s="395"/>
      <c r="AI201" s="395"/>
      <c r="AJ201" s="396"/>
      <c r="AK201" s="397"/>
      <c r="AL201" s="397"/>
      <c r="AM201" s="398"/>
      <c r="AN201" s="398"/>
      <c r="AO201" s="398"/>
      <c r="AP201" s="398"/>
      <c r="AQ201" s="398"/>
      <c r="AR201" s="398"/>
      <c r="AS201" s="398"/>
      <c r="AT201" s="5"/>
      <c r="AU201" s="5"/>
      <c r="AV201" s="5"/>
      <c r="AW201" s="5"/>
      <c r="AX201" s="5"/>
      <c r="AY201" s="5"/>
      <c r="AZ201" s="5"/>
      <c r="BA201" s="5"/>
      <c r="BB201" s="5"/>
      <c r="BC201" s="5"/>
    </row>
    <row r="202" spans="1:55" ht="22.5" x14ac:dyDescent="0.25">
      <c r="A202" s="713"/>
      <c r="B202" s="696"/>
      <c r="C202" s="696"/>
      <c r="D202" s="384" t="s">
        <v>370</v>
      </c>
      <c r="E202" s="388">
        <v>0</v>
      </c>
      <c r="F202" s="388">
        <v>0</v>
      </c>
      <c r="G202" s="388">
        <v>0</v>
      </c>
      <c r="H202" s="388">
        <v>0</v>
      </c>
      <c r="I202" s="390"/>
      <c r="J202" s="388">
        <v>0</v>
      </c>
      <c r="K202" s="388">
        <v>0</v>
      </c>
      <c r="L202" s="388">
        <v>0</v>
      </c>
      <c r="M202" s="390"/>
      <c r="N202" s="696"/>
      <c r="O202" s="696"/>
      <c r="P202" s="696"/>
      <c r="Q202" s="696"/>
      <c r="R202" s="696"/>
      <c r="S202" s="696"/>
      <c r="T202" s="696"/>
      <c r="U202" s="696"/>
      <c r="V202" s="696"/>
      <c r="W202" s="696"/>
      <c r="X202" s="696"/>
      <c r="Y202" s="699"/>
      <c r="Z202" s="394"/>
      <c r="AA202" s="395"/>
      <c r="AB202" s="395"/>
      <c r="AC202" s="395"/>
      <c r="AD202" s="395"/>
      <c r="AE202" s="395"/>
      <c r="AF202" s="395"/>
      <c r="AG202" s="395"/>
      <c r="AH202" s="395"/>
      <c r="AI202" s="395"/>
      <c r="AJ202" s="396"/>
      <c r="AK202" s="397"/>
      <c r="AL202" s="397"/>
      <c r="AM202" s="398"/>
      <c r="AN202" s="398"/>
      <c r="AO202" s="398"/>
      <c r="AP202" s="398"/>
      <c r="AQ202" s="398"/>
      <c r="AR202" s="398"/>
      <c r="AS202" s="398"/>
      <c r="AT202" s="5"/>
      <c r="AU202" s="5"/>
      <c r="AV202" s="5"/>
      <c r="AW202" s="5"/>
      <c r="AX202" s="5"/>
      <c r="AY202" s="5"/>
      <c r="AZ202" s="5"/>
      <c r="BA202" s="5"/>
      <c r="BB202" s="5"/>
      <c r="BC202" s="5"/>
    </row>
    <row r="203" spans="1:55" x14ac:dyDescent="0.25">
      <c r="A203" s="713"/>
      <c r="B203" s="696"/>
      <c r="C203" s="722" t="s">
        <v>384</v>
      </c>
      <c r="D203" s="389" t="s">
        <v>348</v>
      </c>
      <c r="E203" s="387">
        <v>0.27010000000000001</v>
      </c>
      <c r="F203" s="387">
        <v>0.27010000000000001</v>
      </c>
      <c r="G203" s="437">
        <f>0.515+F203</f>
        <v>0.78510000000000002</v>
      </c>
      <c r="H203" s="437">
        <f>G203</f>
        <v>0.78510000000000002</v>
      </c>
      <c r="I203" s="438"/>
      <c r="J203" s="387">
        <v>0.27010000000000001</v>
      </c>
      <c r="K203" s="437">
        <f>0.515+J203</f>
        <v>0.78510000000000002</v>
      </c>
      <c r="L203" s="437">
        <v>12.973000000000001</v>
      </c>
      <c r="M203" s="438"/>
      <c r="N203" s="722" t="s">
        <v>384</v>
      </c>
      <c r="O203" s="720" t="s">
        <v>463</v>
      </c>
      <c r="P203" s="720" t="s">
        <v>464</v>
      </c>
      <c r="Q203" s="722" t="s">
        <v>452</v>
      </c>
      <c r="R203" s="720" t="s">
        <v>353</v>
      </c>
      <c r="S203" s="733">
        <v>733859</v>
      </c>
      <c r="T203" s="696"/>
      <c r="U203" s="720" t="s">
        <v>453</v>
      </c>
      <c r="V203" s="720" t="s">
        <v>453</v>
      </c>
      <c r="W203" s="720" t="s">
        <v>356</v>
      </c>
      <c r="X203" s="720" t="s">
        <v>357</v>
      </c>
      <c r="Y203" s="721">
        <v>733859</v>
      </c>
      <c r="Z203" s="394"/>
      <c r="AA203" s="395"/>
      <c r="AB203" s="395"/>
      <c r="AC203" s="395"/>
      <c r="AD203" s="395"/>
      <c r="AE203" s="395"/>
      <c r="AF203" s="395"/>
      <c r="AG203" s="395"/>
      <c r="AH203" s="395"/>
      <c r="AI203" s="395"/>
      <c r="AJ203" s="396"/>
      <c r="AK203" s="397"/>
      <c r="AL203" s="397"/>
      <c r="AM203" s="398"/>
      <c r="AN203" s="398"/>
      <c r="AO203" s="398"/>
      <c r="AP203" s="398"/>
      <c r="AQ203" s="398"/>
      <c r="AR203" s="398"/>
      <c r="AS203" s="398"/>
      <c r="AT203" s="5"/>
      <c r="AU203" s="5"/>
      <c r="AV203" s="5"/>
      <c r="AW203" s="5"/>
      <c r="AX203" s="5"/>
      <c r="AY203" s="5"/>
      <c r="AZ203" s="5"/>
      <c r="BA203" s="5"/>
      <c r="BB203" s="5"/>
      <c r="BC203" s="5"/>
    </row>
    <row r="204" spans="1:55" x14ac:dyDescent="0.25">
      <c r="A204" s="713"/>
      <c r="B204" s="696"/>
      <c r="C204" s="696"/>
      <c r="D204" s="384" t="s">
        <v>360</v>
      </c>
      <c r="E204" s="388">
        <f>(E203*$E$180)/$E$179</f>
        <v>27817.016784444444</v>
      </c>
      <c r="F204" s="388">
        <f>(F203*$F$180)/$F$179</f>
        <v>27817.016784444444</v>
      </c>
      <c r="G204" s="388">
        <f>(G203*$G$180)/$G$179</f>
        <v>80855.756673333337</v>
      </c>
      <c r="H204" s="388">
        <f>(H203*$H$180)/$H$179</f>
        <v>80855.756673333337</v>
      </c>
      <c r="I204" s="439"/>
      <c r="J204" s="388">
        <f>(J203*$J$180)/$J$179</f>
        <v>158880.37531835007</v>
      </c>
      <c r="K204" s="388">
        <f>(K203*$K$180)/$K$179</f>
        <v>209933.90212316476</v>
      </c>
      <c r="L204" s="388">
        <f>(L203*$L$180)/$L$179</f>
        <v>1702743.601609281</v>
      </c>
      <c r="M204" s="439"/>
      <c r="N204" s="696"/>
      <c r="O204" s="696"/>
      <c r="P204" s="696"/>
      <c r="Q204" s="696"/>
      <c r="R204" s="696"/>
      <c r="S204" s="696"/>
      <c r="T204" s="696"/>
      <c r="U204" s="696"/>
      <c r="V204" s="696"/>
      <c r="W204" s="696"/>
      <c r="X204" s="696"/>
      <c r="Y204" s="699"/>
      <c r="Z204" s="394"/>
      <c r="AA204" s="395"/>
      <c r="AB204" s="395"/>
      <c r="AC204" s="395"/>
      <c r="AD204" s="395"/>
      <c r="AE204" s="395"/>
      <c r="AF204" s="395"/>
      <c r="AG204" s="395"/>
      <c r="AH204" s="395"/>
      <c r="AI204" s="395"/>
      <c r="AJ204" s="396"/>
      <c r="AK204" s="397"/>
      <c r="AL204" s="397"/>
      <c r="AM204" s="398"/>
      <c r="AN204" s="398"/>
      <c r="AO204" s="398"/>
      <c r="AP204" s="398"/>
      <c r="AQ204" s="398"/>
      <c r="AR204" s="398"/>
      <c r="AS204" s="398"/>
      <c r="AT204" s="5"/>
      <c r="AU204" s="5"/>
      <c r="AV204" s="5"/>
      <c r="AW204" s="5"/>
      <c r="AX204" s="5"/>
      <c r="AY204" s="5"/>
      <c r="AZ204" s="5"/>
      <c r="BA204" s="5"/>
      <c r="BB204" s="5"/>
      <c r="BC204" s="5"/>
    </row>
    <row r="205" spans="1:55" x14ac:dyDescent="0.25">
      <c r="A205" s="713"/>
      <c r="B205" s="696"/>
      <c r="C205" s="696"/>
      <c r="D205" s="384" t="s">
        <v>365</v>
      </c>
      <c r="E205" s="387">
        <v>0</v>
      </c>
      <c r="F205" s="387">
        <v>0</v>
      </c>
      <c r="G205" s="387">
        <v>0</v>
      </c>
      <c r="H205" s="387">
        <v>0</v>
      </c>
      <c r="I205" s="390"/>
      <c r="J205" s="387">
        <v>0</v>
      </c>
      <c r="K205" s="387">
        <v>0</v>
      </c>
      <c r="L205" s="387">
        <v>0</v>
      </c>
      <c r="M205" s="386"/>
      <c r="N205" s="696"/>
      <c r="O205" s="696"/>
      <c r="P205" s="696"/>
      <c r="Q205" s="696"/>
      <c r="R205" s="696"/>
      <c r="S205" s="696"/>
      <c r="T205" s="696"/>
      <c r="U205" s="696"/>
      <c r="V205" s="696"/>
      <c r="W205" s="696"/>
      <c r="X205" s="696"/>
      <c r="Y205" s="699"/>
      <c r="Z205" s="394"/>
      <c r="AA205" s="395"/>
      <c r="AB205" s="395"/>
      <c r="AC205" s="395"/>
      <c r="AD205" s="395"/>
      <c r="AE205" s="395"/>
      <c r="AF205" s="395"/>
      <c r="AG205" s="395"/>
      <c r="AH205" s="395"/>
      <c r="AI205" s="395"/>
      <c r="AJ205" s="396"/>
      <c r="AK205" s="397"/>
      <c r="AL205" s="397"/>
      <c r="AM205" s="398"/>
      <c r="AN205" s="398"/>
      <c r="AO205" s="398"/>
      <c r="AP205" s="398"/>
      <c r="AQ205" s="398"/>
      <c r="AR205" s="398"/>
      <c r="AS205" s="398"/>
      <c r="AT205" s="5"/>
      <c r="AU205" s="5"/>
      <c r="AV205" s="5"/>
      <c r="AW205" s="5"/>
      <c r="AX205" s="5"/>
      <c r="AY205" s="5"/>
      <c r="AZ205" s="5"/>
      <c r="BA205" s="5"/>
      <c r="BB205" s="5"/>
      <c r="BC205" s="5"/>
    </row>
    <row r="206" spans="1:55" ht="22.5" x14ac:dyDescent="0.25">
      <c r="A206" s="713"/>
      <c r="B206" s="696"/>
      <c r="C206" s="696"/>
      <c r="D206" s="384" t="s">
        <v>370</v>
      </c>
      <c r="E206" s="388">
        <v>0</v>
      </c>
      <c r="F206" s="388">
        <v>0</v>
      </c>
      <c r="G206" s="388">
        <v>0</v>
      </c>
      <c r="H206" s="388">
        <v>0</v>
      </c>
      <c r="I206" s="390"/>
      <c r="J206" s="388">
        <v>0</v>
      </c>
      <c r="K206" s="388">
        <v>0</v>
      </c>
      <c r="L206" s="388">
        <v>0</v>
      </c>
      <c r="M206" s="390"/>
      <c r="N206" s="696"/>
      <c r="O206" s="696"/>
      <c r="P206" s="696"/>
      <c r="Q206" s="696"/>
      <c r="R206" s="696"/>
      <c r="S206" s="696"/>
      <c r="T206" s="696"/>
      <c r="U206" s="696"/>
      <c r="V206" s="696"/>
      <c r="W206" s="696"/>
      <c r="X206" s="696"/>
      <c r="Y206" s="699"/>
      <c r="Z206" s="394"/>
      <c r="AA206" s="395"/>
      <c r="AB206" s="395"/>
      <c r="AC206" s="395"/>
      <c r="AD206" s="395"/>
      <c r="AE206" s="395"/>
      <c r="AF206" s="395"/>
      <c r="AG206" s="395"/>
      <c r="AH206" s="395"/>
      <c r="AI206" s="395"/>
      <c r="AJ206" s="396"/>
      <c r="AK206" s="397"/>
      <c r="AL206" s="397"/>
      <c r="AM206" s="398"/>
      <c r="AN206" s="398"/>
      <c r="AO206" s="398"/>
      <c r="AP206" s="398"/>
      <c r="AQ206" s="398"/>
      <c r="AR206" s="398"/>
      <c r="AS206" s="398"/>
      <c r="AT206" s="5"/>
      <c r="AU206" s="5"/>
      <c r="AV206" s="5"/>
      <c r="AW206" s="5"/>
      <c r="AX206" s="5"/>
      <c r="AY206" s="5"/>
      <c r="AZ206" s="5"/>
      <c r="BA206" s="5"/>
      <c r="BB206" s="5"/>
      <c r="BC206" s="5"/>
    </row>
    <row r="207" spans="1:55" x14ac:dyDescent="0.25">
      <c r="A207" s="713"/>
      <c r="B207" s="696"/>
      <c r="C207" s="722" t="s">
        <v>385</v>
      </c>
      <c r="D207" s="389" t="s">
        <v>348</v>
      </c>
      <c r="E207" s="387">
        <v>16.502500000000001</v>
      </c>
      <c r="F207" s="387">
        <v>16.502500000000001</v>
      </c>
      <c r="G207" s="437">
        <f>17.761+F207</f>
        <v>34.263500000000001</v>
      </c>
      <c r="H207" s="437">
        <f>G207</f>
        <v>34.263500000000001</v>
      </c>
      <c r="I207" s="438"/>
      <c r="J207" s="387">
        <v>16.502500000000001</v>
      </c>
      <c r="K207" s="437">
        <f>17.761+J207</f>
        <v>34.263500000000001</v>
      </c>
      <c r="L207" s="437">
        <v>104.97</v>
      </c>
      <c r="M207" s="438"/>
      <c r="N207" s="722" t="s">
        <v>385</v>
      </c>
      <c r="O207" s="722" t="s">
        <v>465</v>
      </c>
      <c r="P207" s="720" t="s">
        <v>466</v>
      </c>
      <c r="Q207" s="722" t="s">
        <v>452</v>
      </c>
      <c r="R207" s="720" t="s">
        <v>353</v>
      </c>
      <c r="S207" s="733">
        <v>878434</v>
      </c>
      <c r="T207" s="696"/>
      <c r="U207" s="720" t="s">
        <v>453</v>
      </c>
      <c r="V207" s="720" t="s">
        <v>453</v>
      </c>
      <c r="W207" s="720" t="s">
        <v>356</v>
      </c>
      <c r="X207" s="720" t="s">
        <v>357</v>
      </c>
      <c r="Y207" s="721">
        <v>878434</v>
      </c>
      <c r="Z207" s="394"/>
      <c r="AA207" s="395"/>
      <c r="AB207" s="395"/>
      <c r="AC207" s="395"/>
      <c r="AD207" s="395"/>
      <c r="AE207" s="395"/>
      <c r="AF207" s="395"/>
      <c r="AG207" s="395"/>
      <c r="AH207" s="395"/>
      <c r="AI207" s="395"/>
      <c r="AJ207" s="396"/>
      <c r="AK207" s="397"/>
      <c r="AL207" s="397"/>
      <c r="AM207" s="398"/>
      <c r="AN207" s="398"/>
      <c r="AO207" s="398"/>
      <c r="AP207" s="398"/>
      <c r="AQ207" s="398"/>
      <c r="AR207" s="398"/>
      <c r="AS207" s="398"/>
      <c r="AT207" s="5"/>
      <c r="AU207" s="5"/>
      <c r="AV207" s="5"/>
      <c r="AW207" s="5"/>
      <c r="AX207" s="5"/>
      <c r="AY207" s="5"/>
      <c r="AZ207" s="5"/>
      <c r="BA207" s="5"/>
      <c r="BB207" s="5"/>
      <c r="BC207" s="5"/>
    </row>
    <row r="208" spans="1:55" x14ac:dyDescent="0.25">
      <c r="A208" s="713"/>
      <c r="B208" s="696"/>
      <c r="C208" s="696"/>
      <c r="D208" s="384" t="s">
        <v>360</v>
      </c>
      <c r="E208" s="388">
        <f>(E207*$E$180)/$E$179</f>
        <v>1699556.9029444447</v>
      </c>
      <c r="F208" s="388">
        <f>(F207*$F$180)/$F$179</f>
        <v>1699556.9029444447</v>
      </c>
      <c r="G208" s="388">
        <f>(G207*$G$180)/$G$179</f>
        <v>3528724.0081222225</v>
      </c>
      <c r="H208" s="388">
        <f>(H207*$H$180)/$H$179</f>
        <v>3528724.0081222225</v>
      </c>
      <c r="I208" s="439"/>
      <c r="J208" s="388">
        <f>(J207*$J$180)/$J$179</f>
        <v>9707232.1128880866</v>
      </c>
      <c r="K208" s="388">
        <f>(K207*$K$180)/$K$179</f>
        <v>9161979.6909910273</v>
      </c>
      <c r="L208" s="388">
        <v>10161979.690990999</v>
      </c>
      <c r="M208" s="439"/>
      <c r="N208" s="696"/>
      <c r="O208" s="696"/>
      <c r="P208" s="696"/>
      <c r="Q208" s="696"/>
      <c r="R208" s="696"/>
      <c r="S208" s="696"/>
      <c r="T208" s="696"/>
      <c r="U208" s="696"/>
      <c r="V208" s="696"/>
      <c r="W208" s="696"/>
      <c r="X208" s="696"/>
      <c r="Y208" s="699"/>
      <c r="Z208" s="394"/>
      <c r="AA208" s="395"/>
      <c r="AB208" s="395"/>
      <c r="AC208" s="395"/>
      <c r="AD208" s="395"/>
      <c r="AE208" s="395"/>
      <c r="AF208" s="395"/>
      <c r="AG208" s="395"/>
      <c r="AH208" s="395"/>
      <c r="AI208" s="395"/>
      <c r="AJ208" s="396"/>
      <c r="AK208" s="397"/>
      <c r="AL208" s="397"/>
      <c r="AM208" s="398"/>
      <c r="AN208" s="398"/>
      <c r="AO208" s="398"/>
      <c r="AP208" s="398"/>
      <c r="AQ208" s="398"/>
      <c r="AR208" s="398"/>
      <c r="AS208" s="398"/>
      <c r="AT208" s="5"/>
      <c r="AU208" s="5"/>
      <c r="AV208" s="5"/>
      <c r="AW208" s="5"/>
      <c r="AX208" s="5"/>
      <c r="AY208" s="5"/>
      <c r="AZ208" s="5"/>
      <c r="BA208" s="5"/>
      <c r="BB208" s="5"/>
      <c r="BC208" s="5"/>
    </row>
    <row r="209" spans="1:55" x14ac:dyDescent="0.25">
      <c r="A209" s="713"/>
      <c r="B209" s="696"/>
      <c r="C209" s="696"/>
      <c r="D209" s="384" t="s">
        <v>365</v>
      </c>
      <c r="E209" s="387">
        <v>0</v>
      </c>
      <c r="F209" s="387">
        <v>0</v>
      </c>
      <c r="G209" s="387">
        <v>0</v>
      </c>
      <c r="H209" s="387">
        <v>0</v>
      </c>
      <c r="I209" s="390"/>
      <c r="J209" s="387">
        <v>0</v>
      </c>
      <c r="K209" s="387">
        <v>0</v>
      </c>
      <c r="L209" s="387">
        <v>0</v>
      </c>
      <c r="M209" s="386"/>
      <c r="N209" s="696"/>
      <c r="O209" s="696"/>
      <c r="P209" s="696"/>
      <c r="Q209" s="696"/>
      <c r="R209" s="696"/>
      <c r="S209" s="696"/>
      <c r="T209" s="696"/>
      <c r="U209" s="696"/>
      <c r="V209" s="696"/>
      <c r="W209" s="696"/>
      <c r="X209" s="696"/>
      <c r="Y209" s="699"/>
      <c r="Z209" s="394"/>
      <c r="AA209" s="395"/>
      <c r="AB209" s="395"/>
      <c r="AC209" s="395"/>
      <c r="AD209" s="395"/>
      <c r="AE209" s="395"/>
      <c r="AF209" s="395"/>
      <c r="AG209" s="395"/>
      <c r="AH209" s="395"/>
      <c r="AI209" s="395"/>
      <c r="AJ209" s="396"/>
      <c r="AK209" s="397"/>
      <c r="AL209" s="397"/>
      <c r="AM209" s="398"/>
      <c r="AN209" s="398"/>
      <c r="AO209" s="398"/>
      <c r="AP209" s="398"/>
      <c r="AQ209" s="398"/>
      <c r="AR209" s="398"/>
      <c r="AS209" s="398"/>
      <c r="AT209" s="5"/>
      <c r="AU209" s="5"/>
      <c r="AV209" s="5"/>
      <c r="AW209" s="5"/>
      <c r="AX209" s="5"/>
      <c r="AY209" s="5"/>
      <c r="AZ209" s="5"/>
      <c r="BA209" s="5"/>
      <c r="BB209" s="5"/>
      <c r="BC209" s="5"/>
    </row>
    <row r="210" spans="1:55" ht="22.5" x14ac:dyDescent="0.25">
      <c r="A210" s="713"/>
      <c r="B210" s="696"/>
      <c r="C210" s="696"/>
      <c r="D210" s="384" t="s">
        <v>370</v>
      </c>
      <c r="E210" s="388">
        <v>0</v>
      </c>
      <c r="F210" s="388">
        <v>0</v>
      </c>
      <c r="G210" s="388">
        <v>0</v>
      </c>
      <c r="H210" s="388">
        <v>0</v>
      </c>
      <c r="I210" s="390"/>
      <c r="J210" s="388">
        <v>0</v>
      </c>
      <c r="K210" s="388">
        <v>0</v>
      </c>
      <c r="L210" s="388">
        <v>0</v>
      </c>
      <c r="M210" s="390"/>
      <c r="N210" s="696"/>
      <c r="O210" s="696"/>
      <c r="P210" s="696"/>
      <c r="Q210" s="696"/>
      <c r="R210" s="696"/>
      <c r="S210" s="696"/>
      <c r="T210" s="696"/>
      <c r="U210" s="696"/>
      <c r="V210" s="696"/>
      <c r="W210" s="696"/>
      <c r="X210" s="696"/>
      <c r="Y210" s="699"/>
      <c r="Z210" s="394"/>
      <c r="AA210" s="395"/>
      <c r="AB210" s="395"/>
      <c r="AC210" s="395"/>
      <c r="AD210" s="395"/>
      <c r="AE210" s="395"/>
      <c r="AF210" s="395"/>
      <c r="AG210" s="395"/>
      <c r="AH210" s="395"/>
      <c r="AI210" s="395"/>
      <c r="AJ210" s="396"/>
      <c r="AK210" s="397"/>
      <c r="AL210" s="397"/>
      <c r="AM210" s="398"/>
      <c r="AN210" s="398"/>
      <c r="AO210" s="398"/>
      <c r="AP210" s="398"/>
      <c r="AQ210" s="398"/>
      <c r="AR210" s="398"/>
      <c r="AS210" s="398"/>
      <c r="AT210" s="5"/>
      <c r="AU210" s="5"/>
      <c r="AV210" s="5"/>
      <c r="AW210" s="5"/>
      <c r="AX210" s="5"/>
      <c r="AY210" s="5"/>
      <c r="AZ210" s="5"/>
      <c r="BA210" s="5"/>
      <c r="BB210" s="5"/>
      <c r="BC210" s="5"/>
    </row>
    <row r="211" spans="1:55" x14ac:dyDescent="0.25">
      <c r="A211" s="713"/>
      <c r="B211" s="696"/>
      <c r="C211" s="722" t="s">
        <v>467</v>
      </c>
      <c r="D211" s="389" t="s">
        <v>348</v>
      </c>
      <c r="E211" s="387">
        <v>32.898400000000002</v>
      </c>
      <c r="F211" s="387">
        <v>32.898400000000002</v>
      </c>
      <c r="G211" s="437">
        <f>32.2+F211</f>
        <v>65.098399999999998</v>
      </c>
      <c r="H211" s="437">
        <f>G211</f>
        <v>65.098399999999998</v>
      </c>
      <c r="I211" s="438"/>
      <c r="J211" s="387">
        <v>32.898400000000002</v>
      </c>
      <c r="K211" s="437">
        <f>32.2+J211</f>
        <v>65.098399999999998</v>
      </c>
      <c r="L211" s="437">
        <v>198.1</v>
      </c>
      <c r="M211" s="438"/>
      <c r="N211" s="722" t="s">
        <v>467</v>
      </c>
      <c r="O211" s="722" t="s">
        <v>468</v>
      </c>
      <c r="P211" s="720" t="s">
        <v>469</v>
      </c>
      <c r="Q211" s="722" t="s">
        <v>452</v>
      </c>
      <c r="R211" s="720" t="s">
        <v>353</v>
      </c>
      <c r="S211" s="733">
        <v>413734</v>
      </c>
      <c r="T211" s="696"/>
      <c r="U211" s="720" t="s">
        <v>453</v>
      </c>
      <c r="V211" s="720" t="s">
        <v>453</v>
      </c>
      <c r="W211" s="720" t="s">
        <v>356</v>
      </c>
      <c r="X211" s="720" t="s">
        <v>357</v>
      </c>
      <c r="Y211" s="721">
        <v>413734</v>
      </c>
      <c r="Z211" s="394"/>
      <c r="AA211" s="395"/>
      <c r="AB211" s="395"/>
      <c r="AC211" s="395"/>
      <c r="AD211" s="395"/>
      <c r="AE211" s="395"/>
      <c r="AF211" s="395"/>
      <c r="AG211" s="395"/>
      <c r="AH211" s="395"/>
      <c r="AI211" s="395"/>
      <c r="AJ211" s="396"/>
      <c r="AK211" s="397"/>
      <c r="AL211" s="397"/>
      <c r="AM211" s="398"/>
      <c r="AN211" s="398"/>
      <c r="AO211" s="398"/>
      <c r="AP211" s="398"/>
      <c r="AQ211" s="398"/>
      <c r="AR211" s="398"/>
      <c r="AS211" s="398"/>
      <c r="AT211" s="5"/>
      <c r="AU211" s="5"/>
      <c r="AV211" s="5"/>
      <c r="AW211" s="5"/>
      <c r="AX211" s="5"/>
      <c r="AY211" s="5"/>
      <c r="AZ211" s="5"/>
      <c r="BA211" s="5"/>
      <c r="BB211" s="5"/>
      <c r="BC211" s="5"/>
    </row>
    <row r="212" spans="1:55" x14ac:dyDescent="0.25">
      <c r="A212" s="713"/>
      <c r="B212" s="696"/>
      <c r="C212" s="696"/>
      <c r="D212" s="384" t="s">
        <v>360</v>
      </c>
      <c r="E212" s="388">
        <f>(E211*$E$180)/$E$179</f>
        <v>3388135.301671111</v>
      </c>
      <c r="F212" s="388">
        <f>(F211*$F$180)/$F$179</f>
        <v>3388135.301671111</v>
      </c>
      <c r="G212" s="388">
        <f>(G211*$G$180)/$G$179</f>
        <v>6704343.8927822225</v>
      </c>
      <c r="H212" s="388">
        <f>(H211*$H$180)/$H$179</f>
        <v>6704343.8927822225</v>
      </c>
      <c r="I212" s="439"/>
      <c r="J212" s="388">
        <f>(J211*$J$180)/$J$179</f>
        <v>19351759.123928946</v>
      </c>
      <c r="K212" s="388">
        <f>(K211*$K$180)/$K$179</f>
        <v>17407159.76815008</v>
      </c>
      <c r="L212" s="388">
        <v>20407159.768150099</v>
      </c>
      <c r="M212" s="439"/>
      <c r="N212" s="696"/>
      <c r="O212" s="696"/>
      <c r="P212" s="696"/>
      <c r="Q212" s="696"/>
      <c r="R212" s="696"/>
      <c r="S212" s="696"/>
      <c r="T212" s="696"/>
      <c r="U212" s="696"/>
      <c r="V212" s="696"/>
      <c r="W212" s="696"/>
      <c r="X212" s="696"/>
      <c r="Y212" s="699"/>
      <c r="Z212" s="394"/>
      <c r="AA212" s="395"/>
      <c r="AB212" s="395"/>
      <c r="AC212" s="395"/>
      <c r="AD212" s="395"/>
      <c r="AE212" s="395"/>
      <c r="AF212" s="395"/>
      <c r="AG212" s="395"/>
      <c r="AH212" s="395"/>
      <c r="AI212" s="395"/>
      <c r="AJ212" s="396"/>
      <c r="AK212" s="397"/>
      <c r="AL212" s="397"/>
      <c r="AM212" s="398"/>
      <c r="AN212" s="398"/>
      <c r="AO212" s="398"/>
      <c r="AP212" s="398"/>
      <c r="AQ212" s="398"/>
      <c r="AR212" s="398"/>
      <c r="AS212" s="398"/>
      <c r="AT212" s="5"/>
      <c r="AU212" s="5"/>
      <c r="AV212" s="5"/>
      <c r="AW212" s="5"/>
      <c r="AX212" s="5"/>
      <c r="AY212" s="5"/>
      <c r="AZ212" s="5"/>
      <c r="BA212" s="5"/>
      <c r="BB212" s="5"/>
      <c r="BC212" s="5"/>
    </row>
    <row r="213" spans="1:55" x14ac:dyDescent="0.25">
      <c r="A213" s="713"/>
      <c r="B213" s="696"/>
      <c r="C213" s="696"/>
      <c r="D213" s="384" t="s">
        <v>365</v>
      </c>
      <c r="E213" s="387">
        <v>0</v>
      </c>
      <c r="F213" s="387">
        <v>0</v>
      </c>
      <c r="G213" s="387">
        <v>0</v>
      </c>
      <c r="H213" s="387">
        <v>0</v>
      </c>
      <c r="I213" s="390"/>
      <c r="J213" s="387">
        <v>0</v>
      </c>
      <c r="K213" s="387">
        <v>0</v>
      </c>
      <c r="L213" s="387">
        <v>0</v>
      </c>
      <c r="M213" s="386"/>
      <c r="N213" s="696"/>
      <c r="O213" s="696"/>
      <c r="P213" s="696"/>
      <c r="Q213" s="696"/>
      <c r="R213" s="696"/>
      <c r="S213" s="696"/>
      <c r="T213" s="696"/>
      <c r="U213" s="696"/>
      <c r="V213" s="696"/>
      <c r="W213" s="696"/>
      <c r="X213" s="696"/>
      <c r="Y213" s="699"/>
      <c r="Z213" s="394"/>
      <c r="AA213" s="395"/>
      <c r="AB213" s="395"/>
      <c r="AC213" s="395"/>
      <c r="AD213" s="395"/>
      <c r="AE213" s="395"/>
      <c r="AF213" s="395"/>
      <c r="AG213" s="395"/>
      <c r="AH213" s="395"/>
      <c r="AI213" s="395"/>
      <c r="AJ213" s="396"/>
      <c r="AK213" s="397"/>
      <c r="AL213" s="397"/>
      <c r="AM213" s="398"/>
      <c r="AN213" s="398"/>
      <c r="AO213" s="398"/>
      <c r="AP213" s="398"/>
      <c r="AQ213" s="398"/>
      <c r="AR213" s="398"/>
      <c r="AS213" s="398"/>
      <c r="AT213" s="5"/>
      <c r="AU213" s="5"/>
      <c r="AV213" s="5"/>
      <c r="AW213" s="5"/>
      <c r="AX213" s="5"/>
      <c r="AY213" s="5"/>
      <c r="AZ213" s="5"/>
      <c r="BA213" s="5"/>
      <c r="BB213" s="5"/>
      <c r="BC213" s="5"/>
    </row>
    <row r="214" spans="1:55" ht="22.5" x14ac:dyDescent="0.25">
      <c r="A214" s="713"/>
      <c r="B214" s="696"/>
      <c r="C214" s="696"/>
      <c r="D214" s="384" t="s">
        <v>370</v>
      </c>
      <c r="E214" s="388">
        <v>0</v>
      </c>
      <c r="F214" s="388">
        <v>0</v>
      </c>
      <c r="G214" s="388">
        <v>0</v>
      </c>
      <c r="H214" s="388">
        <v>0</v>
      </c>
      <c r="I214" s="390"/>
      <c r="J214" s="388">
        <v>0</v>
      </c>
      <c r="K214" s="388">
        <v>0</v>
      </c>
      <c r="L214" s="388">
        <v>0</v>
      </c>
      <c r="M214" s="390"/>
      <c r="N214" s="696"/>
      <c r="O214" s="696"/>
      <c r="P214" s="696"/>
      <c r="Q214" s="696"/>
      <c r="R214" s="696"/>
      <c r="S214" s="696"/>
      <c r="T214" s="696"/>
      <c r="U214" s="696"/>
      <c r="V214" s="696"/>
      <c r="W214" s="696"/>
      <c r="X214" s="696"/>
      <c r="Y214" s="699"/>
      <c r="Z214" s="394"/>
      <c r="AA214" s="395"/>
      <c r="AB214" s="395"/>
      <c r="AC214" s="395"/>
      <c r="AD214" s="395"/>
      <c r="AE214" s="395"/>
      <c r="AF214" s="395"/>
      <c r="AG214" s="395"/>
      <c r="AH214" s="395"/>
      <c r="AI214" s="395"/>
      <c r="AJ214" s="396"/>
      <c r="AK214" s="397"/>
      <c r="AL214" s="397"/>
      <c r="AM214" s="398"/>
      <c r="AN214" s="398"/>
      <c r="AO214" s="398"/>
      <c r="AP214" s="398"/>
      <c r="AQ214" s="398"/>
      <c r="AR214" s="398"/>
      <c r="AS214" s="398"/>
      <c r="AT214" s="5"/>
      <c r="AU214" s="5"/>
      <c r="AV214" s="5"/>
      <c r="AW214" s="5"/>
      <c r="AX214" s="5"/>
      <c r="AY214" s="5"/>
      <c r="AZ214" s="5"/>
      <c r="BA214" s="5"/>
      <c r="BB214" s="5"/>
      <c r="BC214" s="5"/>
    </row>
    <row r="215" spans="1:55" x14ac:dyDescent="0.25">
      <c r="A215" s="713"/>
      <c r="B215" s="696"/>
      <c r="C215" s="722" t="s">
        <v>393</v>
      </c>
      <c r="D215" s="389" t="s">
        <v>348</v>
      </c>
      <c r="E215" s="387">
        <v>22.558</v>
      </c>
      <c r="F215" s="387">
        <v>22.558</v>
      </c>
      <c r="G215" s="437">
        <f>20.212+F215</f>
        <v>42.769999999999996</v>
      </c>
      <c r="H215" s="437">
        <f>G215</f>
        <v>42.769999999999996</v>
      </c>
      <c r="I215" s="390"/>
      <c r="J215" s="387">
        <v>22.558</v>
      </c>
      <c r="K215" s="437">
        <f>20.212+J215</f>
        <v>42.769999999999996</v>
      </c>
      <c r="L215" s="437">
        <v>124.96</v>
      </c>
      <c r="M215" s="438"/>
      <c r="N215" s="722" t="s">
        <v>393</v>
      </c>
      <c r="O215" s="722" t="s">
        <v>470</v>
      </c>
      <c r="P215" s="720" t="s">
        <v>471</v>
      </c>
      <c r="Q215" s="722" t="s">
        <v>452</v>
      </c>
      <c r="R215" s="720" t="s">
        <v>353</v>
      </c>
      <c r="S215" s="733">
        <v>1208980</v>
      </c>
      <c r="T215" s="696"/>
      <c r="U215" s="720" t="s">
        <v>453</v>
      </c>
      <c r="V215" s="720" t="s">
        <v>453</v>
      </c>
      <c r="W215" s="720" t="s">
        <v>356</v>
      </c>
      <c r="X215" s="720" t="s">
        <v>357</v>
      </c>
      <c r="Y215" s="721">
        <v>1208980</v>
      </c>
      <c r="Z215" s="394"/>
      <c r="AA215" s="395"/>
      <c r="AB215" s="395"/>
      <c r="AC215" s="395"/>
      <c r="AD215" s="395"/>
      <c r="AE215" s="395"/>
      <c r="AF215" s="395"/>
      <c r="AG215" s="395"/>
      <c r="AH215" s="395"/>
      <c r="AI215" s="395"/>
      <c r="AJ215" s="396"/>
      <c r="AK215" s="397"/>
      <c r="AL215" s="397"/>
      <c r="AM215" s="398"/>
      <c r="AN215" s="398"/>
      <c r="AO215" s="398"/>
      <c r="AP215" s="398"/>
      <c r="AQ215" s="398"/>
      <c r="AR215" s="398"/>
      <c r="AS215" s="398"/>
      <c r="AT215" s="5"/>
      <c r="AU215" s="5"/>
      <c r="AV215" s="5"/>
      <c r="AW215" s="5"/>
      <c r="AX215" s="5"/>
      <c r="AY215" s="5"/>
      <c r="AZ215" s="5"/>
      <c r="BA215" s="5"/>
      <c r="BB215" s="5"/>
      <c r="BC215" s="5"/>
    </row>
    <row r="216" spans="1:55" x14ac:dyDescent="0.25">
      <c r="A216" s="713"/>
      <c r="B216" s="696"/>
      <c r="C216" s="696"/>
      <c r="D216" s="384" t="s">
        <v>360</v>
      </c>
      <c r="E216" s="388">
        <f>(E215*$E$180)/$E$179</f>
        <v>2323199.7949777776</v>
      </c>
      <c r="F216" s="388">
        <f>(F215*$F$180)/$F$179</f>
        <v>2323199.7949777776</v>
      </c>
      <c r="G216" s="388">
        <f>(G215*$G$180)/$G$179</f>
        <v>4404790.1068888893</v>
      </c>
      <c r="H216" s="388">
        <f>(H215*$H$180)/$H$179</f>
        <v>4404790.1068888893</v>
      </c>
      <c r="I216" s="439"/>
      <c r="J216" s="388">
        <f>(J215*$J$180)/$J$179</f>
        <v>13269246.599153427</v>
      </c>
      <c r="K216" s="388">
        <f>(K215*$K$180)/$K$179</f>
        <v>11436597.877732463</v>
      </c>
      <c r="L216" s="388">
        <f>(L215*$L$180)/$L$179</f>
        <v>16401359.782401582</v>
      </c>
      <c r="M216" s="439"/>
      <c r="N216" s="696"/>
      <c r="O216" s="696"/>
      <c r="P216" s="696"/>
      <c r="Q216" s="696"/>
      <c r="R216" s="696"/>
      <c r="S216" s="696"/>
      <c r="T216" s="696"/>
      <c r="U216" s="696"/>
      <c r="V216" s="696"/>
      <c r="W216" s="696"/>
      <c r="X216" s="696"/>
      <c r="Y216" s="699"/>
      <c r="Z216" s="394"/>
      <c r="AA216" s="395"/>
      <c r="AB216" s="395"/>
      <c r="AC216" s="395"/>
      <c r="AD216" s="395"/>
      <c r="AE216" s="395"/>
      <c r="AF216" s="395"/>
      <c r="AG216" s="395"/>
      <c r="AH216" s="395"/>
      <c r="AI216" s="395"/>
      <c r="AJ216" s="396"/>
      <c r="AK216" s="397"/>
      <c r="AL216" s="397"/>
      <c r="AM216" s="398"/>
      <c r="AN216" s="398"/>
      <c r="AO216" s="398"/>
      <c r="AP216" s="398"/>
      <c r="AQ216" s="398"/>
      <c r="AR216" s="398"/>
      <c r="AS216" s="398"/>
      <c r="AT216" s="5"/>
      <c r="AU216" s="5"/>
      <c r="AV216" s="5"/>
      <c r="AW216" s="5"/>
      <c r="AX216" s="5"/>
      <c r="AY216" s="5"/>
      <c r="AZ216" s="5"/>
      <c r="BA216" s="5"/>
      <c r="BB216" s="5"/>
      <c r="BC216" s="5"/>
    </row>
    <row r="217" spans="1:55" x14ac:dyDescent="0.25">
      <c r="A217" s="713"/>
      <c r="B217" s="696"/>
      <c r="C217" s="696"/>
      <c r="D217" s="384" t="s">
        <v>365</v>
      </c>
      <c r="E217" s="387">
        <v>0</v>
      </c>
      <c r="F217" s="387">
        <v>0</v>
      </c>
      <c r="G217" s="387">
        <v>0</v>
      </c>
      <c r="H217" s="387">
        <v>0</v>
      </c>
      <c r="I217" s="390"/>
      <c r="J217" s="387">
        <v>0</v>
      </c>
      <c r="K217" s="387">
        <v>0</v>
      </c>
      <c r="L217" s="387">
        <v>0</v>
      </c>
      <c r="M217" s="386"/>
      <c r="N217" s="696"/>
      <c r="O217" s="696"/>
      <c r="P217" s="696"/>
      <c r="Q217" s="696"/>
      <c r="R217" s="696"/>
      <c r="S217" s="696"/>
      <c r="T217" s="696"/>
      <c r="U217" s="696"/>
      <c r="V217" s="696"/>
      <c r="W217" s="696"/>
      <c r="X217" s="696"/>
      <c r="Y217" s="699"/>
      <c r="Z217" s="394"/>
      <c r="AA217" s="395"/>
      <c r="AB217" s="395"/>
      <c r="AC217" s="395"/>
      <c r="AD217" s="395"/>
      <c r="AE217" s="395"/>
      <c r="AF217" s="395"/>
      <c r="AG217" s="395"/>
      <c r="AH217" s="395"/>
      <c r="AI217" s="395"/>
      <c r="AJ217" s="396"/>
      <c r="AK217" s="397"/>
      <c r="AL217" s="397"/>
      <c r="AM217" s="398"/>
      <c r="AN217" s="398"/>
      <c r="AO217" s="398"/>
      <c r="AP217" s="398"/>
      <c r="AQ217" s="398"/>
      <c r="AR217" s="398"/>
      <c r="AS217" s="398"/>
      <c r="AT217" s="5"/>
      <c r="AU217" s="5"/>
      <c r="AV217" s="5"/>
      <c r="AW217" s="5"/>
      <c r="AX217" s="5"/>
      <c r="AY217" s="5"/>
      <c r="AZ217" s="5"/>
      <c r="BA217" s="5"/>
      <c r="BB217" s="5"/>
      <c r="BC217" s="5"/>
    </row>
    <row r="218" spans="1:55" ht="22.5" x14ac:dyDescent="0.25">
      <c r="A218" s="713"/>
      <c r="B218" s="696"/>
      <c r="C218" s="696"/>
      <c r="D218" s="384" t="s">
        <v>370</v>
      </c>
      <c r="E218" s="388">
        <v>0</v>
      </c>
      <c r="F218" s="388">
        <v>0</v>
      </c>
      <c r="G218" s="388">
        <v>0</v>
      </c>
      <c r="H218" s="388">
        <v>0</v>
      </c>
      <c r="I218" s="390"/>
      <c r="J218" s="388">
        <v>0</v>
      </c>
      <c r="K218" s="388">
        <v>0</v>
      </c>
      <c r="L218" s="388">
        <v>0</v>
      </c>
      <c r="M218" s="390"/>
      <c r="N218" s="696"/>
      <c r="O218" s="696"/>
      <c r="P218" s="696"/>
      <c r="Q218" s="696"/>
      <c r="R218" s="696"/>
      <c r="S218" s="696"/>
      <c r="T218" s="696"/>
      <c r="U218" s="696"/>
      <c r="V218" s="696"/>
      <c r="W218" s="696"/>
      <c r="X218" s="696"/>
      <c r="Y218" s="699"/>
      <c r="Z218" s="394"/>
      <c r="AA218" s="395"/>
      <c r="AB218" s="395"/>
      <c r="AC218" s="395"/>
      <c r="AD218" s="395"/>
      <c r="AE218" s="395"/>
      <c r="AF218" s="395"/>
      <c r="AG218" s="395"/>
      <c r="AH218" s="395"/>
      <c r="AI218" s="395"/>
      <c r="AJ218" s="396"/>
      <c r="AK218" s="397"/>
      <c r="AL218" s="397"/>
      <c r="AM218" s="398"/>
      <c r="AN218" s="398"/>
      <c r="AO218" s="398"/>
      <c r="AP218" s="398"/>
      <c r="AQ218" s="398"/>
      <c r="AR218" s="398"/>
      <c r="AS218" s="398"/>
      <c r="AT218" s="5"/>
      <c r="AU218" s="5"/>
      <c r="AV218" s="5"/>
      <c r="AW218" s="5"/>
      <c r="AX218" s="5"/>
      <c r="AY218" s="5"/>
      <c r="AZ218" s="5"/>
      <c r="BA218" s="5"/>
      <c r="BB218" s="5"/>
      <c r="BC218" s="5"/>
    </row>
    <row r="219" spans="1:55" x14ac:dyDescent="0.25">
      <c r="A219" s="713"/>
      <c r="B219" s="696"/>
      <c r="C219" s="722" t="s">
        <v>394</v>
      </c>
      <c r="D219" s="389" t="s">
        <v>348</v>
      </c>
      <c r="E219" s="387">
        <v>4.24</v>
      </c>
      <c r="F219" s="387">
        <v>4.24</v>
      </c>
      <c r="G219" s="437">
        <f>3.467+F219</f>
        <v>7.7070000000000007</v>
      </c>
      <c r="H219" s="437">
        <f>G219</f>
        <v>7.7070000000000007</v>
      </c>
      <c r="I219" s="438"/>
      <c r="J219" s="387">
        <v>4.24</v>
      </c>
      <c r="K219" s="437">
        <f>3.467+J219</f>
        <v>7.7070000000000007</v>
      </c>
      <c r="L219" s="437">
        <v>29.198</v>
      </c>
      <c r="M219" s="438"/>
      <c r="N219" s="722" t="s">
        <v>394</v>
      </c>
      <c r="O219" s="722" t="s">
        <v>472</v>
      </c>
      <c r="P219" s="720" t="s">
        <v>473</v>
      </c>
      <c r="Q219" s="722" t="s">
        <v>452</v>
      </c>
      <c r="R219" s="720" t="s">
        <v>353</v>
      </c>
      <c r="S219" s="733">
        <v>93716</v>
      </c>
      <c r="T219" s="696"/>
      <c r="U219" s="720" t="s">
        <v>453</v>
      </c>
      <c r="V219" s="720" t="s">
        <v>453</v>
      </c>
      <c r="W219" s="720" t="s">
        <v>356</v>
      </c>
      <c r="X219" s="720" t="s">
        <v>357</v>
      </c>
      <c r="Y219" s="721">
        <v>93716</v>
      </c>
      <c r="Z219" s="394"/>
      <c r="AA219" s="395"/>
      <c r="AB219" s="395"/>
      <c r="AC219" s="395"/>
      <c r="AD219" s="395"/>
      <c r="AE219" s="395"/>
      <c r="AF219" s="395"/>
      <c r="AG219" s="395"/>
      <c r="AH219" s="395"/>
      <c r="AI219" s="395"/>
      <c r="AJ219" s="396"/>
      <c r="AK219" s="397"/>
      <c r="AL219" s="397"/>
      <c r="AM219" s="398"/>
      <c r="AN219" s="398"/>
      <c r="AO219" s="398"/>
      <c r="AP219" s="398"/>
      <c r="AQ219" s="398"/>
      <c r="AR219" s="398"/>
      <c r="AS219" s="398"/>
      <c r="AT219" s="5"/>
      <c r="AU219" s="5"/>
      <c r="AV219" s="5"/>
      <c r="AW219" s="5"/>
      <c r="AX219" s="5"/>
      <c r="AY219" s="5"/>
      <c r="AZ219" s="5"/>
      <c r="BA219" s="5"/>
      <c r="BB219" s="5"/>
      <c r="BC219" s="5"/>
    </row>
    <row r="220" spans="1:55" x14ac:dyDescent="0.25">
      <c r="A220" s="713"/>
      <c r="B220" s="696"/>
      <c r="C220" s="696"/>
      <c r="D220" s="384" t="s">
        <v>360</v>
      </c>
      <c r="E220" s="388">
        <f>(E219*$E$180)/$E$179</f>
        <v>436668.46044444444</v>
      </c>
      <c r="F220" s="388">
        <f>(F219*$F$180)/$F$179</f>
        <v>436668.46044444444</v>
      </c>
      <c r="G220" s="388">
        <f>(G219*$G$180)/$G$179</f>
        <v>793727.31713333342</v>
      </c>
      <c r="H220" s="388">
        <f>(H219*$H$180)/$H$179</f>
        <v>793727.31713333342</v>
      </c>
      <c r="I220" s="439"/>
      <c r="J220" s="388">
        <f>(J219*$J$180)/$J$179</f>
        <v>2494086.602553885</v>
      </c>
      <c r="K220" s="388">
        <f>(K219*$K$180)/$K$179</f>
        <v>2060833.758327896</v>
      </c>
      <c r="L220" s="388">
        <f>(L219*$L$180)/$L$179</f>
        <v>3832321.5663137115</v>
      </c>
      <c r="M220" s="439"/>
      <c r="N220" s="696"/>
      <c r="O220" s="696"/>
      <c r="P220" s="696"/>
      <c r="Q220" s="696"/>
      <c r="R220" s="696"/>
      <c r="S220" s="696"/>
      <c r="T220" s="696"/>
      <c r="U220" s="696"/>
      <c r="V220" s="696"/>
      <c r="W220" s="696"/>
      <c r="X220" s="696"/>
      <c r="Y220" s="699"/>
      <c r="Z220" s="394"/>
      <c r="AA220" s="395"/>
      <c r="AB220" s="395"/>
      <c r="AC220" s="395"/>
      <c r="AD220" s="395"/>
      <c r="AE220" s="395"/>
      <c r="AF220" s="395"/>
      <c r="AG220" s="395"/>
      <c r="AH220" s="395"/>
      <c r="AI220" s="395"/>
      <c r="AJ220" s="396"/>
      <c r="AK220" s="397"/>
      <c r="AL220" s="397"/>
      <c r="AM220" s="398"/>
      <c r="AN220" s="398"/>
      <c r="AO220" s="398"/>
      <c r="AP220" s="398"/>
      <c r="AQ220" s="398"/>
      <c r="AR220" s="398"/>
      <c r="AS220" s="398"/>
      <c r="AT220" s="5"/>
      <c r="AU220" s="5"/>
      <c r="AV220" s="5"/>
      <c r="AW220" s="5"/>
      <c r="AX220" s="5"/>
      <c r="AY220" s="5"/>
      <c r="AZ220" s="5"/>
      <c r="BA220" s="5"/>
      <c r="BB220" s="5"/>
      <c r="BC220" s="5"/>
    </row>
    <row r="221" spans="1:55" x14ac:dyDescent="0.25">
      <c r="A221" s="713"/>
      <c r="B221" s="696"/>
      <c r="C221" s="696"/>
      <c r="D221" s="384" t="s">
        <v>365</v>
      </c>
      <c r="E221" s="387">
        <v>0</v>
      </c>
      <c r="F221" s="387">
        <v>0</v>
      </c>
      <c r="G221" s="387">
        <v>0</v>
      </c>
      <c r="H221" s="387">
        <v>0</v>
      </c>
      <c r="I221" s="390"/>
      <c r="J221" s="387">
        <v>0</v>
      </c>
      <c r="K221" s="387">
        <v>0</v>
      </c>
      <c r="L221" s="387">
        <v>0</v>
      </c>
      <c r="M221" s="386"/>
      <c r="N221" s="696"/>
      <c r="O221" s="696"/>
      <c r="P221" s="696"/>
      <c r="Q221" s="696"/>
      <c r="R221" s="696"/>
      <c r="S221" s="696"/>
      <c r="T221" s="696"/>
      <c r="U221" s="696"/>
      <c r="V221" s="696"/>
      <c r="W221" s="696"/>
      <c r="X221" s="696"/>
      <c r="Y221" s="699"/>
      <c r="Z221" s="394"/>
      <c r="AA221" s="395"/>
      <c r="AB221" s="395"/>
      <c r="AC221" s="395"/>
      <c r="AD221" s="395"/>
      <c r="AE221" s="395"/>
      <c r="AF221" s="395"/>
      <c r="AG221" s="395"/>
      <c r="AH221" s="395"/>
      <c r="AI221" s="395"/>
      <c r="AJ221" s="396"/>
      <c r="AK221" s="397"/>
      <c r="AL221" s="397"/>
      <c r="AM221" s="398"/>
      <c r="AN221" s="398"/>
      <c r="AO221" s="398"/>
      <c r="AP221" s="398"/>
      <c r="AQ221" s="398"/>
      <c r="AR221" s="398"/>
      <c r="AS221" s="398"/>
      <c r="AT221" s="5"/>
      <c r="AU221" s="5"/>
      <c r="AV221" s="5"/>
      <c r="AW221" s="5"/>
      <c r="AX221" s="5"/>
      <c r="AY221" s="5"/>
      <c r="AZ221" s="5"/>
      <c r="BA221" s="5"/>
      <c r="BB221" s="5"/>
      <c r="BC221" s="5"/>
    </row>
    <row r="222" spans="1:55" ht="22.5" x14ac:dyDescent="0.25">
      <c r="A222" s="713"/>
      <c r="B222" s="696"/>
      <c r="C222" s="696"/>
      <c r="D222" s="384" t="s">
        <v>370</v>
      </c>
      <c r="E222" s="388">
        <v>0</v>
      </c>
      <c r="F222" s="388">
        <v>0</v>
      </c>
      <c r="G222" s="388">
        <v>0</v>
      </c>
      <c r="H222" s="388">
        <v>0</v>
      </c>
      <c r="I222" s="390"/>
      <c r="J222" s="388">
        <v>0</v>
      </c>
      <c r="K222" s="388">
        <v>0</v>
      </c>
      <c r="L222" s="388">
        <v>0</v>
      </c>
      <c r="M222" s="390"/>
      <c r="N222" s="696"/>
      <c r="O222" s="696"/>
      <c r="P222" s="696"/>
      <c r="Q222" s="696"/>
      <c r="R222" s="696"/>
      <c r="S222" s="696"/>
      <c r="T222" s="696"/>
      <c r="U222" s="696"/>
      <c r="V222" s="696"/>
      <c r="W222" s="696"/>
      <c r="X222" s="696"/>
      <c r="Y222" s="699"/>
      <c r="Z222" s="394"/>
      <c r="AA222" s="395"/>
      <c r="AB222" s="395"/>
      <c r="AC222" s="395"/>
      <c r="AD222" s="395"/>
      <c r="AE222" s="395"/>
      <c r="AF222" s="395"/>
      <c r="AG222" s="395"/>
      <c r="AH222" s="395"/>
      <c r="AI222" s="395"/>
      <c r="AJ222" s="396"/>
      <c r="AK222" s="397"/>
      <c r="AL222" s="397"/>
      <c r="AM222" s="398"/>
      <c r="AN222" s="398"/>
      <c r="AO222" s="398"/>
      <c r="AP222" s="398"/>
      <c r="AQ222" s="398"/>
      <c r="AR222" s="398"/>
      <c r="AS222" s="398"/>
      <c r="AT222" s="5"/>
      <c r="AU222" s="5"/>
      <c r="AV222" s="5"/>
      <c r="AW222" s="5"/>
      <c r="AX222" s="5"/>
      <c r="AY222" s="5"/>
      <c r="AZ222" s="5"/>
      <c r="BA222" s="5"/>
      <c r="BB222" s="5"/>
      <c r="BC222" s="5"/>
    </row>
    <row r="223" spans="1:55" x14ac:dyDescent="0.25">
      <c r="A223" s="713"/>
      <c r="B223" s="696"/>
      <c r="C223" s="722" t="s">
        <v>382</v>
      </c>
      <c r="D223" s="389" t="s">
        <v>348</v>
      </c>
      <c r="E223" s="387">
        <v>26.603999999999999</v>
      </c>
      <c r="F223" s="387">
        <v>26.603999999999999</v>
      </c>
      <c r="G223" s="437">
        <f>17.102+F223</f>
        <v>43.706000000000003</v>
      </c>
      <c r="H223" s="437">
        <f>G223</f>
        <v>43.706000000000003</v>
      </c>
      <c r="I223" s="438"/>
      <c r="J223" s="387">
        <v>26.603999999999999</v>
      </c>
      <c r="K223" s="437">
        <f>17.102+J223</f>
        <v>43.706000000000003</v>
      </c>
      <c r="L223" s="437">
        <v>116.39</v>
      </c>
      <c r="M223" s="438"/>
      <c r="N223" s="722" t="s">
        <v>382</v>
      </c>
      <c r="O223" s="722" t="s">
        <v>474</v>
      </c>
      <c r="P223" s="720" t="s">
        <v>475</v>
      </c>
      <c r="Q223" s="722" t="s">
        <v>452</v>
      </c>
      <c r="R223" s="720" t="s">
        <v>353</v>
      </c>
      <c r="S223" s="733">
        <v>221906</v>
      </c>
      <c r="T223" s="696"/>
      <c r="U223" s="720" t="s">
        <v>453</v>
      </c>
      <c r="V223" s="720" t="s">
        <v>453</v>
      </c>
      <c r="W223" s="720" t="s">
        <v>356</v>
      </c>
      <c r="X223" s="720" t="s">
        <v>357</v>
      </c>
      <c r="Y223" s="721">
        <v>221906</v>
      </c>
      <c r="Z223" s="394"/>
      <c r="AA223" s="395"/>
      <c r="AB223" s="395"/>
      <c r="AC223" s="395"/>
      <c r="AD223" s="395"/>
      <c r="AE223" s="395"/>
      <c r="AF223" s="395"/>
      <c r="AG223" s="395"/>
      <c r="AH223" s="395"/>
      <c r="AI223" s="395"/>
      <c r="AJ223" s="396"/>
      <c r="AK223" s="397"/>
      <c r="AL223" s="397"/>
      <c r="AM223" s="398"/>
      <c r="AN223" s="398"/>
      <c r="AO223" s="398"/>
      <c r="AP223" s="398"/>
      <c r="AQ223" s="398"/>
      <c r="AR223" s="398"/>
      <c r="AS223" s="398"/>
      <c r="AT223" s="5"/>
      <c r="AU223" s="5"/>
      <c r="AV223" s="5"/>
      <c r="AW223" s="5"/>
      <c r="AX223" s="5"/>
      <c r="AY223" s="5"/>
      <c r="AZ223" s="5"/>
      <c r="BA223" s="5"/>
      <c r="BB223" s="5"/>
      <c r="BC223" s="5"/>
    </row>
    <row r="224" spans="1:55" x14ac:dyDescent="0.25">
      <c r="A224" s="713"/>
      <c r="B224" s="696"/>
      <c r="C224" s="696"/>
      <c r="D224" s="384" t="s">
        <v>360</v>
      </c>
      <c r="E224" s="388">
        <f>(E223*$E$180)/$E$179</f>
        <v>2739888.6135999998</v>
      </c>
      <c r="F224" s="388">
        <f>(F223*$F$180)/$F$179</f>
        <v>2739888.6135999998</v>
      </c>
      <c r="G224" s="388">
        <f>(G223*$G$180)/$G$179</f>
        <v>4501186.72928889</v>
      </c>
      <c r="H224" s="388">
        <f>(H223*$H$180)/$H$179</f>
        <v>4501186.72928889</v>
      </c>
      <c r="I224" s="439"/>
      <c r="J224" s="388">
        <f>(J223*$J$180)/$J$179</f>
        <v>15649216.975081027</v>
      </c>
      <c r="K224" s="388">
        <f>(K223*$K$180)/$K$179</f>
        <v>11686882.086606853</v>
      </c>
      <c r="L224" s="388">
        <f>(L223*$L$180)/$L$179</f>
        <v>15276522.607824266</v>
      </c>
      <c r="M224" s="439"/>
      <c r="N224" s="696"/>
      <c r="O224" s="696"/>
      <c r="P224" s="696"/>
      <c r="Q224" s="696"/>
      <c r="R224" s="696"/>
      <c r="S224" s="696"/>
      <c r="T224" s="696"/>
      <c r="U224" s="696"/>
      <c r="V224" s="696"/>
      <c r="W224" s="696"/>
      <c r="X224" s="696"/>
      <c r="Y224" s="699"/>
      <c r="Z224" s="394"/>
      <c r="AA224" s="395"/>
      <c r="AB224" s="395"/>
      <c r="AC224" s="395"/>
      <c r="AD224" s="395"/>
      <c r="AE224" s="395"/>
      <c r="AF224" s="395"/>
      <c r="AG224" s="395"/>
      <c r="AH224" s="395"/>
      <c r="AI224" s="395"/>
      <c r="AJ224" s="396"/>
      <c r="AK224" s="397"/>
      <c r="AL224" s="397"/>
      <c r="AM224" s="398"/>
      <c r="AN224" s="398"/>
      <c r="AO224" s="398"/>
      <c r="AP224" s="398"/>
      <c r="AQ224" s="398"/>
      <c r="AR224" s="398"/>
      <c r="AS224" s="398"/>
      <c r="AT224" s="5"/>
      <c r="AU224" s="5"/>
      <c r="AV224" s="5"/>
      <c r="AW224" s="5"/>
      <c r="AX224" s="5"/>
      <c r="AY224" s="5"/>
      <c r="AZ224" s="5"/>
      <c r="BA224" s="5"/>
      <c r="BB224" s="5"/>
      <c r="BC224" s="5"/>
    </row>
    <row r="225" spans="1:55" x14ac:dyDescent="0.25">
      <c r="A225" s="713"/>
      <c r="B225" s="696"/>
      <c r="C225" s="696"/>
      <c r="D225" s="384" t="s">
        <v>365</v>
      </c>
      <c r="E225" s="387">
        <v>0</v>
      </c>
      <c r="F225" s="387">
        <v>0</v>
      </c>
      <c r="G225" s="387">
        <v>0</v>
      </c>
      <c r="H225" s="387">
        <v>0</v>
      </c>
      <c r="I225" s="390"/>
      <c r="J225" s="387">
        <v>0</v>
      </c>
      <c r="K225" s="387">
        <v>0</v>
      </c>
      <c r="L225" s="387">
        <v>0</v>
      </c>
      <c r="M225" s="386"/>
      <c r="N225" s="696"/>
      <c r="O225" s="696"/>
      <c r="P225" s="696"/>
      <c r="Q225" s="696"/>
      <c r="R225" s="696"/>
      <c r="S225" s="696"/>
      <c r="T225" s="696"/>
      <c r="U225" s="696"/>
      <c r="V225" s="696"/>
      <c r="W225" s="696"/>
      <c r="X225" s="696"/>
      <c r="Y225" s="699"/>
      <c r="Z225" s="394"/>
      <c r="AA225" s="395"/>
      <c r="AB225" s="395"/>
      <c r="AC225" s="395"/>
      <c r="AD225" s="395"/>
      <c r="AE225" s="395"/>
      <c r="AF225" s="395"/>
      <c r="AG225" s="395"/>
      <c r="AH225" s="395"/>
      <c r="AI225" s="395"/>
      <c r="AJ225" s="396"/>
      <c r="AK225" s="397"/>
      <c r="AL225" s="397"/>
      <c r="AM225" s="398"/>
      <c r="AN225" s="398"/>
      <c r="AO225" s="398"/>
      <c r="AP225" s="398"/>
      <c r="AQ225" s="398"/>
      <c r="AR225" s="398"/>
      <c r="AS225" s="398"/>
      <c r="AT225" s="5"/>
      <c r="AU225" s="5"/>
      <c r="AV225" s="5"/>
      <c r="AW225" s="5"/>
      <c r="AX225" s="5"/>
      <c r="AY225" s="5"/>
      <c r="AZ225" s="5"/>
      <c r="BA225" s="5"/>
      <c r="BB225" s="5"/>
      <c r="BC225" s="5"/>
    </row>
    <row r="226" spans="1:55" ht="22.5" x14ac:dyDescent="0.25">
      <c r="A226" s="713"/>
      <c r="B226" s="696"/>
      <c r="C226" s="696"/>
      <c r="D226" s="384" t="s">
        <v>370</v>
      </c>
      <c r="E226" s="388">
        <v>0</v>
      </c>
      <c r="F226" s="388">
        <v>0</v>
      </c>
      <c r="G226" s="388">
        <v>0</v>
      </c>
      <c r="H226" s="388">
        <v>0</v>
      </c>
      <c r="I226" s="390"/>
      <c r="J226" s="388">
        <v>0</v>
      </c>
      <c r="K226" s="388">
        <v>0</v>
      </c>
      <c r="L226" s="388">
        <v>0</v>
      </c>
      <c r="M226" s="390"/>
      <c r="N226" s="696"/>
      <c r="O226" s="696"/>
      <c r="P226" s="696"/>
      <c r="Q226" s="696"/>
      <c r="R226" s="696"/>
      <c r="S226" s="696"/>
      <c r="T226" s="696"/>
      <c r="U226" s="696"/>
      <c r="V226" s="696"/>
      <c r="W226" s="696"/>
      <c r="X226" s="696"/>
      <c r="Y226" s="699"/>
      <c r="Z226" s="394"/>
      <c r="AA226" s="395"/>
      <c r="AB226" s="395"/>
      <c r="AC226" s="395"/>
      <c r="AD226" s="395"/>
      <c r="AE226" s="395"/>
      <c r="AF226" s="395"/>
      <c r="AG226" s="395"/>
      <c r="AH226" s="395"/>
      <c r="AI226" s="395"/>
      <c r="AJ226" s="396"/>
      <c r="AK226" s="397"/>
      <c r="AL226" s="397"/>
      <c r="AM226" s="398"/>
      <c r="AN226" s="398"/>
      <c r="AO226" s="398"/>
      <c r="AP226" s="398"/>
      <c r="AQ226" s="398"/>
      <c r="AR226" s="398"/>
      <c r="AS226" s="398"/>
      <c r="AT226" s="5"/>
      <c r="AU226" s="5"/>
      <c r="AV226" s="5"/>
      <c r="AW226" s="5"/>
      <c r="AX226" s="5"/>
      <c r="AY226" s="5"/>
      <c r="AZ226" s="5"/>
      <c r="BA226" s="5"/>
      <c r="BB226" s="5"/>
      <c r="BC226" s="5"/>
    </row>
    <row r="227" spans="1:55" x14ac:dyDescent="0.25">
      <c r="A227" s="713"/>
      <c r="B227" s="696"/>
      <c r="C227" s="722" t="s">
        <v>396</v>
      </c>
      <c r="D227" s="389" t="s">
        <v>348</v>
      </c>
      <c r="E227" s="387">
        <v>1.7198</v>
      </c>
      <c r="F227" s="387">
        <v>1.7198</v>
      </c>
      <c r="G227" s="437">
        <f>0.676+F227</f>
        <v>2.3957999999999999</v>
      </c>
      <c r="H227" s="437">
        <f>G227</f>
        <v>2.3957999999999999</v>
      </c>
      <c r="I227" s="438"/>
      <c r="J227" s="387">
        <v>1.7198</v>
      </c>
      <c r="K227" s="437">
        <f>0.676+J227</f>
        <v>2.3957999999999999</v>
      </c>
      <c r="L227" s="437">
        <v>7.1505000000000001</v>
      </c>
      <c r="M227" s="438"/>
      <c r="N227" s="722" t="s">
        <v>396</v>
      </c>
      <c r="O227" s="722" t="s">
        <v>476</v>
      </c>
      <c r="P227" s="720" t="s">
        <v>477</v>
      </c>
      <c r="Q227" s="722" t="s">
        <v>452</v>
      </c>
      <c r="R227" s="720" t="s">
        <v>353</v>
      </c>
      <c r="S227" s="733">
        <v>350944</v>
      </c>
      <c r="T227" s="696"/>
      <c r="U227" s="720" t="s">
        <v>453</v>
      </c>
      <c r="V227" s="720" t="s">
        <v>453</v>
      </c>
      <c r="W227" s="720" t="s">
        <v>356</v>
      </c>
      <c r="X227" s="720" t="s">
        <v>357</v>
      </c>
      <c r="Y227" s="721">
        <v>350944</v>
      </c>
      <c r="Z227" s="394"/>
      <c r="AA227" s="395"/>
      <c r="AB227" s="395"/>
      <c r="AC227" s="395"/>
      <c r="AD227" s="395"/>
      <c r="AE227" s="395"/>
      <c r="AF227" s="395"/>
      <c r="AG227" s="395"/>
      <c r="AH227" s="395"/>
      <c r="AI227" s="395"/>
      <c r="AJ227" s="396"/>
      <c r="AK227" s="397"/>
      <c r="AL227" s="397"/>
      <c r="AM227" s="398"/>
      <c r="AN227" s="398"/>
      <c r="AO227" s="398"/>
      <c r="AP227" s="398"/>
      <c r="AQ227" s="398"/>
      <c r="AR227" s="398"/>
      <c r="AS227" s="398"/>
      <c r="AT227" s="5"/>
      <c r="AU227" s="5"/>
      <c r="AV227" s="5"/>
      <c r="AW227" s="5"/>
      <c r="AX227" s="5"/>
      <c r="AY227" s="5"/>
      <c r="AZ227" s="5"/>
      <c r="BA227" s="5"/>
      <c r="BB227" s="5"/>
      <c r="BC227" s="5"/>
    </row>
    <row r="228" spans="1:55" x14ac:dyDescent="0.25">
      <c r="A228" s="713"/>
      <c r="B228" s="696"/>
      <c r="C228" s="696"/>
      <c r="D228" s="384" t="s">
        <v>360</v>
      </c>
      <c r="E228" s="388">
        <f>(E227*$E$180)/$E$179</f>
        <v>177118.49487555557</v>
      </c>
      <c r="F228" s="388">
        <f>(F227*$F$180)/$F$179</f>
        <v>177118.49487555557</v>
      </c>
      <c r="G228" s="388">
        <f>(G227*$G$180)/$G$179</f>
        <v>246738.27772000001</v>
      </c>
      <c r="H228" s="388">
        <f>(H227*$H$180)/$H$179</f>
        <v>246738.27772000001</v>
      </c>
      <c r="I228" s="439"/>
      <c r="J228" s="388">
        <f>(J227*$J$180)/$J$179</f>
        <v>1011634.4667623045</v>
      </c>
      <c r="K228" s="388">
        <f>(K227*$K$180)/$K$179</f>
        <v>640631.31156117457</v>
      </c>
      <c r="L228" s="388">
        <f>(L227*$L$180)/$L$179</f>
        <v>938523.7125805259</v>
      </c>
      <c r="M228" s="439"/>
      <c r="N228" s="696"/>
      <c r="O228" s="696"/>
      <c r="P228" s="696"/>
      <c r="Q228" s="696"/>
      <c r="R228" s="696"/>
      <c r="S228" s="696"/>
      <c r="T228" s="696"/>
      <c r="U228" s="696"/>
      <c r="V228" s="696"/>
      <c r="W228" s="696"/>
      <c r="X228" s="696"/>
      <c r="Y228" s="699"/>
      <c r="Z228" s="394"/>
      <c r="AA228" s="395"/>
      <c r="AB228" s="395"/>
      <c r="AC228" s="395"/>
      <c r="AD228" s="395"/>
      <c r="AE228" s="395"/>
      <c r="AF228" s="395"/>
      <c r="AG228" s="395"/>
      <c r="AH228" s="395"/>
      <c r="AI228" s="395"/>
      <c r="AJ228" s="396"/>
      <c r="AK228" s="397"/>
      <c r="AL228" s="397"/>
      <c r="AM228" s="398"/>
      <c r="AN228" s="398"/>
      <c r="AO228" s="398"/>
      <c r="AP228" s="398"/>
      <c r="AQ228" s="398"/>
      <c r="AR228" s="398"/>
      <c r="AS228" s="398"/>
      <c r="AT228" s="5"/>
      <c r="AU228" s="5"/>
      <c r="AV228" s="5"/>
      <c r="AW228" s="5"/>
      <c r="AX228" s="5"/>
      <c r="AY228" s="5"/>
      <c r="AZ228" s="5"/>
      <c r="BA228" s="5"/>
      <c r="BB228" s="5"/>
      <c r="BC228" s="5"/>
    </row>
    <row r="229" spans="1:55" x14ac:dyDescent="0.25">
      <c r="A229" s="713"/>
      <c r="B229" s="696"/>
      <c r="C229" s="696"/>
      <c r="D229" s="384" t="s">
        <v>365</v>
      </c>
      <c r="E229" s="387">
        <v>0</v>
      </c>
      <c r="F229" s="387">
        <v>0</v>
      </c>
      <c r="G229" s="387">
        <v>0</v>
      </c>
      <c r="H229" s="387">
        <v>0</v>
      </c>
      <c r="I229" s="390"/>
      <c r="J229" s="387">
        <v>0</v>
      </c>
      <c r="K229" s="387">
        <v>0</v>
      </c>
      <c r="L229" s="387">
        <v>0</v>
      </c>
      <c r="M229" s="386"/>
      <c r="N229" s="696"/>
      <c r="O229" s="696"/>
      <c r="P229" s="696"/>
      <c r="Q229" s="696"/>
      <c r="R229" s="696"/>
      <c r="S229" s="696"/>
      <c r="T229" s="696"/>
      <c r="U229" s="696"/>
      <c r="V229" s="696"/>
      <c r="W229" s="696"/>
      <c r="X229" s="696"/>
      <c r="Y229" s="699"/>
      <c r="Z229" s="394"/>
      <c r="AA229" s="395"/>
      <c r="AB229" s="395"/>
      <c r="AC229" s="395"/>
      <c r="AD229" s="395"/>
      <c r="AE229" s="395"/>
      <c r="AF229" s="395"/>
      <c r="AG229" s="395"/>
      <c r="AH229" s="395"/>
      <c r="AI229" s="395"/>
      <c r="AJ229" s="396"/>
      <c r="AK229" s="397"/>
      <c r="AL229" s="397"/>
      <c r="AM229" s="398"/>
      <c r="AN229" s="398"/>
      <c r="AO229" s="398"/>
      <c r="AP229" s="398"/>
      <c r="AQ229" s="398"/>
      <c r="AR229" s="398"/>
      <c r="AS229" s="398"/>
      <c r="AT229" s="5"/>
      <c r="AU229" s="5"/>
      <c r="AV229" s="5"/>
      <c r="AW229" s="5"/>
      <c r="AX229" s="5"/>
      <c r="AY229" s="5"/>
      <c r="AZ229" s="5"/>
      <c r="BA229" s="5"/>
      <c r="BB229" s="5"/>
      <c r="BC229" s="5"/>
    </row>
    <row r="230" spans="1:55" ht="22.5" x14ac:dyDescent="0.25">
      <c r="A230" s="713"/>
      <c r="B230" s="696"/>
      <c r="C230" s="696"/>
      <c r="D230" s="384" t="s">
        <v>370</v>
      </c>
      <c r="E230" s="388">
        <v>0</v>
      </c>
      <c r="F230" s="388">
        <v>0</v>
      </c>
      <c r="G230" s="388">
        <v>0</v>
      </c>
      <c r="H230" s="388">
        <v>0</v>
      </c>
      <c r="I230" s="390"/>
      <c r="J230" s="388">
        <v>0</v>
      </c>
      <c r="K230" s="388">
        <v>0</v>
      </c>
      <c r="L230" s="388">
        <v>0</v>
      </c>
      <c r="M230" s="390"/>
      <c r="N230" s="696"/>
      <c r="O230" s="696"/>
      <c r="P230" s="696"/>
      <c r="Q230" s="696"/>
      <c r="R230" s="696"/>
      <c r="S230" s="696"/>
      <c r="T230" s="696"/>
      <c r="U230" s="696"/>
      <c r="V230" s="696"/>
      <c r="W230" s="696"/>
      <c r="X230" s="696"/>
      <c r="Y230" s="699"/>
      <c r="Z230" s="394"/>
      <c r="AA230" s="395"/>
      <c r="AB230" s="395"/>
      <c r="AC230" s="395"/>
      <c r="AD230" s="395"/>
      <c r="AE230" s="395"/>
      <c r="AF230" s="395"/>
      <c r="AG230" s="395"/>
      <c r="AH230" s="395"/>
      <c r="AI230" s="395"/>
      <c r="AJ230" s="396"/>
      <c r="AK230" s="397"/>
      <c r="AL230" s="397"/>
      <c r="AM230" s="398"/>
      <c r="AN230" s="398"/>
      <c r="AO230" s="398"/>
      <c r="AP230" s="398"/>
      <c r="AQ230" s="398"/>
      <c r="AR230" s="398"/>
      <c r="AS230" s="398"/>
      <c r="AT230" s="5"/>
      <c r="AU230" s="5"/>
      <c r="AV230" s="5"/>
      <c r="AW230" s="5"/>
      <c r="AX230" s="5"/>
      <c r="AY230" s="5"/>
      <c r="AZ230" s="5"/>
      <c r="BA230" s="5"/>
      <c r="BB230" s="5"/>
      <c r="BC230" s="5"/>
    </row>
    <row r="231" spans="1:55" x14ac:dyDescent="0.25">
      <c r="A231" s="713"/>
      <c r="B231" s="696"/>
      <c r="C231" s="722" t="s">
        <v>398</v>
      </c>
      <c r="D231" s="389" t="s">
        <v>348</v>
      </c>
      <c r="E231" s="387">
        <v>24.479700000000001</v>
      </c>
      <c r="F231" s="387">
        <v>24.479700000000001</v>
      </c>
      <c r="G231" s="437">
        <f>0.61+F231</f>
        <v>25.089700000000001</v>
      </c>
      <c r="H231" s="437">
        <f>G231</f>
        <v>25.089700000000001</v>
      </c>
      <c r="I231" s="440"/>
      <c r="J231" s="387">
        <v>24.479700000000001</v>
      </c>
      <c r="K231" s="437">
        <f>0.61+J231</f>
        <v>25.089700000000001</v>
      </c>
      <c r="L231" s="437">
        <f>8.2267+K231</f>
        <v>33.316400000000002</v>
      </c>
      <c r="M231" s="438"/>
      <c r="N231" s="722" t="s">
        <v>398</v>
      </c>
      <c r="O231" s="722" t="s">
        <v>478</v>
      </c>
      <c r="P231" s="720" t="s">
        <v>478</v>
      </c>
      <c r="Q231" s="722" t="s">
        <v>452</v>
      </c>
      <c r="R231" s="720" t="s">
        <v>353</v>
      </c>
      <c r="S231" s="733">
        <v>394358</v>
      </c>
      <c r="T231" s="696"/>
      <c r="U231" s="720" t="s">
        <v>453</v>
      </c>
      <c r="V231" s="720" t="s">
        <v>453</v>
      </c>
      <c r="W231" s="720" t="s">
        <v>356</v>
      </c>
      <c r="X231" s="720" t="s">
        <v>357</v>
      </c>
      <c r="Y231" s="721">
        <v>394358</v>
      </c>
      <c r="Z231" s="394"/>
      <c r="AA231" s="395"/>
      <c r="AB231" s="395"/>
      <c r="AC231" s="395"/>
      <c r="AD231" s="395"/>
      <c r="AE231" s="395"/>
      <c r="AF231" s="395"/>
      <c r="AG231" s="395"/>
      <c r="AH231" s="395"/>
      <c r="AI231" s="395"/>
      <c r="AJ231" s="396"/>
      <c r="AK231" s="397"/>
      <c r="AL231" s="397"/>
      <c r="AM231" s="398"/>
      <c r="AN231" s="398"/>
      <c r="AO231" s="398"/>
      <c r="AP231" s="398"/>
      <c r="AQ231" s="398"/>
      <c r="AR231" s="398"/>
      <c r="AS231" s="398"/>
      <c r="AT231" s="5"/>
      <c r="AU231" s="5"/>
      <c r="AV231" s="5"/>
      <c r="AW231" s="5"/>
      <c r="AX231" s="5"/>
      <c r="AY231" s="5"/>
      <c r="AZ231" s="5"/>
      <c r="BA231" s="5"/>
      <c r="BB231" s="5"/>
      <c r="BC231" s="5"/>
    </row>
    <row r="232" spans="1:55" x14ac:dyDescent="0.25">
      <c r="A232" s="713"/>
      <c r="B232" s="696"/>
      <c r="C232" s="696"/>
      <c r="D232" s="384" t="s">
        <v>360</v>
      </c>
      <c r="E232" s="388">
        <f>(E231*$E$180)/$E$179</f>
        <v>2521111.5356466668</v>
      </c>
      <c r="F232" s="388">
        <f>(F231*$F$180)/$F$179</f>
        <v>2521111.5356466668</v>
      </c>
      <c r="G232" s="388">
        <f>(G231*$G$180)/$G$179</f>
        <v>2583934.1207577777</v>
      </c>
      <c r="H232" s="388">
        <f>(H231*$H$180)/$H$179</f>
        <v>2583934.1207577777</v>
      </c>
      <c r="I232" s="439"/>
      <c r="J232" s="388">
        <f>(J231*$J$180)/$J$179</f>
        <v>14399644.293523192</v>
      </c>
      <c r="K232" s="388">
        <f>(K231*$K$180)/$K$179</f>
        <v>6708927.0463629691</v>
      </c>
      <c r="L232" s="388">
        <v>6708927.0463629691</v>
      </c>
      <c r="M232" s="439"/>
      <c r="N232" s="696"/>
      <c r="O232" s="696"/>
      <c r="P232" s="696"/>
      <c r="Q232" s="696"/>
      <c r="R232" s="696"/>
      <c r="S232" s="696"/>
      <c r="T232" s="696"/>
      <c r="U232" s="696"/>
      <c r="V232" s="696"/>
      <c r="W232" s="696"/>
      <c r="X232" s="696"/>
      <c r="Y232" s="699"/>
      <c r="Z232" s="394"/>
      <c r="AA232" s="395"/>
      <c r="AB232" s="395"/>
      <c r="AC232" s="395"/>
      <c r="AD232" s="395"/>
      <c r="AE232" s="395"/>
      <c r="AF232" s="395"/>
      <c r="AG232" s="395"/>
      <c r="AH232" s="395"/>
      <c r="AI232" s="395"/>
      <c r="AJ232" s="396"/>
      <c r="AK232" s="397"/>
      <c r="AL232" s="397"/>
      <c r="AM232" s="398"/>
      <c r="AN232" s="398"/>
      <c r="AO232" s="398"/>
      <c r="AP232" s="398"/>
      <c r="AQ232" s="398"/>
      <c r="AR232" s="398"/>
      <c r="AS232" s="398"/>
      <c r="AT232" s="5"/>
      <c r="AU232" s="5"/>
      <c r="AV232" s="5"/>
      <c r="AW232" s="5"/>
      <c r="AX232" s="5"/>
      <c r="AY232" s="5"/>
      <c r="AZ232" s="5"/>
      <c r="BA232" s="5"/>
      <c r="BB232" s="5"/>
      <c r="BC232" s="5"/>
    </row>
    <row r="233" spans="1:55" x14ac:dyDescent="0.25">
      <c r="A233" s="713"/>
      <c r="B233" s="696"/>
      <c r="C233" s="696"/>
      <c r="D233" s="384" t="s">
        <v>365</v>
      </c>
      <c r="E233" s="387">
        <v>0</v>
      </c>
      <c r="F233" s="387">
        <v>0</v>
      </c>
      <c r="G233" s="387">
        <v>0</v>
      </c>
      <c r="H233" s="387">
        <v>0</v>
      </c>
      <c r="I233" s="390"/>
      <c r="J233" s="387">
        <v>0</v>
      </c>
      <c r="K233" s="387">
        <v>0</v>
      </c>
      <c r="L233" s="387">
        <v>0</v>
      </c>
      <c r="M233" s="386"/>
      <c r="N233" s="696"/>
      <c r="O233" s="696"/>
      <c r="P233" s="696"/>
      <c r="Q233" s="696"/>
      <c r="R233" s="696"/>
      <c r="S233" s="696"/>
      <c r="T233" s="696"/>
      <c r="U233" s="696"/>
      <c r="V233" s="696"/>
      <c r="W233" s="696"/>
      <c r="X233" s="696"/>
      <c r="Y233" s="699"/>
      <c r="Z233" s="394"/>
      <c r="AA233" s="395"/>
      <c r="AB233" s="395"/>
      <c r="AC233" s="395"/>
      <c r="AD233" s="395"/>
      <c r="AE233" s="395"/>
      <c r="AF233" s="395"/>
      <c r="AG233" s="395"/>
      <c r="AH233" s="395"/>
      <c r="AI233" s="395"/>
      <c r="AJ233" s="396"/>
      <c r="AK233" s="397"/>
      <c r="AL233" s="397"/>
      <c r="AM233" s="398"/>
      <c r="AN233" s="398"/>
      <c r="AO233" s="398"/>
      <c r="AP233" s="398"/>
      <c r="AQ233" s="398"/>
      <c r="AR233" s="398"/>
      <c r="AS233" s="398"/>
      <c r="AT233" s="5"/>
      <c r="AU233" s="5"/>
      <c r="AV233" s="5"/>
      <c r="AW233" s="5"/>
      <c r="AX233" s="5"/>
      <c r="AY233" s="5"/>
      <c r="AZ233" s="5"/>
      <c r="BA233" s="5"/>
      <c r="BB233" s="5"/>
      <c r="BC233" s="5"/>
    </row>
    <row r="234" spans="1:55" ht="22.5" x14ac:dyDescent="0.25">
      <c r="A234" s="713"/>
      <c r="B234" s="696"/>
      <c r="C234" s="696"/>
      <c r="D234" s="384" t="s">
        <v>370</v>
      </c>
      <c r="E234" s="388">
        <v>0</v>
      </c>
      <c r="F234" s="388">
        <v>0</v>
      </c>
      <c r="G234" s="388">
        <v>0</v>
      </c>
      <c r="H234" s="388">
        <v>0</v>
      </c>
      <c r="I234" s="390"/>
      <c r="J234" s="388">
        <v>0</v>
      </c>
      <c r="K234" s="388">
        <v>0</v>
      </c>
      <c r="L234" s="388">
        <v>0</v>
      </c>
      <c r="M234" s="390"/>
      <c r="N234" s="696"/>
      <c r="O234" s="696"/>
      <c r="P234" s="696"/>
      <c r="Q234" s="696"/>
      <c r="R234" s="696"/>
      <c r="S234" s="696"/>
      <c r="T234" s="696"/>
      <c r="U234" s="696"/>
      <c r="V234" s="696"/>
      <c r="W234" s="696"/>
      <c r="X234" s="696"/>
      <c r="Y234" s="699"/>
      <c r="Z234" s="394"/>
      <c r="AA234" s="395"/>
      <c r="AB234" s="395"/>
      <c r="AC234" s="395"/>
      <c r="AD234" s="395"/>
      <c r="AE234" s="395"/>
      <c r="AF234" s="395"/>
      <c r="AG234" s="395"/>
      <c r="AH234" s="395"/>
      <c r="AI234" s="395"/>
      <c r="AJ234" s="396"/>
      <c r="AK234" s="397"/>
      <c r="AL234" s="397"/>
      <c r="AM234" s="398"/>
      <c r="AN234" s="398"/>
      <c r="AO234" s="398"/>
      <c r="AP234" s="398"/>
      <c r="AQ234" s="398"/>
      <c r="AR234" s="398"/>
      <c r="AS234" s="398"/>
      <c r="AT234" s="5"/>
      <c r="AU234" s="5"/>
      <c r="AV234" s="5"/>
      <c r="AW234" s="5"/>
      <c r="AX234" s="5"/>
      <c r="AY234" s="5"/>
      <c r="AZ234" s="5"/>
      <c r="BA234" s="5"/>
      <c r="BB234" s="5"/>
      <c r="BC234" s="5"/>
    </row>
    <row r="235" spans="1:55" x14ac:dyDescent="0.25">
      <c r="A235" s="713"/>
      <c r="B235" s="696"/>
      <c r="C235" s="722" t="s">
        <v>479</v>
      </c>
      <c r="D235" s="389" t="s">
        <v>348</v>
      </c>
      <c r="E235" s="387">
        <v>20.7393</v>
      </c>
      <c r="F235" s="387">
        <v>20.7393</v>
      </c>
      <c r="G235" s="437">
        <f>15.442+F235</f>
        <v>36.1813</v>
      </c>
      <c r="H235" s="437">
        <f>G235</f>
        <v>36.1813</v>
      </c>
      <c r="I235" s="440"/>
      <c r="J235" s="387">
        <v>20.7393</v>
      </c>
      <c r="K235" s="437">
        <f>15.442+J235</f>
        <v>36.1813</v>
      </c>
      <c r="L235" s="437">
        <v>86.900999999999996</v>
      </c>
      <c r="M235" s="438"/>
      <c r="N235" s="722" t="s">
        <v>479</v>
      </c>
      <c r="O235" s="722" t="s">
        <v>480</v>
      </c>
      <c r="P235" s="720" t="s">
        <v>481</v>
      </c>
      <c r="Q235" s="722" t="s">
        <v>452</v>
      </c>
      <c r="R235" s="720" t="s">
        <v>353</v>
      </c>
      <c r="S235" s="733">
        <v>95201</v>
      </c>
      <c r="T235" s="696"/>
      <c r="U235" s="720" t="s">
        <v>453</v>
      </c>
      <c r="V235" s="720" t="s">
        <v>453</v>
      </c>
      <c r="W235" s="720" t="s">
        <v>356</v>
      </c>
      <c r="X235" s="720" t="s">
        <v>357</v>
      </c>
      <c r="Y235" s="721">
        <v>95201</v>
      </c>
      <c r="Z235" s="394"/>
      <c r="AA235" s="395"/>
      <c r="AB235" s="395"/>
      <c r="AC235" s="395"/>
      <c r="AD235" s="395"/>
      <c r="AE235" s="395"/>
      <c r="AF235" s="395"/>
      <c r="AG235" s="395"/>
      <c r="AH235" s="395"/>
      <c r="AI235" s="395"/>
      <c r="AJ235" s="396"/>
      <c r="AK235" s="397"/>
      <c r="AL235" s="397"/>
      <c r="AM235" s="398"/>
      <c r="AN235" s="398"/>
      <c r="AO235" s="398"/>
      <c r="AP235" s="398"/>
      <c r="AQ235" s="398"/>
      <c r="AR235" s="398"/>
      <c r="AS235" s="398"/>
      <c r="AT235" s="5"/>
      <c r="AU235" s="5"/>
      <c r="AV235" s="5"/>
      <c r="AW235" s="5"/>
      <c r="AX235" s="5"/>
      <c r="AY235" s="5"/>
      <c r="AZ235" s="5"/>
      <c r="BA235" s="5"/>
      <c r="BB235" s="5"/>
      <c r="BC235" s="5"/>
    </row>
    <row r="236" spans="1:55" x14ac:dyDescent="0.25">
      <c r="A236" s="713"/>
      <c r="B236" s="696"/>
      <c r="C236" s="696"/>
      <c r="D236" s="384" t="s">
        <v>360</v>
      </c>
      <c r="E236" s="388">
        <f>(E235*$E$180)/$E$179</f>
        <v>2135895.8022866668</v>
      </c>
      <c r="F236" s="388">
        <f>(F235*$F$180)/$F$179</f>
        <v>2135895.8022866668</v>
      </c>
      <c r="G236" s="388">
        <f>(G235*$G$180)/$G$179</f>
        <v>3726234.0961977774</v>
      </c>
      <c r="H236" s="388">
        <f>(H235*$H$180)/$H$179</f>
        <v>3726234.0961977774</v>
      </c>
      <c r="I236" s="439"/>
      <c r="J236" s="388">
        <f>(J235*$J$180)/$J$179</f>
        <v>12199436.385930609</v>
      </c>
      <c r="K236" s="388">
        <f>(K235*$K$180)/$K$179</f>
        <v>9674794.9215244707</v>
      </c>
      <c r="L236" s="388">
        <f>(L235*$L$180)/$L$179</f>
        <v>11406006.453669013</v>
      </c>
      <c r="M236" s="439"/>
      <c r="N236" s="696"/>
      <c r="O236" s="696"/>
      <c r="P236" s="696"/>
      <c r="Q236" s="696"/>
      <c r="R236" s="696"/>
      <c r="S236" s="696"/>
      <c r="T236" s="696"/>
      <c r="U236" s="696"/>
      <c r="V236" s="696"/>
      <c r="W236" s="696"/>
      <c r="X236" s="696"/>
      <c r="Y236" s="699"/>
      <c r="Z236" s="394"/>
      <c r="AA236" s="395"/>
      <c r="AB236" s="395"/>
      <c r="AC236" s="395"/>
      <c r="AD236" s="395"/>
      <c r="AE236" s="395"/>
      <c r="AF236" s="395"/>
      <c r="AG236" s="395"/>
      <c r="AH236" s="395"/>
      <c r="AI236" s="395"/>
      <c r="AJ236" s="396"/>
      <c r="AK236" s="397"/>
      <c r="AL236" s="397"/>
      <c r="AM236" s="398"/>
      <c r="AN236" s="398"/>
      <c r="AO236" s="398"/>
      <c r="AP236" s="398"/>
      <c r="AQ236" s="398"/>
      <c r="AR236" s="398"/>
      <c r="AS236" s="398"/>
      <c r="AT236" s="5"/>
      <c r="AU236" s="5"/>
      <c r="AV236" s="5"/>
      <c r="AW236" s="5"/>
      <c r="AX236" s="5"/>
      <c r="AY236" s="5"/>
      <c r="AZ236" s="5"/>
      <c r="BA236" s="5"/>
      <c r="BB236" s="5"/>
      <c r="BC236" s="5"/>
    </row>
    <row r="237" spans="1:55" x14ac:dyDescent="0.25">
      <c r="A237" s="713"/>
      <c r="B237" s="696"/>
      <c r="C237" s="696"/>
      <c r="D237" s="384" t="s">
        <v>365</v>
      </c>
      <c r="E237" s="387">
        <v>0</v>
      </c>
      <c r="F237" s="387">
        <v>0</v>
      </c>
      <c r="G237" s="387">
        <v>0</v>
      </c>
      <c r="H237" s="387">
        <v>0</v>
      </c>
      <c r="I237" s="390"/>
      <c r="J237" s="387">
        <v>0</v>
      </c>
      <c r="K237" s="387">
        <v>0</v>
      </c>
      <c r="L237" s="387">
        <v>0</v>
      </c>
      <c r="M237" s="386"/>
      <c r="N237" s="696"/>
      <c r="O237" s="696"/>
      <c r="P237" s="696"/>
      <c r="Q237" s="696"/>
      <c r="R237" s="696"/>
      <c r="S237" s="696"/>
      <c r="T237" s="696"/>
      <c r="U237" s="696"/>
      <c r="V237" s="696"/>
      <c r="W237" s="696"/>
      <c r="X237" s="696"/>
      <c r="Y237" s="699"/>
      <c r="Z237" s="394"/>
      <c r="AA237" s="395"/>
      <c r="AB237" s="395"/>
      <c r="AC237" s="395"/>
      <c r="AD237" s="395"/>
      <c r="AE237" s="395"/>
      <c r="AF237" s="395"/>
      <c r="AG237" s="395"/>
      <c r="AH237" s="395"/>
      <c r="AI237" s="395"/>
      <c r="AJ237" s="396"/>
      <c r="AK237" s="397"/>
      <c r="AL237" s="397"/>
      <c r="AM237" s="398"/>
      <c r="AN237" s="398"/>
      <c r="AO237" s="398"/>
      <c r="AP237" s="398"/>
      <c r="AQ237" s="398"/>
      <c r="AR237" s="398"/>
      <c r="AS237" s="398"/>
      <c r="AT237" s="5"/>
      <c r="AU237" s="5"/>
      <c r="AV237" s="5"/>
      <c r="AW237" s="5"/>
      <c r="AX237" s="5"/>
      <c r="AY237" s="5"/>
      <c r="AZ237" s="5"/>
      <c r="BA237" s="5"/>
      <c r="BB237" s="5"/>
      <c r="BC237" s="5"/>
    </row>
    <row r="238" spans="1:55" ht="22.5" x14ac:dyDescent="0.25">
      <c r="A238" s="713"/>
      <c r="B238" s="696"/>
      <c r="C238" s="696"/>
      <c r="D238" s="384" t="s">
        <v>370</v>
      </c>
      <c r="E238" s="388">
        <v>0</v>
      </c>
      <c r="F238" s="388">
        <v>0</v>
      </c>
      <c r="G238" s="388">
        <v>0</v>
      </c>
      <c r="H238" s="388">
        <v>0</v>
      </c>
      <c r="I238" s="390"/>
      <c r="J238" s="388">
        <v>0</v>
      </c>
      <c r="K238" s="388">
        <v>0</v>
      </c>
      <c r="L238" s="388">
        <v>0</v>
      </c>
      <c r="M238" s="390"/>
      <c r="N238" s="696"/>
      <c r="O238" s="696"/>
      <c r="P238" s="696"/>
      <c r="Q238" s="696"/>
      <c r="R238" s="696"/>
      <c r="S238" s="696"/>
      <c r="T238" s="696"/>
      <c r="U238" s="696"/>
      <c r="V238" s="696"/>
      <c r="W238" s="696"/>
      <c r="X238" s="696"/>
      <c r="Y238" s="699"/>
      <c r="Z238" s="394"/>
      <c r="AA238" s="395"/>
      <c r="AB238" s="395"/>
      <c r="AC238" s="395"/>
      <c r="AD238" s="395"/>
      <c r="AE238" s="395"/>
      <c r="AF238" s="395"/>
      <c r="AG238" s="395"/>
      <c r="AH238" s="395"/>
      <c r="AI238" s="395"/>
      <c r="AJ238" s="396"/>
      <c r="AK238" s="397"/>
      <c r="AL238" s="397"/>
      <c r="AM238" s="398"/>
      <c r="AN238" s="398"/>
      <c r="AO238" s="398"/>
      <c r="AP238" s="398"/>
      <c r="AQ238" s="398"/>
      <c r="AR238" s="398"/>
      <c r="AS238" s="398"/>
      <c r="AT238" s="5"/>
      <c r="AU238" s="5"/>
      <c r="AV238" s="5"/>
      <c r="AW238" s="5"/>
      <c r="AX238" s="5"/>
      <c r="AY238" s="5"/>
      <c r="AZ238" s="5"/>
      <c r="BA238" s="5"/>
      <c r="BB238" s="5"/>
      <c r="BC238" s="5"/>
    </row>
    <row r="239" spans="1:55" x14ac:dyDescent="0.25">
      <c r="A239" s="713"/>
      <c r="B239" s="696"/>
      <c r="C239" s="722" t="s">
        <v>400</v>
      </c>
      <c r="D239" s="389" t="s">
        <v>348</v>
      </c>
      <c r="E239" s="387">
        <v>23.2515</v>
      </c>
      <c r="F239" s="387">
        <v>23.2515</v>
      </c>
      <c r="G239" s="437">
        <f>26.772+F239</f>
        <v>50.023499999999999</v>
      </c>
      <c r="H239" s="437">
        <f>G239</f>
        <v>50.023499999999999</v>
      </c>
      <c r="I239" s="440"/>
      <c r="J239" s="387">
        <v>23.2515</v>
      </c>
      <c r="K239" s="437">
        <f>26.772+J239</f>
        <v>50.023499999999999</v>
      </c>
      <c r="L239" s="437">
        <v>147.69</v>
      </c>
      <c r="M239" s="438"/>
      <c r="N239" s="722" t="s">
        <v>400</v>
      </c>
      <c r="O239" s="722" t="s">
        <v>482</v>
      </c>
      <c r="P239" s="720" t="s">
        <v>483</v>
      </c>
      <c r="Q239" s="722" t="s">
        <v>452</v>
      </c>
      <c r="R239" s="720" t="s">
        <v>353</v>
      </c>
      <c r="S239" s="733">
        <v>1282978</v>
      </c>
      <c r="T239" s="696"/>
      <c r="U239" s="720" t="s">
        <v>453</v>
      </c>
      <c r="V239" s="720" t="s">
        <v>453</v>
      </c>
      <c r="W239" s="720" t="s">
        <v>356</v>
      </c>
      <c r="X239" s="720" t="s">
        <v>357</v>
      </c>
      <c r="Y239" s="721">
        <v>1282978</v>
      </c>
      <c r="Z239" s="394"/>
      <c r="AA239" s="395"/>
      <c r="AB239" s="395"/>
      <c r="AC239" s="395"/>
      <c r="AD239" s="395"/>
      <c r="AE239" s="395"/>
      <c r="AF239" s="395"/>
      <c r="AG239" s="395"/>
      <c r="AH239" s="395"/>
      <c r="AI239" s="395"/>
      <c r="AJ239" s="396"/>
      <c r="AK239" s="397"/>
      <c r="AL239" s="397"/>
      <c r="AM239" s="398"/>
      <c r="AN239" s="398"/>
      <c r="AO239" s="398"/>
      <c r="AP239" s="398"/>
      <c r="AQ239" s="398"/>
      <c r="AR239" s="398"/>
      <c r="AS239" s="398"/>
      <c r="AT239" s="5"/>
      <c r="AU239" s="5"/>
      <c r="AV239" s="5"/>
      <c r="AW239" s="5"/>
      <c r="AX239" s="5"/>
      <c r="AY239" s="5"/>
      <c r="AZ239" s="5"/>
      <c r="BA239" s="5"/>
      <c r="BB239" s="5"/>
      <c r="BC239" s="5"/>
    </row>
    <row r="240" spans="1:55" x14ac:dyDescent="0.25">
      <c r="A240" s="713"/>
      <c r="B240" s="696"/>
      <c r="C240" s="696"/>
      <c r="D240" s="384" t="s">
        <v>360</v>
      </c>
      <c r="E240" s="388">
        <f>(E239*$E$180)/$E$179</f>
        <v>2394621.8651000001</v>
      </c>
      <c r="F240" s="388">
        <f>(F239*$F$180)/$F$179</f>
        <v>2394621.8651000001</v>
      </c>
      <c r="G240" s="388">
        <f>(G239*$G$180)/$G$179</f>
        <v>5151812.4365666667</v>
      </c>
      <c r="H240" s="388">
        <f>(H239*$H$180)/$H$179</f>
        <v>5151812.4365666667</v>
      </c>
      <c r="I240" s="439"/>
      <c r="J240" s="388">
        <f>(J239*$J$180)/$J$179</f>
        <v>13677182.697943788</v>
      </c>
      <c r="K240" s="388">
        <f>(K239*$K$180)/$K$179</f>
        <v>13376166.797679445</v>
      </c>
      <c r="L240" s="388">
        <f>(L239*$L$180)/$L$179</f>
        <v>19384737.726175491</v>
      </c>
      <c r="M240" s="439"/>
      <c r="N240" s="696"/>
      <c r="O240" s="696"/>
      <c r="P240" s="696"/>
      <c r="Q240" s="696"/>
      <c r="R240" s="696"/>
      <c r="S240" s="696"/>
      <c r="T240" s="696"/>
      <c r="U240" s="696"/>
      <c r="V240" s="696"/>
      <c r="W240" s="696"/>
      <c r="X240" s="696"/>
      <c r="Y240" s="699"/>
      <c r="Z240" s="394"/>
      <c r="AA240" s="395"/>
      <c r="AB240" s="395"/>
      <c r="AC240" s="395"/>
      <c r="AD240" s="395"/>
      <c r="AE240" s="395"/>
      <c r="AF240" s="395"/>
      <c r="AG240" s="395"/>
      <c r="AH240" s="395"/>
      <c r="AI240" s="395"/>
      <c r="AJ240" s="396"/>
      <c r="AK240" s="397"/>
      <c r="AL240" s="397"/>
      <c r="AM240" s="398"/>
      <c r="AN240" s="398"/>
      <c r="AO240" s="398"/>
      <c r="AP240" s="398"/>
      <c r="AQ240" s="398"/>
      <c r="AR240" s="398"/>
      <c r="AS240" s="398"/>
      <c r="AT240" s="5"/>
      <c r="AU240" s="5"/>
      <c r="AV240" s="5"/>
      <c r="AW240" s="5"/>
      <c r="AX240" s="5"/>
      <c r="AY240" s="5"/>
      <c r="AZ240" s="5"/>
      <c r="BA240" s="5"/>
      <c r="BB240" s="5"/>
      <c r="BC240" s="5"/>
    </row>
    <row r="241" spans="1:55" x14ac:dyDescent="0.25">
      <c r="A241" s="713"/>
      <c r="B241" s="696"/>
      <c r="C241" s="696"/>
      <c r="D241" s="384" t="s">
        <v>365</v>
      </c>
      <c r="E241" s="387">
        <v>0</v>
      </c>
      <c r="F241" s="387">
        <v>0</v>
      </c>
      <c r="G241" s="387">
        <v>0</v>
      </c>
      <c r="H241" s="387">
        <v>0</v>
      </c>
      <c r="I241" s="390"/>
      <c r="J241" s="387">
        <v>0</v>
      </c>
      <c r="K241" s="387">
        <v>0</v>
      </c>
      <c r="L241" s="387">
        <v>0</v>
      </c>
      <c r="M241" s="386"/>
      <c r="N241" s="696"/>
      <c r="O241" s="696"/>
      <c r="P241" s="696"/>
      <c r="Q241" s="696"/>
      <c r="R241" s="696"/>
      <c r="S241" s="696"/>
      <c r="T241" s="696"/>
      <c r="U241" s="696"/>
      <c r="V241" s="696"/>
      <c r="W241" s="696"/>
      <c r="X241" s="696"/>
      <c r="Y241" s="699"/>
      <c r="Z241" s="394"/>
      <c r="AA241" s="395"/>
      <c r="AB241" s="395"/>
      <c r="AC241" s="395"/>
      <c r="AD241" s="395"/>
      <c r="AE241" s="395"/>
      <c r="AF241" s="395"/>
      <c r="AG241" s="395"/>
      <c r="AH241" s="395"/>
      <c r="AI241" s="395"/>
      <c r="AJ241" s="396"/>
      <c r="AK241" s="397"/>
      <c r="AL241" s="397"/>
      <c r="AM241" s="398"/>
      <c r="AN241" s="398"/>
      <c r="AO241" s="398"/>
      <c r="AP241" s="398"/>
      <c r="AQ241" s="398"/>
      <c r="AR241" s="398"/>
      <c r="AS241" s="398"/>
      <c r="AT241" s="5"/>
      <c r="AU241" s="5"/>
      <c r="AV241" s="5"/>
      <c r="AW241" s="5"/>
      <c r="AX241" s="5"/>
      <c r="AY241" s="5"/>
      <c r="AZ241" s="5"/>
      <c r="BA241" s="5"/>
      <c r="BB241" s="5"/>
      <c r="BC241" s="5"/>
    </row>
    <row r="242" spans="1:55" ht="22.5" x14ac:dyDescent="0.25">
      <c r="A242" s="713"/>
      <c r="B242" s="696"/>
      <c r="C242" s="696"/>
      <c r="D242" s="384" t="s">
        <v>370</v>
      </c>
      <c r="E242" s="388">
        <v>0</v>
      </c>
      <c r="F242" s="388">
        <v>0</v>
      </c>
      <c r="G242" s="388">
        <v>0</v>
      </c>
      <c r="H242" s="388">
        <v>0</v>
      </c>
      <c r="I242" s="390"/>
      <c r="J242" s="388">
        <v>0</v>
      </c>
      <c r="K242" s="388">
        <v>0</v>
      </c>
      <c r="L242" s="388">
        <v>0</v>
      </c>
      <c r="M242" s="390"/>
      <c r="N242" s="696"/>
      <c r="O242" s="696"/>
      <c r="P242" s="696"/>
      <c r="Q242" s="696"/>
      <c r="R242" s="696"/>
      <c r="S242" s="696"/>
      <c r="T242" s="696"/>
      <c r="U242" s="696"/>
      <c r="V242" s="696"/>
      <c r="W242" s="696"/>
      <c r="X242" s="696"/>
      <c r="Y242" s="699"/>
      <c r="Z242" s="394"/>
      <c r="AA242" s="395"/>
      <c r="AB242" s="395"/>
      <c r="AC242" s="395"/>
      <c r="AD242" s="395"/>
      <c r="AE242" s="395"/>
      <c r="AF242" s="395"/>
      <c r="AG242" s="395"/>
      <c r="AH242" s="395"/>
      <c r="AI242" s="395"/>
      <c r="AJ242" s="396"/>
      <c r="AK242" s="397"/>
      <c r="AL242" s="397"/>
      <c r="AM242" s="398"/>
      <c r="AN242" s="398"/>
      <c r="AO242" s="398"/>
      <c r="AP242" s="398"/>
      <c r="AQ242" s="398"/>
      <c r="AR242" s="398"/>
      <c r="AS242" s="398"/>
      <c r="AT242" s="5"/>
      <c r="AU242" s="5"/>
      <c r="AV242" s="5"/>
      <c r="AW242" s="5"/>
      <c r="AX242" s="5"/>
      <c r="AY242" s="5"/>
      <c r="AZ242" s="5"/>
      <c r="BA242" s="5"/>
      <c r="BB242" s="5"/>
      <c r="BC242" s="5"/>
    </row>
    <row r="243" spans="1:55" x14ac:dyDescent="0.25">
      <c r="A243" s="713"/>
      <c r="B243" s="696"/>
      <c r="C243" s="722" t="s">
        <v>401</v>
      </c>
      <c r="D243" s="389" t="s">
        <v>348</v>
      </c>
      <c r="E243" s="387">
        <v>12.713100000000001</v>
      </c>
      <c r="F243" s="387">
        <v>12.713100000000001</v>
      </c>
      <c r="G243" s="437">
        <f>22.311+F243</f>
        <v>35.024100000000004</v>
      </c>
      <c r="H243" s="437">
        <f>G243</f>
        <v>35.024100000000004</v>
      </c>
      <c r="I243" s="440"/>
      <c r="J243" s="387">
        <v>12.713100000000001</v>
      </c>
      <c r="K243" s="437">
        <f>22.311+J243</f>
        <v>35.024100000000004</v>
      </c>
      <c r="L243" s="437">
        <v>127.14</v>
      </c>
      <c r="M243" s="438"/>
      <c r="N243" s="722" t="s">
        <v>401</v>
      </c>
      <c r="O243" s="722" t="s">
        <v>484</v>
      </c>
      <c r="P243" s="720" t="s">
        <v>485</v>
      </c>
      <c r="Q243" s="722" t="s">
        <v>452</v>
      </c>
      <c r="R243" s="720" t="s">
        <v>353</v>
      </c>
      <c r="S243" s="733">
        <v>140473</v>
      </c>
      <c r="T243" s="696"/>
      <c r="U243" s="720" t="s">
        <v>453</v>
      </c>
      <c r="V243" s="720" t="s">
        <v>453</v>
      </c>
      <c r="W243" s="720" t="s">
        <v>356</v>
      </c>
      <c r="X243" s="720" t="s">
        <v>357</v>
      </c>
      <c r="Y243" s="721">
        <v>140473</v>
      </c>
      <c r="Z243" s="394"/>
      <c r="AA243" s="395"/>
      <c r="AB243" s="395"/>
      <c r="AC243" s="395"/>
      <c r="AD243" s="395"/>
      <c r="AE243" s="395"/>
      <c r="AF243" s="395"/>
      <c r="AG243" s="395"/>
      <c r="AH243" s="395"/>
      <c r="AI243" s="395"/>
      <c r="AJ243" s="396"/>
      <c r="AK243" s="397"/>
      <c r="AL243" s="397"/>
      <c r="AM243" s="398"/>
      <c r="AN243" s="398"/>
      <c r="AO243" s="398"/>
      <c r="AP243" s="398"/>
      <c r="AQ243" s="398"/>
      <c r="AR243" s="398"/>
      <c r="AS243" s="398"/>
      <c r="AT243" s="5"/>
      <c r="AU243" s="5"/>
      <c r="AV243" s="5"/>
      <c r="AW243" s="5"/>
      <c r="AX243" s="5"/>
      <c r="AY243" s="5"/>
      <c r="AZ243" s="5"/>
      <c r="BA243" s="5"/>
      <c r="BB243" s="5"/>
      <c r="BC243" s="5"/>
    </row>
    <row r="244" spans="1:55" x14ac:dyDescent="0.25">
      <c r="A244" s="713"/>
      <c r="B244" s="696"/>
      <c r="C244" s="696"/>
      <c r="D244" s="384" t="s">
        <v>360</v>
      </c>
      <c r="E244" s="388">
        <f>(E243*$E$180)/$E$179</f>
        <v>1309294.7652066667</v>
      </c>
      <c r="F244" s="388">
        <f>(F243*$F$180)/$F$179</f>
        <v>1309294.7652066667</v>
      </c>
      <c r="G244" s="388">
        <f>(G243*$G$180)/$G$179</f>
        <v>3607056.5626066672</v>
      </c>
      <c r="H244" s="388">
        <f>(H243*$H$180)/$H$179</f>
        <v>3607056.5626066672</v>
      </c>
      <c r="I244" s="439"/>
      <c r="J244" s="388">
        <f>(J243*$J$180)/$J$179</f>
        <v>7478201.0346527826</v>
      </c>
      <c r="K244" s="388">
        <f>(K243*$K$180)/$K$179</f>
        <v>9365362.3504673764</v>
      </c>
      <c r="L244" s="388">
        <f>(L243*$L$180)/$L$179</f>
        <v>16687491.059015183</v>
      </c>
      <c r="M244" s="439"/>
      <c r="N244" s="696"/>
      <c r="O244" s="696"/>
      <c r="P244" s="696"/>
      <c r="Q244" s="696"/>
      <c r="R244" s="696"/>
      <c r="S244" s="696"/>
      <c r="T244" s="696"/>
      <c r="U244" s="696"/>
      <c r="V244" s="696"/>
      <c r="W244" s="696"/>
      <c r="X244" s="696"/>
      <c r="Y244" s="699"/>
      <c r="Z244" s="394"/>
      <c r="AA244" s="395"/>
      <c r="AB244" s="395"/>
      <c r="AC244" s="395"/>
      <c r="AD244" s="395"/>
      <c r="AE244" s="395"/>
      <c r="AF244" s="395"/>
      <c r="AG244" s="395"/>
      <c r="AH244" s="395"/>
      <c r="AI244" s="395"/>
      <c r="AJ244" s="396"/>
      <c r="AK244" s="397"/>
      <c r="AL244" s="397"/>
      <c r="AM244" s="398"/>
      <c r="AN244" s="398"/>
      <c r="AO244" s="398"/>
      <c r="AP244" s="398"/>
      <c r="AQ244" s="398"/>
      <c r="AR244" s="398"/>
      <c r="AS244" s="398"/>
      <c r="AT244" s="5"/>
      <c r="AU244" s="5"/>
      <c r="AV244" s="5"/>
      <c r="AW244" s="5"/>
      <c r="AX244" s="5"/>
      <c r="AY244" s="5"/>
      <c r="AZ244" s="5"/>
      <c r="BA244" s="5"/>
      <c r="BB244" s="5"/>
      <c r="BC244" s="5"/>
    </row>
    <row r="245" spans="1:55" x14ac:dyDescent="0.25">
      <c r="A245" s="713"/>
      <c r="B245" s="696"/>
      <c r="C245" s="696"/>
      <c r="D245" s="384" t="s">
        <v>365</v>
      </c>
      <c r="E245" s="387">
        <v>0</v>
      </c>
      <c r="F245" s="387">
        <v>0</v>
      </c>
      <c r="G245" s="387">
        <v>0</v>
      </c>
      <c r="H245" s="387">
        <v>0</v>
      </c>
      <c r="I245" s="390"/>
      <c r="J245" s="387">
        <v>0</v>
      </c>
      <c r="K245" s="387">
        <v>0</v>
      </c>
      <c r="L245" s="387">
        <v>0</v>
      </c>
      <c r="M245" s="386"/>
      <c r="N245" s="696"/>
      <c r="O245" s="696"/>
      <c r="P245" s="696"/>
      <c r="Q245" s="696"/>
      <c r="R245" s="696"/>
      <c r="S245" s="696"/>
      <c r="T245" s="696"/>
      <c r="U245" s="696"/>
      <c r="V245" s="696"/>
      <c r="W245" s="696"/>
      <c r="X245" s="696"/>
      <c r="Y245" s="699"/>
      <c r="Z245" s="394"/>
      <c r="AA245" s="395"/>
      <c r="AB245" s="395"/>
      <c r="AC245" s="395"/>
      <c r="AD245" s="395"/>
      <c r="AE245" s="395"/>
      <c r="AF245" s="395"/>
      <c r="AG245" s="395"/>
      <c r="AH245" s="395"/>
      <c r="AI245" s="395"/>
      <c r="AJ245" s="396"/>
      <c r="AK245" s="397"/>
      <c r="AL245" s="397"/>
      <c r="AM245" s="398"/>
      <c r="AN245" s="398"/>
      <c r="AO245" s="398"/>
      <c r="AP245" s="398"/>
      <c r="AQ245" s="398"/>
      <c r="AR245" s="398"/>
      <c r="AS245" s="398"/>
      <c r="AT245" s="5"/>
      <c r="AU245" s="5"/>
      <c r="AV245" s="5"/>
      <c r="AW245" s="5"/>
      <c r="AX245" s="5"/>
      <c r="AY245" s="5"/>
      <c r="AZ245" s="5"/>
      <c r="BA245" s="5"/>
      <c r="BB245" s="5"/>
      <c r="BC245" s="5"/>
    </row>
    <row r="246" spans="1:55" ht="22.5" x14ac:dyDescent="0.25">
      <c r="A246" s="713"/>
      <c r="B246" s="696"/>
      <c r="C246" s="696"/>
      <c r="D246" s="384" t="s">
        <v>370</v>
      </c>
      <c r="E246" s="388">
        <v>0</v>
      </c>
      <c r="F246" s="388">
        <v>0</v>
      </c>
      <c r="G246" s="388">
        <v>0</v>
      </c>
      <c r="H246" s="388">
        <v>0</v>
      </c>
      <c r="I246" s="390"/>
      <c r="J246" s="388">
        <v>0</v>
      </c>
      <c r="K246" s="388">
        <v>0</v>
      </c>
      <c r="L246" s="388">
        <v>0</v>
      </c>
      <c r="M246" s="390"/>
      <c r="N246" s="696"/>
      <c r="O246" s="696"/>
      <c r="P246" s="696"/>
      <c r="Q246" s="696"/>
      <c r="R246" s="696"/>
      <c r="S246" s="696"/>
      <c r="T246" s="696"/>
      <c r="U246" s="696"/>
      <c r="V246" s="696"/>
      <c r="W246" s="696"/>
      <c r="X246" s="696"/>
      <c r="Y246" s="699"/>
      <c r="Z246" s="394"/>
      <c r="AA246" s="395"/>
      <c r="AB246" s="395"/>
      <c r="AC246" s="395"/>
      <c r="AD246" s="395"/>
      <c r="AE246" s="395"/>
      <c r="AF246" s="395"/>
      <c r="AG246" s="395"/>
      <c r="AH246" s="395"/>
      <c r="AI246" s="395"/>
      <c r="AJ246" s="396"/>
      <c r="AK246" s="397"/>
      <c r="AL246" s="397"/>
      <c r="AM246" s="398"/>
      <c r="AN246" s="398"/>
      <c r="AO246" s="398"/>
      <c r="AP246" s="398"/>
      <c r="AQ246" s="398"/>
      <c r="AR246" s="398"/>
      <c r="AS246" s="398"/>
      <c r="AT246" s="5"/>
      <c r="AU246" s="5"/>
      <c r="AV246" s="5"/>
      <c r="AW246" s="5"/>
      <c r="AX246" s="5"/>
      <c r="AY246" s="5"/>
      <c r="AZ246" s="5"/>
      <c r="BA246" s="5"/>
      <c r="BB246" s="5"/>
      <c r="BC246" s="5"/>
    </row>
    <row r="247" spans="1:55" x14ac:dyDescent="0.25">
      <c r="A247" s="713"/>
      <c r="B247" s="696"/>
      <c r="C247" s="722" t="s">
        <v>402</v>
      </c>
      <c r="D247" s="389" t="s">
        <v>348</v>
      </c>
      <c r="E247" s="387">
        <v>3.0276000000000001</v>
      </c>
      <c r="F247" s="387">
        <v>3.0276000000000001</v>
      </c>
      <c r="G247" s="437">
        <f>4.561+F247</f>
        <v>7.5885999999999996</v>
      </c>
      <c r="H247" s="437">
        <f>G247</f>
        <v>7.5885999999999996</v>
      </c>
      <c r="I247" s="440"/>
      <c r="J247" s="387">
        <v>3.0276000000000001</v>
      </c>
      <c r="K247" s="437">
        <f>4.561+J247</f>
        <v>7.5885999999999996</v>
      </c>
      <c r="L247" s="437">
        <v>22.052</v>
      </c>
      <c r="M247" s="438"/>
      <c r="N247" s="722" t="s">
        <v>402</v>
      </c>
      <c r="O247" s="722" t="s">
        <v>414</v>
      </c>
      <c r="P247" s="720" t="s">
        <v>486</v>
      </c>
      <c r="Q247" s="722" t="s">
        <v>452</v>
      </c>
      <c r="R247" s="720" t="s">
        <v>353</v>
      </c>
      <c r="S247" s="733">
        <v>187971</v>
      </c>
      <c r="T247" s="696"/>
      <c r="U247" s="720" t="s">
        <v>453</v>
      </c>
      <c r="V247" s="720" t="s">
        <v>453</v>
      </c>
      <c r="W247" s="720" t="s">
        <v>356</v>
      </c>
      <c r="X247" s="720" t="s">
        <v>357</v>
      </c>
      <c r="Y247" s="721">
        <v>187971</v>
      </c>
      <c r="Z247" s="394"/>
      <c r="AA247" s="395"/>
      <c r="AB247" s="395"/>
      <c r="AC247" s="395"/>
      <c r="AD247" s="395"/>
      <c r="AE247" s="395"/>
      <c r="AF247" s="395"/>
      <c r="AG247" s="395"/>
      <c r="AH247" s="395"/>
      <c r="AI247" s="395"/>
      <c r="AJ247" s="396"/>
      <c r="AK247" s="397"/>
      <c r="AL247" s="397"/>
      <c r="AM247" s="398"/>
      <c r="AN247" s="398"/>
      <c r="AO247" s="398"/>
      <c r="AP247" s="398"/>
      <c r="AQ247" s="398"/>
      <c r="AR247" s="398"/>
      <c r="AS247" s="398"/>
      <c r="AT247" s="5"/>
      <c r="AU247" s="5"/>
      <c r="AV247" s="5"/>
      <c r="AW247" s="5"/>
      <c r="AX247" s="5"/>
      <c r="AY247" s="5"/>
      <c r="AZ247" s="5"/>
      <c r="BA247" s="5"/>
      <c r="BB247" s="5"/>
      <c r="BC247" s="5"/>
    </row>
    <row r="248" spans="1:55" x14ac:dyDescent="0.25">
      <c r="A248" s="713"/>
      <c r="B248" s="696"/>
      <c r="C248" s="696"/>
      <c r="D248" s="384" t="s">
        <v>360</v>
      </c>
      <c r="E248" s="388">
        <f>(E247*$E$180)/$E$179</f>
        <v>311805.99783999997</v>
      </c>
      <c r="F248" s="388">
        <f>(F247*$F$180)/$F$179</f>
        <v>311805.99783999997</v>
      </c>
      <c r="G248" s="388">
        <f>(G247*$G$180)/$G$179</f>
        <v>781533.55635111104</v>
      </c>
      <c r="H248" s="388">
        <f>(H247*$H$180)/$H$179</f>
        <v>781533.55635111104</v>
      </c>
      <c r="I248" s="439"/>
      <c r="J248" s="388">
        <f>(J247*$J$180)/$J$179</f>
        <v>1780919.0089368261</v>
      </c>
      <c r="K248" s="388">
        <f>(K247*$K$180)/$K$179</f>
        <v>2029173.8754959216</v>
      </c>
      <c r="L248" s="388">
        <f>(L247*$L$180)/$L$179</f>
        <v>2894388.4916894981</v>
      </c>
      <c r="M248" s="439"/>
      <c r="N248" s="696"/>
      <c r="O248" s="696"/>
      <c r="P248" s="696"/>
      <c r="Q248" s="696"/>
      <c r="R248" s="696"/>
      <c r="S248" s="696"/>
      <c r="T248" s="696"/>
      <c r="U248" s="696"/>
      <c r="V248" s="696"/>
      <c r="W248" s="696"/>
      <c r="X248" s="696"/>
      <c r="Y248" s="699"/>
      <c r="Z248" s="394"/>
      <c r="AA248" s="395"/>
      <c r="AB248" s="395"/>
      <c r="AC248" s="395"/>
      <c r="AD248" s="395"/>
      <c r="AE248" s="395"/>
      <c r="AF248" s="395"/>
      <c r="AG248" s="395"/>
      <c r="AH248" s="395"/>
      <c r="AI248" s="395"/>
      <c r="AJ248" s="396"/>
      <c r="AK248" s="397"/>
      <c r="AL248" s="397"/>
      <c r="AM248" s="398"/>
      <c r="AN248" s="398"/>
      <c r="AO248" s="398"/>
      <c r="AP248" s="398"/>
      <c r="AQ248" s="398"/>
      <c r="AR248" s="398"/>
      <c r="AS248" s="398"/>
      <c r="AT248" s="5"/>
      <c r="AU248" s="5"/>
      <c r="AV248" s="5"/>
      <c r="AW248" s="5"/>
      <c r="AX248" s="5"/>
      <c r="AY248" s="5"/>
      <c r="AZ248" s="5"/>
      <c r="BA248" s="5"/>
      <c r="BB248" s="5"/>
      <c r="BC248" s="5"/>
    </row>
    <row r="249" spans="1:55" x14ac:dyDescent="0.25">
      <c r="A249" s="713"/>
      <c r="B249" s="696"/>
      <c r="C249" s="696"/>
      <c r="D249" s="384" t="s">
        <v>365</v>
      </c>
      <c r="E249" s="387">
        <v>0</v>
      </c>
      <c r="F249" s="387">
        <v>0</v>
      </c>
      <c r="G249" s="387">
        <v>0</v>
      </c>
      <c r="H249" s="387">
        <v>0</v>
      </c>
      <c r="I249" s="390"/>
      <c r="J249" s="387">
        <v>0</v>
      </c>
      <c r="K249" s="387">
        <v>0</v>
      </c>
      <c r="L249" s="387">
        <v>0</v>
      </c>
      <c r="M249" s="386"/>
      <c r="N249" s="696"/>
      <c r="O249" s="696"/>
      <c r="P249" s="696"/>
      <c r="Q249" s="696"/>
      <c r="R249" s="696"/>
      <c r="S249" s="696"/>
      <c r="T249" s="696"/>
      <c r="U249" s="696"/>
      <c r="V249" s="696"/>
      <c r="W249" s="696"/>
      <c r="X249" s="696"/>
      <c r="Y249" s="699"/>
      <c r="Z249" s="394"/>
      <c r="AA249" s="395"/>
      <c r="AB249" s="395"/>
      <c r="AC249" s="395"/>
      <c r="AD249" s="395"/>
      <c r="AE249" s="395"/>
      <c r="AF249" s="395"/>
      <c r="AG249" s="395"/>
      <c r="AH249" s="395"/>
      <c r="AI249" s="395"/>
      <c r="AJ249" s="396"/>
      <c r="AK249" s="397"/>
      <c r="AL249" s="397"/>
      <c r="AM249" s="398"/>
      <c r="AN249" s="398"/>
      <c r="AO249" s="398"/>
      <c r="AP249" s="398"/>
      <c r="AQ249" s="398"/>
      <c r="AR249" s="398"/>
      <c r="AS249" s="398"/>
      <c r="AT249" s="5"/>
      <c r="AU249" s="5"/>
      <c r="AV249" s="5"/>
      <c r="AW249" s="5"/>
      <c r="AX249" s="5"/>
      <c r="AY249" s="5"/>
      <c r="AZ249" s="5"/>
      <c r="BA249" s="5"/>
      <c r="BB249" s="5"/>
      <c r="BC249" s="5"/>
    </row>
    <row r="250" spans="1:55" ht="22.5" x14ac:dyDescent="0.25">
      <c r="A250" s="713"/>
      <c r="B250" s="696"/>
      <c r="C250" s="696"/>
      <c r="D250" s="384" t="s">
        <v>370</v>
      </c>
      <c r="E250" s="388">
        <v>0</v>
      </c>
      <c r="F250" s="388">
        <v>0</v>
      </c>
      <c r="G250" s="388">
        <v>0</v>
      </c>
      <c r="H250" s="388">
        <v>0</v>
      </c>
      <c r="I250" s="390"/>
      <c r="J250" s="388">
        <v>0</v>
      </c>
      <c r="K250" s="388">
        <v>0</v>
      </c>
      <c r="L250" s="388">
        <v>0</v>
      </c>
      <c r="M250" s="390"/>
      <c r="N250" s="696"/>
      <c r="O250" s="696"/>
      <c r="P250" s="696"/>
      <c r="Q250" s="696"/>
      <c r="R250" s="696"/>
      <c r="S250" s="696"/>
      <c r="T250" s="696"/>
      <c r="U250" s="696"/>
      <c r="V250" s="696"/>
      <c r="W250" s="696"/>
      <c r="X250" s="696"/>
      <c r="Y250" s="699"/>
      <c r="Z250" s="394"/>
      <c r="AA250" s="395"/>
      <c r="AB250" s="395"/>
      <c r="AC250" s="395"/>
      <c r="AD250" s="395"/>
      <c r="AE250" s="395"/>
      <c r="AF250" s="395"/>
      <c r="AG250" s="395"/>
      <c r="AH250" s="395"/>
      <c r="AI250" s="395"/>
      <c r="AJ250" s="396"/>
      <c r="AK250" s="397"/>
      <c r="AL250" s="397"/>
      <c r="AM250" s="398"/>
      <c r="AN250" s="398"/>
      <c r="AO250" s="398"/>
      <c r="AP250" s="398"/>
      <c r="AQ250" s="398"/>
      <c r="AR250" s="398"/>
      <c r="AS250" s="398"/>
      <c r="AT250" s="5"/>
      <c r="AU250" s="5"/>
      <c r="AV250" s="5"/>
      <c r="AW250" s="5"/>
      <c r="AX250" s="5"/>
      <c r="AY250" s="5"/>
      <c r="AZ250" s="5"/>
      <c r="BA250" s="5"/>
      <c r="BB250" s="5"/>
      <c r="BC250" s="5"/>
    </row>
    <row r="251" spans="1:55" x14ac:dyDescent="0.25">
      <c r="A251" s="713"/>
      <c r="B251" s="696"/>
      <c r="C251" s="722" t="s">
        <v>487</v>
      </c>
      <c r="D251" s="389" t="s">
        <v>348</v>
      </c>
      <c r="E251" s="387">
        <v>23.881399999999999</v>
      </c>
      <c r="F251" s="387">
        <v>23.881399999999999</v>
      </c>
      <c r="G251" s="437">
        <f>28.6096+F251</f>
        <v>52.491</v>
      </c>
      <c r="H251" s="437">
        <f>G251</f>
        <v>52.491</v>
      </c>
      <c r="I251" s="413"/>
      <c r="J251" s="387">
        <v>23.881399999999999</v>
      </c>
      <c r="K251" s="437">
        <f>28.6096+J251</f>
        <v>52.491</v>
      </c>
      <c r="L251" s="437">
        <v>153.15</v>
      </c>
      <c r="M251" s="413"/>
      <c r="N251" s="722" t="s">
        <v>487</v>
      </c>
      <c r="O251" s="722" t="s">
        <v>488</v>
      </c>
      <c r="P251" s="722" t="s">
        <v>489</v>
      </c>
      <c r="Q251" s="722" t="s">
        <v>452</v>
      </c>
      <c r="R251" s="722" t="s">
        <v>353</v>
      </c>
      <c r="S251" s="722">
        <v>474186</v>
      </c>
      <c r="T251" s="696"/>
      <c r="U251" s="720" t="s">
        <v>453</v>
      </c>
      <c r="V251" s="720" t="s">
        <v>453</v>
      </c>
      <c r="W251" s="720" t="s">
        <v>356</v>
      </c>
      <c r="X251" s="720" t="s">
        <v>357</v>
      </c>
      <c r="Y251" s="721">
        <v>474186</v>
      </c>
      <c r="Z251" s="394"/>
      <c r="AA251" s="395"/>
      <c r="AB251" s="395"/>
      <c r="AC251" s="395"/>
      <c r="AD251" s="395"/>
      <c r="AE251" s="395"/>
      <c r="AF251" s="395"/>
      <c r="AG251" s="395"/>
      <c r="AH251" s="395"/>
      <c r="AI251" s="395"/>
      <c r="AJ251" s="396"/>
      <c r="AK251" s="397"/>
      <c r="AL251" s="397"/>
      <c r="AM251" s="398"/>
      <c r="AN251" s="398"/>
      <c r="AO251" s="398"/>
      <c r="AP251" s="398"/>
      <c r="AQ251" s="398"/>
      <c r="AR251" s="398"/>
      <c r="AS251" s="398"/>
      <c r="AT251" s="5"/>
      <c r="AU251" s="5"/>
      <c r="AV251" s="5"/>
      <c r="AW251" s="5"/>
      <c r="AX251" s="5"/>
      <c r="AY251" s="5"/>
      <c r="AZ251" s="5"/>
      <c r="BA251" s="5"/>
      <c r="BB251" s="5"/>
      <c r="BC251" s="5"/>
    </row>
    <row r="252" spans="1:55" x14ac:dyDescent="0.25">
      <c r="A252" s="713"/>
      <c r="B252" s="696"/>
      <c r="C252" s="696"/>
      <c r="D252" s="384" t="s">
        <v>360</v>
      </c>
      <c r="E252" s="388">
        <f>(E251*$E$180)/$E$179</f>
        <v>2459493.9083155557</v>
      </c>
      <c r="F252" s="388">
        <f>(F251*$F$180)/$F$179</f>
        <v>2459493.9083155557</v>
      </c>
      <c r="G252" s="388">
        <f>(G251*$G$180)/$G$179</f>
        <v>5405934.9427333334</v>
      </c>
      <c r="H252" s="388">
        <f>(H251*$H$180)/$H$179</f>
        <v>5405934.9427333334</v>
      </c>
      <c r="I252" s="413"/>
      <c r="J252" s="388">
        <f>(J251*$J$180)/$J$179</f>
        <v>14047707.497695837</v>
      </c>
      <c r="K252" s="388">
        <f>(K251*$K$180)/$K$179</f>
        <v>14035970.521394782</v>
      </c>
      <c r="L252" s="388">
        <f>(L251*$L$180)/$L$179</f>
        <v>20101378.4465013</v>
      </c>
      <c r="M252" s="413"/>
      <c r="N252" s="696"/>
      <c r="O252" s="696"/>
      <c r="P252" s="696"/>
      <c r="Q252" s="696"/>
      <c r="R252" s="696"/>
      <c r="S252" s="696"/>
      <c r="T252" s="696"/>
      <c r="U252" s="696"/>
      <c r="V252" s="696"/>
      <c r="W252" s="696"/>
      <c r="X252" s="696"/>
      <c r="Y252" s="699"/>
      <c r="Z252" s="394"/>
      <c r="AA252" s="395"/>
      <c r="AB252" s="395"/>
      <c r="AC252" s="395"/>
      <c r="AD252" s="395"/>
      <c r="AE252" s="395"/>
      <c r="AF252" s="395"/>
      <c r="AG252" s="395"/>
      <c r="AH252" s="395"/>
      <c r="AI252" s="395"/>
      <c r="AJ252" s="396"/>
      <c r="AK252" s="397"/>
      <c r="AL252" s="397"/>
      <c r="AM252" s="398"/>
      <c r="AN252" s="398"/>
      <c r="AO252" s="398"/>
      <c r="AP252" s="398"/>
      <c r="AQ252" s="398"/>
      <c r="AR252" s="398"/>
      <c r="AS252" s="398"/>
      <c r="AT252" s="5"/>
      <c r="AU252" s="5"/>
      <c r="AV252" s="5"/>
      <c r="AW252" s="5"/>
      <c r="AX252" s="5"/>
      <c r="AY252" s="5"/>
      <c r="AZ252" s="5"/>
      <c r="BA252" s="5"/>
      <c r="BB252" s="5"/>
      <c r="BC252" s="5"/>
    </row>
    <row r="253" spans="1:55" x14ac:dyDescent="0.25">
      <c r="A253" s="713"/>
      <c r="B253" s="696"/>
      <c r="C253" s="696"/>
      <c r="D253" s="384" t="s">
        <v>365</v>
      </c>
      <c r="E253" s="387">
        <v>0</v>
      </c>
      <c r="F253" s="387">
        <v>0</v>
      </c>
      <c r="G253" s="387">
        <v>0</v>
      </c>
      <c r="H253" s="387">
        <v>0</v>
      </c>
      <c r="I253" s="413"/>
      <c r="J253" s="387">
        <v>0</v>
      </c>
      <c r="K253" s="387">
        <v>0</v>
      </c>
      <c r="L253" s="387">
        <v>0</v>
      </c>
      <c r="M253" s="413"/>
      <c r="N253" s="696"/>
      <c r="O253" s="696"/>
      <c r="P253" s="696"/>
      <c r="Q253" s="696"/>
      <c r="R253" s="696"/>
      <c r="S253" s="696"/>
      <c r="T253" s="696"/>
      <c r="U253" s="696"/>
      <c r="V253" s="696"/>
      <c r="W253" s="696"/>
      <c r="X253" s="696"/>
      <c r="Y253" s="699"/>
      <c r="Z253" s="394"/>
      <c r="AA253" s="395"/>
      <c r="AB253" s="395"/>
      <c r="AC253" s="395"/>
      <c r="AD253" s="395"/>
      <c r="AE253" s="395"/>
      <c r="AF253" s="395"/>
      <c r="AG253" s="395"/>
      <c r="AH253" s="395"/>
      <c r="AI253" s="395"/>
      <c r="AJ253" s="396"/>
      <c r="AK253" s="397"/>
      <c r="AL253" s="397"/>
      <c r="AM253" s="398"/>
      <c r="AN253" s="398"/>
      <c r="AO253" s="398"/>
      <c r="AP253" s="398"/>
      <c r="AQ253" s="398"/>
      <c r="AR253" s="398"/>
      <c r="AS253" s="398"/>
      <c r="AT253" s="5"/>
      <c r="AU253" s="5"/>
      <c r="AV253" s="5"/>
      <c r="AW253" s="5"/>
      <c r="AX253" s="5"/>
      <c r="AY253" s="5"/>
      <c r="AZ253" s="5"/>
      <c r="BA253" s="5"/>
      <c r="BB253" s="5"/>
      <c r="BC253" s="5"/>
    </row>
    <row r="254" spans="1:55" ht="22.5" x14ac:dyDescent="0.25">
      <c r="A254" s="713"/>
      <c r="B254" s="696"/>
      <c r="C254" s="696"/>
      <c r="D254" s="384" t="s">
        <v>370</v>
      </c>
      <c r="E254" s="388">
        <v>0</v>
      </c>
      <c r="F254" s="388">
        <v>0</v>
      </c>
      <c r="G254" s="388">
        <v>0</v>
      </c>
      <c r="H254" s="388">
        <v>0</v>
      </c>
      <c r="I254" s="413"/>
      <c r="J254" s="388">
        <v>0</v>
      </c>
      <c r="K254" s="388">
        <v>0</v>
      </c>
      <c r="L254" s="388">
        <v>0</v>
      </c>
      <c r="M254" s="413"/>
      <c r="N254" s="696"/>
      <c r="O254" s="696"/>
      <c r="P254" s="696"/>
      <c r="Q254" s="696"/>
      <c r="R254" s="696"/>
      <c r="S254" s="696"/>
      <c r="T254" s="696"/>
      <c r="U254" s="696"/>
      <c r="V254" s="696"/>
      <c r="W254" s="696"/>
      <c r="X254" s="696"/>
      <c r="Y254" s="699"/>
      <c r="Z254" s="394"/>
      <c r="AA254" s="395"/>
      <c r="AB254" s="395"/>
      <c r="AC254" s="395"/>
      <c r="AD254" s="395"/>
      <c r="AE254" s="395"/>
      <c r="AF254" s="395"/>
      <c r="AG254" s="395"/>
      <c r="AH254" s="395"/>
      <c r="AI254" s="395"/>
      <c r="AJ254" s="396"/>
      <c r="AK254" s="397"/>
      <c r="AL254" s="397"/>
      <c r="AM254" s="398"/>
      <c r="AN254" s="398"/>
      <c r="AO254" s="398"/>
      <c r="AP254" s="398"/>
      <c r="AQ254" s="398"/>
      <c r="AR254" s="398"/>
      <c r="AS254" s="398"/>
      <c r="AT254" s="5"/>
      <c r="AU254" s="5"/>
      <c r="AV254" s="5"/>
      <c r="AW254" s="5"/>
      <c r="AX254" s="5"/>
      <c r="AY254" s="5"/>
      <c r="AZ254" s="5"/>
      <c r="BA254" s="5"/>
      <c r="BB254" s="5"/>
      <c r="BC254" s="5"/>
    </row>
    <row r="255" spans="1:55" x14ac:dyDescent="0.25">
      <c r="A255" s="713"/>
      <c r="B255" s="696"/>
      <c r="C255" s="722" t="s">
        <v>379</v>
      </c>
      <c r="D255" s="389" t="s">
        <v>348</v>
      </c>
      <c r="E255" s="387">
        <v>0.50429999999999997</v>
      </c>
      <c r="F255" s="387">
        <v>0.50429999999999997</v>
      </c>
      <c r="G255" s="437">
        <f>0.754+F255</f>
        <v>1.2583</v>
      </c>
      <c r="H255" s="437">
        <f>G255</f>
        <v>1.2583</v>
      </c>
      <c r="I255" s="440"/>
      <c r="J255" s="387">
        <v>0.50429999999999997</v>
      </c>
      <c r="K255" s="437">
        <f>0.754+J255</f>
        <v>1.2583</v>
      </c>
      <c r="L255" s="437">
        <v>6.4427000000000003</v>
      </c>
      <c r="M255" s="438"/>
      <c r="N255" s="722" t="s">
        <v>379</v>
      </c>
      <c r="O255" s="722" t="s">
        <v>490</v>
      </c>
      <c r="P255" s="722" t="s">
        <v>491</v>
      </c>
      <c r="Q255" s="722" t="s">
        <v>452</v>
      </c>
      <c r="R255" s="722" t="s">
        <v>353</v>
      </c>
      <c r="S255" s="718">
        <v>340101</v>
      </c>
      <c r="T255" s="696"/>
      <c r="U255" s="720" t="s">
        <v>453</v>
      </c>
      <c r="V255" s="720" t="s">
        <v>453</v>
      </c>
      <c r="W255" s="720" t="s">
        <v>356</v>
      </c>
      <c r="X255" s="720" t="s">
        <v>357</v>
      </c>
      <c r="Y255" s="721">
        <v>340101</v>
      </c>
      <c r="Z255" s="394"/>
      <c r="AA255" s="395"/>
      <c r="AB255" s="395"/>
      <c r="AC255" s="395"/>
      <c r="AD255" s="395"/>
      <c r="AE255" s="395"/>
      <c r="AF255" s="395"/>
      <c r="AG255" s="395"/>
      <c r="AH255" s="395"/>
      <c r="AI255" s="395"/>
      <c r="AJ255" s="396"/>
      <c r="AK255" s="397"/>
      <c r="AL255" s="397"/>
      <c r="AM255" s="398"/>
      <c r="AN255" s="398"/>
      <c r="AO255" s="398"/>
      <c r="AP255" s="398"/>
      <c r="AQ255" s="398"/>
      <c r="AR255" s="398"/>
      <c r="AS255" s="398"/>
      <c r="AT255" s="5"/>
      <c r="AU255" s="5"/>
      <c r="AV255" s="5"/>
      <c r="AW255" s="5"/>
      <c r="AX255" s="5"/>
      <c r="AY255" s="5"/>
      <c r="AZ255" s="5"/>
      <c r="BA255" s="5"/>
      <c r="BB255" s="5"/>
      <c r="BC255" s="5"/>
    </row>
    <row r="256" spans="1:55" x14ac:dyDescent="0.25">
      <c r="A256" s="713"/>
      <c r="B256" s="696"/>
      <c r="C256" s="696"/>
      <c r="D256" s="384" t="s">
        <v>360</v>
      </c>
      <c r="E256" s="388">
        <f>(E255*$E$180)/$E$179</f>
        <v>51936.769953333329</v>
      </c>
      <c r="F256" s="388">
        <f>(F255*$F$180)/$F$179</f>
        <v>51936.769953333329</v>
      </c>
      <c r="G256" s="388">
        <f>(G255*$G$180)/$G$179</f>
        <v>129589.60466444444</v>
      </c>
      <c r="H256" s="388">
        <f>(H255*$H$180)/$H$179</f>
        <v>129589.60466444444</v>
      </c>
      <c r="I256" s="439"/>
      <c r="J256" s="388">
        <f>(J255*$J$180)/$J$179</f>
        <v>296643.36643111415</v>
      </c>
      <c r="K256" s="388">
        <f>(K255*$K$180)/$K$179</f>
        <v>336466.47438743879</v>
      </c>
      <c r="L256" s="388">
        <f>(L255*$L$180)/$L$179</f>
        <v>845622.92469653231</v>
      </c>
      <c r="M256" s="439"/>
      <c r="N256" s="696"/>
      <c r="O256" s="696"/>
      <c r="P256" s="696"/>
      <c r="Q256" s="696"/>
      <c r="R256" s="696"/>
      <c r="S256" s="696"/>
      <c r="T256" s="696"/>
      <c r="U256" s="696"/>
      <c r="V256" s="696"/>
      <c r="W256" s="696"/>
      <c r="X256" s="696"/>
      <c r="Y256" s="699"/>
      <c r="Z256" s="394"/>
      <c r="AA256" s="395"/>
      <c r="AB256" s="395"/>
      <c r="AC256" s="395"/>
      <c r="AD256" s="395"/>
      <c r="AE256" s="395"/>
      <c r="AF256" s="395"/>
      <c r="AG256" s="395"/>
      <c r="AH256" s="395"/>
      <c r="AI256" s="395"/>
      <c r="AJ256" s="396"/>
      <c r="AK256" s="397"/>
      <c r="AL256" s="397"/>
      <c r="AM256" s="398"/>
      <c r="AN256" s="398"/>
      <c r="AO256" s="398"/>
      <c r="AP256" s="398"/>
      <c r="AQ256" s="398"/>
      <c r="AR256" s="398"/>
      <c r="AS256" s="398"/>
      <c r="AT256" s="5"/>
      <c r="AU256" s="5"/>
      <c r="AV256" s="5"/>
      <c r="AW256" s="5"/>
      <c r="AX256" s="5"/>
      <c r="AY256" s="5"/>
      <c r="AZ256" s="5"/>
      <c r="BA256" s="5"/>
      <c r="BB256" s="5"/>
      <c r="BC256" s="5"/>
    </row>
    <row r="257" spans="1:55" x14ac:dyDescent="0.25">
      <c r="A257" s="713"/>
      <c r="B257" s="696"/>
      <c r="C257" s="696"/>
      <c r="D257" s="384" t="s">
        <v>365</v>
      </c>
      <c r="E257" s="387">
        <v>0</v>
      </c>
      <c r="F257" s="387">
        <v>0</v>
      </c>
      <c r="G257" s="387">
        <v>0</v>
      </c>
      <c r="H257" s="387">
        <v>0</v>
      </c>
      <c r="I257" s="390"/>
      <c r="J257" s="387">
        <v>0</v>
      </c>
      <c r="K257" s="387">
        <v>0</v>
      </c>
      <c r="L257" s="387">
        <v>0</v>
      </c>
      <c r="M257" s="386"/>
      <c r="N257" s="696"/>
      <c r="O257" s="696"/>
      <c r="P257" s="696"/>
      <c r="Q257" s="696"/>
      <c r="R257" s="696"/>
      <c r="S257" s="696"/>
      <c r="T257" s="696"/>
      <c r="U257" s="696"/>
      <c r="V257" s="696"/>
      <c r="W257" s="696"/>
      <c r="X257" s="696"/>
      <c r="Y257" s="699"/>
      <c r="Z257" s="394"/>
      <c r="AA257" s="395"/>
      <c r="AB257" s="395"/>
      <c r="AC257" s="395"/>
      <c r="AD257" s="395"/>
      <c r="AE257" s="395"/>
      <c r="AF257" s="395"/>
      <c r="AG257" s="395"/>
      <c r="AH257" s="395"/>
      <c r="AI257" s="395"/>
      <c r="AJ257" s="396"/>
      <c r="AK257" s="397"/>
      <c r="AL257" s="397"/>
      <c r="AM257" s="398"/>
      <c r="AN257" s="398"/>
      <c r="AO257" s="398"/>
      <c r="AP257" s="398"/>
      <c r="AQ257" s="398"/>
      <c r="AR257" s="398"/>
      <c r="AS257" s="398"/>
      <c r="AT257" s="5"/>
      <c r="AU257" s="5"/>
      <c r="AV257" s="5"/>
      <c r="AW257" s="5"/>
      <c r="AX257" s="5"/>
      <c r="AY257" s="5"/>
      <c r="AZ257" s="5"/>
      <c r="BA257" s="5"/>
      <c r="BB257" s="5"/>
      <c r="BC257" s="5"/>
    </row>
    <row r="258" spans="1:55" ht="22.5" x14ac:dyDescent="0.25">
      <c r="A258" s="713"/>
      <c r="B258" s="696"/>
      <c r="C258" s="696"/>
      <c r="D258" s="384" t="s">
        <v>370</v>
      </c>
      <c r="E258" s="388">
        <v>0</v>
      </c>
      <c r="F258" s="388">
        <v>0</v>
      </c>
      <c r="G258" s="388">
        <v>0</v>
      </c>
      <c r="H258" s="388">
        <v>0</v>
      </c>
      <c r="I258" s="390"/>
      <c r="J258" s="388">
        <v>0</v>
      </c>
      <c r="K258" s="388">
        <v>0</v>
      </c>
      <c r="L258" s="388">
        <v>0</v>
      </c>
      <c r="M258" s="390"/>
      <c r="N258" s="696"/>
      <c r="O258" s="696"/>
      <c r="P258" s="696"/>
      <c r="Q258" s="696"/>
      <c r="R258" s="696"/>
      <c r="S258" s="696"/>
      <c r="T258" s="696"/>
      <c r="U258" s="696"/>
      <c r="V258" s="696"/>
      <c r="W258" s="696"/>
      <c r="X258" s="696"/>
      <c r="Y258" s="699"/>
      <c r="Z258" s="381"/>
      <c r="AA258" s="382"/>
      <c r="AB258" s="382"/>
      <c r="AC258" s="382"/>
      <c r="AD258" s="382"/>
      <c r="AE258" s="382"/>
      <c r="AF258" s="382"/>
      <c r="AG258" s="382"/>
      <c r="AH258" s="382"/>
      <c r="AI258" s="382"/>
      <c r="AJ258" s="383"/>
      <c r="AK258" s="171"/>
      <c r="AL258" s="171"/>
      <c r="AM258" s="19"/>
      <c r="AN258" s="19"/>
      <c r="AO258" s="19"/>
      <c r="AP258" s="19"/>
      <c r="AQ258" s="19"/>
      <c r="AR258" s="19"/>
      <c r="AS258" s="19"/>
      <c r="AT258" s="5"/>
      <c r="AU258" s="5"/>
      <c r="AV258" s="5"/>
      <c r="AW258" s="5"/>
      <c r="AX258" s="5"/>
      <c r="AY258" s="5"/>
      <c r="AZ258" s="5"/>
      <c r="BA258" s="5"/>
      <c r="BB258" s="5"/>
      <c r="BC258" s="5"/>
    </row>
    <row r="259" spans="1:55" x14ac:dyDescent="0.25">
      <c r="A259" s="713"/>
      <c r="B259" s="696"/>
      <c r="C259" s="722" t="s">
        <v>492</v>
      </c>
      <c r="D259" s="389" t="s">
        <v>348</v>
      </c>
      <c r="E259" s="387">
        <v>120.9051</v>
      </c>
      <c r="F259" s="387">
        <v>120.9051</v>
      </c>
      <c r="G259" s="437">
        <f>329.06+F259</f>
        <v>449.96510000000001</v>
      </c>
      <c r="H259" s="437">
        <f>G259</f>
        <v>449.96510000000001</v>
      </c>
      <c r="I259" s="440"/>
      <c r="J259" s="387">
        <v>120.9051</v>
      </c>
      <c r="K259" s="437">
        <f>329.06+J259+0.3784</f>
        <v>450.34350000000001</v>
      </c>
      <c r="L259" s="437">
        <f>(K259-408.56+3.5)</f>
        <v>45.283500000000004</v>
      </c>
      <c r="M259" s="438"/>
      <c r="N259" s="718" t="s">
        <v>493</v>
      </c>
      <c r="O259" s="718" t="s">
        <v>350</v>
      </c>
      <c r="P259" s="718" t="s">
        <v>351</v>
      </c>
      <c r="Q259" s="718" t="s">
        <v>352</v>
      </c>
      <c r="R259" s="718" t="s">
        <v>353</v>
      </c>
      <c r="S259" s="718">
        <v>3912913</v>
      </c>
      <c r="T259" s="718">
        <v>4167821</v>
      </c>
      <c r="U259" s="718" t="s">
        <v>494</v>
      </c>
      <c r="V259" s="718" t="s">
        <v>355</v>
      </c>
      <c r="W259" s="718" t="s">
        <v>356</v>
      </c>
      <c r="X259" s="718" t="s">
        <v>357</v>
      </c>
      <c r="Y259" s="717">
        <v>8080734</v>
      </c>
      <c r="Z259" s="394"/>
      <c r="AA259" s="395"/>
      <c r="AB259" s="395"/>
      <c r="AC259" s="395"/>
      <c r="AD259" s="395"/>
      <c r="AE259" s="395"/>
      <c r="AF259" s="395"/>
      <c r="AG259" s="395"/>
      <c r="AH259" s="395"/>
      <c r="AI259" s="395"/>
      <c r="AJ259" s="396"/>
      <c r="AK259" s="397"/>
      <c r="AL259" s="397"/>
      <c r="AM259" s="398"/>
      <c r="AN259" s="398"/>
      <c r="AO259" s="398"/>
      <c r="AP259" s="398"/>
      <c r="AQ259" s="398"/>
      <c r="AR259" s="398"/>
      <c r="AS259" s="398"/>
      <c r="AT259" s="5"/>
      <c r="AU259" s="5"/>
      <c r="AV259" s="5"/>
      <c r="AW259" s="5"/>
      <c r="AX259" s="5"/>
      <c r="AY259" s="5"/>
      <c r="AZ259" s="5"/>
      <c r="BA259" s="5"/>
      <c r="BB259" s="5"/>
      <c r="BC259" s="5"/>
    </row>
    <row r="260" spans="1:55" x14ac:dyDescent="0.25">
      <c r="A260" s="713"/>
      <c r="B260" s="696"/>
      <c r="C260" s="696"/>
      <c r="D260" s="384" t="s">
        <v>360</v>
      </c>
      <c r="E260" s="388">
        <f>(E259*$E$180)/$E$179</f>
        <v>12451755.631339999</v>
      </c>
      <c r="F260" s="388">
        <f>(F259*$F$180)/$F$179</f>
        <v>12451755.631339999</v>
      </c>
      <c r="G260" s="388">
        <f>(G259*$G$180)/$G$179</f>
        <v>46340935.724228889</v>
      </c>
      <c r="H260" s="388">
        <f>(H259*$H$180)/$H$179</f>
        <v>46340935.724228889</v>
      </c>
      <c r="I260" s="390"/>
      <c r="J260" s="388">
        <f>(J259*$J$180)/$J$179</f>
        <v>71119761.813782483</v>
      </c>
      <c r="K260" s="388">
        <f>(K259*$K$180)/$K$179</f>
        <v>120420797.67011011</v>
      </c>
      <c r="L260" s="388">
        <v>130420797.67011</v>
      </c>
      <c r="M260" s="441"/>
      <c r="N260" s="696"/>
      <c r="O260" s="696"/>
      <c r="P260" s="696"/>
      <c r="Q260" s="696"/>
      <c r="R260" s="696"/>
      <c r="S260" s="696"/>
      <c r="T260" s="696"/>
      <c r="U260" s="696"/>
      <c r="V260" s="696"/>
      <c r="W260" s="696"/>
      <c r="X260" s="696"/>
      <c r="Y260" s="699"/>
      <c r="Z260" s="394"/>
      <c r="AA260" s="395"/>
      <c r="AB260" s="395"/>
      <c r="AC260" s="395"/>
      <c r="AD260" s="395"/>
      <c r="AE260" s="395"/>
      <c r="AF260" s="395"/>
      <c r="AG260" s="395"/>
      <c r="AH260" s="395"/>
      <c r="AI260" s="395"/>
      <c r="AJ260" s="396"/>
      <c r="AK260" s="397"/>
      <c r="AL260" s="397"/>
      <c r="AM260" s="398"/>
      <c r="AN260" s="398"/>
      <c r="AO260" s="398"/>
      <c r="AP260" s="398"/>
      <c r="AQ260" s="398"/>
      <c r="AR260" s="398"/>
      <c r="AS260" s="398"/>
      <c r="AT260" s="5"/>
      <c r="AU260" s="5"/>
      <c r="AV260" s="5"/>
      <c r="AW260" s="5"/>
      <c r="AX260" s="5"/>
      <c r="AY260" s="5"/>
      <c r="AZ260" s="5"/>
      <c r="BA260" s="5"/>
      <c r="BB260" s="5"/>
      <c r="BC260" s="5"/>
    </row>
    <row r="261" spans="1:55" x14ac:dyDescent="0.25">
      <c r="A261" s="713"/>
      <c r="B261" s="696"/>
      <c r="C261" s="696"/>
      <c r="D261" s="384" t="s">
        <v>365</v>
      </c>
      <c r="E261" s="387">
        <v>0</v>
      </c>
      <c r="F261" s="387">
        <v>0</v>
      </c>
      <c r="G261" s="387">
        <v>0</v>
      </c>
      <c r="H261" s="387">
        <v>0</v>
      </c>
      <c r="I261" s="390"/>
      <c r="J261" s="387">
        <v>0</v>
      </c>
      <c r="K261" s="387">
        <v>0</v>
      </c>
      <c r="L261" s="387">
        <v>0</v>
      </c>
      <c r="M261" s="442"/>
      <c r="N261" s="696"/>
      <c r="O261" s="696"/>
      <c r="P261" s="696"/>
      <c r="Q261" s="696"/>
      <c r="R261" s="696"/>
      <c r="S261" s="696"/>
      <c r="T261" s="696"/>
      <c r="U261" s="696"/>
      <c r="V261" s="696"/>
      <c r="W261" s="696"/>
      <c r="X261" s="696"/>
      <c r="Y261" s="699"/>
      <c r="Z261" s="394"/>
      <c r="AA261" s="395"/>
      <c r="AB261" s="395"/>
      <c r="AC261" s="395"/>
      <c r="AD261" s="395"/>
      <c r="AE261" s="395"/>
      <c r="AF261" s="395"/>
      <c r="AG261" s="395"/>
      <c r="AH261" s="395"/>
      <c r="AI261" s="395"/>
      <c r="AJ261" s="396"/>
      <c r="AK261" s="397"/>
      <c r="AL261" s="397"/>
      <c r="AM261" s="398"/>
      <c r="AN261" s="398"/>
      <c r="AO261" s="398"/>
      <c r="AP261" s="398"/>
      <c r="AQ261" s="398"/>
      <c r="AR261" s="398"/>
      <c r="AS261" s="398"/>
      <c r="AT261" s="5"/>
      <c r="AU261" s="5"/>
      <c r="AV261" s="5"/>
      <c r="AW261" s="5"/>
      <c r="AX261" s="5"/>
      <c r="AY261" s="5"/>
      <c r="AZ261" s="5"/>
      <c r="BA261" s="5"/>
      <c r="BB261" s="5"/>
      <c r="BC261" s="5"/>
    </row>
    <row r="262" spans="1:55" ht="22.5" x14ac:dyDescent="0.25">
      <c r="A262" s="713"/>
      <c r="B262" s="696"/>
      <c r="C262" s="696"/>
      <c r="D262" s="384" t="s">
        <v>370</v>
      </c>
      <c r="E262" s="388">
        <v>0</v>
      </c>
      <c r="F262" s="388">
        <v>0</v>
      </c>
      <c r="G262" s="388">
        <v>0</v>
      </c>
      <c r="H262" s="388">
        <v>0</v>
      </c>
      <c r="I262" s="390"/>
      <c r="J262" s="388">
        <v>0</v>
      </c>
      <c r="K262" s="388">
        <v>0</v>
      </c>
      <c r="L262" s="388">
        <v>0</v>
      </c>
      <c r="M262" s="438"/>
      <c r="N262" s="696"/>
      <c r="O262" s="696"/>
      <c r="P262" s="696"/>
      <c r="Q262" s="696"/>
      <c r="R262" s="696"/>
      <c r="S262" s="696"/>
      <c r="T262" s="696"/>
      <c r="U262" s="696"/>
      <c r="V262" s="696"/>
      <c r="W262" s="696"/>
      <c r="X262" s="696"/>
      <c r="Y262" s="699"/>
      <c r="Z262" s="394"/>
      <c r="AA262" s="395"/>
      <c r="AB262" s="395"/>
      <c r="AC262" s="395"/>
      <c r="AD262" s="395"/>
      <c r="AE262" s="395"/>
      <c r="AF262" s="395"/>
      <c r="AG262" s="395"/>
      <c r="AH262" s="395"/>
      <c r="AI262" s="395"/>
      <c r="AJ262" s="396"/>
      <c r="AK262" s="397"/>
      <c r="AL262" s="397"/>
      <c r="AM262" s="398"/>
      <c r="AN262" s="398"/>
      <c r="AO262" s="398"/>
      <c r="AP262" s="398"/>
      <c r="AQ262" s="398"/>
      <c r="AR262" s="398"/>
      <c r="AS262" s="398"/>
      <c r="AT262" s="5"/>
      <c r="AU262" s="5"/>
      <c r="AV262" s="5"/>
      <c r="AW262" s="5"/>
      <c r="AX262" s="5"/>
      <c r="AY262" s="5"/>
      <c r="AZ262" s="5"/>
      <c r="BA262" s="5"/>
      <c r="BB262" s="5"/>
      <c r="BC262" s="5"/>
    </row>
    <row r="263" spans="1:55" x14ac:dyDescent="0.25">
      <c r="A263" s="713"/>
      <c r="B263" s="696"/>
      <c r="C263" s="722" t="s">
        <v>495</v>
      </c>
      <c r="D263" s="389" t="s">
        <v>348</v>
      </c>
      <c r="E263" s="387"/>
      <c r="F263" s="387"/>
      <c r="G263" s="440"/>
      <c r="H263" s="440"/>
      <c r="I263" s="440"/>
      <c r="J263" s="387"/>
      <c r="K263" s="440"/>
      <c r="L263" s="440"/>
      <c r="M263" s="390"/>
      <c r="N263" s="718" t="s">
        <v>493</v>
      </c>
      <c r="O263" s="718" t="s">
        <v>350</v>
      </c>
      <c r="P263" s="718" t="s">
        <v>351</v>
      </c>
      <c r="Q263" s="718" t="s">
        <v>352</v>
      </c>
      <c r="R263" s="718" t="s">
        <v>353</v>
      </c>
      <c r="S263" s="718">
        <v>3912913</v>
      </c>
      <c r="T263" s="718">
        <v>4167821</v>
      </c>
      <c r="U263" s="718" t="s">
        <v>494</v>
      </c>
      <c r="V263" s="718" t="s">
        <v>355</v>
      </c>
      <c r="W263" s="718" t="s">
        <v>356</v>
      </c>
      <c r="X263" s="718" t="s">
        <v>357</v>
      </c>
      <c r="Y263" s="717">
        <v>8080734</v>
      </c>
      <c r="Z263" s="394"/>
      <c r="AA263" s="395"/>
      <c r="AB263" s="395"/>
      <c r="AC263" s="395"/>
      <c r="AD263" s="395"/>
      <c r="AE263" s="395"/>
      <c r="AF263" s="395"/>
      <c r="AG263" s="395"/>
      <c r="AH263" s="395"/>
      <c r="AI263" s="395"/>
      <c r="AJ263" s="396"/>
      <c r="AK263" s="397"/>
      <c r="AL263" s="397"/>
      <c r="AM263" s="398"/>
      <c r="AN263" s="398"/>
      <c r="AO263" s="398"/>
      <c r="AP263" s="398"/>
      <c r="AQ263" s="398"/>
      <c r="AR263" s="398"/>
      <c r="AS263" s="398"/>
      <c r="AT263" s="5"/>
      <c r="AU263" s="5"/>
      <c r="AV263" s="5"/>
      <c r="AW263" s="5"/>
      <c r="AX263" s="5"/>
      <c r="AY263" s="5"/>
      <c r="AZ263" s="5"/>
      <c r="BA263" s="5"/>
      <c r="BB263" s="5"/>
      <c r="BC263" s="5"/>
    </row>
    <row r="264" spans="1:55" x14ac:dyDescent="0.25">
      <c r="A264" s="713"/>
      <c r="B264" s="696"/>
      <c r="C264" s="696"/>
      <c r="D264" s="384" t="s">
        <v>360</v>
      </c>
      <c r="E264" s="388"/>
      <c r="F264" s="388"/>
      <c r="G264" s="390"/>
      <c r="H264" s="441"/>
      <c r="I264" s="390"/>
      <c r="J264" s="388"/>
      <c r="K264" s="390"/>
      <c r="L264" s="390"/>
      <c r="M264" s="443"/>
      <c r="N264" s="696"/>
      <c r="O264" s="696"/>
      <c r="P264" s="696"/>
      <c r="Q264" s="696"/>
      <c r="R264" s="696"/>
      <c r="S264" s="696"/>
      <c r="T264" s="696"/>
      <c r="U264" s="696"/>
      <c r="V264" s="696"/>
      <c r="W264" s="696"/>
      <c r="X264" s="696"/>
      <c r="Y264" s="699"/>
      <c r="Z264" s="394"/>
      <c r="AA264" s="395"/>
      <c r="AB264" s="395"/>
      <c r="AC264" s="395"/>
      <c r="AD264" s="395"/>
      <c r="AE264" s="395"/>
      <c r="AF264" s="395"/>
      <c r="AG264" s="395"/>
      <c r="AH264" s="395"/>
      <c r="AI264" s="395"/>
      <c r="AJ264" s="396"/>
      <c r="AK264" s="397"/>
      <c r="AL264" s="397"/>
      <c r="AM264" s="398"/>
      <c r="AN264" s="398"/>
      <c r="AO264" s="398"/>
      <c r="AP264" s="398"/>
      <c r="AQ264" s="398"/>
      <c r="AR264" s="398"/>
      <c r="AS264" s="398"/>
      <c r="AT264" s="5"/>
      <c r="AU264" s="5"/>
      <c r="AV264" s="5"/>
      <c r="AW264" s="5"/>
      <c r="AX264" s="5"/>
      <c r="AY264" s="5"/>
      <c r="AZ264" s="5"/>
      <c r="BA264" s="5"/>
      <c r="BB264" s="5"/>
      <c r="BC264" s="5"/>
    </row>
    <row r="265" spans="1:55" x14ac:dyDescent="0.25">
      <c r="A265" s="713"/>
      <c r="B265" s="696"/>
      <c r="C265" s="696"/>
      <c r="D265" s="384" t="s">
        <v>365</v>
      </c>
      <c r="E265" s="387">
        <f t="shared" ref="E265:H266" si="21">E181</f>
        <v>200</v>
      </c>
      <c r="F265" s="387">
        <f t="shared" si="21"/>
        <v>200</v>
      </c>
      <c r="G265" s="387">
        <f t="shared" si="21"/>
        <v>200</v>
      </c>
      <c r="H265" s="387">
        <f t="shared" si="21"/>
        <v>200</v>
      </c>
      <c r="I265" s="390"/>
      <c r="J265" s="387">
        <v>47.378999999999998</v>
      </c>
      <c r="K265" s="387">
        <v>47.378999999999998</v>
      </c>
      <c r="L265" s="387">
        <f>L181</f>
        <v>200</v>
      </c>
      <c r="M265" s="386"/>
      <c r="N265" s="696"/>
      <c r="O265" s="696"/>
      <c r="P265" s="696"/>
      <c r="Q265" s="696"/>
      <c r="R265" s="696"/>
      <c r="S265" s="696"/>
      <c r="T265" s="696"/>
      <c r="U265" s="696"/>
      <c r="V265" s="696"/>
      <c r="W265" s="696"/>
      <c r="X265" s="696"/>
      <c r="Y265" s="699"/>
      <c r="Z265" s="394"/>
      <c r="AA265" s="395"/>
      <c r="AB265" s="395"/>
      <c r="AC265" s="395"/>
      <c r="AD265" s="395"/>
      <c r="AE265" s="395"/>
      <c r="AF265" s="395"/>
      <c r="AG265" s="395"/>
      <c r="AH265" s="395"/>
      <c r="AI265" s="395"/>
      <c r="AJ265" s="396"/>
      <c r="AK265" s="397"/>
      <c r="AL265" s="397"/>
      <c r="AM265" s="398"/>
      <c r="AN265" s="398"/>
      <c r="AO265" s="398"/>
      <c r="AP265" s="398"/>
      <c r="AQ265" s="398"/>
      <c r="AR265" s="398"/>
      <c r="AS265" s="398"/>
      <c r="AT265" s="5"/>
      <c r="AU265" s="5"/>
      <c r="AV265" s="5"/>
      <c r="AW265" s="5"/>
      <c r="AX265" s="5"/>
      <c r="AY265" s="5"/>
      <c r="AZ265" s="5"/>
      <c r="BA265" s="5"/>
      <c r="BB265" s="5"/>
      <c r="BC265" s="5"/>
    </row>
    <row r="266" spans="1:55" ht="22.5" x14ac:dyDescent="0.25">
      <c r="A266" s="713"/>
      <c r="B266" s="696"/>
      <c r="C266" s="696"/>
      <c r="D266" s="384" t="s">
        <v>370</v>
      </c>
      <c r="E266" s="388">
        <f t="shared" si="21"/>
        <v>575846067</v>
      </c>
      <c r="F266" s="388">
        <f t="shared" si="21"/>
        <v>579357845</v>
      </c>
      <c r="G266" s="388">
        <f t="shared" si="21"/>
        <v>579357845</v>
      </c>
      <c r="H266" s="388">
        <f t="shared" si="21"/>
        <v>579357845</v>
      </c>
      <c r="I266" s="390"/>
      <c r="J266" s="388">
        <f t="shared" ref="J266:L266" si="22">J182</f>
        <v>136416027</v>
      </c>
      <c r="K266" s="388">
        <f t="shared" si="22"/>
        <v>150569377</v>
      </c>
      <c r="L266" s="388">
        <f t="shared" si="22"/>
        <v>389053045</v>
      </c>
      <c r="M266" s="390"/>
      <c r="N266" s="696"/>
      <c r="O266" s="696"/>
      <c r="P266" s="696"/>
      <c r="Q266" s="696"/>
      <c r="R266" s="696"/>
      <c r="S266" s="696"/>
      <c r="T266" s="696"/>
      <c r="U266" s="696"/>
      <c r="V266" s="696"/>
      <c r="W266" s="696"/>
      <c r="X266" s="696"/>
      <c r="Y266" s="699"/>
      <c r="Z266" s="394"/>
      <c r="AA266" s="395"/>
      <c r="AB266" s="395"/>
      <c r="AC266" s="395"/>
      <c r="AD266" s="395"/>
      <c r="AE266" s="395"/>
      <c r="AF266" s="395"/>
      <c r="AG266" s="395"/>
      <c r="AH266" s="395"/>
      <c r="AI266" s="395"/>
      <c r="AJ266" s="396"/>
      <c r="AK266" s="397"/>
      <c r="AL266" s="397"/>
      <c r="AM266" s="398"/>
      <c r="AN266" s="398"/>
      <c r="AO266" s="398"/>
      <c r="AP266" s="398"/>
      <c r="AQ266" s="398"/>
      <c r="AR266" s="398"/>
      <c r="AS266" s="398"/>
      <c r="AT266" s="5"/>
      <c r="AU266" s="5"/>
      <c r="AV266" s="5"/>
      <c r="AW266" s="5"/>
      <c r="AX266" s="5"/>
      <c r="AY266" s="5"/>
      <c r="AZ266" s="5"/>
      <c r="BA266" s="5"/>
      <c r="BB266" s="5"/>
      <c r="BC266" s="5"/>
    </row>
    <row r="267" spans="1:55" x14ac:dyDescent="0.25">
      <c r="A267" s="713"/>
      <c r="B267" s="696"/>
      <c r="C267" s="732" t="s">
        <v>406</v>
      </c>
      <c r="D267" s="389" t="s">
        <v>348</v>
      </c>
      <c r="E267" s="387">
        <f>E179-$J$179</f>
        <v>4104.759</v>
      </c>
      <c r="F267" s="387">
        <f>F179-$J$179</f>
        <v>4104.759</v>
      </c>
      <c r="G267" s="387">
        <f t="shared" ref="G267:H267" si="23">G179-(G183+G187+G191+G195+G199+G203+G207+G211+G215+G219+G223+G227+G231+G235+G239+G243+G247+G251+G255+G259)</f>
        <v>3519.5783999999999</v>
      </c>
      <c r="H267" s="387">
        <f t="shared" si="23"/>
        <v>3519.5783999999999</v>
      </c>
      <c r="I267" s="388"/>
      <c r="J267" s="388"/>
      <c r="K267" s="388"/>
      <c r="L267" s="387">
        <f>L179-(L183+L187+L191+L195+L199+L203+L207+L211+L215+L219+L223+L227+L231+L235+L239+L243+L247+L251+L255+L259)+3.5</f>
        <v>813.6128999999994</v>
      </c>
      <c r="M267" s="386"/>
      <c r="N267" s="718" t="s">
        <v>493</v>
      </c>
      <c r="O267" s="718" t="s">
        <v>350</v>
      </c>
      <c r="P267" s="718" t="s">
        <v>351</v>
      </c>
      <c r="Q267" s="718" t="s">
        <v>352</v>
      </c>
      <c r="R267" s="720" t="s">
        <v>353</v>
      </c>
      <c r="S267" s="720">
        <v>8185614</v>
      </c>
      <c r="T267" s="696"/>
      <c r="U267" s="720"/>
      <c r="V267" s="720" t="s">
        <v>355</v>
      </c>
      <c r="W267" s="720" t="s">
        <v>356</v>
      </c>
      <c r="X267" s="720" t="s">
        <v>357</v>
      </c>
      <c r="Y267" s="721">
        <v>8185614</v>
      </c>
      <c r="Z267" s="381"/>
      <c r="AA267" s="382"/>
      <c r="AB267" s="382"/>
      <c r="AC267" s="382"/>
      <c r="AD267" s="382"/>
      <c r="AE267" s="382"/>
      <c r="AF267" s="382"/>
      <c r="AG267" s="382"/>
      <c r="AH267" s="382"/>
      <c r="AI267" s="382"/>
      <c r="AJ267" s="383"/>
      <c r="AK267" s="171"/>
      <c r="AL267" s="171"/>
      <c r="AM267" s="19"/>
      <c r="AN267" s="19"/>
      <c r="AO267" s="19"/>
      <c r="AP267" s="19"/>
      <c r="AQ267" s="19"/>
      <c r="AR267" s="19"/>
      <c r="AS267" s="19"/>
      <c r="AT267" s="5"/>
      <c r="AU267" s="5"/>
      <c r="AV267" s="5"/>
      <c r="AW267" s="5"/>
      <c r="AX267" s="5"/>
      <c r="AY267" s="5"/>
      <c r="AZ267" s="5"/>
      <c r="BA267" s="5"/>
      <c r="BB267" s="5"/>
      <c r="BC267" s="5"/>
    </row>
    <row r="268" spans="1:55" x14ac:dyDescent="0.25">
      <c r="A268" s="713"/>
      <c r="B268" s="696"/>
      <c r="C268" s="696"/>
      <c r="D268" s="384" t="s">
        <v>360</v>
      </c>
      <c r="E268" s="385">
        <f>(E267*$E$180)/$E$179</f>
        <v>422740281.37393332</v>
      </c>
      <c r="F268" s="385">
        <f>(F267*$F$180)/$F$179</f>
        <v>422740281.37393332</v>
      </c>
      <c r="G268" s="388">
        <f>(G267*$G$180)/$G$179</f>
        <v>362473792.76922667</v>
      </c>
      <c r="H268" s="388">
        <f>(H267*$H$180)/$H$179</f>
        <v>362473792.76922667</v>
      </c>
      <c r="I268" s="388"/>
      <c r="J268" s="388"/>
      <c r="K268" s="444"/>
      <c r="L268" s="388">
        <v>2568910.21</v>
      </c>
      <c r="M268" s="386"/>
      <c r="N268" s="696"/>
      <c r="O268" s="696"/>
      <c r="P268" s="696"/>
      <c r="Q268" s="696"/>
      <c r="R268" s="696"/>
      <c r="S268" s="696"/>
      <c r="T268" s="696"/>
      <c r="U268" s="696"/>
      <c r="V268" s="696"/>
      <c r="W268" s="696"/>
      <c r="X268" s="696"/>
      <c r="Y268" s="699"/>
      <c r="Z268" s="381"/>
      <c r="AA268" s="382"/>
      <c r="AB268" s="382"/>
      <c r="AC268" s="382"/>
      <c r="AD268" s="382"/>
      <c r="AE268" s="382"/>
      <c r="AF268" s="382"/>
      <c r="AG268" s="382"/>
      <c r="AH268" s="382"/>
      <c r="AI268" s="382"/>
      <c r="AJ268" s="383"/>
      <c r="AK268" s="171"/>
      <c r="AL268" s="171"/>
      <c r="AM268" s="19"/>
      <c r="AN268" s="19"/>
      <c r="AO268" s="19"/>
      <c r="AP268" s="19"/>
      <c r="AQ268" s="19"/>
      <c r="AR268" s="19"/>
      <c r="AS268" s="19"/>
      <c r="AT268" s="5"/>
      <c r="AU268" s="5"/>
      <c r="AV268" s="5"/>
      <c r="AW268" s="5"/>
      <c r="AX268" s="5"/>
      <c r="AY268" s="5"/>
      <c r="AZ268" s="5"/>
      <c r="BA268" s="5"/>
      <c r="BB268" s="5"/>
      <c r="BC268" s="5"/>
    </row>
    <row r="269" spans="1:55" x14ac:dyDescent="0.25">
      <c r="A269" s="713"/>
      <c r="B269" s="696"/>
      <c r="C269" s="696"/>
      <c r="D269" s="384" t="s">
        <v>365</v>
      </c>
      <c r="E269" s="387">
        <v>0</v>
      </c>
      <c r="F269" s="387">
        <v>0</v>
      </c>
      <c r="G269" s="387">
        <v>0</v>
      </c>
      <c r="H269" s="387">
        <v>0</v>
      </c>
      <c r="I269" s="388"/>
      <c r="J269" s="388"/>
      <c r="K269" s="388"/>
      <c r="L269" s="387">
        <v>0</v>
      </c>
      <c r="M269" s="442"/>
      <c r="N269" s="696"/>
      <c r="O269" s="696"/>
      <c r="P269" s="696"/>
      <c r="Q269" s="696"/>
      <c r="R269" s="696"/>
      <c r="S269" s="696"/>
      <c r="T269" s="696"/>
      <c r="U269" s="696"/>
      <c r="V269" s="696"/>
      <c r="W269" s="696"/>
      <c r="X269" s="696"/>
      <c r="Y269" s="699"/>
      <c r="Z269" s="381"/>
      <c r="AA269" s="382"/>
      <c r="AB269" s="382"/>
      <c r="AC269" s="382"/>
      <c r="AD269" s="382"/>
      <c r="AE269" s="382"/>
      <c r="AF269" s="382"/>
      <c r="AG269" s="382"/>
      <c r="AH269" s="382"/>
      <c r="AI269" s="382"/>
      <c r="AJ269" s="383"/>
      <c r="AK269" s="171"/>
      <c r="AL269" s="171"/>
      <c r="AM269" s="19"/>
      <c r="AN269" s="19"/>
      <c r="AO269" s="19"/>
      <c r="AP269" s="19"/>
      <c r="AQ269" s="19"/>
      <c r="AR269" s="19"/>
      <c r="AS269" s="19"/>
      <c r="AT269" s="5"/>
      <c r="AU269" s="5"/>
      <c r="AV269" s="5"/>
      <c r="AW269" s="5"/>
      <c r="AX269" s="5"/>
      <c r="AY269" s="5"/>
      <c r="AZ269" s="5"/>
      <c r="BA269" s="5"/>
      <c r="BB269" s="5"/>
      <c r="BC269" s="5"/>
    </row>
    <row r="270" spans="1:55" ht="22.5" x14ac:dyDescent="0.25">
      <c r="A270" s="713"/>
      <c r="B270" s="696"/>
      <c r="C270" s="696"/>
      <c r="D270" s="384" t="s">
        <v>370</v>
      </c>
      <c r="E270" s="388">
        <v>0</v>
      </c>
      <c r="F270" s="388">
        <v>0</v>
      </c>
      <c r="G270" s="388">
        <v>0</v>
      </c>
      <c r="H270" s="388">
        <v>0</v>
      </c>
      <c r="I270" s="388"/>
      <c r="J270" s="388"/>
      <c r="K270" s="388"/>
      <c r="L270" s="388">
        <v>0</v>
      </c>
      <c r="M270" s="386"/>
      <c r="N270" s="696"/>
      <c r="O270" s="696"/>
      <c r="P270" s="696"/>
      <c r="Q270" s="696"/>
      <c r="R270" s="696"/>
      <c r="S270" s="696"/>
      <c r="T270" s="696"/>
      <c r="U270" s="696"/>
      <c r="V270" s="696"/>
      <c r="W270" s="696"/>
      <c r="X270" s="696"/>
      <c r="Y270" s="699"/>
      <c r="Z270" s="381"/>
      <c r="AA270" s="382"/>
      <c r="AB270" s="382"/>
      <c r="AC270" s="382"/>
      <c r="AD270" s="382"/>
      <c r="AE270" s="382"/>
      <c r="AF270" s="382"/>
      <c r="AG270" s="382"/>
      <c r="AH270" s="382"/>
      <c r="AI270" s="382"/>
      <c r="AJ270" s="383"/>
      <c r="AK270" s="171"/>
      <c r="AL270" s="171"/>
      <c r="AM270" s="19"/>
      <c r="AN270" s="19"/>
      <c r="AO270" s="19"/>
      <c r="AP270" s="19"/>
      <c r="AQ270" s="19"/>
      <c r="AR270" s="19"/>
      <c r="AS270" s="19"/>
      <c r="AT270" s="5"/>
      <c r="AU270" s="5"/>
      <c r="AV270" s="5"/>
      <c r="AW270" s="5"/>
      <c r="AX270" s="5"/>
      <c r="AY270" s="5"/>
      <c r="AZ270" s="5"/>
      <c r="BA270" s="5"/>
      <c r="BB270" s="5"/>
      <c r="BC270" s="5"/>
    </row>
    <row r="271" spans="1:55" x14ac:dyDescent="0.25">
      <c r="A271" s="713"/>
      <c r="B271" s="696"/>
      <c r="C271" s="722" t="s">
        <v>496</v>
      </c>
      <c r="D271" s="389" t="s">
        <v>348</v>
      </c>
      <c r="E271" s="445">
        <f t="shared" ref="E271:H271" si="24">E183+E187+E191+E195+E199+E203+E207+E211+E219+E223+E227+E231+E235+E239+E243+E247+E251+E255+E259+E215+E267</f>
        <v>4500</v>
      </c>
      <c r="F271" s="445">
        <f t="shared" si="24"/>
        <v>4500</v>
      </c>
      <c r="G271" s="445">
        <f t="shared" si="24"/>
        <v>4500</v>
      </c>
      <c r="H271" s="445">
        <f t="shared" si="24"/>
        <v>4500</v>
      </c>
      <c r="I271" s="446"/>
      <c r="J271" s="445">
        <f>J183+J187+J191+J195+J199+J203+J207+J211+J219+J223+J227+J231+J235+J239+J243+J247+J251+J255+J259+J215</f>
        <v>395.24099999999999</v>
      </c>
      <c r="K271" s="445">
        <f t="shared" ref="K271:L271" si="25">K183+K187+K191+K195+K199+K203+K207+K211+K219+K223+K227+K231+K235+K239+K243+K247+K251+K255+K259+K215+K267</f>
        <v>980.8</v>
      </c>
      <c r="L271" s="445">
        <f t="shared" si="25"/>
        <v>2434.3999999999996</v>
      </c>
      <c r="M271" s="390"/>
      <c r="N271" s="718"/>
      <c r="O271" s="696"/>
      <c r="P271" s="696"/>
      <c r="Q271" s="696"/>
      <c r="R271" s="696"/>
      <c r="S271" s="696"/>
      <c r="T271" s="696"/>
      <c r="U271" s="696"/>
      <c r="V271" s="696"/>
      <c r="W271" s="696"/>
      <c r="X271" s="696"/>
      <c r="Y271" s="699"/>
      <c r="Z271" s="394"/>
      <c r="AA271" s="395"/>
      <c r="AB271" s="395"/>
      <c r="AC271" s="395"/>
      <c r="AD271" s="395"/>
      <c r="AE271" s="395"/>
      <c r="AF271" s="395"/>
      <c r="AG271" s="395"/>
      <c r="AH271" s="395"/>
      <c r="AI271" s="395"/>
      <c r="AJ271" s="396"/>
      <c r="AK271" s="397"/>
      <c r="AL271" s="397"/>
      <c r="AM271" s="398"/>
      <c r="AN271" s="398"/>
      <c r="AO271" s="398"/>
      <c r="AP271" s="398"/>
      <c r="AQ271" s="398"/>
      <c r="AR271" s="398"/>
      <c r="AS271" s="398"/>
      <c r="AT271" s="5"/>
      <c r="AU271" s="5"/>
      <c r="AV271" s="5"/>
      <c r="AW271" s="5"/>
      <c r="AX271" s="5"/>
      <c r="AY271" s="5"/>
      <c r="AZ271" s="5"/>
      <c r="BA271" s="5"/>
      <c r="BB271" s="5"/>
      <c r="BC271" s="5"/>
    </row>
    <row r="272" spans="1:55" x14ac:dyDescent="0.25">
      <c r="A272" s="713"/>
      <c r="B272" s="696"/>
      <c r="C272" s="696"/>
      <c r="D272" s="384" t="s">
        <v>360</v>
      </c>
      <c r="E272" s="447">
        <f t="shared" ref="E272:H272" si="26">E184+E188+E196+E200+E192+E204+E208+E212+E216+E220+E224+E228+E232+E236+E240+E244+E248+E252+E256+E260+E268</f>
        <v>463445300</v>
      </c>
      <c r="F272" s="447">
        <f t="shared" si="26"/>
        <v>463445300</v>
      </c>
      <c r="G272" s="447">
        <f t="shared" si="26"/>
        <v>463445300</v>
      </c>
      <c r="H272" s="447">
        <f t="shared" si="26"/>
        <v>463445300</v>
      </c>
      <c r="I272" s="430"/>
      <c r="J272" s="447">
        <f>J184+J188+J192+J196+J200+J204+J208+J212+J216+J220+J224+J228+J232+J236+J240+J244+J248+J252+J256+J260</f>
        <v>232491812</v>
      </c>
      <c r="K272" s="447">
        <f>K184+K188+K196+K200+K192+K204+K208+K212+K216+K220+K224+K228+K232+K236+K240+K244+K248+K252+K256+K260+K268</f>
        <v>262263623.99999997</v>
      </c>
      <c r="L272" s="447">
        <f>L184+L188+L196+L200+L192+L204+L208+L212+L216+L220+L224+L228+L232+L236+L240+L244+L248+L252+L256+L260+L268</f>
        <v>329062623.99988657</v>
      </c>
      <c r="M272" s="443"/>
      <c r="N272" s="696"/>
      <c r="O272" s="719"/>
      <c r="P272" s="719"/>
      <c r="Q272" s="719"/>
      <c r="R272" s="719"/>
      <c r="S272" s="719"/>
      <c r="T272" s="719"/>
      <c r="U272" s="719"/>
      <c r="V272" s="719"/>
      <c r="W272" s="719"/>
      <c r="X272" s="719"/>
      <c r="Y272" s="699"/>
      <c r="Z272" s="394"/>
      <c r="AA272" s="395"/>
      <c r="AB272" s="395"/>
      <c r="AC272" s="395"/>
      <c r="AD272" s="395"/>
      <c r="AE272" s="395"/>
      <c r="AF272" s="395"/>
      <c r="AG272" s="395"/>
      <c r="AH272" s="395"/>
      <c r="AI272" s="395"/>
      <c r="AJ272" s="396"/>
      <c r="AK272" s="397"/>
      <c r="AL272" s="397"/>
      <c r="AM272" s="398"/>
      <c r="AN272" s="398"/>
      <c r="AO272" s="398"/>
      <c r="AP272" s="398"/>
      <c r="AQ272" s="398"/>
      <c r="AR272" s="398"/>
      <c r="AS272" s="398"/>
      <c r="AT272" s="5"/>
      <c r="AU272" s="5"/>
      <c r="AV272" s="5"/>
      <c r="AW272" s="5"/>
      <c r="AX272" s="5"/>
      <c r="AY272" s="5"/>
      <c r="AZ272" s="5"/>
      <c r="BA272" s="5"/>
      <c r="BB272" s="5"/>
      <c r="BC272" s="5"/>
    </row>
    <row r="273" spans="1:55" x14ac:dyDescent="0.25">
      <c r="A273" s="713"/>
      <c r="B273" s="696"/>
      <c r="C273" s="696"/>
      <c r="D273" s="384" t="s">
        <v>365</v>
      </c>
      <c r="E273" s="445">
        <f t="shared" ref="E273:L274" si="27">E265</f>
        <v>200</v>
      </c>
      <c r="F273" s="445">
        <f t="shared" si="27"/>
        <v>200</v>
      </c>
      <c r="G273" s="445">
        <f t="shared" si="27"/>
        <v>200</v>
      </c>
      <c r="H273" s="445">
        <f t="shared" si="27"/>
        <v>200</v>
      </c>
      <c r="I273" s="430"/>
      <c r="J273" s="445">
        <f t="shared" ref="J273:L273" si="28">J265</f>
        <v>47.378999999999998</v>
      </c>
      <c r="K273" s="445">
        <f t="shared" si="28"/>
        <v>47.378999999999998</v>
      </c>
      <c r="L273" s="445">
        <f t="shared" si="28"/>
        <v>200</v>
      </c>
      <c r="M273" s="386"/>
      <c r="N273" s="696"/>
      <c r="O273" s="719"/>
      <c r="P273" s="719"/>
      <c r="Q273" s="719"/>
      <c r="R273" s="719"/>
      <c r="S273" s="719"/>
      <c r="T273" s="719"/>
      <c r="U273" s="719"/>
      <c r="V273" s="719"/>
      <c r="W273" s="719"/>
      <c r="X273" s="719"/>
      <c r="Y273" s="699"/>
      <c r="Z273" s="394"/>
      <c r="AA273" s="395"/>
      <c r="AB273" s="395"/>
      <c r="AC273" s="395"/>
      <c r="AD273" s="395"/>
      <c r="AE273" s="395"/>
      <c r="AF273" s="395"/>
      <c r="AG273" s="395"/>
      <c r="AH273" s="395"/>
      <c r="AI273" s="395"/>
      <c r="AJ273" s="396"/>
      <c r="AK273" s="397"/>
      <c r="AL273" s="397"/>
      <c r="AM273" s="398"/>
      <c r="AN273" s="398"/>
      <c r="AO273" s="398"/>
      <c r="AP273" s="398"/>
      <c r="AQ273" s="398"/>
      <c r="AR273" s="398"/>
      <c r="AS273" s="398"/>
      <c r="AT273" s="5"/>
      <c r="AU273" s="5"/>
      <c r="AV273" s="5"/>
      <c r="AW273" s="5"/>
      <c r="AX273" s="5"/>
      <c r="AY273" s="5"/>
      <c r="AZ273" s="5"/>
      <c r="BA273" s="5"/>
      <c r="BB273" s="5"/>
      <c r="BC273" s="5"/>
    </row>
    <row r="274" spans="1:55" ht="23.25" thickBot="1" x14ac:dyDescent="0.3">
      <c r="A274" s="714"/>
      <c r="B274" s="697"/>
      <c r="C274" s="697"/>
      <c r="D274" s="448" t="s">
        <v>370</v>
      </c>
      <c r="E274" s="449">
        <f t="shared" si="27"/>
        <v>575846067</v>
      </c>
      <c r="F274" s="449">
        <f t="shared" si="27"/>
        <v>579357845</v>
      </c>
      <c r="G274" s="449">
        <f t="shared" si="27"/>
        <v>579357845</v>
      </c>
      <c r="H274" s="449">
        <f t="shared" si="27"/>
        <v>579357845</v>
      </c>
      <c r="I274" s="449">
        <f t="shared" si="27"/>
        <v>0</v>
      </c>
      <c r="J274" s="449">
        <f t="shared" si="27"/>
        <v>136416027</v>
      </c>
      <c r="K274" s="449">
        <f t="shared" si="27"/>
        <v>150569377</v>
      </c>
      <c r="L274" s="449">
        <f t="shared" si="27"/>
        <v>389053045</v>
      </c>
      <c r="M274" s="450"/>
      <c r="N274" s="697"/>
      <c r="O274" s="697"/>
      <c r="P274" s="697"/>
      <c r="Q274" s="697"/>
      <c r="R274" s="697"/>
      <c r="S274" s="697"/>
      <c r="T274" s="697"/>
      <c r="U274" s="697"/>
      <c r="V274" s="697"/>
      <c r="W274" s="697"/>
      <c r="X274" s="697"/>
      <c r="Y274" s="700"/>
      <c r="Z274" s="394"/>
      <c r="AA274" s="395"/>
      <c r="AB274" s="395"/>
      <c r="AC274" s="395"/>
      <c r="AD274" s="395"/>
      <c r="AE274" s="395"/>
      <c r="AF274" s="395"/>
      <c r="AG274" s="395"/>
      <c r="AH274" s="395"/>
      <c r="AI274" s="395"/>
      <c r="AJ274" s="396"/>
      <c r="AK274" s="397"/>
      <c r="AL274" s="397"/>
      <c r="AM274" s="398"/>
      <c r="AN274" s="398"/>
      <c r="AO274" s="398"/>
      <c r="AP274" s="398"/>
      <c r="AQ274" s="398"/>
      <c r="AR274" s="398"/>
      <c r="AS274" s="398"/>
      <c r="AT274" s="5"/>
      <c r="AU274" s="5"/>
      <c r="AV274" s="5"/>
      <c r="AW274" s="5"/>
      <c r="AX274" s="5"/>
      <c r="AY274" s="5"/>
      <c r="AZ274" s="5"/>
      <c r="BA274" s="5"/>
      <c r="BB274" s="5"/>
      <c r="BC274" s="5"/>
    </row>
    <row r="275" spans="1:55" x14ac:dyDescent="0.25">
      <c r="A275" s="712">
        <v>8</v>
      </c>
      <c r="B275" s="710" t="s">
        <v>108</v>
      </c>
      <c r="C275" s="710" t="s">
        <v>497</v>
      </c>
      <c r="D275" s="405" t="s">
        <v>348</v>
      </c>
      <c r="E275" s="379">
        <v>6610</v>
      </c>
      <c r="F275" s="379">
        <v>6610</v>
      </c>
      <c r="G275" s="379">
        <v>6610</v>
      </c>
      <c r="H275" s="379">
        <f>[1]INVERSIÓN!V51</f>
        <v>6610</v>
      </c>
      <c r="I275" s="451"/>
      <c r="J275" s="379">
        <v>898.9</v>
      </c>
      <c r="K275" s="379">
        <v>2702.89</v>
      </c>
      <c r="L275" s="379">
        <f>[1]INVERSIÓN!AL51</f>
        <v>4836.5099999999993</v>
      </c>
      <c r="M275" s="380"/>
      <c r="N275" s="710" t="s">
        <v>349</v>
      </c>
      <c r="O275" s="716" t="s">
        <v>350</v>
      </c>
      <c r="P275" s="716" t="s">
        <v>351</v>
      </c>
      <c r="Q275" s="716" t="s">
        <v>352</v>
      </c>
      <c r="R275" s="716" t="s">
        <v>353</v>
      </c>
      <c r="S275" s="695">
        <v>8185614</v>
      </c>
      <c r="T275" s="711"/>
      <c r="U275" s="695" t="s">
        <v>354</v>
      </c>
      <c r="V275" s="695" t="s">
        <v>355</v>
      </c>
      <c r="W275" s="695" t="s">
        <v>356</v>
      </c>
      <c r="X275" s="695" t="s">
        <v>357</v>
      </c>
      <c r="Y275" s="698">
        <v>8185614</v>
      </c>
      <c r="Z275" s="381"/>
      <c r="AA275" s="382"/>
      <c r="AB275" s="382"/>
      <c r="AC275" s="382"/>
      <c r="AD275" s="382"/>
      <c r="AE275" s="382"/>
      <c r="AF275" s="382"/>
      <c r="AG275" s="382"/>
      <c r="AH275" s="382"/>
      <c r="AI275" s="382"/>
      <c r="AJ275" s="383"/>
      <c r="AK275" s="171"/>
      <c r="AL275" s="171"/>
      <c r="AM275" s="19"/>
      <c r="AN275" s="19"/>
      <c r="AO275" s="19"/>
      <c r="AP275" s="19"/>
      <c r="AQ275" s="19"/>
      <c r="AR275" s="19"/>
      <c r="AS275" s="19"/>
      <c r="AT275" s="5"/>
      <c r="AU275" s="5"/>
      <c r="AV275" s="5"/>
      <c r="AW275" s="5"/>
      <c r="AX275" s="5"/>
      <c r="AY275" s="5"/>
      <c r="AZ275" s="5"/>
      <c r="BA275" s="5"/>
      <c r="BB275" s="5"/>
      <c r="BC275" s="5"/>
    </row>
    <row r="276" spans="1:55" x14ac:dyDescent="0.25">
      <c r="A276" s="713"/>
      <c r="B276" s="696"/>
      <c r="C276" s="696"/>
      <c r="D276" s="384" t="s">
        <v>360</v>
      </c>
      <c r="E276" s="407">
        <v>486128950</v>
      </c>
      <c r="F276" s="407">
        <v>486128950</v>
      </c>
      <c r="G276" s="407">
        <v>456409950</v>
      </c>
      <c r="H276" s="407">
        <f>[1]INVERSIÓN!V52</f>
        <v>456409950</v>
      </c>
      <c r="I276" s="416"/>
      <c r="J276" s="407">
        <v>238556812</v>
      </c>
      <c r="K276" s="407">
        <v>328785000</v>
      </c>
      <c r="L276" s="407">
        <f>[1]INVERSIÓN!AL52</f>
        <v>436345000</v>
      </c>
      <c r="M276" s="390"/>
      <c r="N276" s="696"/>
      <c r="O276" s="696"/>
      <c r="P276" s="696"/>
      <c r="Q276" s="696"/>
      <c r="R276" s="696"/>
      <c r="S276" s="696"/>
      <c r="T276" s="696"/>
      <c r="U276" s="696"/>
      <c r="V276" s="696"/>
      <c r="W276" s="696"/>
      <c r="X276" s="696"/>
      <c r="Y276" s="699"/>
      <c r="Z276" s="394"/>
      <c r="AA276" s="395"/>
      <c r="AB276" s="395"/>
      <c r="AC276" s="395"/>
      <c r="AD276" s="395"/>
      <c r="AE276" s="395"/>
      <c r="AF276" s="395"/>
      <c r="AG276" s="395"/>
      <c r="AH276" s="395"/>
      <c r="AI276" s="395"/>
      <c r="AJ276" s="396"/>
      <c r="AK276" s="397"/>
      <c r="AL276" s="397"/>
      <c r="AM276" s="398"/>
      <c r="AN276" s="398"/>
      <c r="AO276" s="398"/>
      <c r="AP276" s="398"/>
      <c r="AQ276" s="398"/>
      <c r="AR276" s="398"/>
      <c r="AS276" s="398"/>
      <c r="AT276" s="5"/>
      <c r="AU276" s="5"/>
      <c r="AV276" s="5"/>
      <c r="AW276" s="5"/>
      <c r="AX276" s="5"/>
      <c r="AY276" s="5"/>
      <c r="AZ276" s="5"/>
      <c r="BA276" s="5"/>
      <c r="BB276" s="5"/>
      <c r="BC276" s="5"/>
    </row>
    <row r="277" spans="1:55" x14ac:dyDescent="0.25">
      <c r="A277" s="713"/>
      <c r="B277" s="696"/>
      <c r="C277" s="696"/>
      <c r="D277" s="384" t="s">
        <v>365</v>
      </c>
      <c r="E277" s="387">
        <v>0</v>
      </c>
      <c r="F277" s="387">
        <v>0</v>
      </c>
      <c r="G277" s="387">
        <v>0</v>
      </c>
      <c r="H277" s="387">
        <f>[1]INVERSIÓN!V53</f>
        <v>0</v>
      </c>
      <c r="I277" s="390"/>
      <c r="J277" s="387">
        <v>0</v>
      </c>
      <c r="K277" s="387">
        <v>0</v>
      </c>
      <c r="L277" s="387">
        <f>[1]INVERSIÓN!AL53</f>
        <v>0</v>
      </c>
      <c r="M277" s="386"/>
      <c r="N277" s="696"/>
      <c r="O277" s="696"/>
      <c r="P277" s="696"/>
      <c r="Q277" s="696"/>
      <c r="R277" s="696"/>
      <c r="S277" s="696"/>
      <c r="T277" s="696"/>
      <c r="U277" s="696"/>
      <c r="V277" s="696"/>
      <c r="W277" s="696"/>
      <c r="X277" s="696"/>
      <c r="Y277" s="699"/>
      <c r="Z277" s="394"/>
      <c r="AA277" s="395"/>
      <c r="AB277" s="395"/>
      <c r="AC277" s="395"/>
      <c r="AD277" s="395"/>
      <c r="AE277" s="395"/>
      <c r="AF277" s="395"/>
      <c r="AG277" s="395"/>
      <c r="AH277" s="395"/>
      <c r="AI277" s="395"/>
      <c r="AJ277" s="396"/>
      <c r="AK277" s="397"/>
      <c r="AL277" s="397"/>
      <c r="AM277" s="398"/>
      <c r="AN277" s="398"/>
      <c r="AO277" s="398"/>
      <c r="AP277" s="398"/>
      <c r="AQ277" s="398"/>
      <c r="AR277" s="398"/>
      <c r="AS277" s="398"/>
      <c r="AT277" s="5"/>
      <c r="AU277" s="5"/>
      <c r="AV277" s="5"/>
      <c r="AW277" s="5"/>
      <c r="AX277" s="5"/>
      <c r="AY277" s="5"/>
      <c r="AZ277" s="5"/>
      <c r="BA277" s="5"/>
      <c r="BB277" s="5"/>
      <c r="BC277" s="5"/>
    </row>
    <row r="278" spans="1:55" ht="22.5" x14ac:dyDescent="0.25">
      <c r="A278" s="713"/>
      <c r="B278" s="696"/>
      <c r="C278" s="696"/>
      <c r="D278" s="384" t="s">
        <v>370</v>
      </c>
      <c r="E278" s="407">
        <v>83703767</v>
      </c>
      <c r="F278" s="407">
        <v>83703767</v>
      </c>
      <c r="G278" s="407">
        <v>83023500</v>
      </c>
      <c r="H278" s="407">
        <f>[1]INVERSIÓN!V54</f>
        <v>83023500</v>
      </c>
      <c r="I278" s="390"/>
      <c r="J278" s="407">
        <f>[1]INVERSIÓN!AJ54</f>
        <v>42165774</v>
      </c>
      <c r="K278" s="407">
        <f>[1]INVERSIÓN!AK54</f>
        <v>74091367</v>
      </c>
      <c r="L278" s="407">
        <f>[1]INVERSIÓN!AL54</f>
        <v>76828634</v>
      </c>
      <c r="M278" s="390"/>
      <c r="N278" s="696"/>
      <c r="O278" s="696"/>
      <c r="P278" s="696"/>
      <c r="Q278" s="696"/>
      <c r="R278" s="696"/>
      <c r="S278" s="696"/>
      <c r="T278" s="696"/>
      <c r="U278" s="696"/>
      <c r="V278" s="696"/>
      <c r="W278" s="696"/>
      <c r="X278" s="696"/>
      <c r="Y278" s="699"/>
      <c r="Z278" s="394"/>
      <c r="AA278" s="395"/>
      <c r="AB278" s="395"/>
      <c r="AC278" s="395"/>
      <c r="AD278" s="395"/>
      <c r="AE278" s="395"/>
      <c r="AF278" s="395"/>
      <c r="AG278" s="395"/>
      <c r="AH278" s="395"/>
      <c r="AI278" s="395"/>
      <c r="AJ278" s="396"/>
      <c r="AK278" s="397"/>
      <c r="AL278" s="397"/>
      <c r="AM278" s="398"/>
      <c r="AN278" s="398"/>
      <c r="AO278" s="398"/>
      <c r="AP278" s="398"/>
      <c r="AQ278" s="398"/>
      <c r="AR278" s="398"/>
      <c r="AS278" s="398"/>
      <c r="AT278" s="5"/>
      <c r="AU278" s="5"/>
      <c r="AV278" s="5"/>
      <c r="AW278" s="5"/>
      <c r="AX278" s="5"/>
      <c r="AY278" s="5"/>
      <c r="AZ278" s="5"/>
      <c r="BA278" s="5"/>
      <c r="BB278" s="5"/>
      <c r="BC278" s="5"/>
    </row>
    <row r="279" spans="1:55" x14ac:dyDescent="0.25">
      <c r="A279" s="713"/>
      <c r="B279" s="696"/>
      <c r="C279" s="722" t="s">
        <v>454</v>
      </c>
      <c r="D279" s="389" t="s">
        <v>348</v>
      </c>
      <c r="E279" s="387">
        <v>318.99</v>
      </c>
      <c r="F279" s="387">
        <v>318.99</v>
      </c>
      <c r="G279" s="387">
        <f>K279</f>
        <v>401.39</v>
      </c>
      <c r="H279" s="387">
        <v>442.32900000000001</v>
      </c>
      <c r="I279" s="390"/>
      <c r="J279" s="387">
        <v>318.99</v>
      </c>
      <c r="K279" s="387">
        <f>82.4+J279</f>
        <v>401.39</v>
      </c>
      <c r="L279" s="387">
        <f>K279+40.939</f>
        <v>442.32900000000001</v>
      </c>
      <c r="M279" s="438"/>
      <c r="N279" s="718" t="s">
        <v>371</v>
      </c>
      <c r="O279" s="722" t="s">
        <v>498</v>
      </c>
      <c r="P279" s="720" t="s">
        <v>499</v>
      </c>
      <c r="Q279" s="722" t="s">
        <v>452</v>
      </c>
      <c r="R279" s="720" t="s">
        <v>353</v>
      </c>
      <c r="S279" s="718">
        <v>267106</v>
      </c>
      <c r="T279" s="696"/>
      <c r="U279" s="722" t="s">
        <v>453</v>
      </c>
      <c r="V279" s="722" t="s">
        <v>453</v>
      </c>
      <c r="W279" s="720" t="s">
        <v>356</v>
      </c>
      <c r="X279" s="720" t="s">
        <v>357</v>
      </c>
      <c r="Y279" s="721">
        <v>267106</v>
      </c>
      <c r="Z279" s="394"/>
      <c r="AA279" s="395"/>
      <c r="AB279" s="395"/>
      <c r="AC279" s="395"/>
      <c r="AD279" s="395"/>
      <c r="AE279" s="395"/>
      <c r="AF279" s="395"/>
      <c r="AG279" s="395"/>
      <c r="AH279" s="395"/>
      <c r="AI279" s="395"/>
      <c r="AJ279" s="396"/>
      <c r="AK279" s="397"/>
      <c r="AL279" s="397"/>
      <c r="AM279" s="398"/>
      <c r="AN279" s="398"/>
      <c r="AO279" s="398"/>
      <c r="AP279" s="398"/>
      <c r="AQ279" s="398"/>
      <c r="AR279" s="398"/>
      <c r="AS279" s="398"/>
      <c r="AT279" s="5"/>
      <c r="AU279" s="5"/>
      <c r="AV279" s="5"/>
      <c r="AW279" s="5"/>
      <c r="AX279" s="5"/>
      <c r="AY279" s="5"/>
      <c r="AZ279" s="5"/>
      <c r="BA279" s="5"/>
      <c r="BB279" s="5"/>
      <c r="BC279" s="5"/>
    </row>
    <row r="280" spans="1:55" x14ac:dyDescent="0.25">
      <c r="A280" s="713"/>
      <c r="B280" s="696"/>
      <c r="C280" s="696"/>
      <c r="D280" s="384" t="s">
        <v>360</v>
      </c>
      <c r="E280" s="407">
        <f>(E279*$E$276)/$E$275</f>
        <v>23459950.644553706</v>
      </c>
      <c r="F280" s="407">
        <f>(F279*$F$276)/$F$275</f>
        <v>23459950.644553706</v>
      </c>
      <c r="G280" s="407">
        <f>(G279*$G$276)/$G$275</f>
        <v>27715338.85484115</v>
      </c>
      <c r="H280" s="407">
        <f>(H279*$H$276)/$H$275</f>
        <v>30542111.463472016</v>
      </c>
      <c r="I280" s="443"/>
      <c r="J280" s="407">
        <f>(J279*$J$276)/$J$275</f>
        <v>84655954.455312058</v>
      </c>
      <c r="K280" s="407">
        <f>(K279*$K$276)/$K$275</f>
        <v>48825890.491288953</v>
      </c>
      <c r="L280" s="407">
        <v>49906471.299552798</v>
      </c>
      <c r="M280" s="443"/>
      <c r="N280" s="696"/>
      <c r="O280" s="696"/>
      <c r="P280" s="696"/>
      <c r="Q280" s="696"/>
      <c r="R280" s="696"/>
      <c r="S280" s="696"/>
      <c r="T280" s="696"/>
      <c r="U280" s="696"/>
      <c r="V280" s="696"/>
      <c r="W280" s="696"/>
      <c r="X280" s="696"/>
      <c r="Y280" s="699"/>
      <c r="Z280" s="394"/>
      <c r="AA280" s="395"/>
      <c r="AB280" s="395"/>
      <c r="AC280" s="395"/>
      <c r="AD280" s="395"/>
      <c r="AE280" s="395"/>
      <c r="AF280" s="395"/>
      <c r="AG280" s="395"/>
      <c r="AH280" s="395"/>
      <c r="AI280" s="395"/>
      <c r="AJ280" s="396"/>
      <c r="AK280" s="397"/>
      <c r="AL280" s="397"/>
      <c r="AM280" s="398"/>
      <c r="AN280" s="398"/>
      <c r="AO280" s="398"/>
      <c r="AP280" s="398"/>
      <c r="AQ280" s="398"/>
      <c r="AR280" s="398"/>
      <c r="AS280" s="398"/>
      <c r="AT280" s="5"/>
      <c r="AU280" s="5"/>
      <c r="AV280" s="5"/>
      <c r="AW280" s="5"/>
      <c r="AX280" s="5"/>
      <c r="AY280" s="5"/>
      <c r="AZ280" s="5"/>
      <c r="BA280" s="5"/>
      <c r="BB280" s="5"/>
      <c r="BC280" s="5"/>
    </row>
    <row r="281" spans="1:55" x14ac:dyDescent="0.25">
      <c r="A281" s="713"/>
      <c r="B281" s="696"/>
      <c r="C281" s="696"/>
      <c r="D281" s="384" t="s">
        <v>365</v>
      </c>
      <c r="E281" s="387">
        <v>0</v>
      </c>
      <c r="F281" s="387">
        <v>0</v>
      </c>
      <c r="G281" s="387">
        <v>0</v>
      </c>
      <c r="H281" s="387">
        <v>0</v>
      </c>
      <c r="I281" s="390"/>
      <c r="J281" s="387">
        <v>0</v>
      </c>
      <c r="K281" s="387">
        <v>0</v>
      </c>
      <c r="L281" s="387">
        <v>0</v>
      </c>
      <c r="M281" s="386"/>
      <c r="N281" s="696"/>
      <c r="O281" s="696"/>
      <c r="P281" s="696"/>
      <c r="Q281" s="696"/>
      <c r="R281" s="696"/>
      <c r="S281" s="696"/>
      <c r="T281" s="696"/>
      <c r="U281" s="696"/>
      <c r="V281" s="696"/>
      <c r="W281" s="696"/>
      <c r="X281" s="696"/>
      <c r="Y281" s="699"/>
      <c r="Z281" s="394"/>
      <c r="AA281" s="395"/>
      <c r="AB281" s="395"/>
      <c r="AC281" s="395"/>
      <c r="AD281" s="395"/>
      <c r="AE281" s="395"/>
      <c r="AF281" s="395"/>
      <c r="AG281" s="395"/>
      <c r="AH281" s="395"/>
      <c r="AI281" s="395"/>
      <c r="AJ281" s="396"/>
      <c r="AK281" s="397"/>
      <c r="AL281" s="397"/>
      <c r="AM281" s="398"/>
      <c r="AN281" s="398"/>
      <c r="AO281" s="398"/>
      <c r="AP281" s="398"/>
      <c r="AQ281" s="398"/>
      <c r="AR281" s="398"/>
      <c r="AS281" s="398"/>
      <c r="AT281" s="5"/>
      <c r="AU281" s="5"/>
      <c r="AV281" s="5"/>
      <c r="AW281" s="5"/>
      <c r="AX281" s="5"/>
      <c r="AY281" s="5"/>
      <c r="AZ281" s="5"/>
      <c r="BA281" s="5"/>
      <c r="BB281" s="5"/>
      <c r="BC281" s="5"/>
    </row>
    <row r="282" spans="1:55" ht="22.5" x14ac:dyDescent="0.25">
      <c r="A282" s="713"/>
      <c r="B282" s="696"/>
      <c r="C282" s="696"/>
      <c r="D282" s="384" t="s">
        <v>370</v>
      </c>
      <c r="E282" s="407">
        <v>0</v>
      </c>
      <c r="F282" s="407">
        <v>0</v>
      </c>
      <c r="G282" s="407">
        <v>0</v>
      </c>
      <c r="H282" s="407">
        <v>0</v>
      </c>
      <c r="I282" s="390"/>
      <c r="J282" s="407">
        <v>0</v>
      </c>
      <c r="K282" s="407">
        <v>0</v>
      </c>
      <c r="L282" s="407">
        <v>0</v>
      </c>
      <c r="M282" s="390"/>
      <c r="N282" s="696"/>
      <c r="O282" s="696"/>
      <c r="P282" s="696"/>
      <c r="Q282" s="696"/>
      <c r="R282" s="696"/>
      <c r="S282" s="696"/>
      <c r="T282" s="696"/>
      <c r="U282" s="696"/>
      <c r="V282" s="696"/>
      <c r="W282" s="696"/>
      <c r="X282" s="696"/>
      <c r="Y282" s="699"/>
      <c r="Z282" s="394"/>
      <c r="AA282" s="395"/>
      <c r="AB282" s="395"/>
      <c r="AC282" s="395"/>
      <c r="AD282" s="395"/>
      <c r="AE282" s="395"/>
      <c r="AF282" s="395"/>
      <c r="AG282" s="395"/>
      <c r="AH282" s="395"/>
      <c r="AI282" s="395"/>
      <c r="AJ282" s="396"/>
      <c r="AK282" s="397"/>
      <c r="AL282" s="397"/>
      <c r="AM282" s="398"/>
      <c r="AN282" s="398"/>
      <c r="AO282" s="398"/>
      <c r="AP282" s="398"/>
      <c r="AQ282" s="398"/>
      <c r="AR282" s="398"/>
      <c r="AS282" s="398"/>
      <c r="AT282" s="5"/>
      <c r="AU282" s="5"/>
      <c r="AV282" s="5"/>
      <c r="AW282" s="5"/>
      <c r="AX282" s="5"/>
      <c r="AY282" s="5"/>
      <c r="AZ282" s="5"/>
      <c r="BA282" s="5"/>
      <c r="BB282" s="5"/>
      <c r="BC282" s="5"/>
    </row>
    <row r="283" spans="1:55" x14ac:dyDescent="0.25">
      <c r="A283" s="713"/>
      <c r="B283" s="696"/>
      <c r="C283" s="722" t="s">
        <v>372</v>
      </c>
      <c r="D283" s="389" t="s">
        <v>348</v>
      </c>
      <c r="E283" s="387">
        <v>5.3220000000000001</v>
      </c>
      <c r="F283" s="387">
        <v>5.3220000000000001</v>
      </c>
      <c r="G283" s="387">
        <f>K283</f>
        <v>5.3220000000000001</v>
      </c>
      <c r="H283" s="387">
        <f>G283+0.294</f>
        <v>5.6159999999999997</v>
      </c>
      <c r="I283" s="390"/>
      <c r="J283" s="387">
        <v>5.3220000000000001</v>
      </c>
      <c r="K283" s="387">
        <f>J283</f>
        <v>5.3220000000000001</v>
      </c>
      <c r="L283" s="387">
        <f>K283+0.294</f>
        <v>5.6159999999999997</v>
      </c>
      <c r="M283" s="438"/>
      <c r="N283" s="718" t="s">
        <v>372</v>
      </c>
      <c r="O283" s="722" t="s">
        <v>500</v>
      </c>
      <c r="P283" s="720" t="s">
        <v>501</v>
      </c>
      <c r="Q283" s="722" t="s">
        <v>452</v>
      </c>
      <c r="R283" s="720" t="s">
        <v>353</v>
      </c>
      <c r="S283" s="718">
        <v>731047</v>
      </c>
      <c r="T283" s="696"/>
      <c r="U283" s="722" t="s">
        <v>453</v>
      </c>
      <c r="V283" s="722" t="s">
        <v>453</v>
      </c>
      <c r="W283" s="720" t="s">
        <v>356</v>
      </c>
      <c r="X283" s="720" t="s">
        <v>357</v>
      </c>
      <c r="Y283" s="721">
        <v>731047</v>
      </c>
      <c r="Z283" s="394"/>
      <c r="AA283" s="395"/>
      <c r="AB283" s="395"/>
      <c r="AC283" s="395"/>
      <c r="AD283" s="395"/>
      <c r="AE283" s="395"/>
      <c r="AF283" s="395"/>
      <c r="AG283" s="395"/>
      <c r="AH283" s="395"/>
      <c r="AI283" s="395"/>
      <c r="AJ283" s="396"/>
      <c r="AK283" s="397"/>
      <c r="AL283" s="397"/>
      <c r="AM283" s="398"/>
      <c r="AN283" s="398"/>
      <c r="AO283" s="398"/>
      <c r="AP283" s="398"/>
      <c r="AQ283" s="398"/>
      <c r="AR283" s="398"/>
      <c r="AS283" s="398"/>
      <c r="AT283" s="5"/>
      <c r="AU283" s="5"/>
      <c r="AV283" s="5"/>
      <c r="AW283" s="5"/>
      <c r="AX283" s="5"/>
      <c r="AY283" s="5"/>
      <c r="AZ283" s="5"/>
      <c r="BA283" s="5"/>
      <c r="BB283" s="5"/>
      <c r="BC283" s="5"/>
    </row>
    <row r="284" spans="1:55" x14ac:dyDescent="0.25">
      <c r="A284" s="713"/>
      <c r="B284" s="696"/>
      <c r="C284" s="696"/>
      <c r="D284" s="384" t="s">
        <v>360</v>
      </c>
      <c r="E284" s="407">
        <f>(E283*$E$276)/$E$275</f>
        <v>391403.67199697427</v>
      </c>
      <c r="F284" s="407">
        <f>(F283*$F$276)/$F$275</f>
        <v>391403.67199697427</v>
      </c>
      <c r="G284" s="407">
        <f>(G283*$G$276)/$G$275</f>
        <v>367475.60573373677</v>
      </c>
      <c r="H284" s="407">
        <f>(H283*$H$276)/$H$275</f>
        <v>387775.83649016637</v>
      </c>
      <c r="I284" s="443"/>
      <c r="J284" s="407">
        <f>(J283*$J$276)/$J$275</f>
        <v>1412392.2054333074</v>
      </c>
      <c r="K284" s="407">
        <f>(K283*$K$276)/$K$275</f>
        <v>647378.83154697379</v>
      </c>
      <c r="L284" s="407">
        <v>706669.79288784706</v>
      </c>
      <c r="M284" s="443"/>
      <c r="N284" s="696"/>
      <c r="O284" s="696"/>
      <c r="P284" s="696"/>
      <c r="Q284" s="696"/>
      <c r="R284" s="696"/>
      <c r="S284" s="696"/>
      <c r="T284" s="696"/>
      <c r="U284" s="696"/>
      <c r="V284" s="696"/>
      <c r="W284" s="696"/>
      <c r="X284" s="696"/>
      <c r="Y284" s="699"/>
      <c r="Z284" s="394"/>
      <c r="AA284" s="395"/>
      <c r="AB284" s="395"/>
      <c r="AC284" s="395"/>
      <c r="AD284" s="395"/>
      <c r="AE284" s="395"/>
      <c r="AF284" s="395"/>
      <c r="AG284" s="395"/>
      <c r="AH284" s="395"/>
      <c r="AI284" s="395"/>
      <c r="AJ284" s="396"/>
      <c r="AK284" s="397"/>
      <c r="AL284" s="397"/>
      <c r="AM284" s="398"/>
      <c r="AN284" s="398"/>
      <c r="AO284" s="398"/>
      <c r="AP284" s="398"/>
      <c r="AQ284" s="398"/>
      <c r="AR284" s="398"/>
      <c r="AS284" s="398"/>
      <c r="AT284" s="5"/>
      <c r="AU284" s="5"/>
      <c r="AV284" s="5"/>
      <c r="AW284" s="5"/>
      <c r="AX284" s="5"/>
      <c r="AY284" s="5"/>
      <c r="AZ284" s="5"/>
      <c r="BA284" s="5"/>
      <c r="BB284" s="5"/>
      <c r="BC284" s="5"/>
    </row>
    <row r="285" spans="1:55" x14ac:dyDescent="0.25">
      <c r="A285" s="713"/>
      <c r="B285" s="696"/>
      <c r="C285" s="696"/>
      <c r="D285" s="384" t="s">
        <v>365</v>
      </c>
      <c r="E285" s="387">
        <v>0</v>
      </c>
      <c r="F285" s="387">
        <v>0</v>
      </c>
      <c r="G285" s="387">
        <v>0</v>
      </c>
      <c r="H285" s="387">
        <v>0</v>
      </c>
      <c r="I285" s="390"/>
      <c r="J285" s="387">
        <v>0</v>
      </c>
      <c r="K285" s="387">
        <v>0</v>
      </c>
      <c r="L285" s="387">
        <v>0</v>
      </c>
      <c r="M285" s="386"/>
      <c r="N285" s="696"/>
      <c r="O285" s="696"/>
      <c r="P285" s="696"/>
      <c r="Q285" s="696"/>
      <c r="R285" s="696"/>
      <c r="S285" s="696"/>
      <c r="T285" s="696"/>
      <c r="U285" s="696"/>
      <c r="V285" s="696"/>
      <c r="W285" s="696"/>
      <c r="X285" s="696"/>
      <c r="Y285" s="699"/>
      <c r="Z285" s="394"/>
      <c r="AA285" s="395"/>
      <c r="AB285" s="395"/>
      <c r="AC285" s="395"/>
      <c r="AD285" s="395"/>
      <c r="AE285" s="395"/>
      <c r="AF285" s="395"/>
      <c r="AG285" s="395"/>
      <c r="AH285" s="395"/>
      <c r="AI285" s="395"/>
      <c r="AJ285" s="396"/>
      <c r="AK285" s="397"/>
      <c r="AL285" s="397"/>
      <c r="AM285" s="398"/>
      <c r="AN285" s="398"/>
      <c r="AO285" s="398"/>
      <c r="AP285" s="398"/>
      <c r="AQ285" s="398"/>
      <c r="AR285" s="398"/>
      <c r="AS285" s="398"/>
      <c r="AT285" s="5"/>
      <c r="AU285" s="5"/>
      <c r="AV285" s="5"/>
      <c r="AW285" s="5"/>
      <c r="AX285" s="5"/>
      <c r="AY285" s="5"/>
      <c r="AZ285" s="5"/>
      <c r="BA285" s="5"/>
      <c r="BB285" s="5"/>
      <c r="BC285" s="5"/>
    </row>
    <row r="286" spans="1:55" ht="22.5" x14ac:dyDescent="0.25">
      <c r="A286" s="713"/>
      <c r="B286" s="696"/>
      <c r="C286" s="696"/>
      <c r="D286" s="384" t="s">
        <v>370</v>
      </c>
      <c r="E286" s="407">
        <v>0</v>
      </c>
      <c r="F286" s="407">
        <v>0</v>
      </c>
      <c r="G286" s="407">
        <v>0</v>
      </c>
      <c r="H286" s="407">
        <v>0</v>
      </c>
      <c r="I286" s="390"/>
      <c r="J286" s="407">
        <v>0</v>
      </c>
      <c r="K286" s="407">
        <v>0</v>
      </c>
      <c r="L286" s="407">
        <v>0</v>
      </c>
      <c r="M286" s="390"/>
      <c r="N286" s="696"/>
      <c r="O286" s="696"/>
      <c r="P286" s="696"/>
      <c r="Q286" s="696"/>
      <c r="R286" s="696"/>
      <c r="S286" s="696"/>
      <c r="T286" s="696"/>
      <c r="U286" s="696"/>
      <c r="V286" s="696"/>
      <c r="W286" s="696"/>
      <c r="X286" s="696"/>
      <c r="Y286" s="699"/>
      <c r="Z286" s="394"/>
      <c r="AA286" s="395"/>
      <c r="AB286" s="395"/>
      <c r="AC286" s="395"/>
      <c r="AD286" s="395"/>
      <c r="AE286" s="395"/>
      <c r="AF286" s="395"/>
      <c r="AG286" s="395"/>
      <c r="AH286" s="395"/>
      <c r="AI286" s="395"/>
      <c r="AJ286" s="396"/>
      <c r="AK286" s="397"/>
      <c r="AL286" s="397"/>
      <c r="AM286" s="398"/>
      <c r="AN286" s="398"/>
      <c r="AO286" s="398"/>
      <c r="AP286" s="398"/>
      <c r="AQ286" s="398"/>
      <c r="AR286" s="398"/>
      <c r="AS286" s="398"/>
      <c r="AT286" s="5"/>
      <c r="AU286" s="5"/>
      <c r="AV286" s="5"/>
      <c r="AW286" s="5"/>
      <c r="AX286" s="5"/>
      <c r="AY286" s="5"/>
      <c r="AZ286" s="5"/>
      <c r="BA286" s="5"/>
      <c r="BB286" s="5"/>
      <c r="BC286" s="5"/>
    </row>
    <row r="287" spans="1:55" x14ac:dyDescent="0.25">
      <c r="A287" s="713"/>
      <c r="B287" s="696"/>
      <c r="C287" s="722" t="s">
        <v>373</v>
      </c>
      <c r="D287" s="389" t="s">
        <v>348</v>
      </c>
      <c r="E287" s="387">
        <v>390.5</v>
      </c>
      <c r="F287" s="387">
        <v>390.5</v>
      </c>
      <c r="G287" s="387">
        <f>K287</f>
        <v>646.79999999999995</v>
      </c>
      <c r="H287" s="387">
        <f>G287+126.864</f>
        <v>773.66399999999999</v>
      </c>
      <c r="I287" s="390"/>
      <c r="J287" s="387">
        <v>390.5</v>
      </c>
      <c r="K287" s="387">
        <f>256.3+J287</f>
        <v>646.79999999999995</v>
      </c>
      <c r="L287" s="387">
        <f>K287+126.864</f>
        <v>773.66399999999999</v>
      </c>
      <c r="M287" s="438"/>
      <c r="N287" s="718" t="s">
        <v>373</v>
      </c>
      <c r="O287" s="722" t="s">
        <v>502</v>
      </c>
      <c r="P287" s="720" t="s">
        <v>503</v>
      </c>
      <c r="Q287" s="722" t="s">
        <v>452</v>
      </c>
      <c r="R287" s="720" t="s">
        <v>353</v>
      </c>
      <c r="S287" s="718">
        <v>126595</v>
      </c>
      <c r="T287" s="696"/>
      <c r="U287" s="722" t="s">
        <v>453</v>
      </c>
      <c r="V287" s="722" t="s">
        <v>453</v>
      </c>
      <c r="W287" s="720" t="s">
        <v>356</v>
      </c>
      <c r="X287" s="720" t="s">
        <v>357</v>
      </c>
      <c r="Y287" s="721">
        <v>126595</v>
      </c>
      <c r="Z287" s="394"/>
      <c r="AA287" s="395"/>
      <c r="AB287" s="395"/>
      <c r="AC287" s="395"/>
      <c r="AD287" s="395"/>
      <c r="AE287" s="395"/>
      <c r="AF287" s="395"/>
      <c r="AG287" s="395"/>
      <c r="AH287" s="395"/>
      <c r="AI287" s="395"/>
      <c r="AJ287" s="396"/>
      <c r="AK287" s="397"/>
      <c r="AL287" s="397"/>
      <c r="AM287" s="398"/>
      <c r="AN287" s="398"/>
      <c r="AO287" s="398"/>
      <c r="AP287" s="398"/>
      <c r="AQ287" s="398"/>
      <c r="AR287" s="398"/>
      <c r="AS287" s="398"/>
      <c r="AT287" s="5"/>
      <c r="AU287" s="5"/>
      <c r="AV287" s="5"/>
      <c r="AW287" s="5"/>
      <c r="AX287" s="5"/>
      <c r="AY287" s="5"/>
      <c r="AZ287" s="5"/>
      <c r="BA287" s="5"/>
      <c r="BB287" s="5"/>
      <c r="BC287" s="5"/>
    </row>
    <row r="288" spans="1:55" x14ac:dyDescent="0.25">
      <c r="A288" s="713"/>
      <c r="B288" s="696"/>
      <c r="C288" s="696"/>
      <c r="D288" s="384" t="s">
        <v>360</v>
      </c>
      <c r="E288" s="407">
        <f>(E287*$E$276)/$E$275</f>
        <v>28719115.729954615</v>
      </c>
      <c r="F288" s="407">
        <f>(F287*$F$276)/$F$275</f>
        <v>28719115.729954615</v>
      </c>
      <c r="G288" s="407">
        <f>(G287*$G$276)/$G$275</f>
        <v>44660507.664145231</v>
      </c>
      <c r="H288" s="407">
        <f>(H287*$H$276)/$H$275</f>
        <v>53420264.38075643</v>
      </c>
      <c r="I288" s="443"/>
      <c r="J288" s="407">
        <f>(J287*$J$276)/$J$275</f>
        <v>103633813.64556681</v>
      </c>
      <c r="K288" s="407">
        <f>(K287*$K$276)/$K$275</f>
        <v>78678058.670534134</v>
      </c>
      <c r="L288" s="407">
        <v>89799177.109113798</v>
      </c>
      <c r="M288" s="443"/>
      <c r="N288" s="696"/>
      <c r="O288" s="696"/>
      <c r="P288" s="696"/>
      <c r="Q288" s="696"/>
      <c r="R288" s="696"/>
      <c r="S288" s="696"/>
      <c r="T288" s="696"/>
      <c r="U288" s="696"/>
      <c r="V288" s="696"/>
      <c r="W288" s="696"/>
      <c r="X288" s="696"/>
      <c r="Y288" s="699"/>
      <c r="Z288" s="394"/>
      <c r="AA288" s="395"/>
      <c r="AB288" s="395"/>
      <c r="AC288" s="395"/>
      <c r="AD288" s="395"/>
      <c r="AE288" s="395"/>
      <c r="AF288" s="395"/>
      <c r="AG288" s="395"/>
      <c r="AH288" s="395"/>
      <c r="AI288" s="395"/>
      <c r="AJ288" s="396"/>
      <c r="AK288" s="397"/>
      <c r="AL288" s="397"/>
      <c r="AM288" s="398"/>
      <c r="AN288" s="398"/>
      <c r="AO288" s="398"/>
      <c r="AP288" s="398"/>
      <c r="AQ288" s="398"/>
      <c r="AR288" s="398"/>
      <c r="AS288" s="398"/>
      <c r="AT288" s="5"/>
      <c r="AU288" s="5"/>
      <c r="AV288" s="5"/>
      <c r="AW288" s="5"/>
      <c r="AX288" s="5"/>
      <c r="AY288" s="5"/>
      <c r="AZ288" s="5"/>
      <c r="BA288" s="5"/>
      <c r="BB288" s="5"/>
      <c r="BC288" s="5"/>
    </row>
    <row r="289" spans="1:55" x14ac:dyDescent="0.25">
      <c r="A289" s="713"/>
      <c r="B289" s="696"/>
      <c r="C289" s="696"/>
      <c r="D289" s="384" t="s">
        <v>365</v>
      </c>
      <c r="E289" s="387">
        <v>0</v>
      </c>
      <c r="F289" s="387">
        <v>0</v>
      </c>
      <c r="G289" s="387">
        <v>0</v>
      </c>
      <c r="H289" s="387">
        <v>0</v>
      </c>
      <c r="I289" s="390"/>
      <c r="J289" s="387">
        <v>0</v>
      </c>
      <c r="K289" s="387">
        <v>0</v>
      </c>
      <c r="L289" s="387">
        <v>0</v>
      </c>
      <c r="M289" s="386"/>
      <c r="N289" s="696"/>
      <c r="O289" s="696"/>
      <c r="P289" s="696"/>
      <c r="Q289" s="696"/>
      <c r="R289" s="696"/>
      <c r="S289" s="696"/>
      <c r="T289" s="696"/>
      <c r="U289" s="696"/>
      <c r="V289" s="696"/>
      <c r="W289" s="696"/>
      <c r="X289" s="696"/>
      <c r="Y289" s="699"/>
      <c r="Z289" s="394"/>
      <c r="AA289" s="395"/>
      <c r="AB289" s="395"/>
      <c r="AC289" s="395"/>
      <c r="AD289" s="395"/>
      <c r="AE289" s="395"/>
      <c r="AF289" s="395"/>
      <c r="AG289" s="395"/>
      <c r="AH289" s="395"/>
      <c r="AI289" s="395"/>
      <c r="AJ289" s="396"/>
      <c r="AK289" s="397"/>
      <c r="AL289" s="397"/>
      <c r="AM289" s="398"/>
      <c r="AN289" s="398"/>
      <c r="AO289" s="398"/>
      <c r="AP289" s="398"/>
      <c r="AQ289" s="398"/>
      <c r="AR289" s="398"/>
      <c r="AS289" s="398"/>
      <c r="AT289" s="5"/>
      <c r="AU289" s="5"/>
      <c r="AV289" s="5"/>
      <c r="AW289" s="5"/>
      <c r="AX289" s="5"/>
      <c r="AY289" s="5"/>
      <c r="AZ289" s="5"/>
      <c r="BA289" s="5"/>
      <c r="BB289" s="5"/>
      <c r="BC289" s="5"/>
    </row>
    <row r="290" spans="1:55" ht="22.5" x14ac:dyDescent="0.25">
      <c r="A290" s="713"/>
      <c r="B290" s="696"/>
      <c r="C290" s="696"/>
      <c r="D290" s="384" t="s">
        <v>370</v>
      </c>
      <c r="E290" s="407">
        <v>0</v>
      </c>
      <c r="F290" s="407">
        <v>0</v>
      </c>
      <c r="G290" s="407">
        <v>0</v>
      </c>
      <c r="H290" s="407">
        <v>0</v>
      </c>
      <c r="I290" s="390"/>
      <c r="J290" s="407">
        <v>0</v>
      </c>
      <c r="K290" s="407">
        <v>0</v>
      </c>
      <c r="L290" s="407">
        <v>0</v>
      </c>
      <c r="M290" s="390"/>
      <c r="N290" s="696"/>
      <c r="O290" s="696"/>
      <c r="P290" s="696"/>
      <c r="Q290" s="696"/>
      <c r="R290" s="696"/>
      <c r="S290" s="696"/>
      <c r="T290" s="696"/>
      <c r="U290" s="696"/>
      <c r="V290" s="696"/>
      <c r="W290" s="696"/>
      <c r="X290" s="696"/>
      <c r="Y290" s="699"/>
      <c r="Z290" s="394"/>
      <c r="AA290" s="395"/>
      <c r="AB290" s="395"/>
      <c r="AC290" s="395"/>
      <c r="AD290" s="395"/>
      <c r="AE290" s="395"/>
      <c r="AF290" s="395"/>
      <c r="AG290" s="395"/>
      <c r="AH290" s="395"/>
      <c r="AI290" s="395"/>
      <c r="AJ290" s="396"/>
      <c r="AK290" s="397"/>
      <c r="AL290" s="397"/>
      <c r="AM290" s="398"/>
      <c r="AN290" s="398"/>
      <c r="AO290" s="398"/>
      <c r="AP290" s="398"/>
      <c r="AQ290" s="398"/>
      <c r="AR290" s="398"/>
      <c r="AS290" s="398"/>
      <c r="AT290" s="5"/>
      <c r="AU290" s="5"/>
      <c r="AV290" s="5"/>
      <c r="AW290" s="5"/>
      <c r="AX290" s="5"/>
      <c r="AY290" s="5"/>
      <c r="AZ290" s="5"/>
      <c r="BA290" s="5"/>
      <c r="BB290" s="5"/>
      <c r="BC290" s="5"/>
    </row>
    <row r="291" spans="1:55" x14ac:dyDescent="0.25">
      <c r="A291" s="713"/>
      <c r="B291" s="696"/>
      <c r="C291" s="722" t="s">
        <v>385</v>
      </c>
      <c r="D291" s="389" t="s">
        <v>348</v>
      </c>
      <c r="E291" s="387">
        <v>25.72</v>
      </c>
      <c r="F291" s="387">
        <v>25.72</v>
      </c>
      <c r="G291" s="387">
        <f>K291</f>
        <v>85.52</v>
      </c>
      <c r="H291" s="387">
        <f>G291+28.005</f>
        <v>113.52499999999999</v>
      </c>
      <c r="I291" s="390"/>
      <c r="J291" s="387">
        <v>25.72</v>
      </c>
      <c r="K291" s="387">
        <f>59.8+J291</f>
        <v>85.52</v>
      </c>
      <c r="L291" s="387">
        <f>K291+28.005</f>
        <v>113.52499999999999</v>
      </c>
      <c r="M291" s="438"/>
      <c r="N291" s="722" t="s">
        <v>385</v>
      </c>
      <c r="O291" s="722" t="s">
        <v>504</v>
      </c>
      <c r="P291" s="720" t="s">
        <v>505</v>
      </c>
      <c r="Q291" s="722" t="s">
        <v>452</v>
      </c>
      <c r="R291" s="720" t="s">
        <v>353</v>
      </c>
      <c r="S291" s="718">
        <v>878434</v>
      </c>
      <c r="T291" s="696"/>
      <c r="U291" s="722" t="s">
        <v>453</v>
      </c>
      <c r="V291" s="722" t="s">
        <v>453</v>
      </c>
      <c r="W291" s="720" t="s">
        <v>356</v>
      </c>
      <c r="X291" s="720" t="s">
        <v>357</v>
      </c>
      <c r="Y291" s="721">
        <v>878434</v>
      </c>
      <c r="Z291" s="394"/>
      <c r="AA291" s="395"/>
      <c r="AB291" s="395"/>
      <c r="AC291" s="395"/>
      <c r="AD291" s="395"/>
      <c r="AE291" s="395"/>
      <c r="AF291" s="395"/>
      <c r="AG291" s="395"/>
      <c r="AH291" s="395"/>
      <c r="AI291" s="395"/>
      <c r="AJ291" s="396"/>
      <c r="AK291" s="397"/>
      <c r="AL291" s="397"/>
      <c r="AM291" s="398"/>
      <c r="AN291" s="398"/>
      <c r="AO291" s="398"/>
      <c r="AP291" s="398"/>
      <c r="AQ291" s="398"/>
      <c r="AR291" s="398"/>
      <c r="AS291" s="398"/>
      <c r="AT291" s="5"/>
      <c r="AU291" s="5"/>
      <c r="AV291" s="5"/>
      <c r="AW291" s="5"/>
      <c r="AX291" s="5"/>
      <c r="AY291" s="5"/>
      <c r="AZ291" s="5"/>
      <c r="BA291" s="5"/>
      <c r="BB291" s="5"/>
      <c r="BC291" s="5"/>
    </row>
    <row r="292" spans="1:55" x14ac:dyDescent="0.25">
      <c r="A292" s="713"/>
      <c r="B292" s="696"/>
      <c r="C292" s="696"/>
      <c r="D292" s="384" t="s">
        <v>360</v>
      </c>
      <c r="E292" s="407">
        <f>(E291*$E$276)/$E$275</f>
        <v>1891563.7812405445</v>
      </c>
      <c r="F292" s="407">
        <f>(F291*$F$276)/$F$275</f>
        <v>1891563.7812405445</v>
      </c>
      <c r="G292" s="407">
        <f>(G291*$G$276)/$G$275</f>
        <v>5905019.5043872921</v>
      </c>
      <c r="H292" s="407">
        <f>(H291*$H$276)/$H$275</f>
        <v>7838720.0565431155</v>
      </c>
      <c r="I292" s="443"/>
      <c r="J292" s="407">
        <f>(J291*$J$276)/$J$275</f>
        <v>6825766.1638001995</v>
      </c>
      <c r="K292" s="407">
        <f>(K291*$K$276)/$K$275</f>
        <v>10402825.568188125</v>
      </c>
      <c r="L292" s="407">
        <v>11242109.728916099</v>
      </c>
      <c r="M292" s="443"/>
      <c r="N292" s="696"/>
      <c r="O292" s="696"/>
      <c r="P292" s="696"/>
      <c r="Q292" s="696"/>
      <c r="R292" s="696"/>
      <c r="S292" s="696"/>
      <c r="T292" s="696"/>
      <c r="U292" s="696"/>
      <c r="V292" s="696"/>
      <c r="W292" s="696"/>
      <c r="X292" s="696"/>
      <c r="Y292" s="699"/>
      <c r="Z292" s="394"/>
      <c r="AA292" s="395"/>
      <c r="AB292" s="395"/>
      <c r="AC292" s="395"/>
      <c r="AD292" s="395"/>
      <c r="AE292" s="395"/>
      <c r="AF292" s="395"/>
      <c r="AG292" s="395"/>
      <c r="AH292" s="395"/>
      <c r="AI292" s="395"/>
      <c r="AJ292" s="396"/>
      <c r="AK292" s="397"/>
      <c r="AL292" s="397"/>
      <c r="AM292" s="398"/>
      <c r="AN292" s="398"/>
      <c r="AO292" s="398"/>
      <c r="AP292" s="398"/>
      <c r="AQ292" s="398"/>
      <c r="AR292" s="398"/>
      <c r="AS292" s="398"/>
      <c r="AT292" s="5"/>
      <c r="AU292" s="5"/>
      <c r="AV292" s="5"/>
      <c r="AW292" s="5"/>
      <c r="AX292" s="5"/>
      <c r="AY292" s="5"/>
      <c r="AZ292" s="5"/>
      <c r="BA292" s="5"/>
      <c r="BB292" s="5"/>
      <c r="BC292" s="5"/>
    </row>
    <row r="293" spans="1:55" x14ac:dyDescent="0.25">
      <c r="A293" s="713"/>
      <c r="B293" s="696"/>
      <c r="C293" s="696"/>
      <c r="D293" s="384" t="s">
        <v>365</v>
      </c>
      <c r="E293" s="387">
        <v>0</v>
      </c>
      <c r="F293" s="387">
        <v>0</v>
      </c>
      <c r="G293" s="387">
        <v>0</v>
      </c>
      <c r="H293" s="387">
        <v>0</v>
      </c>
      <c r="I293" s="390"/>
      <c r="J293" s="387">
        <v>0</v>
      </c>
      <c r="K293" s="387">
        <v>0</v>
      </c>
      <c r="L293" s="387">
        <v>0</v>
      </c>
      <c r="M293" s="386"/>
      <c r="N293" s="696"/>
      <c r="O293" s="696"/>
      <c r="P293" s="696"/>
      <c r="Q293" s="696"/>
      <c r="R293" s="696"/>
      <c r="S293" s="696"/>
      <c r="T293" s="696"/>
      <c r="U293" s="696"/>
      <c r="V293" s="696"/>
      <c r="W293" s="696"/>
      <c r="X293" s="696"/>
      <c r="Y293" s="699"/>
      <c r="Z293" s="394"/>
      <c r="AA293" s="395"/>
      <c r="AB293" s="395"/>
      <c r="AC293" s="395"/>
      <c r="AD293" s="395"/>
      <c r="AE293" s="395"/>
      <c r="AF293" s="395"/>
      <c r="AG293" s="395"/>
      <c r="AH293" s="395"/>
      <c r="AI293" s="395"/>
      <c r="AJ293" s="396"/>
      <c r="AK293" s="397"/>
      <c r="AL293" s="397"/>
      <c r="AM293" s="398"/>
      <c r="AN293" s="398"/>
      <c r="AO293" s="398"/>
      <c r="AP293" s="398"/>
      <c r="AQ293" s="398"/>
      <c r="AR293" s="398"/>
      <c r="AS293" s="398"/>
      <c r="AT293" s="5"/>
      <c r="AU293" s="5"/>
      <c r="AV293" s="5"/>
      <c r="AW293" s="5"/>
      <c r="AX293" s="5"/>
      <c r="AY293" s="5"/>
      <c r="AZ293" s="5"/>
      <c r="BA293" s="5"/>
      <c r="BB293" s="5"/>
      <c r="BC293" s="5"/>
    </row>
    <row r="294" spans="1:55" ht="22.5" x14ac:dyDescent="0.25">
      <c r="A294" s="713"/>
      <c r="B294" s="696"/>
      <c r="C294" s="696"/>
      <c r="D294" s="384" t="s">
        <v>370</v>
      </c>
      <c r="E294" s="407">
        <v>0</v>
      </c>
      <c r="F294" s="407">
        <v>0</v>
      </c>
      <c r="G294" s="407">
        <v>0</v>
      </c>
      <c r="H294" s="407">
        <v>0</v>
      </c>
      <c r="I294" s="390"/>
      <c r="J294" s="407">
        <v>0</v>
      </c>
      <c r="K294" s="407">
        <v>0</v>
      </c>
      <c r="L294" s="407">
        <v>0</v>
      </c>
      <c r="M294" s="390"/>
      <c r="N294" s="696"/>
      <c r="O294" s="696"/>
      <c r="P294" s="696"/>
      <c r="Q294" s="696"/>
      <c r="R294" s="696"/>
      <c r="S294" s="696"/>
      <c r="T294" s="696"/>
      <c r="U294" s="696"/>
      <c r="V294" s="696"/>
      <c r="W294" s="696"/>
      <c r="X294" s="696"/>
      <c r="Y294" s="699"/>
      <c r="Z294" s="394"/>
      <c r="AA294" s="395"/>
      <c r="AB294" s="395"/>
      <c r="AC294" s="395"/>
      <c r="AD294" s="395"/>
      <c r="AE294" s="395"/>
      <c r="AF294" s="395"/>
      <c r="AG294" s="395"/>
      <c r="AH294" s="395"/>
      <c r="AI294" s="395"/>
      <c r="AJ294" s="396"/>
      <c r="AK294" s="397"/>
      <c r="AL294" s="397"/>
      <c r="AM294" s="398"/>
      <c r="AN294" s="398"/>
      <c r="AO294" s="398"/>
      <c r="AP294" s="398"/>
      <c r="AQ294" s="398"/>
      <c r="AR294" s="398"/>
      <c r="AS294" s="398"/>
      <c r="AT294" s="5"/>
      <c r="AU294" s="5"/>
      <c r="AV294" s="5"/>
      <c r="AW294" s="5"/>
      <c r="AX294" s="5"/>
      <c r="AY294" s="5"/>
      <c r="AZ294" s="5"/>
      <c r="BA294" s="5"/>
      <c r="BB294" s="5"/>
      <c r="BC294" s="5"/>
    </row>
    <row r="295" spans="1:55" x14ac:dyDescent="0.25">
      <c r="A295" s="713"/>
      <c r="B295" s="696"/>
      <c r="C295" s="722" t="s">
        <v>467</v>
      </c>
      <c r="D295" s="389" t="s">
        <v>348</v>
      </c>
      <c r="E295" s="387">
        <v>34.405999999999999</v>
      </c>
      <c r="F295" s="387">
        <v>34.405999999999999</v>
      </c>
      <c r="G295" s="387">
        <f>K295</f>
        <v>115.80600000000001</v>
      </c>
      <c r="H295" s="387">
        <f>G295+33.047</f>
        <v>148.85300000000001</v>
      </c>
      <c r="I295" s="390"/>
      <c r="J295" s="387">
        <v>34.405999999999999</v>
      </c>
      <c r="K295" s="387">
        <f>81.4+J295</f>
        <v>115.80600000000001</v>
      </c>
      <c r="L295" s="387">
        <f>K295+33.047</f>
        <v>148.85300000000001</v>
      </c>
      <c r="M295" s="438"/>
      <c r="N295" s="722" t="s">
        <v>467</v>
      </c>
      <c r="O295" s="722" t="s">
        <v>506</v>
      </c>
      <c r="P295" s="720" t="s">
        <v>507</v>
      </c>
      <c r="Q295" s="722" t="s">
        <v>452</v>
      </c>
      <c r="R295" s="720" t="s">
        <v>353</v>
      </c>
      <c r="S295" s="718">
        <v>413734</v>
      </c>
      <c r="T295" s="696"/>
      <c r="U295" s="722" t="s">
        <v>453</v>
      </c>
      <c r="V295" s="722" t="s">
        <v>453</v>
      </c>
      <c r="W295" s="720" t="s">
        <v>356</v>
      </c>
      <c r="X295" s="720" t="s">
        <v>357</v>
      </c>
      <c r="Y295" s="721">
        <v>413734</v>
      </c>
      <c r="Z295" s="394"/>
      <c r="AA295" s="395"/>
      <c r="AB295" s="395"/>
      <c r="AC295" s="395"/>
      <c r="AD295" s="395"/>
      <c r="AE295" s="395"/>
      <c r="AF295" s="395"/>
      <c r="AG295" s="395"/>
      <c r="AH295" s="395"/>
      <c r="AI295" s="395"/>
      <c r="AJ295" s="396"/>
      <c r="AK295" s="397"/>
      <c r="AL295" s="397"/>
      <c r="AM295" s="398"/>
      <c r="AN295" s="398"/>
      <c r="AO295" s="398"/>
      <c r="AP295" s="398"/>
      <c r="AQ295" s="398"/>
      <c r="AR295" s="398"/>
      <c r="AS295" s="398"/>
      <c r="AT295" s="5"/>
      <c r="AU295" s="5"/>
      <c r="AV295" s="5"/>
      <c r="AW295" s="5"/>
      <c r="AX295" s="5"/>
      <c r="AY295" s="5"/>
      <c r="AZ295" s="5"/>
      <c r="BA295" s="5"/>
      <c r="BB295" s="5"/>
      <c r="BC295" s="5"/>
    </row>
    <row r="296" spans="1:55" x14ac:dyDescent="0.25">
      <c r="A296" s="713"/>
      <c r="B296" s="696"/>
      <c r="C296" s="696"/>
      <c r="D296" s="384" t="s">
        <v>360</v>
      </c>
      <c r="E296" s="407">
        <f>(E295*$E$276)/$E$275</f>
        <v>2530371.0519969743</v>
      </c>
      <c r="F296" s="407">
        <f>(F295*$F$276)/$F$275</f>
        <v>2530371.0519969743</v>
      </c>
      <c r="G296" s="407">
        <f>(G295*$G$276)/$G$275</f>
        <v>7996219.4659152804</v>
      </c>
      <c r="H296" s="407">
        <f>(H295*$H$276)/$H$275</f>
        <v>10278062.07070348</v>
      </c>
      <c r="I296" s="443"/>
      <c r="J296" s="407">
        <f>(J295*$J$276)/$J$275</f>
        <v>9130921.8752608746</v>
      </c>
      <c r="K296" s="407">
        <f>(K295*$K$276)/$K$275</f>
        <v>14086875.792207601</v>
      </c>
      <c r="L296" s="407">
        <v>15429365.861954199</v>
      </c>
      <c r="M296" s="443"/>
      <c r="N296" s="696"/>
      <c r="O296" s="696"/>
      <c r="P296" s="696"/>
      <c r="Q296" s="696"/>
      <c r="R296" s="696"/>
      <c r="S296" s="696"/>
      <c r="T296" s="696"/>
      <c r="U296" s="696"/>
      <c r="V296" s="696"/>
      <c r="W296" s="696"/>
      <c r="X296" s="696"/>
      <c r="Y296" s="699"/>
      <c r="Z296" s="394"/>
      <c r="AA296" s="395"/>
      <c r="AB296" s="395"/>
      <c r="AC296" s="395"/>
      <c r="AD296" s="395"/>
      <c r="AE296" s="395"/>
      <c r="AF296" s="395"/>
      <c r="AG296" s="395"/>
      <c r="AH296" s="395"/>
      <c r="AI296" s="395"/>
      <c r="AJ296" s="396"/>
      <c r="AK296" s="397"/>
      <c r="AL296" s="397"/>
      <c r="AM296" s="398"/>
      <c r="AN296" s="398"/>
      <c r="AO296" s="398"/>
      <c r="AP296" s="398"/>
      <c r="AQ296" s="398"/>
      <c r="AR296" s="398"/>
      <c r="AS296" s="398"/>
      <c r="AT296" s="5"/>
      <c r="AU296" s="5"/>
      <c r="AV296" s="5"/>
      <c r="AW296" s="5"/>
      <c r="AX296" s="5"/>
      <c r="AY296" s="5"/>
      <c r="AZ296" s="5"/>
      <c r="BA296" s="5"/>
      <c r="BB296" s="5"/>
      <c r="BC296" s="5"/>
    </row>
    <row r="297" spans="1:55" x14ac:dyDescent="0.25">
      <c r="A297" s="713"/>
      <c r="B297" s="696"/>
      <c r="C297" s="696"/>
      <c r="D297" s="384" t="s">
        <v>365</v>
      </c>
      <c r="E297" s="387">
        <v>0</v>
      </c>
      <c r="F297" s="387">
        <v>0</v>
      </c>
      <c r="G297" s="387">
        <v>0</v>
      </c>
      <c r="H297" s="387">
        <v>0</v>
      </c>
      <c r="I297" s="390"/>
      <c r="J297" s="387">
        <v>0</v>
      </c>
      <c r="K297" s="387">
        <v>0</v>
      </c>
      <c r="L297" s="387">
        <v>0</v>
      </c>
      <c r="M297" s="386"/>
      <c r="N297" s="696"/>
      <c r="O297" s="696"/>
      <c r="P297" s="696"/>
      <c r="Q297" s="696"/>
      <c r="R297" s="696"/>
      <c r="S297" s="696"/>
      <c r="T297" s="696"/>
      <c r="U297" s="696"/>
      <c r="V297" s="696"/>
      <c r="W297" s="696"/>
      <c r="X297" s="696"/>
      <c r="Y297" s="699"/>
      <c r="Z297" s="394"/>
      <c r="AA297" s="395"/>
      <c r="AB297" s="395"/>
      <c r="AC297" s="395"/>
      <c r="AD297" s="395"/>
      <c r="AE297" s="395"/>
      <c r="AF297" s="395"/>
      <c r="AG297" s="395"/>
      <c r="AH297" s="395"/>
      <c r="AI297" s="395"/>
      <c r="AJ297" s="396"/>
      <c r="AK297" s="397"/>
      <c r="AL297" s="397"/>
      <c r="AM297" s="398"/>
      <c r="AN297" s="398"/>
      <c r="AO297" s="398"/>
      <c r="AP297" s="398"/>
      <c r="AQ297" s="398"/>
      <c r="AR297" s="398"/>
      <c r="AS297" s="398"/>
      <c r="AT297" s="5"/>
      <c r="AU297" s="5"/>
      <c r="AV297" s="5"/>
      <c r="AW297" s="5"/>
      <c r="AX297" s="5"/>
      <c r="AY297" s="5"/>
      <c r="AZ297" s="5"/>
      <c r="BA297" s="5"/>
      <c r="BB297" s="5"/>
      <c r="BC297" s="5"/>
    </row>
    <row r="298" spans="1:55" ht="22.5" x14ac:dyDescent="0.25">
      <c r="A298" s="713"/>
      <c r="B298" s="696"/>
      <c r="C298" s="696"/>
      <c r="D298" s="384" t="s">
        <v>370</v>
      </c>
      <c r="E298" s="407">
        <v>0</v>
      </c>
      <c r="F298" s="407">
        <v>0</v>
      </c>
      <c r="G298" s="407">
        <v>0</v>
      </c>
      <c r="H298" s="407">
        <v>0</v>
      </c>
      <c r="I298" s="390"/>
      <c r="J298" s="407">
        <v>0</v>
      </c>
      <c r="K298" s="407">
        <v>0</v>
      </c>
      <c r="L298" s="407">
        <v>0</v>
      </c>
      <c r="M298" s="390"/>
      <c r="N298" s="696"/>
      <c r="O298" s="696"/>
      <c r="P298" s="696"/>
      <c r="Q298" s="696"/>
      <c r="R298" s="696"/>
      <c r="S298" s="696"/>
      <c r="T298" s="696"/>
      <c r="U298" s="696"/>
      <c r="V298" s="696"/>
      <c r="W298" s="696"/>
      <c r="X298" s="696"/>
      <c r="Y298" s="699"/>
      <c r="Z298" s="394"/>
      <c r="AA298" s="395"/>
      <c r="AB298" s="395"/>
      <c r="AC298" s="395"/>
      <c r="AD298" s="395"/>
      <c r="AE298" s="395"/>
      <c r="AF298" s="395"/>
      <c r="AG298" s="395"/>
      <c r="AH298" s="395"/>
      <c r="AI298" s="395"/>
      <c r="AJ298" s="396"/>
      <c r="AK298" s="397"/>
      <c r="AL298" s="397"/>
      <c r="AM298" s="398"/>
      <c r="AN298" s="398"/>
      <c r="AO298" s="398"/>
      <c r="AP298" s="398"/>
      <c r="AQ298" s="398"/>
      <c r="AR298" s="398"/>
      <c r="AS298" s="398"/>
      <c r="AT298" s="5"/>
      <c r="AU298" s="5"/>
      <c r="AV298" s="5"/>
      <c r="AW298" s="5"/>
      <c r="AX298" s="5"/>
      <c r="AY298" s="5"/>
      <c r="AZ298" s="5"/>
      <c r="BA298" s="5"/>
      <c r="BB298" s="5"/>
      <c r="BC298" s="5"/>
    </row>
    <row r="299" spans="1:55" x14ac:dyDescent="0.25">
      <c r="A299" s="713"/>
      <c r="B299" s="696"/>
      <c r="C299" s="722" t="s">
        <v>393</v>
      </c>
      <c r="D299" s="389" t="s">
        <v>348</v>
      </c>
      <c r="E299" s="387">
        <v>61.816000000000003</v>
      </c>
      <c r="F299" s="387">
        <v>61.816000000000003</v>
      </c>
      <c r="G299" s="387">
        <f>K299</f>
        <v>93.516000000000005</v>
      </c>
      <c r="H299" s="387">
        <f>G299+37.659</f>
        <v>131.17500000000001</v>
      </c>
      <c r="I299" s="390"/>
      <c r="J299" s="387">
        <v>61.816000000000003</v>
      </c>
      <c r="K299" s="387">
        <f>31.7+J299</f>
        <v>93.516000000000005</v>
      </c>
      <c r="L299" s="387">
        <f>K299+37.659</f>
        <v>131.17500000000001</v>
      </c>
      <c r="M299" s="438"/>
      <c r="N299" s="722" t="s">
        <v>393</v>
      </c>
      <c r="O299" s="722" t="s">
        <v>508</v>
      </c>
      <c r="P299" s="720" t="s">
        <v>509</v>
      </c>
      <c r="Q299" s="722" t="s">
        <v>452</v>
      </c>
      <c r="R299" s="720" t="s">
        <v>353</v>
      </c>
      <c r="S299" s="718">
        <v>1208980</v>
      </c>
      <c r="T299" s="696"/>
      <c r="U299" s="722" t="s">
        <v>453</v>
      </c>
      <c r="V299" s="722" t="s">
        <v>453</v>
      </c>
      <c r="W299" s="720" t="s">
        <v>356</v>
      </c>
      <c r="X299" s="720" t="s">
        <v>357</v>
      </c>
      <c r="Y299" s="721">
        <v>1208980</v>
      </c>
      <c r="Z299" s="394"/>
      <c r="AA299" s="395"/>
      <c r="AB299" s="395"/>
      <c r="AC299" s="395"/>
      <c r="AD299" s="395"/>
      <c r="AE299" s="395"/>
      <c r="AF299" s="395"/>
      <c r="AG299" s="395"/>
      <c r="AH299" s="395"/>
      <c r="AI299" s="395"/>
      <c r="AJ299" s="396"/>
      <c r="AK299" s="397"/>
      <c r="AL299" s="397"/>
      <c r="AM299" s="398"/>
      <c r="AN299" s="398"/>
      <c r="AO299" s="398"/>
      <c r="AP299" s="398"/>
      <c r="AQ299" s="398"/>
      <c r="AR299" s="398"/>
      <c r="AS299" s="398"/>
      <c r="AT299" s="5"/>
      <c r="AU299" s="5"/>
      <c r="AV299" s="5"/>
      <c r="AW299" s="5"/>
      <c r="AX299" s="5"/>
      <c r="AY299" s="5"/>
      <c r="AZ299" s="5"/>
      <c r="BA299" s="5"/>
      <c r="BB299" s="5"/>
      <c r="BC299" s="5"/>
    </row>
    <row r="300" spans="1:55" x14ac:dyDescent="0.25">
      <c r="A300" s="713"/>
      <c r="B300" s="696"/>
      <c r="C300" s="696"/>
      <c r="D300" s="384" t="s">
        <v>360</v>
      </c>
      <c r="E300" s="407">
        <f>(E299*$E$276)/$E$275</f>
        <v>4546224.9883812405</v>
      </c>
      <c r="F300" s="407">
        <f>(F299*$F$276)/$F$275</f>
        <v>4546224.9883812405</v>
      </c>
      <c r="G300" s="407">
        <f>(G299*$G$276)/$G$275</f>
        <v>6457130.5422390327</v>
      </c>
      <c r="H300" s="407">
        <f>(H299*$H$276)/$H$275</f>
        <v>9057424.3859682307</v>
      </c>
      <c r="I300" s="443"/>
      <c r="J300" s="407">
        <f>(J299*$J$276)/$J$275</f>
        <v>16405192.891970187</v>
      </c>
      <c r="K300" s="407">
        <f>(K299*$K$276)/$K$275</f>
        <v>11375475.16177129</v>
      </c>
      <c r="L300" s="407">
        <f>(L299*$L$276)/$L$275</f>
        <v>11834474.729712131</v>
      </c>
      <c r="M300" s="443"/>
      <c r="N300" s="696"/>
      <c r="O300" s="696"/>
      <c r="P300" s="696"/>
      <c r="Q300" s="696"/>
      <c r="R300" s="696"/>
      <c r="S300" s="696"/>
      <c r="T300" s="696"/>
      <c r="U300" s="696"/>
      <c r="V300" s="696"/>
      <c r="W300" s="696"/>
      <c r="X300" s="696"/>
      <c r="Y300" s="699"/>
      <c r="Z300" s="394"/>
      <c r="AA300" s="395"/>
      <c r="AB300" s="395"/>
      <c r="AC300" s="395"/>
      <c r="AD300" s="395"/>
      <c r="AE300" s="395"/>
      <c r="AF300" s="395"/>
      <c r="AG300" s="395"/>
      <c r="AH300" s="395"/>
      <c r="AI300" s="395"/>
      <c r="AJ300" s="396"/>
      <c r="AK300" s="397"/>
      <c r="AL300" s="397"/>
      <c r="AM300" s="398"/>
      <c r="AN300" s="398"/>
      <c r="AO300" s="398"/>
      <c r="AP300" s="398"/>
      <c r="AQ300" s="398"/>
      <c r="AR300" s="398"/>
      <c r="AS300" s="398"/>
      <c r="AT300" s="5"/>
      <c r="AU300" s="5"/>
      <c r="AV300" s="5"/>
      <c r="AW300" s="5"/>
      <c r="AX300" s="5"/>
      <c r="AY300" s="5"/>
      <c r="AZ300" s="5"/>
      <c r="BA300" s="5"/>
      <c r="BB300" s="5"/>
      <c r="BC300" s="5"/>
    </row>
    <row r="301" spans="1:55" x14ac:dyDescent="0.25">
      <c r="A301" s="713"/>
      <c r="B301" s="696"/>
      <c r="C301" s="696"/>
      <c r="D301" s="384" t="s">
        <v>365</v>
      </c>
      <c r="E301" s="387">
        <v>0</v>
      </c>
      <c r="F301" s="387">
        <v>0</v>
      </c>
      <c r="G301" s="387">
        <v>0</v>
      </c>
      <c r="H301" s="387">
        <v>0</v>
      </c>
      <c r="I301" s="390"/>
      <c r="J301" s="387">
        <v>0</v>
      </c>
      <c r="K301" s="387">
        <v>0</v>
      </c>
      <c r="L301" s="387">
        <v>0</v>
      </c>
      <c r="M301" s="386"/>
      <c r="N301" s="696"/>
      <c r="O301" s="696"/>
      <c r="P301" s="696"/>
      <c r="Q301" s="696"/>
      <c r="R301" s="696"/>
      <c r="S301" s="696"/>
      <c r="T301" s="696"/>
      <c r="U301" s="696"/>
      <c r="V301" s="696"/>
      <c r="W301" s="696"/>
      <c r="X301" s="696"/>
      <c r="Y301" s="699"/>
      <c r="Z301" s="394"/>
      <c r="AA301" s="395"/>
      <c r="AB301" s="395"/>
      <c r="AC301" s="395"/>
      <c r="AD301" s="395"/>
      <c r="AE301" s="395"/>
      <c r="AF301" s="395"/>
      <c r="AG301" s="395"/>
      <c r="AH301" s="395"/>
      <c r="AI301" s="395"/>
      <c r="AJ301" s="396"/>
      <c r="AK301" s="397"/>
      <c r="AL301" s="397"/>
      <c r="AM301" s="398"/>
      <c r="AN301" s="398"/>
      <c r="AO301" s="398"/>
      <c r="AP301" s="398"/>
      <c r="AQ301" s="398"/>
      <c r="AR301" s="398"/>
      <c r="AS301" s="398"/>
      <c r="AT301" s="5"/>
      <c r="AU301" s="5"/>
      <c r="AV301" s="5"/>
      <c r="AW301" s="5"/>
      <c r="AX301" s="5"/>
      <c r="AY301" s="5"/>
      <c r="AZ301" s="5"/>
      <c r="BA301" s="5"/>
      <c r="BB301" s="5"/>
      <c r="BC301" s="5"/>
    </row>
    <row r="302" spans="1:55" ht="22.5" x14ac:dyDescent="0.25">
      <c r="A302" s="713"/>
      <c r="B302" s="696"/>
      <c r="C302" s="696"/>
      <c r="D302" s="384" t="s">
        <v>370</v>
      </c>
      <c r="E302" s="407">
        <v>0</v>
      </c>
      <c r="F302" s="407">
        <v>0</v>
      </c>
      <c r="G302" s="407">
        <v>0</v>
      </c>
      <c r="H302" s="407">
        <v>0</v>
      </c>
      <c r="I302" s="390"/>
      <c r="J302" s="407">
        <v>0</v>
      </c>
      <c r="K302" s="407">
        <v>0</v>
      </c>
      <c r="L302" s="407">
        <v>0</v>
      </c>
      <c r="M302" s="390"/>
      <c r="N302" s="696"/>
      <c r="O302" s="696"/>
      <c r="P302" s="696"/>
      <c r="Q302" s="696"/>
      <c r="R302" s="696"/>
      <c r="S302" s="696"/>
      <c r="T302" s="696"/>
      <c r="U302" s="696"/>
      <c r="V302" s="696"/>
      <c r="W302" s="696"/>
      <c r="X302" s="696"/>
      <c r="Y302" s="699"/>
      <c r="Z302" s="394"/>
      <c r="AA302" s="395"/>
      <c r="AB302" s="395"/>
      <c r="AC302" s="395"/>
      <c r="AD302" s="395"/>
      <c r="AE302" s="395"/>
      <c r="AF302" s="395"/>
      <c r="AG302" s="395"/>
      <c r="AH302" s="395"/>
      <c r="AI302" s="395"/>
      <c r="AJ302" s="396"/>
      <c r="AK302" s="397"/>
      <c r="AL302" s="397"/>
      <c r="AM302" s="398"/>
      <c r="AN302" s="398"/>
      <c r="AO302" s="398"/>
      <c r="AP302" s="398"/>
      <c r="AQ302" s="398"/>
      <c r="AR302" s="398"/>
      <c r="AS302" s="398"/>
      <c r="AT302" s="5"/>
      <c r="AU302" s="5"/>
      <c r="AV302" s="5"/>
      <c r="AW302" s="5"/>
      <c r="AX302" s="5"/>
      <c r="AY302" s="5"/>
      <c r="AZ302" s="5"/>
      <c r="BA302" s="5"/>
      <c r="BB302" s="5"/>
      <c r="BC302" s="5"/>
    </row>
    <row r="303" spans="1:55" x14ac:dyDescent="0.25">
      <c r="A303" s="713"/>
      <c r="B303" s="696"/>
      <c r="C303" s="722" t="s">
        <v>394</v>
      </c>
      <c r="D303" s="389" t="s">
        <v>348</v>
      </c>
      <c r="E303" s="387">
        <v>2.2919999999999998</v>
      </c>
      <c r="F303" s="387">
        <v>2.2919999999999998</v>
      </c>
      <c r="G303" s="387">
        <f>K303</f>
        <v>6.8919999999999995</v>
      </c>
      <c r="H303" s="387">
        <f>G303+80.818</f>
        <v>87.71</v>
      </c>
      <c r="I303" s="390"/>
      <c r="J303" s="387">
        <v>2.2919999999999998</v>
      </c>
      <c r="K303" s="387">
        <f>4.6+J303</f>
        <v>6.8919999999999995</v>
      </c>
      <c r="L303" s="387">
        <f>K303+80.818</f>
        <v>87.71</v>
      </c>
      <c r="M303" s="438"/>
      <c r="N303" s="722" t="s">
        <v>394</v>
      </c>
      <c r="O303" s="722" t="s">
        <v>472</v>
      </c>
      <c r="P303" s="720" t="s">
        <v>510</v>
      </c>
      <c r="Q303" s="722" t="s">
        <v>452</v>
      </c>
      <c r="R303" s="720" t="s">
        <v>353</v>
      </c>
      <c r="S303" s="718">
        <v>93716</v>
      </c>
      <c r="T303" s="696"/>
      <c r="U303" s="722" t="s">
        <v>453</v>
      </c>
      <c r="V303" s="722" t="s">
        <v>453</v>
      </c>
      <c r="W303" s="720" t="s">
        <v>356</v>
      </c>
      <c r="X303" s="720" t="s">
        <v>357</v>
      </c>
      <c r="Y303" s="721">
        <v>93716</v>
      </c>
      <c r="Z303" s="394"/>
      <c r="AA303" s="395"/>
      <c r="AB303" s="395"/>
      <c r="AC303" s="395"/>
      <c r="AD303" s="395"/>
      <c r="AE303" s="395"/>
      <c r="AF303" s="395"/>
      <c r="AG303" s="395"/>
      <c r="AH303" s="395"/>
      <c r="AI303" s="395"/>
      <c r="AJ303" s="396"/>
      <c r="AK303" s="397"/>
      <c r="AL303" s="397"/>
      <c r="AM303" s="398"/>
      <c r="AN303" s="398"/>
      <c r="AO303" s="398"/>
      <c r="AP303" s="398"/>
      <c r="AQ303" s="398"/>
      <c r="AR303" s="398"/>
      <c r="AS303" s="398"/>
      <c r="AT303" s="5"/>
      <c r="AU303" s="5"/>
      <c r="AV303" s="5"/>
      <c r="AW303" s="5"/>
      <c r="AX303" s="5"/>
      <c r="AY303" s="5"/>
      <c r="AZ303" s="5"/>
      <c r="BA303" s="5"/>
      <c r="BB303" s="5"/>
      <c r="BC303" s="5"/>
    </row>
    <row r="304" spans="1:55" x14ac:dyDescent="0.25">
      <c r="A304" s="713"/>
      <c r="B304" s="696"/>
      <c r="C304" s="696"/>
      <c r="D304" s="384" t="s">
        <v>360</v>
      </c>
      <c r="E304" s="407">
        <f>(E303*$E$276)/$E$275</f>
        <v>168563.92638426623</v>
      </c>
      <c r="F304" s="407">
        <f>(F303*$F$276)/$F$275</f>
        <v>168563.92638426623</v>
      </c>
      <c r="G304" s="407">
        <f>(G303*$G$276)/$G$275</f>
        <v>475881.59990922839</v>
      </c>
      <c r="H304" s="407">
        <f>(H303*$H$276)/$H$275</f>
        <v>6056235.509001513</v>
      </c>
      <c r="I304" s="443"/>
      <c r="J304" s="407">
        <f>(J303*$J$276)/$J$275</f>
        <v>608268.12004004896</v>
      </c>
      <c r="K304" s="407">
        <f>(K303*$K$276)/$K$275</f>
        <v>838356.80327353324</v>
      </c>
      <c r="L304" s="407">
        <f>(L303*$L$276)/$L$275</f>
        <v>7913106.7546640048</v>
      </c>
      <c r="M304" s="443"/>
      <c r="N304" s="696"/>
      <c r="O304" s="696"/>
      <c r="P304" s="696"/>
      <c r="Q304" s="696"/>
      <c r="R304" s="696"/>
      <c r="S304" s="696"/>
      <c r="T304" s="696"/>
      <c r="U304" s="696"/>
      <c r="V304" s="696"/>
      <c r="W304" s="696"/>
      <c r="X304" s="696"/>
      <c r="Y304" s="699"/>
      <c r="Z304" s="394"/>
      <c r="AA304" s="395"/>
      <c r="AB304" s="395"/>
      <c r="AC304" s="395"/>
      <c r="AD304" s="395"/>
      <c r="AE304" s="395"/>
      <c r="AF304" s="395"/>
      <c r="AG304" s="395"/>
      <c r="AH304" s="395"/>
      <c r="AI304" s="395"/>
      <c r="AJ304" s="396"/>
      <c r="AK304" s="397"/>
      <c r="AL304" s="397"/>
      <c r="AM304" s="398"/>
      <c r="AN304" s="398"/>
      <c r="AO304" s="398"/>
      <c r="AP304" s="398"/>
      <c r="AQ304" s="398"/>
      <c r="AR304" s="398"/>
      <c r="AS304" s="398"/>
      <c r="AT304" s="5"/>
      <c r="AU304" s="5"/>
      <c r="AV304" s="5"/>
      <c r="AW304" s="5"/>
      <c r="AX304" s="5"/>
      <c r="AY304" s="5"/>
      <c r="AZ304" s="5"/>
      <c r="BA304" s="5"/>
      <c r="BB304" s="5"/>
      <c r="BC304" s="5"/>
    </row>
    <row r="305" spans="1:55" x14ac:dyDescent="0.25">
      <c r="A305" s="713"/>
      <c r="B305" s="696"/>
      <c r="C305" s="696"/>
      <c r="D305" s="384" t="s">
        <v>365</v>
      </c>
      <c r="E305" s="387">
        <v>0</v>
      </c>
      <c r="F305" s="387">
        <v>0</v>
      </c>
      <c r="G305" s="387">
        <v>0</v>
      </c>
      <c r="H305" s="387">
        <v>0</v>
      </c>
      <c r="I305" s="390"/>
      <c r="J305" s="387">
        <v>0</v>
      </c>
      <c r="K305" s="387">
        <v>0</v>
      </c>
      <c r="L305" s="387">
        <v>0</v>
      </c>
      <c r="M305" s="386"/>
      <c r="N305" s="696"/>
      <c r="O305" s="696"/>
      <c r="P305" s="696"/>
      <c r="Q305" s="696"/>
      <c r="R305" s="696"/>
      <c r="S305" s="696"/>
      <c r="T305" s="696"/>
      <c r="U305" s="696"/>
      <c r="V305" s="696"/>
      <c r="W305" s="696"/>
      <c r="X305" s="696"/>
      <c r="Y305" s="699"/>
      <c r="Z305" s="394"/>
      <c r="AA305" s="395"/>
      <c r="AB305" s="395"/>
      <c r="AC305" s="395"/>
      <c r="AD305" s="395"/>
      <c r="AE305" s="395"/>
      <c r="AF305" s="395"/>
      <c r="AG305" s="395"/>
      <c r="AH305" s="395"/>
      <c r="AI305" s="395"/>
      <c r="AJ305" s="396"/>
      <c r="AK305" s="397"/>
      <c r="AL305" s="397"/>
      <c r="AM305" s="398"/>
      <c r="AN305" s="398"/>
      <c r="AO305" s="398"/>
      <c r="AP305" s="398"/>
      <c r="AQ305" s="398"/>
      <c r="AR305" s="398"/>
      <c r="AS305" s="398"/>
      <c r="AT305" s="5"/>
      <c r="AU305" s="5"/>
      <c r="AV305" s="5"/>
      <c r="AW305" s="5"/>
      <c r="AX305" s="5"/>
      <c r="AY305" s="5"/>
      <c r="AZ305" s="5"/>
      <c r="BA305" s="5"/>
      <c r="BB305" s="5"/>
      <c r="BC305" s="5"/>
    </row>
    <row r="306" spans="1:55" ht="22.5" x14ac:dyDescent="0.25">
      <c r="A306" s="713"/>
      <c r="B306" s="696"/>
      <c r="C306" s="696"/>
      <c r="D306" s="384" t="s">
        <v>370</v>
      </c>
      <c r="E306" s="407">
        <v>0</v>
      </c>
      <c r="F306" s="407">
        <v>0</v>
      </c>
      <c r="G306" s="407">
        <v>0</v>
      </c>
      <c r="H306" s="407">
        <v>0</v>
      </c>
      <c r="I306" s="390"/>
      <c r="J306" s="407">
        <v>0</v>
      </c>
      <c r="K306" s="407">
        <v>0</v>
      </c>
      <c r="L306" s="407">
        <v>0</v>
      </c>
      <c r="M306" s="390"/>
      <c r="N306" s="696"/>
      <c r="O306" s="696"/>
      <c r="P306" s="696"/>
      <c r="Q306" s="696"/>
      <c r="R306" s="696"/>
      <c r="S306" s="696"/>
      <c r="T306" s="696"/>
      <c r="U306" s="696"/>
      <c r="V306" s="696"/>
      <c r="W306" s="696"/>
      <c r="X306" s="696"/>
      <c r="Y306" s="699"/>
      <c r="Z306" s="394"/>
      <c r="AA306" s="395"/>
      <c r="AB306" s="395"/>
      <c r="AC306" s="395"/>
      <c r="AD306" s="395"/>
      <c r="AE306" s="395"/>
      <c r="AF306" s="395"/>
      <c r="AG306" s="395"/>
      <c r="AH306" s="395"/>
      <c r="AI306" s="395"/>
      <c r="AJ306" s="396"/>
      <c r="AK306" s="397"/>
      <c r="AL306" s="397"/>
      <c r="AM306" s="398"/>
      <c r="AN306" s="398"/>
      <c r="AO306" s="398"/>
      <c r="AP306" s="398"/>
      <c r="AQ306" s="398"/>
      <c r="AR306" s="398"/>
      <c r="AS306" s="398"/>
      <c r="AT306" s="5"/>
      <c r="AU306" s="5"/>
      <c r="AV306" s="5"/>
      <c r="AW306" s="5"/>
      <c r="AX306" s="5"/>
      <c r="AY306" s="5"/>
      <c r="AZ306" s="5"/>
      <c r="BA306" s="5"/>
      <c r="BB306" s="5"/>
      <c r="BC306" s="5"/>
    </row>
    <row r="307" spans="1:55" x14ac:dyDescent="0.25">
      <c r="A307" s="713"/>
      <c r="B307" s="696"/>
      <c r="C307" s="722" t="s">
        <v>382</v>
      </c>
      <c r="D307" s="389" t="s">
        <v>348</v>
      </c>
      <c r="E307" s="387">
        <v>22.34</v>
      </c>
      <c r="F307" s="387">
        <v>22.34</v>
      </c>
      <c r="G307" s="387">
        <f>K307</f>
        <v>29.240000000000002</v>
      </c>
      <c r="H307" s="387">
        <f>G307+29.595</f>
        <v>58.835000000000001</v>
      </c>
      <c r="I307" s="390"/>
      <c r="J307" s="387">
        <v>22.34</v>
      </c>
      <c r="K307" s="387">
        <f>6.9+J307</f>
        <v>29.240000000000002</v>
      </c>
      <c r="L307" s="387">
        <f>K307+29.595</f>
        <v>58.835000000000001</v>
      </c>
      <c r="M307" s="390"/>
      <c r="N307" s="722" t="s">
        <v>382</v>
      </c>
      <c r="O307" s="722" t="s">
        <v>511</v>
      </c>
      <c r="P307" s="720" t="s">
        <v>512</v>
      </c>
      <c r="Q307" s="722" t="s">
        <v>452</v>
      </c>
      <c r="R307" s="720" t="s">
        <v>353</v>
      </c>
      <c r="S307" s="718">
        <v>221906</v>
      </c>
      <c r="T307" s="696"/>
      <c r="U307" s="722" t="s">
        <v>453</v>
      </c>
      <c r="V307" s="722" t="s">
        <v>453</v>
      </c>
      <c r="W307" s="720" t="s">
        <v>356</v>
      </c>
      <c r="X307" s="720" t="s">
        <v>357</v>
      </c>
      <c r="Y307" s="721">
        <v>221906</v>
      </c>
      <c r="Z307" s="394"/>
      <c r="AA307" s="395"/>
      <c r="AB307" s="395"/>
      <c r="AC307" s="395"/>
      <c r="AD307" s="395"/>
      <c r="AE307" s="395"/>
      <c r="AF307" s="395"/>
      <c r="AG307" s="395"/>
      <c r="AH307" s="395"/>
      <c r="AI307" s="395"/>
      <c r="AJ307" s="396"/>
      <c r="AK307" s="397"/>
      <c r="AL307" s="397"/>
      <c r="AM307" s="398"/>
      <c r="AN307" s="398"/>
      <c r="AO307" s="398"/>
      <c r="AP307" s="398"/>
      <c r="AQ307" s="398"/>
      <c r="AR307" s="398"/>
      <c r="AS307" s="398"/>
      <c r="AT307" s="5"/>
      <c r="AU307" s="5"/>
      <c r="AV307" s="5"/>
      <c r="AW307" s="5"/>
      <c r="AX307" s="5"/>
      <c r="AY307" s="5"/>
      <c r="AZ307" s="5"/>
      <c r="BA307" s="5"/>
      <c r="BB307" s="5"/>
      <c r="BC307" s="5"/>
    </row>
    <row r="308" spans="1:55" x14ac:dyDescent="0.25">
      <c r="A308" s="713"/>
      <c r="B308" s="696"/>
      <c r="C308" s="696"/>
      <c r="D308" s="384" t="s">
        <v>360</v>
      </c>
      <c r="E308" s="407">
        <f>(E307*$E$276)/$E$275</f>
        <v>1642983.4709531013</v>
      </c>
      <c r="F308" s="407">
        <f>(F307*$F$276)/$F$275</f>
        <v>1642983.4709531013</v>
      </c>
      <c r="G308" s="407">
        <f>(G307*$G$276)/$G$275</f>
        <v>2018975.3310136157</v>
      </c>
      <c r="H308" s="407">
        <f>(H307*$H$276)/$H$275</f>
        <v>4062462.8454236006</v>
      </c>
      <c r="I308" s="443"/>
      <c r="J308" s="407">
        <f>(J307*$J$276)/$J$275</f>
        <v>5928756.4579819776</v>
      </c>
      <c r="K308" s="407">
        <f>(K307*$K$276)/$K$275</f>
        <v>3556812.6708819079</v>
      </c>
      <c r="L308" s="407">
        <f>(L307*$L$276)/$L$275</f>
        <v>5308033.7009537881</v>
      </c>
      <c r="M308" s="443"/>
      <c r="N308" s="696"/>
      <c r="O308" s="696"/>
      <c r="P308" s="696"/>
      <c r="Q308" s="696"/>
      <c r="R308" s="696"/>
      <c r="S308" s="696"/>
      <c r="T308" s="696"/>
      <c r="U308" s="696"/>
      <c r="V308" s="696"/>
      <c r="W308" s="696"/>
      <c r="X308" s="696"/>
      <c r="Y308" s="699"/>
      <c r="Z308" s="394"/>
      <c r="AA308" s="395"/>
      <c r="AB308" s="395"/>
      <c r="AC308" s="395"/>
      <c r="AD308" s="395"/>
      <c r="AE308" s="395"/>
      <c r="AF308" s="395"/>
      <c r="AG308" s="395"/>
      <c r="AH308" s="395"/>
      <c r="AI308" s="395"/>
      <c r="AJ308" s="396"/>
      <c r="AK308" s="397"/>
      <c r="AL308" s="397"/>
      <c r="AM308" s="398"/>
      <c r="AN308" s="398"/>
      <c r="AO308" s="398"/>
      <c r="AP308" s="398"/>
      <c r="AQ308" s="398"/>
      <c r="AR308" s="398"/>
      <c r="AS308" s="398"/>
      <c r="AT308" s="5"/>
      <c r="AU308" s="5"/>
      <c r="AV308" s="5"/>
      <c r="AW308" s="5"/>
      <c r="AX308" s="5"/>
      <c r="AY308" s="5"/>
      <c r="AZ308" s="5"/>
      <c r="BA308" s="5"/>
      <c r="BB308" s="5"/>
      <c r="BC308" s="5"/>
    </row>
    <row r="309" spans="1:55" x14ac:dyDescent="0.25">
      <c r="A309" s="713"/>
      <c r="B309" s="696"/>
      <c r="C309" s="696"/>
      <c r="D309" s="384" t="s">
        <v>365</v>
      </c>
      <c r="E309" s="387">
        <v>0</v>
      </c>
      <c r="F309" s="387">
        <v>0</v>
      </c>
      <c r="G309" s="387">
        <v>0</v>
      </c>
      <c r="H309" s="387">
        <v>0</v>
      </c>
      <c r="I309" s="390"/>
      <c r="J309" s="387">
        <v>0</v>
      </c>
      <c r="K309" s="387">
        <v>0</v>
      </c>
      <c r="L309" s="387">
        <v>0</v>
      </c>
      <c r="M309" s="386"/>
      <c r="N309" s="696"/>
      <c r="O309" s="696"/>
      <c r="P309" s="696"/>
      <c r="Q309" s="696"/>
      <c r="R309" s="696"/>
      <c r="S309" s="696"/>
      <c r="T309" s="696"/>
      <c r="U309" s="696"/>
      <c r="V309" s="696"/>
      <c r="W309" s="696"/>
      <c r="X309" s="696"/>
      <c r="Y309" s="699"/>
      <c r="Z309" s="394"/>
      <c r="AA309" s="395"/>
      <c r="AB309" s="395"/>
      <c r="AC309" s="395"/>
      <c r="AD309" s="395"/>
      <c r="AE309" s="395"/>
      <c r="AF309" s="395"/>
      <c r="AG309" s="395"/>
      <c r="AH309" s="395"/>
      <c r="AI309" s="395"/>
      <c r="AJ309" s="396"/>
      <c r="AK309" s="397"/>
      <c r="AL309" s="397"/>
      <c r="AM309" s="398"/>
      <c r="AN309" s="398"/>
      <c r="AO309" s="398"/>
      <c r="AP309" s="398"/>
      <c r="AQ309" s="398"/>
      <c r="AR309" s="398"/>
      <c r="AS309" s="398"/>
      <c r="AT309" s="5"/>
      <c r="AU309" s="5"/>
      <c r="AV309" s="5"/>
      <c r="AW309" s="5"/>
      <c r="AX309" s="5"/>
      <c r="AY309" s="5"/>
      <c r="AZ309" s="5"/>
      <c r="BA309" s="5"/>
      <c r="BB309" s="5"/>
      <c r="BC309" s="5"/>
    </row>
    <row r="310" spans="1:55" ht="22.5" x14ac:dyDescent="0.25">
      <c r="A310" s="713"/>
      <c r="B310" s="696"/>
      <c r="C310" s="696"/>
      <c r="D310" s="384" t="s">
        <v>370</v>
      </c>
      <c r="E310" s="407">
        <v>0</v>
      </c>
      <c r="F310" s="407">
        <v>0</v>
      </c>
      <c r="G310" s="407">
        <v>0</v>
      </c>
      <c r="H310" s="407">
        <v>0</v>
      </c>
      <c r="I310" s="390"/>
      <c r="J310" s="407">
        <v>0</v>
      </c>
      <c r="K310" s="407">
        <v>0</v>
      </c>
      <c r="L310" s="407">
        <v>0</v>
      </c>
      <c r="M310" s="390"/>
      <c r="N310" s="696"/>
      <c r="O310" s="696"/>
      <c r="P310" s="696"/>
      <c r="Q310" s="696"/>
      <c r="R310" s="696"/>
      <c r="S310" s="696"/>
      <c r="T310" s="696"/>
      <c r="U310" s="696"/>
      <c r="V310" s="696"/>
      <c r="W310" s="696"/>
      <c r="X310" s="696"/>
      <c r="Y310" s="699"/>
      <c r="Z310" s="394"/>
      <c r="AA310" s="395"/>
      <c r="AB310" s="395"/>
      <c r="AC310" s="395"/>
      <c r="AD310" s="395"/>
      <c r="AE310" s="395"/>
      <c r="AF310" s="395"/>
      <c r="AG310" s="395"/>
      <c r="AH310" s="395"/>
      <c r="AI310" s="395"/>
      <c r="AJ310" s="396"/>
      <c r="AK310" s="397"/>
      <c r="AL310" s="397"/>
      <c r="AM310" s="398"/>
      <c r="AN310" s="398"/>
      <c r="AO310" s="398"/>
      <c r="AP310" s="398"/>
      <c r="AQ310" s="398"/>
      <c r="AR310" s="398"/>
      <c r="AS310" s="398"/>
      <c r="AT310" s="5"/>
      <c r="AU310" s="5"/>
      <c r="AV310" s="5"/>
      <c r="AW310" s="5"/>
      <c r="AX310" s="5"/>
      <c r="AY310" s="5"/>
      <c r="AZ310" s="5"/>
      <c r="BA310" s="5"/>
      <c r="BB310" s="5"/>
      <c r="BC310" s="5"/>
    </row>
    <row r="311" spans="1:55" x14ac:dyDescent="0.25">
      <c r="A311" s="713"/>
      <c r="B311" s="696"/>
      <c r="C311" s="722" t="s">
        <v>400</v>
      </c>
      <c r="D311" s="389" t="s">
        <v>348</v>
      </c>
      <c r="E311" s="387">
        <v>6.5579999999999998</v>
      </c>
      <c r="F311" s="387">
        <v>6.5579999999999998</v>
      </c>
      <c r="G311" s="387">
        <f>K311</f>
        <v>29.358000000000001</v>
      </c>
      <c r="H311" s="387">
        <f>G311+47.512</f>
        <v>76.87</v>
      </c>
      <c r="I311" s="390"/>
      <c r="J311" s="387">
        <v>6.5579999999999998</v>
      </c>
      <c r="K311" s="387">
        <f>22.8+J311</f>
        <v>29.358000000000001</v>
      </c>
      <c r="L311" s="387">
        <f>K311+47.512</f>
        <v>76.87</v>
      </c>
      <c r="M311" s="438"/>
      <c r="N311" s="722" t="s">
        <v>400</v>
      </c>
      <c r="O311" s="722" t="s">
        <v>513</v>
      </c>
      <c r="P311" s="720" t="s">
        <v>514</v>
      </c>
      <c r="Q311" s="722" t="s">
        <v>452</v>
      </c>
      <c r="R311" s="720" t="s">
        <v>353</v>
      </c>
      <c r="S311" s="718">
        <v>1282978</v>
      </c>
      <c r="T311" s="696"/>
      <c r="U311" s="722" t="s">
        <v>453</v>
      </c>
      <c r="V311" s="722" t="s">
        <v>453</v>
      </c>
      <c r="W311" s="720" t="s">
        <v>356</v>
      </c>
      <c r="X311" s="720" t="s">
        <v>357</v>
      </c>
      <c r="Y311" s="721">
        <v>1282978</v>
      </c>
      <c r="Z311" s="394"/>
      <c r="AA311" s="395"/>
      <c r="AB311" s="395"/>
      <c r="AC311" s="395"/>
      <c r="AD311" s="395"/>
      <c r="AE311" s="395"/>
      <c r="AF311" s="395"/>
      <c r="AG311" s="395"/>
      <c r="AH311" s="395"/>
      <c r="AI311" s="395"/>
      <c r="AJ311" s="396"/>
      <c r="AK311" s="397"/>
      <c r="AL311" s="397"/>
      <c r="AM311" s="398"/>
      <c r="AN311" s="398"/>
      <c r="AO311" s="398"/>
      <c r="AP311" s="398"/>
      <c r="AQ311" s="398"/>
      <c r="AR311" s="398"/>
      <c r="AS311" s="398"/>
      <c r="AT311" s="5"/>
      <c r="AU311" s="5"/>
      <c r="AV311" s="5"/>
      <c r="AW311" s="5"/>
      <c r="AX311" s="5"/>
      <c r="AY311" s="5"/>
      <c r="AZ311" s="5"/>
      <c r="BA311" s="5"/>
      <c r="BB311" s="5"/>
      <c r="BC311" s="5"/>
    </row>
    <row r="312" spans="1:55" x14ac:dyDescent="0.25">
      <c r="A312" s="713"/>
      <c r="B312" s="696"/>
      <c r="C312" s="696"/>
      <c r="D312" s="384" t="s">
        <v>360</v>
      </c>
      <c r="E312" s="407">
        <f>(E311*$E$276)/$E$275</f>
        <v>482304.63753403933</v>
      </c>
      <c r="F312" s="407">
        <f>(F311*$F$276)/$F$275</f>
        <v>482304.63753403933</v>
      </c>
      <c r="G312" s="407">
        <f>(G311*$G$276)/$G$275</f>
        <v>2027123.0426777611</v>
      </c>
      <c r="H312" s="407">
        <f>(H311*$H$276)/$H$275</f>
        <v>5307750.8103630859</v>
      </c>
      <c r="I312" s="443"/>
      <c r="J312" s="407">
        <f>(J311*$J$276)/$J$275</f>
        <v>1740411.139276894</v>
      </c>
      <c r="K312" s="407">
        <f>(K311*$K$276)/$K$275</f>
        <v>3571166.4292664519</v>
      </c>
      <c r="L312" s="407">
        <f>(L311*$L$276)/$L$275</f>
        <v>6935133.0091326199</v>
      </c>
      <c r="M312" s="443"/>
      <c r="N312" s="696"/>
      <c r="O312" s="696"/>
      <c r="P312" s="696"/>
      <c r="Q312" s="696"/>
      <c r="R312" s="696"/>
      <c r="S312" s="696"/>
      <c r="T312" s="696"/>
      <c r="U312" s="696"/>
      <c r="V312" s="696"/>
      <c r="W312" s="696"/>
      <c r="X312" s="696"/>
      <c r="Y312" s="699"/>
      <c r="Z312" s="394"/>
      <c r="AA312" s="395"/>
      <c r="AB312" s="395"/>
      <c r="AC312" s="395"/>
      <c r="AD312" s="395"/>
      <c r="AE312" s="395"/>
      <c r="AF312" s="395"/>
      <c r="AG312" s="395"/>
      <c r="AH312" s="395"/>
      <c r="AI312" s="395"/>
      <c r="AJ312" s="396"/>
      <c r="AK312" s="397"/>
      <c r="AL312" s="397"/>
      <c r="AM312" s="398"/>
      <c r="AN312" s="398"/>
      <c r="AO312" s="398"/>
      <c r="AP312" s="398"/>
      <c r="AQ312" s="398"/>
      <c r="AR312" s="398"/>
      <c r="AS312" s="398"/>
      <c r="AT312" s="5"/>
      <c r="AU312" s="5"/>
      <c r="AV312" s="5"/>
      <c r="AW312" s="5"/>
      <c r="AX312" s="5"/>
      <c r="AY312" s="5"/>
      <c r="AZ312" s="5"/>
      <c r="BA312" s="5"/>
      <c r="BB312" s="5"/>
      <c r="BC312" s="5"/>
    </row>
    <row r="313" spans="1:55" x14ac:dyDescent="0.25">
      <c r="A313" s="713"/>
      <c r="B313" s="696"/>
      <c r="C313" s="696"/>
      <c r="D313" s="384" t="s">
        <v>365</v>
      </c>
      <c r="E313" s="387">
        <v>0</v>
      </c>
      <c r="F313" s="387">
        <v>0</v>
      </c>
      <c r="G313" s="387">
        <v>0</v>
      </c>
      <c r="H313" s="387">
        <v>0</v>
      </c>
      <c r="I313" s="390"/>
      <c r="J313" s="387">
        <v>0</v>
      </c>
      <c r="K313" s="387">
        <v>0</v>
      </c>
      <c r="L313" s="387">
        <v>0</v>
      </c>
      <c r="M313" s="386"/>
      <c r="N313" s="696"/>
      <c r="O313" s="696"/>
      <c r="P313" s="696"/>
      <c r="Q313" s="696"/>
      <c r="R313" s="696"/>
      <c r="S313" s="696"/>
      <c r="T313" s="696"/>
      <c r="U313" s="696"/>
      <c r="V313" s="696"/>
      <c r="W313" s="696"/>
      <c r="X313" s="696"/>
      <c r="Y313" s="699"/>
      <c r="Z313" s="394"/>
      <c r="AA313" s="395"/>
      <c r="AB313" s="395"/>
      <c r="AC313" s="395"/>
      <c r="AD313" s="395"/>
      <c r="AE313" s="395"/>
      <c r="AF313" s="395"/>
      <c r="AG313" s="395"/>
      <c r="AH313" s="395"/>
      <c r="AI313" s="395"/>
      <c r="AJ313" s="396"/>
      <c r="AK313" s="397"/>
      <c r="AL313" s="397"/>
      <c r="AM313" s="398"/>
      <c r="AN313" s="398"/>
      <c r="AO313" s="398"/>
      <c r="AP313" s="398"/>
      <c r="AQ313" s="398"/>
      <c r="AR313" s="398"/>
      <c r="AS313" s="398"/>
      <c r="AT313" s="5"/>
      <c r="AU313" s="5"/>
      <c r="AV313" s="5"/>
      <c r="AW313" s="5"/>
      <c r="AX313" s="5"/>
      <c r="AY313" s="5"/>
      <c r="AZ313" s="5"/>
      <c r="BA313" s="5"/>
      <c r="BB313" s="5"/>
      <c r="BC313" s="5"/>
    </row>
    <row r="314" spans="1:55" ht="22.5" x14ac:dyDescent="0.25">
      <c r="A314" s="713"/>
      <c r="B314" s="696"/>
      <c r="C314" s="696"/>
      <c r="D314" s="384" t="s">
        <v>370</v>
      </c>
      <c r="E314" s="407">
        <v>0</v>
      </c>
      <c r="F314" s="407">
        <v>0</v>
      </c>
      <c r="G314" s="407">
        <v>0</v>
      </c>
      <c r="H314" s="407">
        <v>0</v>
      </c>
      <c r="I314" s="390"/>
      <c r="J314" s="407">
        <v>0</v>
      </c>
      <c r="K314" s="407">
        <v>0</v>
      </c>
      <c r="L314" s="407">
        <v>0</v>
      </c>
      <c r="M314" s="390"/>
      <c r="N314" s="696"/>
      <c r="O314" s="696"/>
      <c r="P314" s="696"/>
      <c r="Q314" s="696"/>
      <c r="R314" s="696"/>
      <c r="S314" s="696"/>
      <c r="T314" s="696"/>
      <c r="U314" s="696"/>
      <c r="V314" s="696"/>
      <c r="W314" s="696"/>
      <c r="X314" s="696"/>
      <c r="Y314" s="699"/>
      <c r="Z314" s="394"/>
      <c r="AA314" s="395"/>
      <c r="AB314" s="395"/>
      <c r="AC314" s="395"/>
      <c r="AD314" s="395"/>
      <c r="AE314" s="395"/>
      <c r="AF314" s="395"/>
      <c r="AG314" s="395"/>
      <c r="AH314" s="395"/>
      <c r="AI314" s="395"/>
      <c r="AJ314" s="396"/>
      <c r="AK314" s="397"/>
      <c r="AL314" s="397"/>
      <c r="AM314" s="398"/>
      <c r="AN314" s="398"/>
      <c r="AO314" s="398"/>
      <c r="AP314" s="398"/>
      <c r="AQ314" s="398"/>
      <c r="AR314" s="398"/>
      <c r="AS314" s="398"/>
      <c r="AT314" s="5"/>
      <c r="AU314" s="5"/>
      <c r="AV314" s="5"/>
      <c r="AW314" s="5"/>
      <c r="AX314" s="5"/>
      <c r="AY314" s="5"/>
      <c r="AZ314" s="5"/>
      <c r="BA314" s="5"/>
      <c r="BB314" s="5"/>
      <c r="BC314" s="5"/>
    </row>
    <row r="315" spans="1:55" x14ac:dyDescent="0.25">
      <c r="A315" s="713"/>
      <c r="B315" s="696"/>
      <c r="C315" s="722" t="s">
        <v>487</v>
      </c>
      <c r="D315" s="389" t="s">
        <v>348</v>
      </c>
      <c r="E315" s="387">
        <v>30.956</v>
      </c>
      <c r="F315" s="387">
        <v>30.956</v>
      </c>
      <c r="G315" s="387">
        <f>K315</f>
        <v>38.155999999999999</v>
      </c>
      <c r="H315" s="387">
        <f>G315+94.486</f>
        <v>132.642</v>
      </c>
      <c r="I315" s="413"/>
      <c r="J315" s="387">
        <v>30.956</v>
      </c>
      <c r="K315" s="387">
        <f>7.2+J315</f>
        <v>38.155999999999999</v>
      </c>
      <c r="L315" s="387">
        <f>K315+94.486</f>
        <v>132.642</v>
      </c>
      <c r="M315" s="413"/>
      <c r="N315" s="722" t="s">
        <v>487</v>
      </c>
      <c r="O315" s="722" t="s">
        <v>515</v>
      </c>
      <c r="P315" s="720" t="s">
        <v>516</v>
      </c>
      <c r="Q315" s="722" t="s">
        <v>452</v>
      </c>
      <c r="R315" s="720" t="s">
        <v>353</v>
      </c>
      <c r="S315" s="718">
        <v>474186</v>
      </c>
      <c r="T315" s="696"/>
      <c r="U315" s="722" t="s">
        <v>453</v>
      </c>
      <c r="V315" s="722" t="s">
        <v>453</v>
      </c>
      <c r="W315" s="720" t="s">
        <v>356</v>
      </c>
      <c r="X315" s="720" t="s">
        <v>357</v>
      </c>
      <c r="Y315" s="721">
        <v>474186</v>
      </c>
      <c r="Z315" s="394"/>
      <c r="AA315" s="395"/>
      <c r="AB315" s="395"/>
      <c r="AC315" s="395"/>
      <c r="AD315" s="395"/>
      <c r="AE315" s="395"/>
      <c r="AF315" s="395"/>
      <c r="AG315" s="395"/>
      <c r="AH315" s="395"/>
      <c r="AI315" s="395"/>
      <c r="AJ315" s="396"/>
      <c r="AK315" s="397"/>
      <c r="AL315" s="397"/>
      <c r="AM315" s="398"/>
      <c r="AN315" s="398"/>
      <c r="AO315" s="398"/>
      <c r="AP315" s="398"/>
      <c r="AQ315" s="398"/>
      <c r="AR315" s="398"/>
      <c r="AS315" s="398"/>
      <c r="AT315" s="5"/>
      <c r="AU315" s="5"/>
      <c r="AV315" s="5"/>
      <c r="AW315" s="5"/>
      <c r="AX315" s="5"/>
      <c r="AY315" s="5"/>
      <c r="AZ315" s="5"/>
      <c r="BA315" s="5"/>
      <c r="BB315" s="5"/>
      <c r="BC315" s="5"/>
    </row>
    <row r="316" spans="1:55" x14ac:dyDescent="0.25">
      <c r="A316" s="713"/>
      <c r="B316" s="696"/>
      <c r="C316" s="696"/>
      <c r="D316" s="384" t="s">
        <v>360</v>
      </c>
      <c r="E316" s="407">
        <f>(E315*$E$276)/$E$275</f>
        <v>2276642.6287745838</v>
      </c>
      <c r="F316" s="407">
        <f>(F315*$F$276)/$F$275</f>
        <v>2276642.6287745838</v>
      </c>
      <c r="G316" s="407">
        <f>(G315*$G$276)/$G$275</f>
        <v>2634610.9004841149</v>
      </c>
      <c r="H316" s="407">
        <f>(H315*$H$276)/$H$275</f>
        <v>9158718.3945385776</v>
      </c>
      <c r="I316" s="413"/>
      <c r="J316" s="407">
        <f>(J315*$J$276)/$J$275</f>
        <v>8215335.0453576595</v>
      </c>
      <c r="K316" s="407">
        <f>(K315*$K$276)/$K$275</f>
        <v>4641372.923056432</v>
      </c>
      <c r="L316" s="407">
        <f>(L315*$L$276)/$L$275</f>
        <v>11966825.973687639</v>
      </c>
      <c r="M316" s="413"/>
      <c r="N316" s="696"/>
      <c r="O316" s="696"/>
      <c r="P316" s="696"/>
      <c r="Q316" s="696"/>
      <c r="R316" s="696"/>
      <c r="S316" s="696"/>
      <c r="T316" s="696"/>
      <c r="U316" s="696"/>
      <c r="V316" s="696"/>
      <c r="W316" s="696"/>
      <c r="X316" s="696"/>
      <c r="Y316" s="699"/>
      <c r="Z316" s="394"/>
      <c r="AA316" s="395"/>
      <c r="AB316" s="395"/>
      <c r="AC316" s="395"/>
      <c r="AD316" s="395"/>
      <c r="AE316" s="395"/>
      <c r="AF316" s="395"/>
      <c r="AG316" s="395"/>
      <c r="AH316" s="395"/>
      <c r="AI316" s="395"/>
      <c r="AJ316" s="396"/>
      <c r="AK316" s="397"/>
      <c r="AL316" s="397"/>
      <c r="AM316" s="398"/>
      <c r="AN316" s="398"/>
      <c r="AO316" s="398"/>
      <c r="AP316" s="398"/>
      <c r="AQ316" s="398"/>
      <c r="AR316" s="398"/>
      <c r="AS316" s="398"/>
      <c r="AT316" s="5"/>
      <c r="AU316" s="5"/>
      <c r="AV316" s="5"/>
      <c r="AW316" s="5"/>
      <c r="AX316" s="5"/>
      <c r="AY316" s="5"/>
      <c r="AZ316" s="5"/>
      <c r="BA316" s="5"/>
      <c r="BB316" s="5"/>
      <c r="BC316" s="5"/>
    </row>
    <row r="317" spans="1:55" x14ac:dyDescent="0.25">
      <c r="A317" s="713"/>
      <c r="B317" s="696"/>
      <c r="C317" s="696"/>
      <c r="D317" s="384" t="s">
        <v>365</v>
      </c>
      <c r="E317" s="387">
        <v>0</v>
      </c>
      <c r="F317" s="387">
        <v>0</v>
      </c>
      <c r="G317" s="387">
        <v>0</v>
      </c>
      <c r="H317" s="387">
        <v>0</v>
      </c>
      <c r="I317" s="413"/>
      <c r="J317" s="387">
        <v>0</v>
      </c>
      <c r="K317" s="387">
        <v>0</v>
      </c>
      <c r="L317" s="387">
        <v>0</v>
      </c>
      <c r="M317" s="413"/>
      <c r="N317" s="696"/>
      <c r="O317" s="696"/>
      <c r="P317" s="696"/>
      <c r="Q317" s="696"/>
      <c r="R317" s="696"/>
      <c r="S317" s="696"/>
      <c r="T317" s="696"/>
      <c r="U317" s="696"/>
      <c r="V317" s="696"/>
      <c r="W317" s="696"/>
      <c r="X317" s="696"/>
      <c r="Y317" s="699"/>
      <c r="Z317" s="394"/>
      <c r="AA317" s="395"/>
      <c r="AB317" s="395"/>
      <c r="AC317" s="395"/>
      <c r="AD317" s="395"/>
      <c r="AE317" s="395"/>
      <c r="AF317" s="395"/>
      <c r="AG317" s="395"/>
      <c r="AH317" s="395"/>
      <c r="AI317" s="395"/>
      <c r="AJ317" s="396"/>
      <c r="AK317" s="397"/>
      <c r="AL317" s="397"/>
      <c r="AM317" s="398"/>
      <c r="AN317" s="398"/>
      <c r="AO317" s="398"/>
      <c r="AP317" s="398"/>
      <c r="AQ317" s="398"/>
      <c r="AR317" s="398"/>
      <c r="AS317" s="398"/>
      <c r="AT317" s="5"/>
      <c r="AU317" s="5"/>
      <c r="AV317" s="5"/>
      <c r="AW317" s="5"/>
      <c r="AX317" s="5"/>
      <c r="AY317" s="5"/>
      <c r="AZ317" s="5"/>
      <c r="BA317" s="5"/>
      <c r="BB317" s="5"/>
      <c r="BC317" s="5"/>
    </row>
    <row r="318" spans="1:55" ht="22.5" x14ac:dyDescent="0.25">
      <c r="A318" s="713"/>
      <c r="B318" s="696"/>
      <c r="C318" s="696"/>
      <c r="D318" s="384" t="s">
        <v>370</v>
      </c>
      <c r="E318" s="407">
        <v>0</v>
      </c>
      <c r="F318" s="407">
        <v>0</v>
      </c>
      <c r="G318" s="407">
        <v>0</v>
      </c>
      <c r="H318" s="407">
        <v>0</v>
      </c>
      <c r="I318" s="413"/>
      <c r="J318" s="407">
        <v>0</v>
      </c>
      <c r="K318" s="407">
        <v>0</v>
      </c>
      <c r="L318" s="407">
        <v>0</v>
      </c>
      <c r="M318" s="413"/>
      <c r="N318" s="696"/>
      <c r="O318" s="696"/>
      <c r="P318" s="696"/>
      <c r="Q318" s="696"/>
      <c r="R318" s="696"/>
      <c r="S318" s="696"/>
      <c r="T318" s="696"/>
      <c r="U318" s="696"/>
      <c r="V318" s="696"/>
      <c r="W318" s="696"/>
      <c r="X318" s="696"/>
      <c r="Y318" s="699"/>
      <c r="Z318" s="394"/>
      <c r="AA318" s="395"/>
      <c r="AB318" s="395"/>
      <c r="AC318" s="395"/>
      <c r="AD318" s="395"/>
      <c r="AE318" s="395"/>
      <c r="AF318" s="395"/>
      <c r="AG318" s="395"/>
      <c r="AH318" s="395"/>
      <c r="AI318" s="395"/>
      <c r="AJ318" s="396"/>
      <c r="AK318" s="397"/>
      <c r="AL318" s="397"/>
      <c r="AM318" s="398"/>
      <c r="AN318" s="398"/>
      <c r="AO318" s="398"/>
      <c r="AP318" s="398"/>
      <c r="AQ318" s="398"/>
      <c r="AR318" s="398"/>
      <c r="AS318" s="398"/>
      <c r="AT318" s="5"/>
      <c r="AU318" s="5"/>
      <c r="AV318" s="5"/>
      <c r="AW318" s="5"/>
      <c r="AX318" s="5"/>
      <c r="AY318" s="5"/>
      <c r="AZ318" s="5"/>
      <c r="BA318" s="5"/>
      <c r="BB318" s="5"/>
      <c r="BC318" s="5"/>
    </row>
    <row r="319" spans="1:55" x14ac:dyDescent="0.25">
      <c r="A319" s="713"/>
      <c r="B319" s="696"/>
      <c r="C319" s="722" t="s">
        <v>517</v>
      </c>
      <c r="D319" s="389" t="s">
        <v>348</v>
      </c>
      <c r="E319" s="387">
        <v>0</v>
      </c>
      <c r="F319" s="387">
        <v>0</v>
      </c>
      <c r="G319" s="387">
        <f>K319</f>
        <v>8.6999999999999993</v>
      </c>
      <c r="H319" s="387">
        <f>G319+4.224</f>
        <v>12.923999999999999</v>
      </c>
      <c r="I319" s="413"/>
      <c r="J319" s="387">
        <v>0</v>
      </c>
      <c r="K319" s="387">
        <f>8.7+J319</f>
        <v>8.6999999999999993</v>
      </c>
      <c r="L319" s="387">
        <v>0</v>
      </c>
      <c r="M319" s="413"/>
      <c r="N319" s="722" t="s">
        <v>487</v>
      </c>
      <c r="O319" s="722" t="s">
        <v>515</v>
      </c>
      <c r="P319" s="720" t="s">
        <v>516</v>
      </c>
      <c r="Q319" s="722" t="s">
        <v>452</v>
      </c>
      <c r="R319" s="720" t="s">
        <v>353</v>
      </c>
      <c r="S319" s="718">
        <v>474186</v>
      </c>
      <c r="T319" s="696"/>
      <c r="U319" s="722" t="s">
        <v>453</v>
      </c>
      <c r="V319" s="722" t="s">
        <v>453</v>
      </c>
      <c r="W319" s="720" t="s">
        <v>356</v>
      </c>
      <c r="X319" s="720" t="s">
        <v>357</v>
      </c>
      <c r="Y319" s="721">
        <v>474186</v>
      </c>
      <c r="Z319" s="394"/>
      <c r="AA319" s="395"/>
      <c r="AB319" s="395"/>
      <c r="AC319" s="395"/>
      <c r="AD319" s="395"/>
      <c r="AE319" s="395"/>
      <c r="AF319" s="395"/>
      <c r="AG319" s="395"/>
      <c r="AH319" s="395"/>
      <c r="AI319" s="395"/>
      <c r="AJ319" s="396"/>
      <c r="AK319" s="397"/>
      <c r="AL319" s="397"/>
      <c r="AM319" s="398"/>
      <c r="AN319" s="398"/>
      <c r="AO319" s="398"/>
      <c r="AP319" s="398"/>
      <c r="AQ319" s="398"/>
      <c r="AR319" s="398"/>
      <c r="AS319" s="398"/>
      <c r="AT319" s="5"/>
      <c r="AU319" s="5"/>
      <c r="AV319" s="5"/>
      <c r="AW319" s="5"/>
      <c r="AX319" s="5"/>
      <c r="AY319" s="5"/>
      <c r="AZ319" s="5"/>
      <c r="BA319" s="5"/>
      <c r="BB319" s="5"/>
      <c r="BC319" s="5"/>
    </row>
    <row r="320" spans="1:55" x14ac:dyDescent="0.25">
      <c r="A320" s="713"/>
      <c r="B320" s="696"/>
      <c r="C320" s="696"/>
      <c r="D320" s="384" t="s">
        <v>360</v>
      </c>
      <c r="E320" s="407">
        <v>0</v>
      </c>
      <c r="F320" s="407">
        <v>0</v>
      </c>
      <c r="G320" s="407">
        <f>(G319*$G$276)/$G$275</f>
        <v>600721.11422087741</v>
      </c>
      <c r="H320" s="407">
        <f>(H319*$H$276)/$H$275</f>
        <v>892381.57243570348</v>
      </c>
      <c r="I320" s="413"/>
      <c r="J320" s="407">
        <v>0</v>
      </c>
      <c r="K320" s="407">
        <f>(K319*$K$276)/$K$275</f>
        <v>1058285.5758095963</v>
      </c>
      <c r="L320" s="407">
        <f>(L319*$L$276)/$L$275</f>
        <v>0</v>
      </c>
      <c r="M320" s="413"/>
      <c r="N320" s="696"/>
      <c r="O320" s="696"/>
      <c r="P320" s="696"/>
      <c r="Q320" s="696"/>
      <c r="R320" s="696"/>
      <c r="S320" s="696"/>
      <c r="T320" s="696"/>
      <c r="U320" s="696"/>
      <c r="V320" s="696"/>
      <c r="W320" s="696"/>
      <c r="X320" s="696"/>
      <c r="Y320" s="699"/>
      <c r="Z320" s="394"/>
      <c r="AA320" s="395"/>
      <c r="AB320" s="395"/>
      <c r="AC320" s="395"/>
      <c r="AD320" s="395"/>
      <c r="AE320" s="395"/>
      <c r="AF320" s="395"/>
      <c r="AG320" s="395"/>
      <c r="AH320" s="395"/>
      <c r="AI320" s="395"/>
      <c r="AJ320" s="396"/>
      <c r="AK320" s="397"/>
      <c r="AL320" s="397"/>
      <c r="AM320" s="398"/>
      <c r="AN320" s="398"/>
      <c r="AO320" s="398"/>
      <c r="AP320" s="398"/>
      <c r="AQ320" s="398"/>
      <c r="AR320" s="398"/>
      <c r="AS320" s="398"/>
      <c r="AT320" s="5"/>
      <c r="AU320" s="5"/>
      <c r="AV320" s="5"/>
      <c r="AW320" s="5"/>
      <c r="AX320" s="5"/>
      <c r="AY320" s="5"/>
      <c r="AZ320" s="5"/>
      <c r="BA320" s="5"/>
      <c r="BB320" s="5"/>
      <c r="BC320" s="5"/>
    </row>
    <row r="321" spans="1:55" x14ac:dyDescent="0.25">
      <c r="A321" s="713"/>
      <c r="B321" s="696"/>
      <c r="C321" s="696"/>
      <c r="D321" s="384" t="s">
        <v>365</v>
      </c>
      <c r="E321" s="387">
        <v>0</v>
      </c>
      <c r="F321" s="387">
        <v>0</v>
      </c>
      <c r="G321" s="387">
        <v>0</v>
      </c>
      <c r="H321" s="387">
        <v>0</v>
      </c>
      <c r="I321" s="413"/>
      <c r="J321" s="387">
        <v>0</v>
      </c>
      <c r="K321" s="387">
        <v>0</v>
      </c>
      <c r="L321" s="387">
        <v>0</v>
      </c>
      <c r="M321" s="413"/>
      <c r="N321" s="696"/>
      <c r="O321" s="696"/>
      <c r="P321" s="696"/>
      <c r="Q321" s="696"/>
      <c r="R321" s="696"/>
      <c r="S321" s="696"/>
      <c r="T321" s="696"/>
      <c r="U321" s="696"/>
      <c r="V321" s="696"/>
      <c r="W321" s="696"/>
      <c r="X321" s="696"/>
      <c r="Y321" s="699"/>
      <c r="Z321" s="394"/>
      <c r="AA321" s="395"/>
      <c r="AB321" s="395"/>
      <c r="AC321" s="395"/>
      <c r="AD321" s="395"/>
      <c r="AE321" s="395"/>
      <c r="AF321" s="395"/>
      <c r="AG321" s="395"/>
      <c r="AH321" s="395"/>
      <c r="AI321" s="395"/>
      <c r="AJ321" s="396"/>
      <c r="AK321" s="397"/>
      <c r="AL321" s="397"/>
      <c r="AM321" s="398"/>
      <c r="AN321" s="398"/>
      <c r="AO321" s="398"/>
      <c r="AP321" s="398"/>
      <c r="AQ321" s="398"/>
      <c r="AR321" s="398"/>
      <c r="AS321" s="398"/>
      <c r="AT321" s="5"/>
      <c r="AU321" s="5"/>
      <c r="AV321" s="5"/>
      <c r="AW321" s="5"/>
      <c r="AX321" s="5"/>
      <c r="AY321" s="5"/>
      <c r="AZ321" s="5"/>
      <c r="BA321" s="5"/>
      <c r="BB321" s="5"/>
      <c r="BC321" s="5"/>
    </row>
    <row r="322" spans="1:55" ht="22.5" x14ac:dyDescent="0.25">
      <c r="A322" s="713"/>
      <c r="B322" s="696"/>
      <c r="C322" s="696"/>
      <c r="D322" s="384" t="s">
        <v>370</v>
      </c>
      <c r="E322" s="407">
        <v>0</v>
      </c>
      <c r="F322" s="407">
        <v>0</v>
      </c>
      <c r="G322" s="407">
        <v>0</v>
      </c>
      <c r="H322" s="407">
        <v>0</v>
      </c>
      <c r="I322" s="413"/>
      <c r="J322" s="407">
        <v>0</v>
      </c>
      <c r="K322" s="407">
        <v>0</v>
      </c>
      <c r="L322" s="407">
        <v>0</v>
      </c>
      <c r="M322" s="413"/>
      <c r="N322" s="696"/>
      <c r="O322" s="696"/>
      <c r="P322" s="696"/>
      <c r="Q322" s="696"/>
      <c r="R322" s="696"/>
      <c r="S322" s="696"/>
      <c r="T322" s="696"/>
      <c r="U322" s="696"/>
      <c r="V322" s="696"/>
      <c r="W322" s="696"/>
      <c r="X322" s="696"/>
      <c r="Y322" s="699"/>
      <c r="Z322" s="394"/>
      <c r="AA322" s="395"/>
      <c r="AB322" s="395"/>
      <c r="AC322" s="395"/>
      <c r="AD322" s="395"/>
      <c r="AE322" s="395"/>
      <c r="AF322" s="395"/>
      <c r="AG322" s="395"/>
      <c r="AH322" s="395"/>
      <c r="AI322" s="395"/>
      <c r="AJ322" s="396"/>
      <c r="AK322" s="397"/>
      <c r="AL322" s="397"/>
      <c r="AM322" s="398"/>
      <c r="AN322" s="398"/>
      <c r="AO322" s="398"/>
      <c r="AP322" s="398"/>
      <c r="AQ322" s="398"/>
      <c r="AR322" s="398"/>
      <c r="AS322" s="398"/>
      <c r="AT322" s="5"/>
      <c r="AU322" s="5"/>
      <c r="AV322" s="5"/>
      <c r="AW322" s="5"/>
      <c r="AX322" s="5"/>
      <c r="AY322" s="5"/>
      <c r="AZ322" s="5"/>
      <c r="BA322" s="5"/>
      <c r="BB322" s="5"/>
      <c r="BC322" s="5"/>
    </row>
    <row r="323" spans="1:55" x14ac:dyDescent="0.25">
      <c r="A323" s="713"/>
      <c r="B323" s="696"/>
      <c r="C323" s="722" t="s">
        <v>492</v>
      </c>
      <c r="D323" s="389" t="s">
        <v>348</v>
      </c>
      <c r="E323" s="387"/>
      <c r="F323" s="387"/>
      <c r="G323" s="387">
        <f>K323</f>
        <v>1242.19</v>
      </c>
      <c r="H323" s="387">
        <f>G323+18.122</f>
        <v>1260.3120000000001</v>
      </c>
      <c r="I323" s="390"/>
      <c r="J323" s="387"/>
      <c r="K323" s="387">
        <f>73.76+1168.43</f>
        <v>1242.19</v>
      </c>
      <c r="L323" s="387">
        <f>L275-(L279+L283+L287+L291+L295+L299+L303+L307+L311+L315+L319)+1.8</f>
        <v>2867.0909999999994</v>
      </c>
      <c r="M323" s="438"/>
      <c r="N323" s="722" t="s">
        <v>349</v>
      </c>
      <c r="O323" s="718" t="s">
        <v>350</v>
      </c>
      <c r="P323" s="718" t="s">
        <v>351</v>
      </c>
      <c r="Q323" s="718" t="s">
        <v>352</v>
      </c>
      <c r="R323" s="720" t="s">
        <v>353</v>
      </c>
      <c r="S323" s="720">
        <v>8185614</v>
      </c>
      <c r="T323" s="696"/>
      <c r="U323" s="720"/>
      <c r="V323" s="720" t="s">
        <v>355</v>
      </c>
      <c r="W323" s="720" t="s">
        <v>356</v>
      </c>
      <c r="X323" s="720" t="s">
        <v>357</v>
      </c>
      <c r="Y323" s="721">
        <v>8185614</v>
      </c>
      <c r="Z323" s="394"/>
      <c r="AA323" s="395"/>
      <c r="AB323" s="395"/>
      <c r="AC323" s="395"/>
      <c r="AD323" s="395"/>
      <c r="AE323" s="395"/>
      <c r="AF323" s="395"/>
      <c r="AG323" s="395"/>
      <c r="AH323" s="395"/>
      <c r="AI323" s="395"/>
      <c r="AJ323" s="396"/>
      <c r="AK323" s="397"/>
      <c r="AL323" s="397"/>
      <c r="AM323" s="398"/>
      <c r="AN323" s="398"/>
      <c r="AO323" s="398"/>
      <c r="AP323" s="398"/>
      <c r="AQ323" s="398"/>
      <c r="AR323" s="398"/>
      <c r="AS323" s="398"/>
      <c r="AT323" s="5"/>
      <c r="AU323" s="5"/>
      <c r="AV323" s="5"/>
      <c r="AW323" s="5"/>
      <c r="AX323" s="5"/>
      <c r="AY323" s="5"/>
      <c r="AZ323" s="5"/>
      <c r="BA323" s="5"/>
      <c r="BB323" s="5"/>
      <c r="BC323" s="5"/>
    </row>
    <row r="324" spans="1:55" x14ac:dyDescent="0.25">
      <c r="A324" s="713"/>
      <c r="B324" s="696"/>
      <c r="C324" s="696"/>
      <c r="D324" s="384" t="s">
        <v>360</v>
      </c>
      <c r="E324" s="407"/>
      <c r="F324" s="407"/>
      <c r="G324" s="407">
        <f>(G323*$G$276)/$G$275</f>
        <v>85771236.882072613</v>
      </c>
      <c r="H324" s="407">
        <f>(H323*$H$276)/$H$275</f>
        <v>87022532.058154315</v>
      </c>
      <c r="I324" s="443"/>
      <c r="J324" s="407"/>
      <c r="K324" s="407">
        <f>(K323*$K$276)/$K$275</f>
        <v>151102501.08217502</v>
      </c>
      <c r="L324" s="407">
        <v>225303636</v>
      </c>
      <c r="M324" s="452"/>
      <c r="N324" s="696"/>
      <c r="O324" s="696"/>
      <c r="P324" s="696"/>
      <c r="Q324" s="696"/>
      <c r="R324" s="696"/>
      <c r="S324" s="696"/>
      <c r="T324" s="696"/>
      <c r="U324" s="696"/>
      <c r="V324" s="696"/>
      <c r="W324" s="696"/>
      <c r="X324" s="696"/>
      <c r="Y324" s="699"/>
      <c r="Z324" s="394"/>
      <c r="AA324" s="395"/>
      <c r="AB324" s="395"/>
      <c r="AC324" s="395"/>
      <c r="AD324" s="395"/>
      <c r="AE324" s="395"/>
      <c r="AF324" s="395"/>
      <c r="AG324" s="395"/>
      <c r="AH324" s="395"/>
      <c r="AI324" s="395"/>
      <c r="AJ324" s="396"/>
      <c r="AK324" s="397"/>
      <c r="AL324" s="397"/>
      <c r="AM324" s="398"/>
      <c r="AN324" s="398"/>
      <c r="AO324" s="398"/>
      <c r="AP324" s="398"/>
      <c r="AQ324" s="398"/>
      <c r="AR324" s="398"/>
      <c r="AS324" s="398"/>
      <c r="AT324" s="5"/>
      <c r="AU324" s="5"/>
      <c r="AV324" s="5"/>
      <c r="AW324" s="5"/>
      <c r="AX324" s="5"/>
      <c r="AY324" s="5"/>
      <c r="AZ324" s="5"/>
      <c r="BA324" s="5"/>
      <c r="BB324" s="5"/>
      <c r="BC324" s="5"/>
    </row>
    <row r="325" spans="1:55" x14ac:dyDescent="0.25">
      <c r="A325" s="713"/>
      <c r="B325" s="696"/>
      <c r="C325" s="696"/>
      <c r="D325" s="384" t="s">
        <v>365</v>
      </c>
      <c r="E325" s="387"/>
      <c r="F325" s="387"/>
      <c r="G325" s="387">
        <v>0</v>
      </c>
      <c r="H325" s="387">
        <v>0</v>
      </c>
      <c r="I325" s="390"/>
      <c r="J325" s="387"/>
      <c r="K325" s="387">
        <v>0</v>
      </c>
      <c r="L325" s="387">
        <v>0</v>
      </c>
      <c r="M325" s="386"/>
      <c r="N325" s="696"/>
      <c r="O325" s="696"/>
      <c r="P325" s="696"/>
      <c r="Q325" s="696"/>
      <c r="R325" s="696"/>
      <c r="S325" s="696"/>
      <c r="T325" s="696"/>
      <c r="U325" s="696"/>
      <c r="V325" s="696"/>
      <c r="W325" s="696"/>
      <c r="X325" s="696"/>
      <c r="Y325" s="699"/>
      <c r="Z325" s="394"/>
      <c r="AA325" s="395"/>
      <c r="AB325" s="395"/>
      <c r="AC325" s="395"/>
      <c r="AD325" s="395"/>
      <c r="AE325" s="395"/>
      <c r="AF325" s="395"/>
      <c r="AG325" s="395"/>
      <c r="AH325" s="395"/>
      <c r="AI325" s="395"/>
      <c r="AJ325" s="396"/>
      <c r="AK325" s="397"/>
      <c r="AL325" s="397"/>
      <c r="AM325" s="398"/>
      <c r="AN325" s="398"/>
      <c r="AO325" s="398"/>
      <c r="AP325" s="398"/>
      <c r="AQ325" s="398"/>
      <c r="AR325" s="398"/>
      <c r="AS325" s="398"/>
      <c r="AT325" s="5"/>
      <c r="AU325" s="5"/>
      <c r="AV325" s="5"/>
      <c r="AW325" s="5"/>
      <c r="AX325" s="5"/>
      <c r="AY325" s="5"/>
      <c r="AZ325" s="5"/>
      <c r="BA325" s="5"/>
      <c r="BB325" s="5"/>
      <c r="BC325" s="5"/>
    </row>
    <row r="326" spans="1:55" ht="22.5" x14ac:dyDescent="0.25">
      <c r="A326" s="713"/>
      <c r="B326" s="696"/>
      <c r="C326" s="696"/>
      <c r="D326" s="384" t="s">
        <v>370</v>
      </c>
      <c r="E326" s="407"/>
      <c r="F326" s="407"/>
      <c r="G326" s="407">
        <v>0</v>
      </c>
      <c r="H326" s="407">
        <v>0</v>
      </c>
      <c r="I326" s="390"/>
      <c r="J326" s="407"/>
      <c r="K326" s="407">
        <v>0</v>
      </c>
      <c r="L326" s="407">
        <v>0</v>
      </c>
      <c r="M326" s="390"/>
      <c r="N326" s="696"/>
      <c r="O326" s="696"/>
      <c r="P326" s="696"/>
      <c r="Q326" s="696"/>
      <c r="R326" s="696"/>
      <c r="S326" s="696"/>
      <c r="T326" s="696"/>
      <c r="U326" s="696"/>
      <c r="V326" s="696"/>
      <c r="W326" s="696"/>
      <c r="X326" s="696"/>
      <c r="Y326" s="699"/>
      <c r="Z326" s="394"/>
      <c r="AA326" s="395"/>
      <c r="AB326" s="395"/>
      <c r="AC326" s="395"/>
      <c r="AD326" s="395"/>
      <c r="AE326" s="395"/>
      <c r="AF326" s="395"/>
      <c r="AG326" s="395"/>
      <c r="AH326" s="395"/>
      <c r="AI326" s="395"/>
      <c r="AJ326" s="396"/>
      <c r="AK326" s="397"/>
      <c r="AL326" s="397"/>
      <c r="AM326" s="398"/>
      <c r="AN326" s="398"/>
      <c r="AO326" s="398"/>
      <c r="AP326" s="398"/>
      <c r="AQ326" s="398"/>
      <c r="AR326" s="398"/>
      <c r="AS326" s="398"/>
      <c r="AT326" s="5"/>
      <c r="AU326" s="5"/>
      <c r="AV326" s="5"/>
      <c r="AW326" s="5"/>
      <c r="AX326" s="5"/>
      <c r="AY326" s="5"/>
      <c r="AZ326" s="5"/>
      <c r="BA326" s="5"/>
      <c r="BB326" s="5"/>
      <c r="BC326" s="5"/>
    </row>
    <row r="327" spans="1:55" x14ac:dyDescent="0.25">
      <c r="A327" s="713"/>
      <c r="B327" s="696"/>
      <c r="C327" s="732" t="s">
        <v>406</v>
      </c>
      <c r="D327" s="389" t="s">
        <v>348</v>
      </c>
      <c r="E327" s="387">
        <f>E275-$J$275</f>
        <v>5711.1</v>
      </c>
      <c r="F327" s="387">
        <f>F275-$J$275</f>
        <v>5711.1</v>
      </c>
      <c r="G327" s="387">
        <v>3907.11</v>
      </c>
      <c r="H327" s="387">
        <f>H275-(H279+H283+H287+H291+H295+H299+H303+H307+H311+H315+H319+H323)</f>
        <v>3365.5449999999996</v>
      </c>
      <c r="I327" s="390"/>
      <c r="J327" s="387"/>
      <c r="K327" s="387"/>
      <c r="L327" s="387"/>
      <c r="M327" s="438"/>
      <c r="N327" s="722" t="s">
        <v>349</v>
      </c>
      <c r="O327" s="718" t="s">
        <v>350</v>
      </c>
      <c r="P327" s="718" t="s">
        <v>351</v>
      </c>
      <c r="Q327" s="718" t="s">
        <v>352</v>
      </c>
      <c r="R327" s="720" t="s">
        <v>353</v>
      </c>
      <c r="S327" s="720">
        <v>8185614</v>
      </c>
      <c r="T327" s="696"/>
      <c r="U327" s="720"/>
      <c r="V327" s="720" t="s">
        <v>355</v>
      </c>
      <c r="W327" s="720" t="s">
        <v>356</v>
      </c>
      <c r="X327" s="720" t="s">
        <v>357</v>
      </c>
      <c r="Y327" s="721">
        <v>8185614</v>
      </c>
      <c r="Z327" s="394"/>
      <c r="AA327" s="395"/>
      <c r="AB327" s="395"/>
      <c r="AC327" s="395"/>
      <c r="AD327" s="395"/>
      <c r="AE327" s="395"/>
      <c r="AF327" s="395"/>
      <c r="AG327" s="395"/>
      <c r="AH327" s="395"/>
      <c r="AI327" s="395"/>
      <c r="AJ327" s="396"/>
      <c r="AK327" s="397"/>
      <c r="AL327" s="397"/>
      <c r="AM327" s="398"/>
      <c r="AN327" s="398"/>
      <c r="AO327" s="398"/>
      <c r="AP327" s="398"/>
      <c r="AQ327" s="398"/>
      <c r="AR327" s="398"/>
      <c r="AS327" s="398"/>
      <c r="AT327" s="5"/>
      <c r="AU327" s="5"/>
      <c r="AV327" s="5"/>
      <c r="AW327" s="5"/>
      <c r="AX327" s="5"/>
      <c r="AY327" s="5"/>
      <c r="AZ327" s="5"/>
      <c r="BA327" s="5"/>
      <c r="BB327" s="5"/>
      <c r="BC327" s="5"/>
    </row>
    <row r="328" spans="1:55" x14ac:dyDescent="0.25">
      <c r="A328" s="713"/>
      <c r="B328" s="696"/>
      <c r="C328" s="696"/>
      <c r="D328" s="384" t="s">
        <v>360</v>
      </c>
      <c r="E328" s="407">
        <f>(E327*$E$276)/$E$275</f>
        <v>420019825.46822995</v>
      </c>
      <c r="F328" s="407">
        <f>(F327*$F$276)/$F$275</f>
        <v>420019825.46822995</v>
      </c>
      <c r="G328" s="407">
        <f>(G327*$G$276)/$G$275</f>
        <v>269779709.49236006</v>
      </c>
      <c r="H328" s="407">
        <f>(H327*$H$276)/$H$275</f>
        <v>232385510.61614972</v>
      </c>
      <c r="I328" s="443"/>
      <c r="J328" s="407"/>
      <c r="K328" s="407"/>
      <c r="L328" s="407">
        <f>(L327*$L$276)/$L$275</f>
        <v>0</v>
      </c>
      <c r="M328" s="443"/>
      <c r="N328" s="696"/>
      <c r="O328" s="696"/>
      <c r="P328" s="696"/>
      <c r="Q328" s="696"/>
      <c r="R328" s="696"/>
      <c r="S328" s="696"/>
      <c r="T328" s="696"/>
      <c r="U328" s="696"/>
      <c r="V328" s="696"/>
      <c r="W328" s="696"/>
      <c r="X328" s="696"/>
      <c r="Y328" s="699"/>
      <c r="Z328" s="394"/>
      <c r="AA328" s="395"/>
      <c r="AB328" s="395"/>
      <c r="AC328" s="395"/>
      <c r="AD328" s="395"/>
      <c r="AE328" s="395"/>
      <c r="AF328" s="395"/>
      <c r="AG328" s="395"/>
      <c r="AH328" s="395"/>
      <c r="AI328" s="395"/>
      <c r="AJ328" s="396"/>
      <c r="AK328" s="397"/>
      <c r="AL328" s="397"/>
      <c r="AM328" s="398"/>
      <c r="AN328" s="398"/>
      <c r="AO328" s="398"/>
      <c r="AP328" s="398"/>
      <c r="AQ328" s="398"/>
      <c r="AR328" s="398"/>
      <c r="AS328" s="398"/>
      <c r="AT328" s="5"/>
      <c r="AU328" s="5"/>
      <c r="AV328" s="5"/>
      <c r="AW328" s="5"/>
      <c r="AX328" s="5"/>
      <c r="AY328" s="5"/>
      <c r="AZ328" s="5"/>
      <c r="BA328" s="5"/>
      <c r="BB328" s="5"/>
      <c r="BC328" s="5"/>
    </row>
    <row r="329" spans="1:55" x14ac:dyDescent="0.25">
      <c r="A329" s="713"/>
      <c r="B329" s="696"/>
      <c r="C329" s="696"/>
      <c r="D329" s="384" t="s">
        <v>365</v>
      </c>
      <c r="E329" s="387">
        <v>0</v>
      </c>
      <c r="F329" s="387">
        <v>0</v>
      </c>
      <c r="G329" s="387">
        <v>0</v>
      </c>
      <c r="H329" s="387">
        <v>0</v>
      </c>
      <c r="I329" s="390"/>
      <c r="J329" s="387"/>
      <c r="K329" s="387"/>
      <c r="L329" s="387">
        <v>0</v>
      </c>
      <c r="M329" s="386"/>
      <c r="N329" s="696"/>
      <c r="O329" s="696"/>
      <c r="P329" s="696"/>
      <c r="Q329" s="696"/>
      <c r="R329" s="696"/>
      <c r="S329" s="696"/>
      <c r="T329" s="696"/>
      <c r="U329" s="696"/>
      <c r="V329" s="696"/>
      <c r="W329" s="696"/>
      <c r="X329" s="696"/>
      <c r="Y329" s="699"/>
      <c r="Z329" s="394"/>
      <c r="AA329" s="395"/>
      <c r="AB329" s="395"/>
      <c r="AC329" s="395"/>
      <c r="AD329" s="395"/>
      <c r="AE329" s="395"/>
      <c r="AF329" s="395"/>
      <c r="AG329" s="395"/>
      <c r="AH329" s="395"/>
      <c r="AI329" s="395"/>
      <c r="AJ329" s="396"/>
      <c r="AK329" s="397"/>
      <c r="AL329" s="397"/>
      <c r="AM329" s="398"/>
      <c r="AN329" s="398"/>
      <c r="AO329" s="398"/>
      <c r="AP329" s="398"/>
      <c r="AQ329" s="398"/>
      <c r="AR329" s="398"/>
      <c r="AS329" s="398"/>
      <c r="AT329" s="5"/>
      <c r="AU329" s="5"/>
      <c r="AV329" s="5"/>
      <c r="AW329" s="5"/>
      <c r="AX329" s="5"/>
      <c r="AY329" s="5"/>
      <c r="AZ329" s="5"/>
      <c r="BA329" s="5"/>
      <c r="BB329" s="5"/>
      <c r="BC329" s="5"/>
    </row>
    <row r="330" spans="1:55" ht="22.5" x14ac:dyDescent="0.25">
      <c r="A330" s="713"/>
      <c r="B330" s="696"/>
      <c r="C330" s="696"/>
      <c r="D330" s="384" t="s">
        <v>370</v>
      </c>
      <c r="E330" s="407">
        <f t="shared" ref="E330:H330" si="29">E278</f>
        <v>83703767</v>
      </c>
      <c r="F330" s="407">
        <f t="shared" si="29"/>
        <v>83703767</v>
      </c>
      <c r="G330" s="407">
        <f t="shared" si="29"/>
        <v>83023500</v>
      </c>
      <c r="H330" s="407">
        <f t="shared" si="29"/>
        <v>83023500</v>
      </c>
      <c r="I330" s="390"/>
      <c r="J330" s="407">
        <f t="shared" ref="J330:L330" si="30">J278</f>
        <v>42165774</v>
      </c>
      <c r="K330" s="407">
        <f t="shared" si="30"/>
        <v>74091367</v>
      </c>
      <c r="L330" s="407">
        <f t="shared" si="30"/>
        <v>76828634</v>
      </c>
      <c r="M330" s="390"/>
      <c r="N330" s="696"/>
      <c r="O330" s="696"/>
      <c r="P330" s="696"/>
      <c r="Q330" s="696"/>
      <c r="R330" s="696"/>
      <c r="S330" s="696"/>
      <c r="T330" s="696"/>
      <c r="U330" s="696"/>
      <c r="V330" s="696"/>
      <c r="W330" s="696"/>
      <c r="X330" s="696"/>
      <c r="Y330" s="699"/>
      <c r="Z330" s="394"/>
      <c r="AA330" s="395"/>
      <c r="AB330" s="395"/>
      <c r="AC330" s="395"/>
      <c r="AD330" s="395"/>
      <c r="AE330" s="395"/>
      <c r="AF330" s="395"/>
      <c r="AG330" s="395"/>
      <c r="AH330" s="395"/>
      <c r="AI330" s="395"/>
      <c r="AJ330" s="396"/>
      <c r="AK330" s="397"/>
      <c r="AL330" s="397"/>
      <c r="AM330" s="398"/>
      <c r="AN330" s="398"/>
      <c r="AO330" s="398"/>
      <c r="AP330" s="398"/>
      <c r="AQ330" s="398"/>
      <c r="AR330" s="398"/>
      <c r="AS330" s="398"/>
      <c r="AT330" s="5"/>
      <c r="AU330" s="5"/>
      <c r="AV330" s="5"/>
      <c r="AW330" s="5"/>
      <c r="AX330" s="5"/>
      <c r="AY330" s="5"/>
      <c r="AZ330" s="5"/>
      <c r="BA330" s="5"/>
      <c r="BB330" s="5"/>
      <c r="BC330" s="5"/>
    </row>
    <row r="331" spans="1:55" x14ac:dyDescent="0.25">
      <c r="A331" s="713"/>
      <c r="B331" s="696"/>
      <c r="C331" s="722" t="s">
        <v>408</v>
      </c>
      <c r="D331" s="391" t="s">
        <v>348</v>
      </c>
      <c r="E331" s="445">
        <f t="shared" ref="E331:G334" si="31">E283+E287+E291+E295+E299+E303+E307+E311+E315+E327+E279+E319+E323</f>
        <v>6610</v>
      </c>
      <c r="F331" s="445">
        <f t="shared" si="31"/>
        <v>6610</v>
      </c>
      <c r="G331" s="445">
        <f t="shared" si="31"/>
        <v>6610</v>
      </c>
      <c r="H331" s="445">
        <f>H283+H287+H291+H295+H299+H303+H307+H311+H315+H323+H279+H327+H319</f>
        <v>6610</v>
      </c>
      <c r="I331" s="445">
        <f t="shared" ref="I331:I334" si="32">I283+I287+I291+I295+I299+I303+I307+I311+I315+I323+I279</f>
        <v>0</v>
      </c>
      <c r="J331" s="445">
        <f t="shared" ref="J331:L334" si="33">J283+J287+J291+J295+J299+J303+J307+J311+J315+J327+J279+J319+J323</f>
        <v>898.90000000000009</v>
      </c>
      <c r="K331" s="445">
        <f t="shared" si="33"/>
        <v>2702.8900000000003</v>
      </c>
      <c r="L331" s="445">
        <f>L279+L283+L287+L291+L295+L299+L303+L307+L311+L315+L319+L323</f>
        <v>4838.3099999999995</v>
      </c>
      <c r="M331" s="393"/>
      <c r="N331" s="718"/>
      <c r="O331" s="696"/>
      <c r="P331" s="696"/>
      <c r="Q331" s="696"/>
      <c r="R331" s="696"/>
      <c r="S331" s="696"/>
      <c r="T331" s="696"/>
      <c r="U331" s="696"/>
      <c r="V331" s="696"/>
      <c r="W331" s="696"/>
      <c r="X331" s="696"/>
      <c r="Y331" s="699"/>
      <c r="Z331" s="394"/>
      <c r="AA331" s="395"/>
      <c r="AB331" s="395"/>
      <c r="AC331" s="395"/>
      <c r="AD331" s="395"/>
      <c r="AE331" s="395"/>
      <c r="AF331" s="395"/>
      <c r="AG331" s="395"/>
      <c r="AH331" s="395"/>
      <c r="AI331" s="395"/>
      <c r="AJ331" s="396"/>
      <c r="AK331" s="397"/>
      <c r="AL331" s="397"/>
      <c r="AM331" s="398"/>
      <c r="AN331" s="398"/>
      <c r="AO331" s="398"/>
      <c r="AP331" s="398"/>
      <c r="AQ331" s="398"/>
      <c r="AR331" s="398"/>
      <c r="AS331" s="398"/>
      <c r="AT331" s="398"/>
      <c r="AU331" s="398"/>
      <c r="AV331" s="398"/>
      <c r="AW331" s="398"/>
      <c r="AX331" s="398"/>
      <c r="AY331" s="398"/>
      <c r="AZ331" s="398"/>
      <c r="BA331" s="398"/>
      <c r="BB331" s="398"/>
      <c r="BC331" s="398"/>
    </row>
    <row r="332" spans="1:55" x14ac:dyDescent="0.25">
      <c r="A332" s="713"/>
      <c r="B332" s="696"/>
      <c r="C332" s="696"/>
      <c r="D332" s="399" t="s">
        <v>360</v>
      </c>
      <c r="E332" s="447">
        <f t="shared" si="31"/>
        <v>486128950</v>
      </c>
      <c r="F332" s="447">
        <f t="shared" si="31"/>
        <v>486128950</v>
      </c>
      <c r="G332" s="447">
        <f t="shared" si="31"/>
        <v>456409950</v>
      </c>
      <c r="H332" s="447">
        <f>H284+H288+H292+H296+H300+H304+H308+H312+H316+H324+H280+H328+H320</f>
        <v>456409949.99999994</v>
      </c>
      <c r="I332" s="445">
        <f t="shared" si="32"/>
        <v>0</v>
      </c>
      <c r="J332" s="447">
        <f t="shared" si="33"/>
        <v>238556812</v>
      </c>
      <c r="K332" s="447">
        <f t="shared" si="33"/>
        <v>328785000</v>
      </c>
      <c r="L332" s="447">
        <f t="shared" si="33"/>
        <v>436345003.96057492</v>
      </c>
      <c r="M332" s="393"/>
      <c r="N332" s="696"/>
      <c r="O332" s="719"/>
      <c r="P332" s="719"/>
      <c r="Q332" s="719"/>
      <c r="R332" s="719"/>
      <c r="S332" s="719"/>
      <c r="T332" s="719"/>
      <c r="U332" s="719"/>
      <c r="V332" s="719"/>
      <c r="W332" s="719"/>
      <c r="X332" s="719"/>
      <c r="Y332" s="699"/>
      <c r="Z332" s="394"/>
      <c r="AA332" s="395"/>
      <c r="AB332" s="395"/>
      <c r="AC332" s="395"/>
      <c r="AD332" s="395"/>
      <c r="AE332" s="395"/>
      <c r="AF332" s="395"/>
      <c r="AG332" s="395"/>
      <c r="AH332" s="395"/>
      <c r="AI332" s="395"/>
      <c r="AJ332" s="396"/>
      <c r="AK332" s="397"/>
      <c r="AL332" s="397"/>
      <c r="AM332" s="398"/>
      <c r="AN332" s="398"/>
      <c r="AO332" s="398"/>
      <c r="AP332" s="398"/>
      <c r="AQ332" s="398"/>
      <c r="AR332" s="398"/>
      <c r="AS332" s="398"/>
      <c r="AT332" s="398"/>
      <c r="AU332" s="398"/>
      <c r="AV332" s="398"/>
      <c r="AW332" s="398"/>
      <c r="AX332" s="398"/>
      <c r="AY332" s="398"/>
      <c r="AZ332" s="398"/>
      <c r="BA332" s="398"/>
      <c r="BB332" s="398"/>
      <c r="BC332" s="398"/>
    </row>
    <row r="333" spans="1:55" ht="22.5" x14ac:dyDescent="0.25">
      <c r="A333" s="713"/>
      <c r="B333" s="696"/>
      <c r="C333" s="696"/>
      <c r="D333" s="399" t="s">
        <v>365</v>
      </c>
      <c r="E333" s="445">
        <f t="shared" si="31"/>
        <v>0</v>
      </c>
      <c r="F333" s="445">
        <f t="shared" si="31"/>
        <v>0</v>
      </c>
      <c r="G333" s="445">
        <f t="shared" si="31"/>
        <v>0</v>
      </c>
      <c r="H333" s="445">
        <f t="shared" ref="H333:H334" si="34">H285+H289+H293+H297+H301+H305+H309+H313+H317+H325+H281+H329</f>
        <v>0</v>
      </c>
      <c r="I333" s="445">
        <f t="shared" si="32"/>
        <v>0</v>
      </c>
      <c r="J333" s="445">
        <f t="shared" si="33"/>
        <v>0</v>
      </c>
      <c r="K333" s="445">
        <f t="shared" si="33"/>
        <v>0</v>
      </c>
      <c r="L333" s="445">
        <f t="shared" ref="L333:L334" si="35">L285+L289+L293+L297+L301+L305+L309+L313+L317+L325+L281+L329</f>
        <v>0</v>
      </c>
      <c r="M333" s="393"/>
      <c r="N333" s="696"/>
      <c r="O333" s="719"/>
      <c r="P333" s="719"/>
      <c r="Q333" s="719"/>
      <c r="R333" s="719"/>
      <c r="S333" s="719"/>
      <c r="T333" s="719"/>
      <c r="U333" s="719"/>
      <c r="V333" s="719"/>
      <c r="W333" s="719"/>
      <c r="X333" s="719"/>
      <c r="Y333" s="699"/>
      <c r="Z333" s="394"/>
      <c r="AA333" s="395"/>
      <c r="AB333" s="395"/>
      <c r="AC333" s="395"/>
      <c r="AD333" s="395"/>
      <c r="AE333" s="395"/>
      <c r="AF333" s="395"/>
      <c r="AG333" s="395"/>
      <c r="AH333" s="395"/>
      <c r="AI333" s="395"/>
      <c r="AJ333" s="396"/>
      <c r="AK333" s="397"/>
      <c r="AL333" s="397"/>
      <c r="AM333" s="398"/>
      <c r="AN333" s="398"/>
      <c r="AO333" s="398"/>
      <c r="AP333" s="398"/>
      <c r="AQ333" s="398"/>
      <c r="AR333" s="398"/>
      <c r="AS333" s="398"/>
      <c r="AT333" s="398"/>
      <c r="AU333" s="398"/>
      <c r="AV333" s="398"/>
      <c r="AW333" s="398"/>
      <c r="AX333" s="398"/>
      <c r="AY333" s="398"/>
      <c r="AZ333" s="398"/>
      <c r="BA333" s="398"/>
      <c r="BB333" s="398"/>
      <c r="BC333" s="398"/>
    </row>
    <row r="334" spans="1:55" ht="23.25" thickBot="1" x14ac:dyDescent="0.3">
      <c r="A334" s="714"/>
      <c r="B334" s="697"/>
      <c r="C334" s="697"/>
      <c r="D334" s="402" t="s">
        <v>370</v>
      </c>
      <c r="E334" s="449">
        <f t="shared" si="31"/>
        <v>83703767</v>
      </c>
      <c r="F334" s="449">
        <f t="shared" si="31"/>
        <v>83703767</v>
      </c>
      <c r="G334" s="449">
        <f t="shared" si="31"/>
        <v>83023500</v>
      </c>
      <c r="H334" s="449">
        <f t="shared" si="34"/>
        <v>83023500</v>
      </c>
      <c r="I334" s="453">
        <f t="shared" si="32"/>
        <v>0</v>
      </c>
      <c r="J334" s="449">
        <f t="shared" si="33"/>
        <v>42165774</v>
      </c>
      <c r="K334" s="449">
        <f t="shared" si="33"/>
        <v>74091367</v>
      </c>
      <c r="L334" s="449">
        <f t="shared" si="35"/>
        <v>76828634</v>
      </c>
      <c r="M334" s="404"/>
      <c r="N334" s="697"/>
      <c r="O334" s="697"/>
      <c r="P334" s="697"/>
      <c r="Q334" s="697"/>
      <c r="R334" s="697"/>
      <c r="S334" s="697"/>
      <c r="T334" s="697"/>
      <c r="U334" s="697"/>
      <c r="V334" s="697"/>
      <c r="W334" s="697"/>
      <c r="X334" s="697"/>
      <c r="Y334" s="700"/>
      <c r="Z334" s="394"/>
      <c r="AA334" s="395"/>
      <c r="AB334" s="395"/>
      <c r="AC334" s="395"/>
      <c r="AD334" s="395"/>
      <c r="AE334" s="395"/>
      <c r="AF334" s="395"/>
      <c r="AG334" s="395"/>
      <c r="AH334" s="395"/>
      <c r="AI334" s="395"/>
      <c r="AJ334" s="396"/>
      <c r="AK334" s="397"/>
      <c r="AL334" s="397"/>
      <c r="AM334" s="398"/>
      <c r="AN334" s="398"/>
      <c r="AO334" s="398"/>
      <c r="AP334" s="398"/>
      <c r="AQ334" s="398"/>
      <c r="AR334" s="398"/>
      <c r="AS334" s="398"/>
      <c r="AT334" s="398"/>
      <c r="AU334" s="398"/>
      <c r="AV334" s="398"/>
      <c r="AW334" s="398"/>
      <c r="AX334" s="398"/>
      <c r="AY334" s="398"/>
      <c r="AZ334" s="398"/>
      <c r="BA334" s="398"/>
      <c r="BB334" s="398"/>
      <c r="BC334" s="398"/>
    </row>
    <row r="335" spans="1:55" ht="22.5" x14ac:dyDescent="0.25">
      <c r="A335" s="712">
        <v>9</v>
      </c>
      <c r="B335" s="710" t="s">
        <v>178</v>
      </c>
      <c r="C335" s="710" t="s">
        <v>518</v>
      </c>
      <c r="D335" s="405" t="s">
        <v>348</v>
      </c>
      <c r="E335" s="426">
        <v>1941</v>
      </c>
      <c r="F335" s="426">
        <v>1941</v>
      </c>
      <c r="G335" s="426">
        <v>1941</v>
      </c>
      <c r="H335" s="426">
        <f>[1]INVERSIÓN!V57</f>
        <v>1941</v>
      </c>
      <c r="I335" s="380"/>
      <c r="J335" s="426">
        <v>368</v>
      </c>
      <c r="K335" s="426">
        <v>899</v>
      </c>
      <c r="L335" s="426">
        <f>[1]INVERSIÓN!AL57</f>
        <v>1218</v>
      </c>
      <c r="M335" s="380"/>
      <c r="N335" s="710" t="s">
        <v>349</v>
      </c>
      <c r="O335" s="710" t="s">
        <v>104</v>
      </c>
      <c r="P335" s="710" t="s">
        <v>104</v>
      </c>
      <c r="Q335" s="710" t="s">
        <v>104</v>
      </c>
      <c r="R335" s="716" t="s">
        <v>353</v>
      </c>
      <c r="S335" s="695">
        <v>8185614</v>
      </c>
      <c r="T335" s="711"/>
      <c r="U335" s="695" t="s">
        <v>354</v>
      </c>
      <c r="V335" s="695" t="s">
        <v>355</v>
      </c>
      <c r="W335" s="695" t="s">
        <v>356</v>
      </c>
      <c r="X335" s="695" t="s">
        <v>357</v>
      </c>
      <c r="Y335" s="698">
        <v>8185614</v>
      </c>
      <c r="Z335" s="381"/>
      <c r="AA335" s="382">
        <v>12</v>
      </c>
      <c r="AB335" s="382" t="s">
        <v>358</v>
      </c>
      <c r="AC335" s="382"/>
      <c r="AD335" s="382"/>
      <c r="AE335" s="382"/>
      <c r="AF335" s="382" t="s">
        <v>359</v>
      </c>
      <c r="AG335" s="382"/>
      <c r="AH335" s="382"/>
      <c r="AI335" s="382"/>
      <c r="AJ335" s="383"/>
      <c r="AK335" s="171"/>
      <c r="AL335" s="171"/>
      <c r="AM335" s="19"/>
      <c r="AN335" s="19"/>
      <c r="AO335" s="19"/>
      <c r="AP335" s="19"/>
      <c r="AQ335" s="19"/>
      <c r="AR335" s="19"/>
      <c r="AS335" s="19"/>
      <c r="AT335" s="5"/>
      <c r="AU335" s="5"/>
      <c r="AV335" s="5"/>
      <c r="AW335" s="5"/>
      <c r="AX335" s="5"/>
      <c r="AY335" s="5"/>
      <c r="AZ335" s="5"/>
      <c r="BA335" s="5"/>
      <c r="BB335" s="5"/>
      <c r="BC335" s="5"/>
    </row>
    <row r="336" spans="1:55" ht="45" x14ac:dyDescent="0.25">
      <c r="A336" s="713"/>
      <c r="B336" s="696"/>
      <c r="C336" s="696"/>
      <c r="D336" s="384" t="s">
        <v>360</v>
      </c>
      <c r="E336" s="427">
        <v>191581030</v>
      </c>
      <c r="F336" s="427">
        <v>191581030</v>
      </c>
      <c r="G336" s="427">
        <v>191581030</v>
      </c>
      <c r="H336" s="427">
        <f>[1]INVERSIÓN!V58</f>
        <v>191581030</v>
      </c>
      <c r="I336" s="390"/>
      <c r="J336" s="427">
        <v>115478000</v>
      </c>
      <c r="K336" s="427">
        <v>115478000</v>
      </c>
      <c r="L336" s="427">
        <f>[1]INVERSIÓN!AL58</f>
        <v>144263000</v>
      </c>
      <c r="M336" s="390"/>
      <c r="N336" s="696"/>
      <c r="O336" s="696"/>
      <c r="P336" s="696"/>
      <c r="Q336" s="696"/>
      <c r="R336" s="696"/>
      <c r="S336" s="696"/>
      <c r="T336" s="696"/>
      <c r="U336" s="696"/>
      <c r="V336" s="696"/>
      <c r="W336" s="696"/>
      <c r="X336" s="696"/>
      <c r="Y336" s="699"/>
      <c r="Z336" s="381"/>
      <c r="AA336" s="382">
        <v>13</v>
      </c>
      <c r="AB336" s="382" t="s">
        <v>363</v>
      </c>
      <c r="AC336" s="382"/>
      <c r="AD336" s="382"/>
      <c r="AE336" s="382"/>
      <c r="AF336" s="382" t="s">
        <v>364</v>
      </c>
      <c r="AG336" s="382"/>
      <c r="AH336" s="382"/>
      <c r="AI336" s="382"/>
      <c r="AJ336" s="383"/>
      <c r="AK336" s="171"/>
      <c r="AL336" s="171"/>
      <c r="AM336" s="19"/>
      <c r="AN336" s="19"/>
      <c r="AO336" s="19"/>
      <c r="AP336" s="19"/>
      <c r="AQ336" s="19"/>
      <c r="AR336" s="19"/>
      <c r="AS336" s="19"/>
      <c r="AT336" s="5"/>
      <c r="AU336" s="5"/>
      <c r="AV336" s="5"/>
      <c r="AW336" s="5"/>
      <c r="AX336" s="5"/>
      <c r="AY336" s="5"/>
      <c r="AZ336" s="5"/>
      <c r="BA336" s="5"/>
      <c r="BB336" s="5"/>
      <c r="BC336" s="5"/>
    </row>
    <row r="337" spans="1:55" ht="78.75" x14ac:dyDescent="0.25">
      <c r="A337" s="713"/>
      <c r="B337" s="696"/>
      <c r="C337" s="696"/>
      <c r="D337" s="384" t="s">
        <v>365</v>
      </c>
      <c r="E337" s="428">
        <v>0</v>
      </c>
      <c r="F337" s="428">
        <v>0</v>
      </c>
      <c r="G337" s="428">
        <v>0</v>
      </c>
      <c r="H337" s="428">
        <f>[1]INVERSIÓN!V59</f>
        <v>0</v>
      </c>
      <c r="I337" s="390"/>
      <c r="J337" s="428">
        <v>0</v>
      </c>
      <c r="K337" s="428">
        <v>0</v>
      </c>
      <c r="L337" s="428">
        <f>[1]INVERSIÓN!AL59</f>
        <v>0</v>
      </c>
      <c r="M337" s="386"/>
      <c r="N337" s="696"/>
      <c r="O337" s="696"/>
      <c r="P337" s="696"/>
      <c r="Q337" s="696"/>
      <c r="R337" s="696"/>
      <c r="S337" s="696"/>
      <c r="T337" s="696"/>
      <c r="U337" s="696"/>
      <c r="V337" s="696"/>
      <c r="W337" s="696"/>
      <c r="X337" s="696"/>
      <c r="Y337" s="699"/>
      <c r="Z337" s="381"/>
      <c r="AA337" s="382">
        <v>14</v>
      </c>
      <c r="AB337" s="382" t="s">
        <v>367</v>
      </c>
      <c r="AC337" s="382"/>
      <c r="AD337" s="382"/>
      <c r="AE337" s="382"/>
      <c r="AF337" s="382" t="s">
        <v>369</v>
      </c>
      <c r="AG337" s="382"/>
      <c r="AH337" s="382"/>
      <c r="AI337" s="382"/>
      <c r="AJ337" s="383"/>
      <c r="AK337" s="171"/>
      <c r="AL337" s="171"/>
      <c r="AM337" s="19"/>
      <c r="AN337" s="19"/>
      <c r="AO337" s="19"/>
      <c r="AP337" s="19"/>
      <c r="AQ337" s="19"/>
      <c r="AR337" s="19"/>
      <c r="AS337" s="19"/>
      <c r="AT337" s="5"/>
      <c r="AU337" s="5"/>
      <c r="AV337" s="5"/>
      <c r="AW337" s="5"/>
      <c r="AX337" s="5"/>
      <c r="AY337" s="5"/>
      <c r="AZ337" s="5"/>
      <c r="BA337" s="5"/>
      <c r="BB337" s="5"/>
      <c r="BC337" s="5"/>
    </row>
    <row r="338" spans="1:55" ht="22.5" x14ac:dyDescent="0.25">
      <c r="A338" s="713"/>
      <c r="B338" s="696"/>
      <c r="C338" s="696"/>
      <c r="D338" s="386" t="s">
        <v>370</v>
      </c>
      <c r="E338" s="407">
        <v>38648633</v>
      </c>
      <c r="F338" s="407">
        <v>38648633</v>
      </c>
      <c r="G338" s="407">
        <v>38648633</v>
      </c>
      <c r="H338" s="407">
        <f>[1]INVERSIÓN!V60</f>
        <v>38648633</v>
      </c>
      <c r="I338" s="390"/>
      <c r="J338" s="407">
        <v>25744333</v>
      </c>
      <c r="K338" s="407">
        <f>[1]INVERSIÓN!AK60</f>
        <v>35464633</v>
      </c>
      <c r="L338" s="407">
        <f>[1]INVERSIÓN!AL60</f>
        <v>38648633</v>
      </c>
      <c r="M338" s="390"/>
      <c r="N338" s="696"/>
      <c r="O338" s="696"/>
      <c r="P338" s="696"/>
      <c r="Q338" s="696"/>
      <c r="R338" s="696"/>
      <c r="S338" s="696"/>
      <c r="T338" s="696"/>
      <c r="U338" s="696"/>
      <c r="V338" s="696"/>
      <c r="W338" s="696"/>
      <c r="X338" s="696"/>
      <c r="Y338" s="699"/>
      <c r="Z338" s="381"/>
      <c r="AA338" s="382"/>
      <c r="AB338" s="382"/>
      <c r="AC338" s="382"/>
      <c r="AD338" s="382"/>
      <c r="AE338" s="382"/>
      <c r="AF338" s="382"/>
      <c r="AG338" s="382"/>
      <c r="AH338" s="382"/>
      <c r="AI338" s="382"/>
      <c r="AJ338" s="383"/>
      <c r="AK338" s="171"/>
      <c r="AL338" s="171"/>
      <c r="AM338" s="19"/>
      <c r="AN338" s="19"/>
      <c r="AO338" s="19"/>
      <c r="AP338" s="19"/>
      <c r="AQ338" s="19"/>
      <c r="AR338" s="19"/>
      <c r="AS338" s="19"/>
      <c r="AT338" s="5"/>
      <c r="AU338" s="5"/>
      <c r="AV338" s="5"/>
      <c r="AW338" s="5"/>
      <c r="AX338" s="5"/>
      <c r="AY338" s="5"/>
      <c r="AZ338" s="5"/>
      <c r="BA338" s="5"/>
      <c r="BB338" s="5"/>
      <c r="BC338" s="5"/>
    </row>
    <row r="339" spans="1:55" x14ac:dyDescent="0.25">
      <c r="A339" s="713"/>
      <c r="B339" s="696"/>
      <c r="C339" s="701" t="s">
        <v>417</v>
      </c>
      <c r="D339" s="391" t="s">
        <v>348</v>
      </c>
      <c r="E339" s="392">
        <v>1941</v>
      </c>
      <c r="F339" s="392">
        <f t="shared" ref="F339:H342" si="36">F335</f>
        <v>1941</v>
      </c>
      <c r="G339" s="392">
        <f t="shared" si="36"/>
        <v>1941</v>
      </c>
      <c r="H339" s="392">
        <f t="shared" si="36"/>
        <v>1941</v>
      </c>
      <c r="I339" s="408"/>
      <c r="J339" s="392">
        <f t="shared" ref="J339:L342" si="37">J335</f>
        <v>368</v>
      </c>
      <c r="K339" s="392">
        <f t="shared" si="37"/>
        <v>899</v>
      </c>
      <c r="L339" s="392">
        <f t="shared" si="37"/>
        <v>1218</v>
      </c>
      <c r="M339" s="393"/>
      <c r="N339" s="696"/>
      <c r="O339" s="696"/>
      <c r="P339" s="696"/>
      <c r="Q339" s="696"/>
      <c r="R339" s="696"/>
      <c r="S339" s="696"/>
      <c r="T339" s="696"/>
      <c r="U339" s="696"/>
      <c r="V339" s="696"/>
      <c r="W339" s="696"/>
      <c r="X339" s="696"/>
      <c r="Y339" s="699"/>
      <c r="Z339" s="394"/>
      <c r="AA339" s="395"/>
      <c r="AB339" s="395"/>
      <c r="AC339" s="395"/>
      <c r="AD339" s="395"/>
      <c r="AE339" s="395"/>
      <c r="AF339" s="395"/>
      <c r="AG339" s="395"/>
      <c r="AH339" s="395"/>
      <c r="AI339" s="395"/>
      <c r="AJ339" s="396"/>
      <c r="AK339" s="397"/>
      <c r="AL339" s="397"/>
      <c r="AM339" s="398"/>
      <c r="AN339" s="398"/>
      <c r="AO339" s="398"/>
      <c r="AP339" s="398"/>
      <c r="AQ339" s="398"/>
      <c r="AR339" s="398"/>
      <c r="AS339" s="398"/>
      <c r="AT339" s="398"/>
      <c r="AU339" s="398"/>
      <c r="AV339" s="398"/>
      <c r="AW339" s="398"/>
      <c r="AX339" s="398"/>
      <c r="AY339" s="398"/>
      <c r="AZ339" s="398"/>
      <c r="BA339" s="398"/>
      <c r="BB339" s="398"/>
      <c r="BC339" s="398"/>
    </row>
    <row r="340" spans="1:55" x14ac:dyDescent="0.25">
      <c r="A340" s="713"/>
      <c r="B340" s="696"/>
      <c r="C340" s="696"/>
      <c r="D340" s="399" t="s">
        <v>360</v>
      </c>
      <c r="E340" s="400">
        <v>191581030</v>
      </c>
      <c r="F340" s="400">
        <f t="shared" si="36"/>
        <v>191581030</v>
      </c>
      <c r="G340" s="400">
        <f t="shared" si="36"/>
        <v>191581030</v>
      </c>
      <c r="H340" s="400">
        <f t="shared" si="36"/>
        <v>191581030</v>
      </c>
      <c r="I340" s="408"/>
      <c r="J340" s="400">
        <f t="shared" si="37"/>
        <v>115478000</v>
      </c>
      <c r="K340" s="400">
        <f t="shared" si="37"/>
        <v>115478000</v>
      </c>
      <c r="L340" s="400">
        <f t="shared" si="37"/>
        <v>144263000</v>
      </c>
      <c r="M340" s="393"/>
      <c r="N340" s="696"/>
      <c r="O340" s="696"/>
      <c r="P340" s="696"/>
      <c r="Q340" s="696"/>
      <c r="R340" s="696"/>
      <c r="S340" s="696"/>
      <c r="T340" s="696"/>
      <c r="U340" s="696"/>
      <c r="V340" s="696"/>
      <c r="W340" s="696"/>
      <c r="X340" s="696"/>
      <c r="Y340" s="699"/>
      <c r="Z340" s="394"/>
      <c r="AA340" s="395"/>
      <c r="AB340" s="395"/>
      <c r="AC340" s="395"/>
      <c r="AD340" s="395"/>
      <c r="AE340" s="395"/>
      <c r="AF340" s="395"/>
      <c r="AG340" s="395"/>
      <c r="AH340" s="395"/>
      <c r="AI340" s="395"/>
      <c r="AJ340" s="396"/>
      <c r="AK340" s="397"/>
      <c r="AL340" s="397"/>
      <c r="AM340" s="398"/>
      <c r="AN340" s="398"/>
      <c r="AO340" s="398"/>
      <c r="AP340" s="398"/>
      <c r="AQ340" s="398"/>
      <c r="AR340" s="398"/>
      <c r="AS340" s="398"/>
      <c r="AT340" s="398"/>
      <c r="AU340" s="398"/>
      <c r="AV340" s="398"/>
      <c r="AW340" s="398"/>
      <c r="AX340" s="398"/>
      <c r="AY340" s="398"/>
      <c r="AZ340" s="398"/>
      <c r="BA340" s="398"/>
      <c r="BB340" s="398"/>
      <c r="BC340" s="398"/>
    </row>
    <row r="341" spans="1:55" ht="22.5" x14ac:dyDescent="0.25">
      <c r="A341" s="713"/>
      <c r="B341" s="696"/>
      <c r="C341" s="696"/>
      <c r="D341" s="399" t="s">
        <v>365</v>
      </c>
      <c r="E341" s="392">
        <v>0</v>
      </c>
      <c r="F341" s="392">
        <f t="shared" si="36"/>
        <v>0</v>
      </c>
      <c r="G341" s="392">
        <f t="shared" si="36"/>
        <v>0</v>
      </c>
      <c r="H341" s="392">
        <f t="shared" si="36"/>
        <v>0</v>
      </c>
      <c r="I341" s="409"/>
      <c r="J341" s="392">
        <f t="shared" si="37"/>
        <v>0</v>
      </c>
      <c r="K341" s="392">
        <f t="shared" si="37"/>
        <v>0</v>
      </c>
      <c r="L341" s="392">
        <f t="shared" si="37"/>
        <v>0</v>
      </c>
      <c r="M341" s="393"/>
      <c r="N341" s="696"/>
      <c r="O341" s="696"/>
      <c r="P341" s="696"/>
      <c r="Q341" s="696"/>
      <c r="R341" s="696"/>
      <c r="S341" s="696"/>
      <c r="T341" s="696"/>
      <c r="U341" s="696"/>
      <c r="V341" s="696"/>
      <c r="W341" s="696"/>
      <c r="X341" s="696"/>
      <c r="Y341" s="699"/>
      <c r="Z341" s="394"/>
      <c r="AA341" s="395"/>
      <c r="AB341" s="395"/>
      <c r="AC341" s="395"/>
      <c r="AD341" s="395"/>
      <c r="AE341" s="395"/>
      <c r="AF341" s="395"/>
      <c r="AG341" s="395"/>
      <c r="AH341" s="395"/>
      <c r="AI341" s="395"/>
      <c r="AJ341" s="396"/>
      <c r="AK341" s="397"/>
      <c r="AL341" s="397"/>
      <c r="AM341" s="398"/>
      <c r="AN341" s="398"/>
      <c r="AO341" s="398"/>
      <c r="AP341" s="398"/>
      <c r="AQ341" s="398"/>
      <c r="AR341" s="398"/>
      <c r="AS341" s="398"/>
      <c r="AT341" s="398"/>
      <c r="AU341" s="398"/>
      <c r="AV341" s="398"/>
      <c r="AW341" s="398"/>
      <c r="AX341" s="398"/>
      <c r="AY341" s="398"/>
      <c r="AZ341" s="398"/>
      <c r="BA341" s="398"/>
      <c r="BB341" s="398"/>
      <c r="BC341" s="398"/>
    </row>
    <row r="342" spans="1:55" ht="23.25" thickBot="1" x14ac:dyDescent="0.3">
      <c r="A342" s="714"/>
      <c r="B342" s="697"/>
      <c r="C342" s="697"/>
      <c r="D342" s="402" t="s">
        <v>370</v>
      </c>
      <c r="E342" s="403">
        <v>38648633</v>
      </c>
      <c r="F342" s="403">
        <f t="shared" si="36"/>
        <v>38648633</v>
      </c>
      <c r="G342" s="403">
        <f t="shared" si="36"/>
        <v>38648633</v>
      </c>
      <c r="H342" s="403">
        <f t="shared" si="36"/>
        <v>38648633</v>
      </c>
      <c r="I342" s="410"/>
      <c r="J342" s="403">
        <f t="shared" si="37"/>
        <v>25744333</v>
      </c>
      <c r="K342" s="403">
        <f t="shared" si="37"/>
        <v>35464633</v>
      </c>
      <c r="L342" s="403">
        <f t="shared" si="37"/>
        <v>38648633</v>
      </c>
      <c r="M342" s="404"/>
      <c r="N342" s="697"/>
      <c r="O342" s="697"/>
      <c r="P342" s="697"/>
      <c r="Q342" s="697"/>
      <c r="R342" s="697"/>
      <c r="S342" s="697"/>
      <c r="T342" s="697"/>
      <c r="U342" s="697"/>
      <c r="V342" s="697"/>
      <c r="W342" s="697"/>
      <c r="X342" s="697"/>
      <c r="Y342" s="700"/>
      <c r="Z342" s="394"/>
      <c r="AA342" s="395"/>
      <c r="AB342" s="395"/>
      <c r="AC342" s="395"/>
      <c r="AD342" s="395"/>
      <c r="AE342" s="395"/>
      <c r="AF342" s="395"/>
      <c r="AG342" s="395"/>
      <c r="AH342" s="395"/>
      <c r="AI342" s="395"/>
      <c r="AJ342" s="396"/>
      <c r="AK342" s="397"/>
      <c r="AL342" s="397"/>
      <c r="AM342" s="398"/>
      <c r="AN342" s="398"/>
      <c r="AO342" s="398"/>
      <c r="AP342" s="398"/>
      <c r="AQ342" s="398"/>
      <c r="AR342" s="398"/>
      <c r="AS342" s="398"/>
      <c r="AT342" s="398"/>
      <c r="AU342" s="398"/>
      <c r="AV342" s="398"/>
      <c r="AW342" s="398"/>
      <c r="AX342" s="398"/>
      <c r="AY342" s="398"/>
      <c r="AZ342" s="398"/>
      <c r="BA342" s="398"/>
      <c r="BB342" s="398"/>
      <c r="BC342" s="398"/>
    </row>
    <row r="343" spans="1:55" ht="22.5" x14ac:dyDescent="0.25">
      <c r="A343" s="712">
        <v>10</v>
      </c>
      <c r="B343" s="710" t="s">
        <v>519</v>
      </c>
      <c r="C343" s="710" t="s">
        <v>520</v>
      </c>
      <c r="D343" s="405" t="s">
        <v>348</v>
      </c>
      <c r="E343" s="454">
        <v>0.65</v>
      </c>
      <c r="F343" s="454">
        <v>0.65</v>
      </c>
      <c r="G343" s="454">
        <v>0.65</v>
      </c>
      <c r="H343" s="454">
        <f>[1]INVERSIÓN!V63</f>
        <v>0.65</v>
      </c>
      <c r="I343" s="455"/>
      <c r="J343" s="454">
        <v>0.36499999999999999</v>
      </c>
      <c r="K343" s="454">
        <v>0.38</v>
      </c>
      <c r="L343" s="454">
        <f>[1]INVERSIÓN!AL63</f>
        <v>0.41599999999999998</v>
      </c>
      <c r="M343" s="455"/>
      <c r="N343" s="710" t="s">
        <v>349</v>
      </c>
      <c r="O343" s="710" t="s">
        <v>104</v>
      </c>
      <c r="P343" s="710" t="s">
        <v>104</v>
      </c>
      <c r="Q343" s="710" t="s">
        <v>104</v>
      </c>
      <c r="R343" s="716" t="s">
        <v>353</v>
      </c>
      <c r="S343" s="695">
        <v>8185614</v>
      </c>
      <c r="T343" s="711"/>
      <c r="U343" s="695" t="s">
        <v>354</v>
      </c>
      <c r="V343" s="695" t="s">
        <v>355</v>
      </c>
      <c r="W343" s="695" t="s">
        <v>356</v>
      </c>
      <c r="X343" s="695" t="s">
        <v>357</v>
      </c>
      <c r="Y343" s="698">
        <v>8185614</v>
      </c>
      <c r="Z343" s="381"/>
      <c r="AA343" s="382">
        <v>12</v>
      </c>
      <c r="AB343" s="382" t="s">
        <v>358</v>
      </c>
      <c r="AC343" s="382"/>
      <c r="AD343" s="382"/>
      <c r="AE343" s="382"/>
      <c r="AF343" s="382" t="s">
        <v>359</v>
      </c>
      <c r="AG343" s="382"/>
      <c r="AH343" s="382"/>
      <c r="AI343" s="382"/>
      <c r="AJ343" s="383"/>
      <c r="AK343" s="171"/>
      <c r="AL343" s="171"/>
      <c r="AM343" s="19"/>
      <c r="AN343" s="19"/>
      <c r="AO343" s="19"/>
      <c r="AP343" s="19"/>
      <c r="AQ343" s="19"/>
      <c r="AR343" s="19"/>
      <c r="AS343" s="19"/>
      <c r="AT343" s="5"/>
      <c r="AU343" s="5"/>
      <c r="AV343" s="5"/>
      <c r="AW343" s="5"/>
      <c r="AX343" s="5"/>
      <c r="AY343" s="5"/>
      <c r="AZ343" s="5"/>
      <c r="BA343" s="5"/>
      <c r="BB343" s="5"/>
      <c r="BC343" s="5"/>
    </row>
    <row r="344" spans="1:55" ht="45" x14ac:dyDescent="0.25">
      <c r="A344" s="713"/>
      <c r="B344" s="696"/>
      <c r="C344" s="696"/>
      <c r="D344" s="384" t="s">
        <v>360</v>
      </c>
      <c r="E344" s="407">
        <v>150000000</v>
      </c>
      <c r="F344" s="407">
        <v>150000000</v>
      </c>
      <c r="G344" s="407">
        <v>150000000</v>
      </c>
      <c r="H344" s="407">
        <f>[1]INVERSIÓN!V64</f>
        <v>150000000</v>
      </c>
      <c r="I344" s="438"/>
      <c r="J344" s="407">
        <v>0</v>
      </c>
      <c r="K344" s="407">
        <v>0</v>
      </c>
      <c r="L344" s="407">
        <f>[1]INVERSIÓN!AL64</f>
        <v>15000000</v>
      </c>
      <c r="M344" s="438"/>
      <c r="N344" s="696"/>
      <c r="O344" s="696"/>
      <c r="P344" s="696"/>
      <c r="Q344" s="696"/>
      <c r="R344" s="696"/>
      <c r="S344" s="696"/>
      <c r="T344" s="696"/>
      <c r="U344" s="696"/>
      <c r="V344" s="696"/>
      <c r="W344" s="696"/>
      <c r="X344" s="696"/>
      <c r="Y344" s="699"/>
      <c r="Z344" s="381"/>
      <c r="AA344" s="382">
        <v>13</v>
      </c>
      <c r="AB344" s="382" t="s">
        <v>363</v>
      </c>
      <c r="AC344" s="382"/>
      <c r="AD344" s="382"/>
      <c r="AE344" s="382"/>
      <c r="AF344" s="382" t="s">
        <v>364</v>
      </c>
      <c r="AG344" s="382"/>
      <c r="AH344" s="382"/>
      <c r="AI344" s="382"/>
      <c r="AJ344" s="383"/>
      <c r="AK344" s="171"/>
      <c r="AL344" s="171"/>
      <c r="AM344" s="19"/>
      <c r="AN344" s="19"/>
      <c r="AO344" s="19"/>
      <c r="AP344" s="19"/>
      <c r="AQ344" s="19"/>
      <c r="AR344" s="19"/>
      <c r="AS344" s="19"/>
      <c r="AT344" s="5"/>
      <c r="AU344" s="5"/>
      <c r="AV344" s="5"/>
      <c r="AW344" s="5"/>
      <c r="AX344" s="5"/>
      <c r="AY344" s="5"/>
      <c r="AZ344" s="5"/>
      <c r="BA344" s="5"/>
      <c r="BB344" s="5"/>
      <c r="BC344" s="5"/>
    </row>
    <row r="345" spans="1:55" ht="78.75" x14ac:dyDescent="0.25">
      <c r="A345" s="713"/>
      <c r="B345" s="696"/>
      <c r="C345" s="696"/>
      <c r="D345" s="384" t="s">
        <v>365</v>
      </c>
      <c r="E345" s="456">
        <v>0</v>
      </c>
      <c r="F345" s="456">
        <v>0</v>
      </c>
      <c r="G345" s="456">
        <v>0</v>
      </c>
      <c r="H345" s="456">
        <f>[1]INVERSIÓN!V65</f>
        <v>0</v>
      </c>
      <c r="I345" s="390"/>
      <c r="J345" s="456">
        <v>0</v>
      </c>
      <c r="K345" s="456">
        <v>0</v>
      </c>
      <c r="L345" s="456">
        <f>[1]INVERSIÓN!AL65</f>
        <v>0</v>
      </c>
      <c r="M345" s="438"/>
      <c r="N345" s="696"/>
      <c r="O345" s="696"/>
      <c r="P345" s="696"/>
      <c r="Q345" s="696"/>
      <c r="R345" s="696"/>
      <c r="S345" s="696"/>
      <c r="T345" s="696"/>
      <c r="U345" s="696"/>
      <c r="V345" s="696"/>
      <c r="W345" s="696"/>
      <c r="X345" s="696"/>
      <c r="Y345" s="699"/>
      <c r="Z345" s="381"/>
      <c r="AA345" s="382">
        <v>14</v>
      </c>
      <c r="AB345" s="382" t="s">
        <v>367</v>
      </c>
      <c r="AC345" s="382"/>
      <c r="AD345" s="382"/>
      <c r="AE345" s="382"/>
      <c r="AF345" s="382" t="s">
        <v>369</v>
      </c>
      <c r="AG345" s="382"/>
      <c r="AH345" s="382"/>
      <c r="AI345" s="382"/>
      <c r="AJ345" s="383"/>
      <c r="AK345" s="171"/>
      <c r="AL345" s="171"/>
      <c r="AM345" s="19"/>
      <c r="AN345" s="19"/>
      <c r="AO345" s="19"/>
      <c r="AP345" s="19"/>
      <c r="AQ345" s="19"/>
      <c r="AR345" s="19"/>
      <c r="AS345" s="19"/>
      <c r="AT345" s="5"/>
      <c r="AU345" s="5"/>
      <c r="AV345" s="5"/>
      <c r="AW345" s="5"/>
      <c r="AX345" s="5"/>
      <c r="AY345" s="5"/>
      <c r="AZ345" s="5"/>
      <c r="BA345" s="5"/>
      <c r="BB345" s="5"/>
      <c r="BC345" s="5"/>
    </row>
    <row r="346" spans="1:55" ht="22.5" x14ac:dyDescent="0.25">
      <c r="A346" s="713"/>
      <c r="B346" s="696"/>
      <c r="C346" s="696"/>
      <c r="D346" s="386" t="s">
        <v>370</v>
      </c>
      <c r="E346" s="407">
        <v>0</v>
      </c>
      <c r="F346" s="407">
        <v>0</v>
      </c>
      <c r="G346" s="407">
        <v>0</v>
      </c>
      <c r="H346" s="407">
        <f>[1]INVERSIÓN!V66</f>
        <v>0</v>
      </c>
      <c r="I346" s="390"/>
      <c r="J346" s="407">
        <v>0</v>
      </c>
      <c r="K346" s="407">
        <v>0</v>
      </c>
      <c r="L346" s="407">
        <f>[1]INVERSIÓN!AL66</f>
        <v>0</v>
      </c>
      <c r="M346" s="390"/>
      <c r="N346" s="696"/>
      <c r="O346" s="696"/>
      <c r="P346" s="696"/>
      <c r="Q346" s="696"/>
      <c r="R346" s="696"/>
      <c r="S346" s="696"/>
      <c r="T346" s="696"/>
      <c r="U346" s="696"/>
      <c r="V346" s="696"/>
      <c r="W346" s="696"/>
      <c r="X346" s="696"/>
      <c r="Y346" s="699"/>
      <c r="Z346" s="381"/>
      <c r="AA346" s="382"/>
      <c r="AB346" s="382"/>
      <c r="AC346" s="382"/>
      <c r="AD346" s="382"/>
      <c r="AE346" s="382"/>
      <c r="AF346" s="382"/>
      <c r="AG346" s="382"/>
      <c r="AH346" s="382"/>
      <c r="AI346" s="382"/>
      <c r="AJ346" s="383"/>
      <c r="AK346" s="171"/>
      <c r="AL346" s="171"/>
      <c r="AM346" s="19"/>
      <c r="AN346" s="19"/>
      <c r="AO346" s="19"/>
      <c r="AP346" s="19"/>
      <c r="AQ346" s="19"/>
      <c r="AR346" s="19"/>
      <c r="AS346" s="19"/>
      <c r="AT346" s="5"/>
      <c r="AU346" s="5"/>
      <c r="AV346" s="5"/>
      <c r="AW346" s="5"/>
      <c r="AX346" s="5"/>
      <c r="AY346" s="5"/>
      <c r="AZ346" s="5"/>
      <c r="BA346" s="5"/>
      <c r="BB346" s="5"/>
      <c r="BC346" s="5"/>
    </row>
    <row r="347" spans="1:55" x14ac:dyDescent="0.25">
      <c r="A347" s="713"/>
      <c r="B347" s="696"/>
      <c r="C347" s="701" t="s">
        <v>417</v>
      </c>
      <c r="D347" s="391" t="s">
        <v>348</v>
      </c>
      <c r="E347" s="457">
        <v>0.65</v>
      </c>
      <c r="F347" s="458">
        <f t="shared" ref="F347:H350" si="38">F343</f>
        <v>0.65</v>
      </c>
      <c r="G347" s="458">
        <f t="shared" si="38"/>
        <v>0.65</v>
      </c>
      <c r="H347" s="458">
        <f t="shared" si="38"/>
        <v>0.65</v>
      </c>
      <c r="I347" s="408"/>
      <c r="J347" s="458">
        <f t="shared" ref="J347:L350" si="39">J343</f>
        <v>0.36499999999999999</v>
      </c>
      <c r="K347" s="458">
        <f t="shared" si="39"/>
        <v>0.38</v>
      </c>
      <c r="L347" s="458">
        <f t="shared" si="39"/>
        <v>0.41599999999999998</v>
      </c>
      <c r="M347" s="393"/>
      <c r="N347" s="696"/>
      <c r="O347" s="696"/>
      <c r="P347" s="696"/>
      <c r="Q347" s="696"/>
      <c r="R347" s="696"/>
      <c r="S347" s="696"/>
      <c r="T347" s="696"/>
      <c r="U347" s="696"/>
      <c r="V347" s="696"/>
      <c r="W347" s="696"/>
      <c r="X347" s="696"/>
      <c r="Y347" s="699"/>
      <c r="Z347" s="394"/>
      <c r="AA347" s="395"/>
      <c r="AB347" s="395"/>
      <c r="AC347" s="395"/>
      <c r="AD347" s="395"/>
      <c r="AE347" s="395"/>
      <c r="AF347" s="395"/>
      <c r="AG347" s="395"/>
      <c r="AH347" s="395"/>
      <c r="AI347" s="395"/>
      <c r="AJ347" s="396"/>
      <c r="AK347" s="397"/>
      <c r="AL347" s="397"/>
      <c r="AM347" s="398"/>
      <c r="AN347" s="398"/>
      <c r="AO347" s="398"/>
      <c r="AP347" s="398"/>
      <c r="AQ347" s="398"/>
      <c r="AR347" s="398"/>
      <c r="AS347" s="398"/>
      <c r="AT347" s="398"/>
      <c r="AU347" s="398"/>
      <c r="AV347" s="398"/>
      <c r="AW347" s="398"/>
      <c r="AX347" s="398"/>
      <c r="AY347" s="398"/>
      <c r="AZ347" s="398"/>
      <c r="BA347" s="398"/>
      <c r="BB347" s="398"/>
      <c r="BC347" s="398"/>
    </row>
    <row r="348" spans="1:55" x14ac:dyDescent="0.25">
      <c r="A348" s="713"/>
      <c r="B348" s="696"/>
      <c r="C348" s="696"/>
      <c r="D348" s="399" t="s">
        <v>360</v>
      </c>
      <c r="E348" s="400">
        <v>150000000</v>
      </c>
      <c r="F348" s="423">
        <f t="shared" si="38"/>
        <v>150000000</v>
      </c>
      <c r="G348" s="423">
        <f t="shared" si="38"/>
        <v>150000000</v>
      </c>
      <c r="H348" s="423">
        <f t="shared" si="38"/>
        <v>150000000</v>
      </c>
      <c r="I348" s="423"/>
      <c r="J348" s="423">
        <f t="shared" si="39"/>
        <v>0</v>
      </c>
      <c r="K348" s="423">
        <f t="shared" si="39"/>
        <v>0</v>
      </c>
      <c r="L348" s="423">
        <f t="shared" si="39"/>
        <v>15000000</v>
      </c>
      <c r="M348" s="393"/>
      <c r="N348" s="696"/>
      <c r="O348" s="696"/>
      <c r="P348" s="696"/>
      <c r="Q348" s="696"/>
      <c r="R348" s="696"/>
      <c r="S348" s="696"/>
      <c r="T348" s="696"/>
      <c r="U348" s="696"/>
      <c r="V348" s="696"/>
      <c r="W348" s="696"/>
      <c r="X348" s="696"/>
      <c r="Y348" s="699"/>
      <c r="Z348" s="394"/>
      <c r="AA348" s="395"/>
      <c r="AB348" s="395"/>
      <c r="AC348" s="395"/>
      <c r="AD348" s="395"/>
      <c r="AE348" s="395"/>
      <c r="AF348" s="395"/>
      <c r="AG348" s="395"/>
      <c r="AH348" s="395"/>
      <c r="AI348" s="395"/>
      <c r="AJ348" s="396"/>
      <c r="AK348" s="397"/>
      <c r="AL348" s="397"/>
      <c r="AM348" s="398"/>
      <c r="AN348" s="398"/>
      <c r="AO348" s="398"/>
      <c r="AP348" s="398"/>
      <c r="AQ348" s="398"/>
      <c r="AR348" s="398"/>
      <c r="AS348" s="398"/>
      <c r="AT348" s="398"/>
      <c r="AU348" s="398"/>
      <c r="AV348" s="398"/>
      <c r="AW348" s="398"/>
      <c r="AX348" s="398"/>
      <c r="AY348" s="398"/>
      <c r="AZ348" s="398"/>
      <c r="BA348" s="398"/>
      <c r="BB348" s="398"/>
      <c r="BC348" s="398"/>
    </row>
    <row r="349" spans="1:55" ht="22.5" x14ac:dyDescent="0.25">
      <c r="A349" s="713"/>
      <c r="B349" s="696"/>
      <c r="C349" s="696"/>
      <c r="D349" s="399" t="s">
        <v>365</v>
      </c>
      <c r="E349" s="457">
        <v>0</v>
      </c>
      <c r="F349" s="458">
        <f t="shared" si="38"/>
        <v>0</v>
      </c>
      <c r="G349" s="458">
        <f t="shared" si="38"/>
        <v>0</v>
      </c>
      <c r="H349" s="458">
        <f t="shared" si="38"/>
        <v>0</v>
      </c>
      <c r="I349" s="458"/>
      <c r="J349" s="458">
        <f t="shared" si="39"/>
        <v>0</v>
      </c>
      <c r="K349" s="458">
        <f t="shared" si="39"/>
        <v>0</v>
      </c>
      <c r="L349" s="458">
        <f t="shared" si="39"/>
        <v>0</v>
      </c>
      <c r="M349" s="393"/>
      <c r="N349" s="696"/>
      <c r="O349" s="696"/>
      <c r="P349" s="696"/>
      <c r="Q349" s="696"/>
      <c r="R349" s="696"/>
      <c r="S349" s="696"/>
      <c r="T349" s="696"/>
      <c r="U349" s="696"/>
      <c r="V349" s="696"/>
      <c r="W349" s="696"/>
      <c r="X349" s="696"/>
      <c r="Y349" s="699"/>
      <c r="Z349" s="394"/>
      <c r="AA349" s="395"/>
      <c r="AB349" s="395"/>
      <c r="AC349" s="395"/>
      <c r="AD349" s="395"/>
      <c r="AE349" s="395"/>
      <c r="AF349" s="395"/>
      <c r="AG349" s="395"/>
      <c r="AH349" s="395"/>
      <c r="AI349" s="395"/>
      <c r="AJ349" s="396"/>
      <c r="AK349" s="397"/>
      <c r="AL349" s="397"/>
      <c r="AM349" s="398"/>
      <c r="AN349" s="398"/>
      <c r="AO349" s="398"/>
      <c r="AP349" s="398"/>
      <c r="AQ349" s="398"/>
      <c r="AR349" s="398"/>
      <c r="AS349" s="398"/>
      <c r="AT349" s="398"/>
      <c r="AU349" s="398"/>
      <c r="AV349" s="398"/>
      <c r="AW349" s="398"/>
      <c r="AX349" s="398"/>
      <c r="AY349" s="398"/>
      <c r="AZ349" s="398"/>
      <c r="BA349" s="398"/>
      <c r="BB349" s="398"/>
      <c r="BC349" s="398"/>
    </row>
    <row r="350" spans="1:55" ht="23.25" thickBot="1" x14ac:dyDescent="0.3">
      <c r="A350" s="714"/>
      <c r="B350" s="697"/>
      <c r="C350" s="697"/>
      <c r="D350" s="402" t="s">
        <v>370</v>
      </c>
      <c r="E350" s="403">
        <v>0</v>
      </c>
      <c r="F350" s="425">
        <f t="shared" si="38"/>
        <v>0</v>
      </c>
      <c r="G350" s="425">
        <f t="shared" si="38"/>
        <v>0</v>
      </c>
      <c r="H350" s="425">
        <f t="shared" si="38"/>
        <v>0</v>
      </c>
      <c r="I350" s="425"/>
      <c r="J350" s="425">
        <f t="shared" si="39"/>
        <v>0</v>
      </c>
      <c r="K350" s="425">
        <f t="shared" si="39"/>
        <v>0</v>
      </c>
      <c r="L350" s="425">
        <f t="shared" si="39"/>
        <v>0</v>
      </c>
      <c r="M350" s="404"/>
      <c r="N350" s="697"/>
      <c r="O350" s="697"/>
      <c r="P350" s="697"/>
      <c r="Q350" s="697"/>
      <c r="R350" s="697"/>
      <c r="S350" s="697"/>
      <c r="T350" s="697"/>
      <c r="U350" s="697"/>
      <c r="V350" s="697"/>
      <c r="W350" s="697"/>
      <c r="X350" s="697"/>
      <c r="Y350" s="700"/>
      <c r="Z350" s="394"/>
      <c r="AA350" s="395"/>
      <c r="AB350" s="395"/>
      <c r="AC350" s="395"/>
      <c r="AD350" s="395"/>
      <c r="AE350" s="395"/>
      <c r="AF350" s="395"/>
      <c r="AG350" s="395"/>
      <c r="AH350" s="395"/>
      <c r="AI350" s="395"/>
      <c r="AJ350" s="396"/>
      <c r="AK350" s="397"/>
      <c r="AL350" s="397"/>
      <c r="AM350" s="398"/>
      <c r="AN350" s="398"/>
      <c r="AO350" s="398"/>
      <c r="AP350" s="398"/>
      <c r="AQ350" s="398"/>
      <c r="AR350" s="398"/>
      <c r="AS350" s="398"/>
      <c r="AT350" s="398"/>
      <c r="AU350" s="398"/>
      <c r="AV350" s="398"/>
      <c r="AW350" s="398"/>
      <c r="AX350" s="398"/>
      <c r="AY350" s="398"/>
      <c r="AZ350" s="398"/>
      <c r="BA350" s="398"/>
      <c r="BB350" s="398"/>
      <c r="BC350" s="398"/>
    </row>
    <row r="351" spans="1:55" x14ac:dyDescent="0.25">
      <c r="A351" s="730">
        <v>11</v>
      </c>
      <c r="B351" s="731" t="s">
        <v>194</v>
      </c>
      <c r="C351" s="710" t="s">
        <v>521</v>
      </c>
      <c r="D351" s="405" t="s">
        <v>348</v>
      </c>
      <c r="E351" s="434">
        <v>7887278</v>
      </c>
      <c r="F351" s="434">
        <v>7887278</v>
      </c>
      <c r="G351" s="434">
        <v>7887278</v>
      </c>
      <c r="H351" s="434">
        <f>[1]INVERSIÓN!V69</f>
        <v>9887278</v>
      </c>
      <c r="I351" s="459"/>
      <c r="J351" s="434">
        <v>1745135.6</v>
      </c>
      <c r="K351" s="434">
        <v>4580764</v>
      </c>
      <c r="L351" s="434">
        <f>[1]INVERSIÓN!AL69</f>
        <v>9170121.9600000009</v>
      </c>
      <c r="M351" s="459"/>
      <c r="N351" s="716" t="s">
        <v>493</v>
      </c>
      <c r="O351" s="716" t="s">
        <v>350</v>
      </c>
      <c r="P351" s="716" t="s">
        <v>351</v>
      </c>
      <c r="Q351" s="716" t="s">
        <v>352</v>
      </c>
      <c r="R351" s="716" t="s">
        <v>353</v>
      </c>
      <c r="S351" s="716">
        <v>3912913</v>
      </c>
      <c r="T351" s="716">
        <v>4167821</v>
      </c>
      <c r="U351" s="716" t="s">
        <v>494</v>
      </c>
      <c r="V351" s="716" t="s">
        <v>355</v>
      </c>
      <c r="W351" s="716" t="s">
        <v>356</v>
      </c>
      <c r="X351" s="716" t="s">
        <v>357</v>
      </c>
      <c r="Y351" s="729">
        <v>8080734</v>
      </c>
      <c r="Z351" s="381"/>
      <c r="AA351" s="382"/>
      <c r="AB351" s="382"/>
      <c r="AC351" s="382"/>
      <c r="AD351" s="382"/>
      <c r="AE351" s="382"/>
      <c r="AF351" s="382"/>
      <c r="AG351" s="382"/>
      <c r="AH351" s="382"/>
      <c r="AI351" s="382"/>
      <c r="AJ351" s="383"/>
      <c r="AK351" s="171"/>
      <c r="AL351" s="171"/>
      <c r="AM351" s="19"/>
      <c r="AN351" s="19"/>
      <c r="AO351" s="19"/>
      <c r="AP351" s="19"/>
      <c r="AQ351" s="19"/>
      <c r="AR351" s="19"/>
      <c r="AS351" s="19"/>
      <c r="AT351" s="5"/>
      <c r="AU351" s="5"/>
      <c r="AV351" s="5"/>
      <c r="AW351" s="5"/>
      <c r="AX351" s="5"/>
      <c r="AY351" s="5"/>
      <c r="AZ351" s="5"/>
      <c r="BA351" s="5"/>
      <c r="BB351" s="5"/>
      <c r="BC351" s="5"/>
    </row>
    <row r="352" spans="1:55" x14ac:dyDescent="0.25">
      <c r="A352" s="713"/>
      <c r="B352" s="696"/>
      <c r="C352" s="696"/>
      <c r="D352" s="384" t="s">
        <v>360</v>
      </c>
      <c r="E352" s="388">
        <v>805362182</v>
      </c>
      <c r="F352" s="388">
        <v>805362182</v>
      </c>
      <c r="G352" s="388">
        <v>811131042</v>
      </c>
      <c r="H352" s="388">
        <f>[1]INVERSIÓN!V70</f>
        <v>811131042</v>
      </c>
      <c r="I352" s="460"/>
      <c r="J352" s="388">
        <v>697275718</v>
      </c>
      <c r="K352" s="388">
        <v>774276300</v>
      </c>
      <c r="L352" s="388">
        <f>[1]INVERSIÓN!AL70</f>
        <v>774276300</v>
      </c>
      <c r="M352" s="460"/>
      <c r="N352" s="696"/>
      <c r="O352" s="696"/>
      <c r="P352" s="696"/>
      <c r="Q352" s="696"/>
      <c r="R352" s="696"/>
      <c r="S352" s="696"/>
      <c r="T352" s="696"/>
      <c r="U352" s="696"/>
      <c r="V352" s="696"/>
      <c r="W352" s="696"/>
      <c r="X352" s="696"/>
      <c r="Y352" s="699"/>
      <c r="Z352" s="381"/>
      <c r="AA352" s="382"/>
      <c r="AB352" s="382"/>
      <c r="AC352" s="382"/>
      <c r="AD352" s="382"/>
      <c r="AE352" s="382"/>
      <c r="AF352" s="382"/>
      <c r="AG352" s="382"/>
      <c r="AH352" s="382"/>
      <c r="AI352" s="382"/>
      <c r="AJ352" s="383"/>
      <c r="AK352" s="171"/>
      <c r="AL352" s="171"/>
      <c r="AM352" s="19"/>
      <c r="AN352" s="19"/>
      <c r="AO352" s="19"/>
      <c r="AP352" s="19"/>
      <c r="AQ352" s="19"/>
      <c r="AR352" s="19"/>
      <c r="AS352" s="19"/>
      <c r="AT352" s="5"/>
      <c r="AU352" s="5"/>
      <c r="AV352" s="5"/>
      <c r="AW352" s="5"/>
      <c r="AX352" s="5"/>
      <c r="AY352" s="5"/>
      <c r="AZ352" s="5"/>
      <c r="BA352" s="5"/>
      <c r="BB352" s="5"/>
      <c r="BC352" s="5"/>
    </row>
    <row r="353" spans="1:55" x14ac:dyDescent="0.25">
      <c r="A353" s="713"/>
      <c r="B353" s="696"/>
      <c r="C353" s="696"/>
      <c r="D353" s="384" t="s">
        <v>365</v>
      </c>
      <c r="E353" s="436">
        <v>0</v>
      </c>
      <c r="F353" s="436">
        <v>0</v>
      </c>
      <c r="G353" s="436">
        <v>0</v>
      </c>
      <c r="H353" s="436">
        <f>[1]INVERSIÓN!V71</f>
        <v>0</v>
      </c>
      <c r="I353" s="460"/>
      <c r="J353" s="436">
        <v>0</v>
      </c>
      <c r="K353" s="436">
        <v>0</v>
      </c>
      <c r="L353" s="436">
        <f>[1]INVERSIÓN!AL71</f>
        <v>0</v>
      </c>
      <c r="M353" s="460"/>
      <c r="N353" s="696"/>
      <c r="O353" s="696"/>
      <c r="P353" s="696"/>
      <c r="Q353" s="696"/>
      <c r="R353" s="696"/>
      <c r="S353" s="696"/>
      <c r="T353" s="696"/>
      <c r="U353" s="696"/>
      <c r="V353" s="696"/>
      <c r="W353" s="696"/>
      <c r="X353" s="696"/>
      <c r="Y353" s="699"/>
      <c r="Z353" s="381"/>
      <c r="AA353" s="382"/>
      <c r="AB353" s="382"/>
      <c r="AC353" s="382"/>
      <c r="AD353" s="382"/>
      <c r="AE353" s="382"/>
      <c r="AF353" s="382"/>
      <c r="AG353" s="382"/>
      <c r="AH353" s="382"/>
      <c r="AI353" s="382"/>
      <c r="AJ353" s="383"/>
      <c r="AK353" s="171"/>
      <c r="AL353" s="171"/>
      <c r="AM353" s="19"/>
      <c r="AN353" s="19"/>
      <c r="AO353" s="19"/>
      <c r="AP353" s="19"/>
      <c r="AQ353" s="19"/>
      <c r="AR353" s="19"/>
      <c r="AS353" s="19"/>
      <c r="AT353" s="5"/>
      <c r="AU353" s="5"/>
      <c r="AV353" s="5"/>
      <c r="AW353" s="5"/>
      <c r="AX353" s="5"/>
      <c r="AY353" s="5"/>
      <c r="AZ353" s="5"/>
      <c r="BA353" s="5"/>
      <c r="BB353" s="5"/>
      <c r="BC353" s="5"/>
    </row>
    <row r="354" spans="1:55" ht="22.5" x14ac:dyDescent="0.25">
      <c r="A354" s="713"/>
      <c r="B354" s="696"/>
      <c r="C354" s="696"/>
      <c r="D354" s="384" t="s">
        <v>370</v>
      </c>
      <c r="E354" s="388">
        <v>100922174</v>
      </c>
      <c r="F354" s="388">
        <v>100922174</v>
      </c>
      <c r="G354" s="388">
        <v>100922174</v>
      </c>
      <c r="H354" s="388">
        <f>[1]INVERSIÓN!V72</f>
        <v>100922174</v>
      </c>
      <c r="I354" s="460"/>
      <c r="J354" s="388">
        <v>75704013</v>
      </c>
      <c r="K354" s="388">
        <f>[1]INVERSIÓN!AK72</f>
        <v>96600174</v>
      </c>
      <c r="L354" s="388">
        <f>[1]INVERSIÓN!AL72</f>
        <v>96600174</v>
      </c>
      <c r="M354" s="460"/>
      <c r="N354" s="696"/>
      <c r="O354" s="696"/>
      <c r="P354" s="696"/>
      <c r="Q354" s="696"/>
      <c r="R354" s="696"/>
      <c r="S354" s="696"/>
      <c r="T354" s="696"/>
      <c r="U354" s="696"/>
      <c r="V354" s="696"/>
      <c r="W354" s="696"/>
      <c r="X354" s="696"/>
      <c r="Y354" s="699"/>
      <c r="Z354" s="381"/>
      <c r="AA354" s="382"/>
      <c r="AB354" s="382"/>
      <c r="AC354" s="382"/>
      <c r="AD354" s="382"/>
      <c r="AE354" s="382"/>
      <c r="AF354" s="382"/>
      <c r="AG354" s="382"/>
      <c r="AH354" s="382"/>
      <c r="AI354" s="382"/>
      <c r="AJ354" s="383"/>
      <c r="AK354" s="171"/>
      <c r="AL354" s="171"/>
      <c r="AM354" s="19"/>
      <c r="AN354" s="19"/>
      <c r="AO354" s="19"/>
      <c r="AP354" s="19"/>
      <c r="AQ354" s="19"/>
      <c r="AR354" s="19"/>
      <c r="AS354" s="19"/>
      <c r="AT354" s="5"/>
      <c r="AU354" s="5"/>
      <c r="AV354" s="5"/>
      <c r="AW354" s="5"/>
      <c r="AX354" s="5"/>
      <c r="AY354" s="5"/>
      <c r="AZ354" s="5"/>
      <c r="BA354" s="5"/>
      <c r="BB354" s="5"/>
      <c r="BC354" s="5"/>
    </row>
    <row r="355" spans="1:55" x14ac:dyDescent="0.25">
      <c r="A355" s="713"/>
      <c r="B355" s="696"/>
      <c r="C355" s="722" t="s">
        <v>405</v>
      </c>
      <c r="D355" s="460" t="s">
        <v>348</v>
      </c>
      <c r="E355" s="387">
        <v>105241.17939999999</v>
      </c>
      <c r="F355" s="387">
        <v>105241.17939999999</v>
      </c>
      <c r="G355" s="387">
        <f>K355</f>
        <v>477769.55940000003</v>
      </c>
      <c r="H355" s="387">
        <f>G355</f>
        <v>477769.55940000003</v>
      </c>
      <c r="I355" s="460"/>
      <c r="J355" s="387">
        <v>105241.17939999999</v>
      </c>
      <c r="K355" s="460">
        <f>477019.1594+750.4</f>
        <v>477769.55940000003</v>
      </c>
      <c r="L355" s="460">
        <v>1166069.56</v>
      </c>
      <c r="M355" s="460"/>
      <c r="N355" s="718" t="s">
        <v>405</v>
      </c>
      <c r="O355" s="718" t="s">
        <v>350</v>
      </c>
      <c r="P355" s="718" t="s">
        <v>351</v>
      </c>
      <c r="Q355" s="718" t="s">
        <v>352</v>
      </c>
      <c r="R355" s="718" t="s">
        <v>353</v>
      </c>
      <c r="S355" s="718">
        <v>220260</v>
      </c>
      <c r="T355" s="718">
        <v>253926</v>
      </c>
      <c r="U355" s="718" t="s">
        <v>494</v>
      </c>
      <c r="V355" s="718" t="s">
        <v>355</v>
      </c>
      <c r="W355" s="718" t="s">
        <v>356</v>
      </c>
      <c r="X355" s="718" t="s">
        <v>357</v>
      </c>
      <c r="Y355" s="717">
        <v>474186</v>
      </c>
      <c r="Z355" s="381"/>
      <c r="AA355" s="382"/>
      <c r="AB355" s="382"/>
      <c r="AC355" s="382"/>
      <c r="AD355" s="382"/>
      <c r="AE355" s="382"/>
      <c r="AF355" s="382"/>
      <c r="AG355" s="382"/>
      <c r="AH355" s="382"/>
      <c r="AI355" s="382"/>
      <c r="AJ355" s="383"/>
      <c r="AK355" s="171"/>
      <c r="AL355" s="171"/>
      <c r="AM355" s="19"/>
      <c r="AN355" s="19"/>
      <c r="AO355" s="19"/>
      <c r="AP355" s="19"/>
      <c r="AQ355" s="19"/>
      <c r="AR355" s="19"/>
      <c r="AS355" s="19"/>
      <c r="AT355" s="5"/>
      <c r="AU355" s="5"/>
      <c r="AV355" s="5"/>
      <c r="AW355" s="5"/>
      <c r="AX355" s="5"/>
      <c r="AY355" s="5"/>
      <c r="AZ355" s="5"/>
      <c r="BA355" s="5"/>
      <c r="BB355" s="5"/>
      <c r="BC355" s="5"/>
    </row>
    <row r="356" spans="1:55" x14ac:dyDescent="0.25">
      <c r="A356" s="713"/>
      <c r="B356" s="696"/>
      <c r="C356" s="696"/>
      <c r="D356" s="460" t="s">
        <v>360</v>
      </c>
      <c r="E356" s="388">
        <v>10746073.091101574</v>
      </c>
      <c r="F356" s="388">
        <v>10746073.091101574</v>
      </c>
      <c r="G356" s="388">
        <f>(G355*$G$352)/$G$351</f>
        <v>49134025.775686227</v>
      </c>
      <c r="H356" s="388">
        <v>49134025</v>
      </c>
      <c r="I356" s="460"/>
      <c r="J356" s="388">
        <f>(J355*$J$352)/$J$351</f>
        <v>42049522.644143991</v>
      </c>
      <c r="K356" s="388">
        <f>(K355*$K$352)/$K$351</f>
        <v>80756320.715247989</v>
      </c>
      <c r="L356" s="388">
        <v>80756320.715248004</v>
      </c>
      <c r="M356" s="460"/>
      <c r="N356" s="696"/>
      <c r="O356" s="696"/>
      <c r="P356" s="696"/>
      <c r="Q356" s="696"/>
      <c r="R356" s="696"/>
      <c r="S356" s="696"/>
      <c r="T356" s="696"/>
      <c r="U356" s="696"/>
      <c r="V356" s="696"/>
      <c r="W356" s="696"/>
      <c r="X356" s="696"/>
      <c r="Y356" s="699"/>
      <c r="Z356" s="381"/>
      <c r="AA356" s="382"/>
      <c r="AB356" s="382"/>
      <c r="AC356" s="382"/>
      <c r="AD356" s="382"/>
      <c r="AE356" s="382"/>
      <c r="AF356" s="382"/>
      <c r="AG356" s="382"/>
      <c r="AH356" s="382"/>
      <c r="AI356" s="382"/>
      <c r="AJ356" s="383"/>
      <c r="AK356" s="171"/>
      <c r="AL356" s="171"/>
      <c r="AM356" s="19"/>
      <c r="AN356" s="19"/>
      <c r="AO356" s="19"/>
      <c r="AP356" s="19"/>
      <c r="AQ356" s="19"/>
      <c r="AR356" s="19"/>
      <c r="AS356" s="19"/>
      <c r="AT356" s="5"/>
      <c r="AU356" s="5"/>
      <c r="AV356" s="5"/>
      <c r="AW356" s="5"/>
      <c r="AX356" s="5"/>
      <c r="AY356" s="5"/>
      <c r="AZ356" s="5"/>
      <c r="BA356" s="5"/>
      <c r="BB356" s="5"/>
      <c r="BC356" s="5"/>
    </row>
    <row r="357" spans="1:55" x14ac:dyDescent="0.25">
      <c r="A357" s="713"/>
      <c r="B357" s="696"/>
      <c r="C357" s="696"/>
      <c r="D357" s="460" t="s">
        <v>365</v>
      </c>
      <c r="E357" s="387">
        <v>0</v>
      </c>
      <c r="F357" s="387">
        <v>0</v>
      </c>
      <c r="G357" s="387">
        <v>0</v>
      </c>
      <c r="H357" s="387">
        <v>0</v>
      </c>
      <c r="I357" s="460"/>
      <c r="J357" s="387">
        <v>0</v>
      </c>
      <c r="K357" s="387">
        <v>0</v>
      </c>
      <c r="L357" s="387">
        <v>0</v>
      </c>
      <c r="M357" s="460"/>
      <c r="N357" s="696"/>
      <c r="O357" s="696"/>
      <c r="P357" s="696"/>
      <c r="Q357" s="696"/>
      <c r="R357" s="696"/>
      <c r="S357" s="696"/>
      <c r="T357" s="696"/>
      <c r="U357" s="696"/>
      <c r="V357" s="696"/>
      <c r="W357" s="696"/>
      <c r="X357" s="696"/>
      <c r="Y357" s="699"/>
      <c r="Z357" s="381"/>
      <c r="AA357" s="382"/>
      <c r="AB357" s="382"/>
      <c r="AC357" s="382"/>
      <c r="AD357" s="382"/>
      <c r="AE357" s="382"/>
      <c r="AF357" s="382"/>
      <c r="AG357" s="382"/>
      <c r="AH357" s="382"/>
      <c r="AI357" s="382"/>
      <c r="AJ357" s="383"/>
      <c r="AK357" s="171"/>
      <c r="AL357" s="171"/>
      <c r="AM357" s="19"/>
      <c r="AN357" s="19"/>
      <c r="AO357" s="19"/>
      <c r="AP357" s="19"/>
      <c r="AQ357" s="19"/>
      <c r="AR357" s="19"/>
      <c r="AS357" s="19"/>
      <c r="AT357" s="5"/>
      <c r="AU357" s="5"/>
      <c r="AV357" s="5"/>
      <c r="AW357" s="5"/>
      <c r="AX357" s="5"/>
      <c r="AY357" s="5"/>
      <c r="AZ357" s="5"/>
      <c r="BA357" s="5"/>
      <c r="BB357" s="5"/>
      <c r="BC357" s="5"/>
    </row>
    <row r="358" spans="1:55" ht="22.5" x14ac:dyDescent="0.25">
      <c r="A358" s="713"/>
      <c r="B358" s="696"/>
      <c r="C358" s="696"/>
      <c r="D358" s="390" t="s">
        <v>370</v>
      </c>
      <c r="E358" s="388">
        <v>0</v>
      </c>
      <c r="F358" s="388">
        <v>0</v>
      </c>
      <c r="G358" s="388">
        <v>0</v>
      </c>
      <c r="H358" s="388">
        <v>0</v>
      </c>
      <c r="I358" s="390"/>
      <c r="J358" s="388">
        <v>0</v>
      </c>
      <c r="K358" s="388">
        <v>0</v>
      </c>
      <c r="L358" s="388">
        <v>0</v>
      </c>
      <c r="M358" s="390"/>
      <c r="N358" s="696"/>
      <c r="O358" s="696"/>
      <c r="P358" s="696"/>
      <c r="Q358" s="696"/>
      <c r="R358" s="696"/>
      <c r="S358" s="696"/>
      <c r="T358" s="696"/>
      <c r="U358" s="696"/>
      <c r="V358" s="696"/>
      <c r="W358" s="696"/>
      <c r="X358" s="696"/>
      <c r="Y358" s="699"/>
      <c r="Z358" s="381"/>
      <c r="AA358" s="382"/>
      <c r="AB358" s="382"/>
      <c r="AC358" s="382"/>
      <c r="AD358" s="382"/>
      <c r="AE358" s="382"/>
      <c r="AF358" s="382"/>
      <c r="AG358" s="382"/>
      <c r="AH358" s="382"/>
      <c r="AI358" s="382"/>
      <c r="AJ358" s="383"/>
      <c r="AK358" s="171"/>
      <c r="AL358" s="171"/>
      <c r="AM358" s="19"/>
      <c r="AN358" s="19"/>
      <c r="AO358" s="19"/>
      <c r="AP358" s="19"/>
      <c r="AQ358" s="19"/>
      <c r="AR358" s="19"/>
      <c r="AS358" s="19"/>
      <c r="AT358" s="5"/>
      <c r="AU358" s="5"/>
      <c r="AV358" s="5"/>
      <c r="AW358" s="5"/>
      <c r="AX358" s="5"/>
      <c r="AY358" s="5"/>
      <c r="AZ358" s="5"/>
      <c r="BA358" s="5"/>
      <c r="BB358" s="5"/>
      <c r="BC358" s="5"/>
    </row>
    <row r="359" spans="1:55" x14ac:dyDescent="0.25">
      <c r="A359" s="713"/>
      <c r="B359" s="696"/>
      <c r="C359" s="722" t="s">
        <v>373</v>
      </c>
      <c r="D359" s="389" t="s">
        <v>348</v>
      </c>
      <c r="E359" s="387">
        <v>149884.15399999998</v>
      </c>
      <c r="F359" s="387">
        <v>149884.15399999998</v>
      </c>
      <c r="G359" s="387">
        <f>K359</f>
        <v>649858.7328</v>
      </c>
      <c r="H359" s="387">
        <f>G359</f>
        <v>649858.7328</v>
      </c>
      <c r="I359" s="460"/>
      <c r="J359" s="387">
        <v>149884.15399999998</v>
      </c>
      <c r="K359" s="460">
        <f>648676.2128+1075+107.52</f>
        <v>649858.7328</v>
      </c>
      <c r="L359" s="460">
        <v>970143.02</v>
      </c>
      <c r="M359" s="460"/>
      <c r="N359" s="718" t="s">
        <v>373</v>
      </c>
      <c r="O359" s="718" t="s">
        <v>350</v>
      </c>
      <c r="P359" s="718" t="s">
        <v>351</v>
      </c>
      <c r="Q359" s="718" t="s">
        <v>352</v>
      </c>
      <c r="R359" s="718" t="s">
        <v>353</v>
      </c>
      <c r="S359" s="718">
        <v>60558</v>
      </c>
      <c r="T359" s="718">
        <v>66033</v>
      </c>
      <c r="U359" s="718" t="s">
        <v>494</v>
      </c>
      <c r="V359" s="718" t="s">
        <v>355</v>
      </c>
      <c r="W359" s="718" t="s">
        <v>356</v>
      </c>
      <c r="X359" s="718" t="s">
        <v>357</v>
      </c>
      <c r="Y359" s="717">
        <v>126591</v>
      </c>
      <c r="Z359" s="381"/>
      <c r="AA359" s="382"/>
      <c r="AB359" s="382"/>
      <c r="AC359" s="382"/>
      <c r="AD359" s="382"/>
      <c r="AE359" s="382"/>
      <c r="AF359" s="382"/>
      <c r="AG359" s="382"/>
      <c r="AH359" s="382"/>
      <c r="AI359" s="382"/>
      <c r="AJ359" s="383"/>
      <c r="AK359" s="171"/>
      <c r="AL359" s="171"/>
      <c r="AM359" s="19"/>
      <c r="AN359" s="19"/>
      <c r="AO359" s="19"/>
      <c r="AP359" s="19"/>
      <c r="AQ359" s="19"/>
      <c r="AR359" s="19"/>
      <c r="AS359" s="19"/>
      <c r="AT359" s="5"/>
      <c r="AU359" s="5"/>
      <c r="AV359" s="5"/>
      <c r="AW359" s="5"/>
      <c r="AX359" s="5"/>
      <c r="AY359" s="5"/>
      <c r="AZ359" s="5"/>
      <c r="BA359" s="5"/>
      <c r="BB359" s="5"/>
      <c r="BC359" s="5"/>
    </row>
    <row r="360" spans="1:55" x14ac:dyDescent="0.25">
      <c r="A360" s="713"/>
      <c r="B360" s="696"/>
      <c r="C360" s="696"/>
      <c r="D360" s="384" t="s">
        <v>360</v>
      </c>
      <c r="E360" s="388">
        <v>15304523.222417669</v>
      </c>
      <c r="F360" s="388">
        <v>15304523.222417669</v>
      </c>
      <c r="G360" s="388">
        <f>(G359*$G$352)/$G$351</f>
        <v>66831749.950852953</v>
      </c>
      <c r="H360" s="388">
        <f>(H359*$H$352)/$H$351</f>
        <v>53313014.066041589</v>
      </c>
      <c r="I360" s="460"/>
      <c r="J360" s="388">
        <f>(J359*$J$352)/$J$351</f>
        <v>59886796.818065345</v>
      </c>
      <c r="K360" s="388">
        <f>(K359*$K$352)/$K$351</f>
        <v>109844169.04146832</v>
      </c>
      <c r="L360" s="388">
        <v>109844169.04146832</v>
      </c>
      <c r="M360" s="460"/>
      <c r="N360" s="696"/>
      <c r="O360" s="696"/>
      <c r="P360" s="696"/>
      <c r="Q360" s="696"/>
      <c r="R360" s="696"/>
      <c r="S360" s="696"/>
      <c r="T360" s="696"/>
      <c r="U360" s="696"/>
      <c r="V360" s="696"/>
      <c r="W360" s="696"/>
      <c r="X360" s="696"/>
      <c r="Y360" s="699"/>
      <c r="Z360" s="381"/>
      <c r="AA360" s="382"/>
      <c r="AB360" s="382"/>
      <c r="AC360" s="382"/>
      <c r="AD360" s="382"/>
      <c r="AE360" s="382"/>
      <c r="AF360" s="382"/>
      <c r="AG360" s="382"/>
      <c r="AH360" s="382"/>
      <c r="AI360" s="382"/>
      <c r="AJ360" s="383"/>
      <c r="AK360" s="171"/>
      <c r="AL360" s="171"/>
      <c r="AM360" s="19"/>
      <c r="AN360" s="19"/>
      <c r="AO360" s="19"/>
      <c r="AP360" s="19"/>
      <c r="AQ360" s="19"/>
      <c r="AR360" s="19"/>
      <c r="AS360" s="19"/>
      <c r="AT360" s="5"/>
      <c r="AU360" s="5"/>
      <c r="AV360" s="5"/>
      <c r="AW360" s="5"/>
      <c r="AX360" s="5"/>
      <c r="AY360" s="5"/>
      <c r="AZ360" s="5"/>
      <c r="BA360" s="5"/>
      <c r="BB360" s="5"/>
      <c r="BC360" s="5"/>
    </row>
    <row r="361" spans="1:55" x14ac:dyDescent="0.25">
      <c r="A361" s="713"/>
      <c r="B361" s="696"/>
      <c r="C361" s="696"/>
      <c r="D361" s="384" t="s">
        <v>365</v>
      </c>
      <c r="E361" s="387">
        <v>0</v>
      </c>
      <c r="F361" s="387">
        <v>0</v>
      </c>
      <c r="G361" s="387">
        <v>0</v>
      </c>
      <c r="H361" s="387">
        <v>0</v>
      </c>
      <c r="I361" s="460"/>
      <c r="J361" s="387">
        <v>0</v>
      </c>
      <c r="K361" s="387">
        <v>0</v>
      </c>
      <c r="L361" s="387">
        <v>0</v>
      </c>
      <c r="M361" s="460"/>
      <c r="N361" s="696"/>
      <c r="O361" s="696"/>
      <c r="P361" s="696"/>
      <c r="Q361" s="696"/>
      <c r="R361" s="696"/>
      <c r="S361" s="696"/>
      <c r="T361" s="696"/>
      <c r="U361" s="696"/>
      <c r="V361" s="696"/>
      <c r="W361" s="696"/>
      <c r="X361" s="696"/>
      <c r="Y361" s="699"/>
      <c r="Z361" s="381"/>
      <c r="AA361" s="382"/>
      <c r="AB361" s="382"/>
      <c r="AC361" s="382"/>
      <c r="AD361" s="382"/>
      <c r="AE361" s="382"/>
      <c r="AF361" s="382"/>
      <c r="AG361" s="382"/>
      <c r="AH361" s="382"/>
      <c r="AI361" s="382"/>
      <c r="AJ361" s="383"/>
      <c r="AK361" s="171"/>
      <c r="AL361" s="171"/>
      <c r="AM361" s="19"/>
      <c r="AN361" s="19"/>
      <c r="AO361" s="19"/>
      <c r="AP361" s="19"/>
      <c r="AQ361" s="19"/>
      <c r="AR361" s="19"/>
      <c r="AS361" s="19"/>
      <c r="AT361" s="5"/>
      <c r="AU361" s="5"/>
      <c r="AV361" s="5"/>
      <c r="AW361" s="5"/>
      <c r="AX361" s="5"/>
      <c r="AY361" s="5"/>
      <c r="AZ361" s="5"/>
      <c r="BA361" s="5"/>
      <c r="BB361" s="5"/>
      <c r="BC361" s="5"/>
    </row>
    <row r="362" spans="1:55" ht="22.5" x14ac:dyDescent="0.25">
      <c r="A362" s="713"/>
      <c r="B362" s="696"/>
      <c r="C362" s="696"/>
      <c r="D362" s="386" t="s">
        <v>370</v>
      </c>
      <c r="E362" s="388">
        <v>0</v>
      </c>
      <c r="F362" s="388">
        <v>0</v>
      </c>
      <c r="G362" s="388">
        <v>0</v>
      </c>
      <c r="H362" s="388">
        <v>0</v>
      </c>
      <c r="I362" s="390"/>
      <c r="J362" s="388">
        <v>0</v>
      </c>
      <c r="K362" s="388">
        <v>0</v>
      </c>
      <c r="L362" s="388">
        <v>0</v>
      </c>
      <c r="M362" s="390"/>
      <c r="N362" s="696"/>
      <c r="O362" s="696"/>
      <c r="P362" s="696"/>
      <c r="Q362" s="696"/>
      <c r="R362" s="696"/>
      <c r="S362" s="696"/>
      <c r="T362" s="696"/>
      <c r="U362" s="696"/>
      <c r="V362" s="696"/>
      <c r="W362" s="696"/>
      <c r="X362" s="696"/>
      <c r="Y362" s="699"/>
      <c r="Z362" s="381"/>
      <c r="AA362" s="382"/>
      <c r="AB362" s="382"/>
      <c r="AC362" s="382"/>
      <c r="AD362" s="382"/>
      <c r="AE362" s="382"/>
      <c r="AF362" s="382"/>
      <c r="AG362" s="382"/>
      <c r="AH362" s="382"/>
      <c r="AI362" s="382"/>
      <c r="AJ362" s="383"/>
      <c r="AK362" s="171"/>
      <c r="AL362" s="171"/>
      <c r="AM362" s="19"/>
      <c r="AN362" s="19"/>
      <c r="AO362" s="19"/>
      <c r="AP362" s="19"/>
      <c r="AQ362" s="19"/>
      <c r="AR362" s="19"/>
      <c r="AS362" s="19"/>
      <c r="AT362" s="5"/>
      <c r="AU362" s="5"/>
      <c r="AV362" s="5"/>
      <c r="AW362" s="5"/>
      <c r="AX362" s="5"/>
      <c r="AY362" s="5"/>
      <c r="AZ362" s="5"/>
      <c r="BA362" s="5"/>
      <c r="BB362" s="5"/>
      <c r="BC362" s="5"/>
    </row>
    <row r="363" spans="1:55" x14ac:dyDescent="0.25">
      <c r="A363" s="713"/>
      <c r="B363" s="696"/>
      <c r="C363" s="722" t="s">
        <v>517</v>
      </c>
      <c r="D363" s="389" t="s">
        <v>348</v>
      </c>
      <c r="E363" s="387">
        <v>137611.85200000001</v>
      </c>
      <c r="F363" s="387">
        <v>137611.85200000001</v>
      </c>
      <c r="G363" s="387">
        <f>K363</f>
        <v>199090.83180000001</v>
      </c>
      <c r="H363" s="387">
        <f>G363</f>
        <v>199090.83180000001</v>
      </c>
      <c r="I363" s="460"/>
      <c r="J363" s="387">
        <v>137611.85200000001</v>
      </c>
      <c r="K363" s="460">
        <v>199090.83180000001</v>
      </c>
      <c r="L363" s="460">
        <v>500015.34</v>
      </c>
      <c r="M363" s="460"/>
      <c r="N363" s="718" t="s">
        <v>517</v>
      </c>
      <c r="O363" s="718" t="s">
        <v>350</v>
      </c>
      <c r="P363" s="718" t="s">
        <v>351</v>
      </c>
      <c r="Q363" s="718" t="s">
        <v>352</v>
      </c>
      <c r="R363" s="718" t="s">
        <v>353</v>
      </c>
      <c r="S363" s="718">
        <v>48066</v>
      </c>
      <c r="T363" s="718">
        <v>47135</v>
      </c>
      <c r="U363" s="718" t="s">
        <v>494</v>
      </c>
      <c r="V363" s="718" t="s">
        <v>355</v>
      </c>
      <c r="W363" s="718" t="s">
        <v>356</v>
      </c>
      <c r="X363" s="718" t="s">
        <v>357</v>
      </c>
      <c r="Y363" s="717">
        <v>95201</v>
      </c>
      <c r="Z363" s="381"/>
      <c r="AA363" s="382"/>
      <c r="AB363" s="382"/>
      <c r="AC363" s="382"/>
      <c r="AD363" s="382"/>
      <c r="AE363" s="382"/>
      <c r="AF363" s="382"/>
      <c r="AG363" s="382"/>
      <c r="AH363" s="382"/>
      <c r="AI363" s="382"/>
      <c r="AJ363" s="383"/>
      <c r="AK363" s="171"/>
      <c r="AL363" s="171"/>
      <c r="AM363" s="19"/>
      <c r="AN363" s="19"/>
      <c r="AO363" s="19"/>
      <c r="AP363" s="19"/>
      <c r="AQ363" s="19"/>
      <c r="AR363" s="19"/>
      <c r="AS363" s="19"/>
      <c r="AT363" s="5"/>
      <c r="AU363" s="5"/>
      <c r="AV363" s="5"/>
      <c r="AW363" s="5"/>
      <c r="AX363" s="5"/>
      <c r="AY363" s="5"/>
      <c r="AZ363" s="5"/>
      <c r="BA363" s="5"/>
      <c r="BB363" s="5"/>
      <c r="BC363" s="5"/>
    </row>
    <row r="364" spans="1:55" x14ac:dyDescent="0.25">
      <c r="A364" s="713"/>
      <c r="B364" s="696"/>
      <c r="C364" s="696"/>
      <c r="D364" s="384" t="s">
        <v>360</v>
      </c>
      <c r="E364" s="388">
        <v>14051410.562145909</v>
      </c>
      <c r="F364" s="388">
        <v>14051410.562145909</v>
      </c>
      <c r="G364" s="388">
        <f>(G363*$G$352)/$G$351</f>
        <v>20474586.270520799</v>
      </c>
      <c r="H364" s="388">
        <f>(H363*$H$352)/$H$351</f>
        <v>16332984.047842162</v>
      </c>
      <c r="I364" s="460"/>
      <c r="J364" s="388">
        <f>(J363*$J$352)/$J$351</f>
        <v>54983350.811598681</v>
      </c>
      <c r="K364" s="388">
        <f>(K363*$K$352)/$K$351</f>
        <v>33651878.291487262</v>
      </c>
      <c r="L364" s="388">
        <v>33651878.291487262</v>
      </c>
      <c r="M364" s="460"/>
      <c r="N364" s="696"/>
      <c r="O364" s="696"/>
      <c r="P364" s="696"/>
      <c r="Q364" s="696"/>
      <c r="R364" s="696"/>
      <c r="S364" s="696"/>
      <c r="T364" s="696"/>
      <c r="U364" s="696"/>
      <c r="V364" s="696"/>
      <c r="W364" s="696"/>
      <c r="X364" s="696"/>
      <c r="Y364" s="699"/>
      <c r="Z364" s="381"/>
      <c r="AA364" s="382"/>
      <c r="AB364" s="382"/>
      <c r="AC364" s="382"/>
      <c r="AD364" s="382"/>
      <c r="AE364" s="382"/>
      <c r="AF364" s="382"/>
      <c r="AG364" s="382"/>
      <c r="AH364" s="382"/>
      <c r="AI364" s="382"/>
      <c r="AJ364" s="383"/>
      <c r="AK364" s="171"/>
      <c r="AL364" s="171"/>
      <c r="AM364" s="19"/>
      <c r="AN364" s="19"/>
      <c r="AO364" s="19"/>
      <c r="AP364" s="19"/>
      <c r="AQ364" s="19"/>
      <c r="AR364" s="19"/>
      <c r="AS364" s="19"/>
      <c r="AT364" s="5"/>
      <c r="AU364" s="5"/>
      <c r="AV364" s="5"/>
      <c r="AW364" s="5"/>
      <c r="AX364" s="5"/>
      <c r="AY364" s="5"/>
      <c r="AZ364" s="5"/>
      <c r="BA364" s="5"/>
      <c r="BB364" s="5"/>
      <c r="BC364" s="5"/>
    </row>
    <row r="365" spans="1:55" x14ac:dyDescent="0.25">
      <c r="A365" s="713"/>
      <c r="B365" s="696"/>
      <c r="C365" s="696"/>
      <c r="D365" s="384" t="s">
        <v>365</v>
      </c>
      <c r="E365" s="387">
        <v>0</v>
      </c>
      <c r="F365" s="387">
        <v>0</v>
      </c>
      <c r="G365" s="387">
        <v>0</v>
      </c>
      <c r="H365" s="387">
        <v>0</v>
      </c>
      <c r="I365" s="460"/>
      <c r="J365" s="387">
        <v>0</v>
      </c>
      <c r="K365" s="387">
        <v>0</v>
      </c>
      <c r="L365" s="387">
        <v>0</v>
      </c>
      <c r="M365" s="460"/>
      <c r="N365" s="696"/>
      <c r="O365" s="696"/>
      <c r="P365" s="696"/>
      <c r="Q365" s="696"/>
      <c r="R365" s="696"/>
      <c r="S365" s="696"/>
      <c r="T365" s="696"/>
      <c r="U365" s="696"/>
      <c r="V365" s="696"/>
      <c r="W365" s="696"/>
      <c r="X365" s="696"/>
      <c r="Y365" s="699"/>
      <c r="Z365" s="381"/>
      <c r="AA365" s="382"/>
      <c r="AB365" s="382"/>
      <c r="AC365" s="382"/>
      <c r="AD365" s="382"/>
      <c r="AE365" s="382"/>
      <c r="AF365" s="382"/>
      <c r="AG365" s="382"/>
      <c r="AH365" s="382"/>
      <c r="AI365" s="382"/>
      <c r="AJ365" s="383"/>
      <c r="AK365" s="171"/>
      <c r="AL365" s="171"/>
      <c r="AM365" s="19"/>
      <c r="AN365" s="19"/>
      <c r="AO365" s="19"/>
      <c r="AP365" s="19"/>
      <c r="AQ365" s="19"/>
      <c r="AR365" s="19"/>
      <c r="AS365" s="19"/>
      <c r="AT365" s="5"/>
      <c r="AU365" s="5"/>
      <c r="AV365" s="5"/>
      <c r="AW365" s="5"/>
      <c r="AX365" s="5"/>
      <c r="AY365" s="5"/>
      <c r="AZ365" s="5"/>
      <c r="BA365" s="5"/>
      <c r="BB365" s="5"/>
      <c r="BC365" s="5"/>
    </row>
    <row r="366" spans="1:55" ht="22.5" x14ac:dyDescent="0.25">
      <c r="A366" s="713"/>
      <c r="B366" s="696"/>
      <c r="C366" s="696"/>
      <c r="D366" s="386" t="s">
        <v>370</v>
      </c>
      <c r="E366" s="388">
        <v>0</v>
      </c>
      <c r="F366" s="388">
        <v>0</v>
      </c>
      <c r="G366" s="388">
        <v>0</v>
      </c>
      <c r="H366" s="388">
        <v>0</v>
      </c>
      <c r="I366" s="390"/>
      <c r="J366" s="388">
        <v>0</v>
      </c>
      <c r="K366" s="388">
        <v>0</v>
      </c>
      <c r="L366" s="388">
        <v>0</v>
      </c>
      <c r="M366" s="390"/>
      <c r="N366" s="696"/>
      <c r="O366" s="696"/>
      <c r="P366" s="696"/>
      <c r="Q366" s="696"/>
      <c r="R366" s="696"/>
      <c r="S366" s="696"/>
      <c r="T366" s="696"/>
      <c r="U366" s="696"/>
      <c r="V366" s="696"/>
      <c r="W366" s="696"/>
      <c r="X366" s="696"/>
      <c r="Y366" s="699"/>
      <c r="Z366" s="381"/>
      <c r="AA366" s="382"/>
      <c r="AB366" s="382"/>
      <c r="AC366" s="382"/>
      <c r="AD366" s="382"/>
      <c r="AE366" s="382"/>
      <c r="AF366" s="382"/>
      <c r="AG366" s="382"/>
      <c r="AH366" s="382"/>
      <c r="AI366" s="382"/>
      <c r="AJ366" s="383"/>
      <c r="AK366" s="171"/>
      <c r="AL366" s="171"/>
      <c r="AM366" s="19"/>
      <c r="AN366" s="19"/>
      <c r="AO366" s="19"/>
      <c r="AP366" s="19"/>
      <c r="AQ366" s="19"/>
      <c r="AR366" s="19"/>
      <c r="AS366" s="19"/>
      <c r="AT366" s="5"/>
      <c r="AU366" s="5"/>
      <c r="AV366" s="5"/>
      <c r="AW366" s="5"/>
      <c r="AX366" s="5"/>
      <c r="AY366" s="5"/>
      <c r="AZ366" s="5"/>
      <c r="BA366" s="5"/>
      <c r="BB366" s="5"/>
      <c r="BC366" s="5"/>
    </row>
    <row r="367" spans="1:55" x14ac:dyDescent="0.25">
      <c r="A367" s="713"/>
      <c r="B367" s="696"/>
      <c r="C367" s="722" t="s">
        <v>398</v>
      </c>
      <c r="D367" s="389" t="s">
        <v>348</v>
      </c>
      <c r="E367" s="387">
        <v>71152.2</v>
      </c>
      <c r="F367" s="387">
        <v>71152.2</v>
      </c>
      <c r="G367" s="387">
        <f>K367</f>
        <v>183525.182092</v>
      </c>
      <c r="H367" s="387">
        <f>G367</f>
        <v>183525.182092</v>
      </c>
      <c r="I367" s="460"/>
      <c r="J367" s="387">
        <v>71152.2</v>
      </c>
      <c r="K367" s="460">
        <v>183525.182092</v>
      </c>
      <c r="L367" s="460">
        <v>371139.52</v>
      </c>
      <c r="M367" s="460"/>
      <c r="N367" s="718" t="s">
        <v>398</v>
      </c>
      <c r="O367" s="718" t="s">
        <v>350</v>
      </c>
      <c r="P367" s="718" t="s">
        <v>351</v>
      </c>
      <c r="Q367" s="718" t="s">
        <v>352</v>
      </c>
      <c r="R367" s="718" t="s">
        <v>353</v>
      </c>
      <c r="S367" s="718">
        <v>191535</v>
      </c>
      <c r="T367" s="718">
        <v>202823</v>
      </c>
      <c r="U367" s="718" t="s">
        <v>494</v>
      </c>
      <c r="V367" s="718" t="s">
        <v>355</v>
      </c>
      <c r="W367" s="718" t="s">
        <v>356</v>
      </c>
      <c r="X367" s="718" t="s">
        <v>357</v>
      </c>
      <c r="Y367" s="717">
        <v>394358</v>
      </c>
      <c r="Z367" s="381"/>
      <c r="AA367" s="382"/>
      <c r="AB367" s="382"/>
      <c r="AC367" s="382"/>
      <c r="AD367" s="382"/>
      <c r="AE367" s="382"/>
      <c r="AF367" s="382"/>
      <c r="AG367" s="382"/>
      <c r="AH367" s="382"/>
      <c r="AI367" s="382"/>
      <c r="AJ367" s="383"/>
      <c r="AK367" s="171"/>
      <c r="AL367" s="171"/>
      <c r="AM367" s="19"/>
      <c r="AN367" s="19"/>
      <c r="AO367" s="19"/>
      <c r="AP367" s="19"/>
      <c r="AQ367" s="19"/>
      <c r="AR367" s="19"/>
      <c r="AS367" s="19"/>
      <c r="AT367" s="5"/>
      <c r="AU367" s="5"/>
      <c r="AV367" s="5"/>
      <c r="AW367" s="5"/>
      <c r="AX367" s="5"/>
      <c r="AY367" s="5"/>
      <c r="AZ367" s="5"/>
      <c r="BA367" s="5"/>
      <c r="BB367" s="5"/>
      <c r="BC367" s="5"/>
    </row>
    <row r="368" spans="1:55" x14ac:dyDescent="0.25">
      <c r="A368" s="713"/>
      <c r="B368" s="696"/>
      <c r="C368" s="696"/>
      <c r="D368" s="384" t="s">
        <v>360</v>
      </c>
      <c r="E368" s="388">
        <v>7265281.006463876</v>
      </c>
      <c r="F368" s="388">
        <v>7265281.006463876</v>
      </c>
      <c r="G368" s="388">
        <f>(G367*$G$352)/$G$351</f>
        <v>18873808.198915225</v>
      </c>
      <c r="H368" s="388">
        <f>(H367*$H$352)/$H$351</f>
        <v>15056011.592222216</v>
      </c>
      <c r="I368" s="460"/>
      <c r="J368" s="388">
        <f>(J367*$J$352)/$J$351</f>
        <v>28429138.310100142</v>
      </c>
      <c r="K368" s="388">
        <f>(K367*$K$352)/$K$351</f>
        <v>31020851.313671701</v>
      </c>
      <c r="L368" s="388">
        <v>31020851.313671701</v>
      </c>
      <c r="M368" s="460"/>
      <c r="N368" s="696"/>
      <c r="O368" s="696"/>
      <c r="P368" s="696"/>
      <c r="Q368" s="696"/>
      <c r="R368" s="696"/>
      <c r="S368" s="696"/>
      <c r="T368" s="696"/>
      <c r="U368" s="696"/>
      <c r="V368" s="696"/>
      <c r="W368" s="696"/>
      <c r="X368" s="696"/>
      <c r="Y368" s="699"/>
      <c r="Z368" s="381"/>
      <c r="AA368" s="382"/>
      <c r="AB368" s="382"/>
      <c r="AC368" s="382"/>
      <c r="AD368" s="382"/>
      <c r="AE368" s="382"/>
      <c r="AF368" s="382"/>
      <c r="AG368" s="382"/>
      <c r="AH368" s="382"/>
      <c r="AI368" s="382"/>
      <c r="AJ368" s="383"/>
      <c r="AK368" s="171"/>
      <c r="AL368" s="171"/>
      <c r="AM368" s="19"/>
      <c r="AN368" s="19"/>
      <c r="AO368" s="19"/>
      <c r="AP368" s="19"/>
      <c r="AQ368" s="19"/>
      <c r="AR368" s="19"/>
      <c r="AS368" s="19"/>
      <c r="AT368" s="5"/>
      <c r="AU368" s="5"/>
      <c r="AV368" s="5"/>
      <c r="AW368" s="5"/>
      <c r="AX368" s="5"/>
      <c r="AY368" s="5"/>
      <c r="AZ368" s="5"/>
      <c r="BA368" s="5"/>
      <c r="BB368" s="5"/>
      <c r="BC368" s="5"/>
    </row>
    <row r="369" spans="1:55" x14ac:dyDescent="0.25">
      <c r="A369" s="713"/>
      <c r="B369" s="696"/>
      <c r="C369" s="696"/>
      <c r="D369" s="384" t="s">
        <v>365</v>
      </c>
      <c r="E369" s="387">
        <v>0</v>
      </c>
      <c r="F369" s="387">
        <v>0</v>
      </c>
      <c r="G369" s="387">
        <v>0</v>
      </c>
      <c r="H369" s="387">
        <v>0</v>
      </c>
      <c r="I369" s="460"/>
      <c r="J369" s="387">
        <v>0</v>
      </c>
      <c r="K369" s="387">
        <v>0</v>
      </c>
      <c r="L369" s="387">
        <v>0</v>
      </c>
      <c r="M369" s="460"/>
      <c r="N369" s="696"/>
      <c r="O369" s="696"/>
      <c r="P369" s="696"/>
      <c r="Q369" s="696"/>
      <c r="R369" s="696"/>
      <c r="S369" s="696"/>
      <c r="T369" s="696"/>
      <c r="U369" s="696"/>
      <c r="V369" s="696"/>
      <c r="W369" s="696"/>
      <c r="X369" s="696"/>
      <c r="Y369" s="699"/>
      <c r="Z369" s="381"/>
      <c r="AA369" s="382"/>
      <c r="AB369" s="382"/>
      <c r="AC369" s="382"/>
      <c r="AD369" s="382"/>
      <c r="AE369" s="382"/>
      <c r="AF369" s="382"/>
      <c r="AG369" s="382"/>
      <c r="AH369" s="382"/>
      <c r="AI369" s="382"/>
      <c r="AJ369" s="383"/>
      <c r="AK369" s="171"/>
      <c r="AL369" s="171"/>
      <c r="AM369" s="19"/>
      <c r="AN369" s="19"/>
      <c r="AO369" s="19"/>
      <c r="AP369" s="19"/>
      <c r="AQ369" s="19"/>
      <c r="AR369" s="19"/>
      <c r="AS369" s="19"/>
      <c r="AT369" s="5"/>
      <c r="AU369" s="5"/>
      <c r="AV369" s="5"/>
      <c r="AW369" s="5"/>
      <c r="AX369" s="5"/>
      <c r="AY369" s="5"/>
      <c r="AZ369" s="5"/>
      <c r="BA369" s="5"/>
      <c r="BB369" s="5"/>
      <c r="BC369" s="5"/>
    </row>
    <row r="370" spans="1:55" ht="22.5" x14ac:dyDescent="0.25">
      <c r="A370" s="713"/>
      <c r="B370" s="696"/>
      <c r="C370" s="696"/>
      <c r="D370" s="386" t="s">
        <v>370</v>
      </c>
      <c r="E370" s="388">
        <v>0</v>
      </c>
      <c r="F370" s="388">
        <v>0</v>
      </c>
      <c r="G370" s="388">
        <v>0</v>
      </c>
      <c r="H370" s="388">
        <v>0</v>
      </c>
      <c r="I370" s="390"/>
      <c r="J370" s="388">
        <v>0</v>
      </c>
      <c r="K370" s="388">
        <v>0</v>
      </c>
      <c r="L370" s="388">
        <v>0</v>
      </c>
      <c r="M370" s="390"/>
      <c r="N370" s="696"/>
      <c r="O370" s="696"/>
      <c r="P370" s="696"/>
      <c r="Q370" s="696"/>
      <c r="R370" s="696"/>
      <c r="S370" s="696"/>
      <c r="T370" s="696"/>
      <c r="U370" s="696"/>
      <c r="V370" s="696"/>
      <c r="W370" s="696"/>
      <c r="X370" s="696"/>
      <c r="Y370" s="699"/>
      <c r="Z370" s="381"/>
      <c r="AA370" s="382"/>
      <c r="AB370" s="382"/>
      <c r="AC370" s="382"/>
      <c r="AD370" s="382"/>
      <c r="AE370" s="382"/>
      <c r="AF370" s="382"/>
      <c r="AG370" s="382"/>
      <c r="AH370" s="382"/>
      <c r="AI370" s="382"/>
      <c r="AJ370" s="383"/>
      <c r="AK370" s="171"/>
      <c r="AL370" s="171"/>
      <c r="AM370" s="19"/>
      <c r="AN370" s="19"/>
      <c r="AO370" s="19"/>
      <c r="AP370" s="19"/>
      <c r="AQ370" s="19"/>
      <c r="AR370" s="19"/>
      <c r="AS370" s="19"/>
      <c r="AT370" s="5"/>
      <c r="AU370" s="5"/>
      <c r="AV370" s="5"/>
      <c r="AW370" s="5"/>
      <c r="AX370" s="5"/>
      <c r="AY370" s="5"/>
      <c r="AZ370" s="5"/>
      <c r="BA370" s="5"/>
      <c r="BB370" s="5"/>
      <c r="BC370" s="5"/>
    </row>
    <row r="371" spans="1:55" x14ac:dyDescent="0.25">
      <c r="A371" s="713"/>
      <c r="B371" s="696"/>
      <c r="C371" s="722" t="s">
        <v>379</v>
      </c>
      <c r="D371" s="389" t="s">
        <v>348</v>
      </c>
      <c r="E371" s="387">
        <v>42670.6</v>
      </c>
      <c r="F371" s="387">
        <v>42670.6</v>
      </c>
      <c r="G371" s="387">
        <f>K371</f>
        <v>92658.78439999999</v>
      </c>
      <c r="H371" s="387">
        <f>G371</f>
        <v>92658.78439999999</v>
      </c>
      <c r="I371" s="460"/>
      <c r="J371" s="387">
        <v>42670.6</v>
      </c>
      <c r="K371" s="460">
        <v>92658.78439999999</v>
      </c>
      <c r="L371" s="460">
        <v>174731.82</v>
      </c>
      <c r="M371" s="460"/>
      <c r="N371" s="718" t="s">
        <v>379</v>
      </c>
      <c r="O371" s="718" t="s">
        <v>350</v>
      </c>
      <c r="P371" s="718" t="s">
        <v>351</v>
      </c>
      <c r="Q371" s="718" t="s">
        <v>352</v>
      </c>
      <c r="R371" s="718" t="s">
        <v>353</v>
      </c>
      <c r="S371" s="718">
        <v>166347</v>
      </c>
      <c r="T371" s="718">
        <v>173754</v>
      </c>
      <c r="U371" s="718" t="s">
        <v>494</v>
      </c>
      <c r="V371" s="718" t="s">
        <v>355</v>
      </c>
      <c r="W371" s="718" t="s">
        <v>356</v>
      </c>
      <c r="X371" s="718" t="s">
        <v>357</v>
      </c>
      <c r="Y371" s="717">
        <v>340101</v>
      </c>
      <c r="Z371" s="381"/>
      <c r="AA371" s="382"/>
      <c r="AB371" s="382"/>
      <c r="AC371" s="382"/>
      <c r="AD371" s="382"/>
      <c r="AE371" s="382"/>
      <c r="AF371" s="382"/>
      <c r="AG371" s="382"/>
      <c r="AH371" s="382"/>
      <c r="AI371" s="382"/>
      <c r="AJ371" s="383"/>
      <c r="AK371" s="171"/>
      <c r="AL371" s="171"/>
      <c r="AM371" s="19"/>
      <c r="AN371" s="19"/>
      <c r="AO371" s="19"/>
      <c r="AP371" s="19"/>
      <c r="AQ371" s="19"/>
      <c r="AR371" s="19"/>
      <c r="AS371" s="19"/>
      <c r="AT371" s="5"/>
      <c r="AU371" s="5"/>
      <c r="AV371" s="5"/>
      <c r="AW371" s="5"/>
      <c r="AX371" s="5"/>
      <c r="AY371" s="5"/>
      <c r="AZ371" s="5"/>
      <c r="BA371" s="5"/>
      <c r="BB371" s="5"/>
      <c r="BC371" s="5"/>
    </row>
    <row r="372" spans="1:55" x14ac:dyDescent="0.25">
      <c r="A372" s="713"/>
      <c r="B372" s="696"/>
      <c r="C372" s="696"/>
      <c r="D372" s="384" t="s">
        <v>360</v>
      </c>
      <c r="E372" s="388">
        <v>4357052.905102266</v>
      </c>
      <c r="F372" s="388">
        <v>4357052.905102266</v>
      </c>
      <c r="G372" s="388">
        <f>(G371*$G$352)/$G$351</f>
        <v>9529069.007181609</v>
      </c>
      <c r="H372" s="388">
        <f>(H371*$H$352)/$H$351</f>
        <v>7601527.5731930817</v>
      </c>
      <c r="I372" s="460"/>
      <c r="J372" s="388">
        <f>(J371*$J$352)/$J$351</f>
        <v>17049204.229454033</v>
      </c>
      <c r="K372" s="388">
        <f>(K371*$K$352)/$K$351</f>
        <v>15661907.216291806</v>
      </c>
      <c r="L372" s="388">
        <v>15661907.216291806</v>
      </c>
      <c r="M372" s="460"/>
      <c r="N372" s="696"/>
      <c r="O372" s="696"/>
      <c r="P372" s="696"/>
      <c r="Q372" s="696"/>
      <c r="R372" s="696"/>
      <c r="S372" s="696"/>
      <c r="T372" s="696"/>
      <c r="U372" s="696"/>
      <c r="V372" s="696"/>
      <c r="W372" s="696"/>
      <c r="X372" s="696"/>
      <c r="Y372" s="699"/>
      <c r="Z372" s="381"/>
      <c r="AA372" s="382"/>
      <c r="AB372" s="382"/>
      <c r="AC372" s="382"/>
      <c r="AD372" s="382"/>
      <c r="AE372" s="382"/>
      <c r="AF372" s="382"/>
      <c r="AG372" s="382"/>
      <c r="AH372" s="382"/>
      <c r="AI372" s="382"/>
      <c r="AJ372" s="383"/>
      <c r="AK372" s="171"/>
      <c r="AL372" s="171"/>
      <c r="AM372" s="19"/>
      <c r="AN372" s="19"/>
      <c r="AO372" s="19"/>
      <c r="AP372" s="19"/>
      <c r="AQ372" s="19"/>
      <c r="AR372" s="19"/>
      <c r="AS372" s="19"/>
      <c r="AT372" s="5"/>
      <c r="AU372" s="5"/>
      <c r="AV372" s="5"/>
      <c r="AW372" s="5"/>
      <c r="AX372" s="5"/>
      <c r="AY372" s="5"/>
      <c r="AZ372" s="5"/>
      <c r="BA372" s="5"/>
      <c r="BB372" s="5"/>
      <c r="BC372" s="5"/>
    </row>
    <row r="373" spans="1:55" x14ac:dyDescent="0.25">
      <c r="A373" s="713"/>
      <c r="B373" s="696"/>
      <c r="C373" s="696"/>
      <c r="D373" s="384" t="s">
        <v>365</v>
      </c>
      <c r="E373" s="387">
        <v>0</v>
      </c>
      <c r="F373" s="387">
        <v>0</v>
      </c>
      <c r="G373" s="387">
        <v>0</v>
      </c>
      <c r="H373" s="387">
        <v>0</v>
      </c>
      <c r="I373" s="460"/>
      <c r="J373" s="387">
        <v>0</v>
      </c>
      <c r="K373" s="387">
        <v>0</v>
      </c>
      <c r="L373" s="387">
        <v>0</v>
      </c>
      <c r="M373" s="460"/>
      <c r="N373" s="696"/>
      <c r="O373" s="696"/>
      <c r="P373" s="696"/>
      <c r="Q373" s="696"/>
      <c r="R373" s="696"/>
      <c r="S373" s="696"/>
      <c r="T373" s="696"/>
      <c r="U373" s="696"/>
      <c r="V373" s="696"/>
      <c r="W373" s="696"/>
      <c r="X373" s="696"/>
      <c r="Y373" s="699"/>
      <c r="Z373" s="381"/>
      <c r="AA373" s="382"/>
      <c r="AB373" s="382"/>
      <c r="AC373" s="382"/>
      <c r="AD373" s="382"/>
      <c r="AE373" s="382"/>
      <c r="AF373" s="382"/>
      <c r="AG373" s="382"/>
      <c r="AH373" s="382"/>
      <c r="AI373" s="382"/>
      <c r="AJ373" s="383"/>
      <c r="AK373" s="171"/>
      <c r="AL373" s="171"/>
      <c r="AM373" s="19"/>
      <c r="AN373" s="19"/>
      <c r="AO373" s="19"/>
      <c r="AP373" s="19"/>
      <c r="AQ373" s="19"/>
      <c r="AR373" s="19"/>
      <c r="AS373" s="19"/>
      <c r="AT373" s="5"/>
      <c r="AU373" s="5"/>
      <c r="AV373" s="5"/>
      <c r="AW373" s="5"/>
      <c r="AX373" s="5"/>
      <c r="AY373" s="5"/>
      <c r="AZ373" s="5"/>
      <c r="BA373" s="5"/>
      <c r="BB373" s="5"/>
      <c r="BC373" s="5"/>
    </row>
    <row r="374" spans="1:55" ht="22.5" x14ac:dyDescent="0.25">
      <c r="A374" s="713"/>
      <c r="B374" s="696"/>
      <c r="C374" s="696"/>
      <c r="D374" s="386" t="s">
        <v>370</v>
      </c>
      <c r="E374" s="388">
        <v>0</v>
      </c>
      <c r="F374" s="388">
        <v>0</v>
      </c>
      <c r="G374" s="388">
        <v>0</v>
      </c>
      <c r="H374" s="388">
        <v>0</v>
      </c>
      <c r="I374" s="390"/>
      <c r="J374" s="388">
        <v>0</v>
      </c>
      <c r="K374" s="388">
        <v>0</v>
      </c>
      <c r="L374" s="388">
        <v>0</v>
      </c>
      <c r="M374" s="390"/>
      <c r="N374" s="696"/>
      <c r="O374" s="696"/>
      <c r="P374" s="696"/>
      <c r="Q374" s="696"/>
      <c r="R374" s="696"/>
      <c r="S374" s="696"/>
      <c r="T374" s="696"/>
      <c r="U374" s="696"/>
      <c r="V374" s="696"/>
      <c r="W374" s="696"/>
      <c r="X374" s="696"/>
      <c r="Y374" s="699"/>
      <c r="Z374" s="381"/>
      <c r="AA374" s="382"/>
      <c r="AB374" s="382"/>
      <c r="AC374" s="382"/>
      <c r="AD374" s="382"/>
      <c r="AE374" s="382"/>
      <c r="AF374" s="382"/>
      <c r="AG374" s="382"/>
      <c r="AH374" s="382"/>
      <c r="AI374" s="382"/>
      <c r="AJ374" s="383"/>
      <c r="AK374" s="171"/>
      <c r="AL374" s="171"/>
      <c r="AM374" s="19"/>
      <c r="AN374" s="19"/>
      <c r="AO374" s="19"/>
      <c r="AP374" s="19"/>
      <c r="AQ374" s="19"/>
      <c r="AR374" s="19"/>
      <c r="AS374" s="19"/>
      <c r="AT374" s="5"/>
      <c r="AU374" s="5"/>
      <c r="AV374" s="5"/>
      <c r="AW374" s="5"/>
      <c r="AX374" s="5"/>
      <c r="AY374" s="5"/>
      <c r="AZ374" s="5"/>
      <c r="BA374" s="5"/>
      <c r="BB374" s="5"/>
      <c r="BC374" s="5"/>
    </row>
    <row r="375" spans="1:55" x14ac:dyDescent="0.25">
      <c r="A375" s="713"/>
      <c r="B375" s="696"/>
      <c r="C375" s="722" t="s">
        <v>402</v>
      </c>
      <c r="D375" s="389" t="s">
        <v>348</v>
      </c>
      <c r="E375" s="387">
        <v>6983.1999999999989</v>
      </c>
      <c r="F375" s="387">
        <v>6983.1999999999989</v>
      </c>
      <c r="G375" s="387">
        <f>K375</f>
        <v>22054.199999999997</v>
      </c>
      <c r="H375" s="387">
        <f>G375</f>
        <v>22054.199999999997</v>
      </c>
      <c r="I375" s="460"/>
      <c r="J375" s="387">
        <v>6983.1999999999989</v>
      </c>
      <c r="K375" s="460">
        <v>22054.199999999997</v>
      </c>
      <c r="L375" s="460">
        <v>78361.64</v>
      </c>
      <c r="M375" s="460"/>
      <c r="N375" s="718" t="s">
        <v>402</v>
      </c>
      <c r="O375" s="718" t="s">
        <v>350</v>
      </c>
      <c r="P375" s="718" t="s">
        <v>351</v>
      </c>
      <c r="Q375" s="718" t="s">
        <v>352</v>
      </c>
      <c r="R375" s="718" t="s">
        <v>353</v>
      </c>
      <c r="S375" s="718">
        <v>93152</v>
      </c>
      <c r="T375" s="718">
        <v>94819</v>
      </c>
      <c r="U375" s="718" t="s">
        <v>494</v>
      </c>
      <c r="V375" s="718" t="s">
        <v>355</v>
      </c>
      <c r="W375" s="718" t="s">
        <v>356</v>
      </c>
      <c r="X375" s="718" t="s">
        <v>357</v>
      </c>
      <c r="Y375" s="717">
        <v>187971</v>
      </c>
      <c r="Z375" s="381"/>
      <c r="AA375" s="382"/>
      <c r="AB375" s="382"/>
      <c r="AC375" s="382"/>
      <c r="AD375" s="382"/>
      <c r="AE375" s="382"/>
      <c r="AF375" s="382"/>
      <c r="AG375" s="382"/>
      <c r="AH375" s="382"/>
      <c r="AI375" s="382"/>
      <c r="AJ375" s="383"/>
      <c r="AK375" s="171"/>
      <c r="AL375" s="171"/>
      <c r="AM375" s="19"/>
      <c r="AN375" s="19"/>
      <c r="AO375" s="19"/>
      <c r="AP375" s="19"/>
      <c r="AQ375" s="19"/>
      <c r="AR375" s="19"/>
      <c r="AS375" s="19"/>
      <c r="AT375" s="5"/>
      <c r="AU375" s="5"/>
      <c r="AV375" s="5"/>
      <c r="AW375" s="5"/>
      <c r="AX375" s="5"/>
      <c r="AY375" s="5"/>
      <c r="AZ375" s="5"/>
      <c r="BA375" s="5"/>
      <c r="BB375" s="5"/>
      <c r="BC375" s="5"/>
    </row>
    <row r="376" spans="1:55" x14ac:dyDescent="0.25">
      <c r="A376" s="713"/>
      <c r="B376" s="696"/>
      <c r="C376" s="696"/>
      <c r="D376" s="384" t="s">
        <v>360</v>
      </c>
      <c r="E376" s="388">
        <v>713047.66858000925</v>
      </c>
      <c r="F376" s="388">
        <v>713047.66858000925</v>
      </c>
      <c r="G376" s="388">
        <f>(G375*$G$352)/$G$351</f>
        <v>2268063.3580401754</v>
      </c>
      <c r="H376" s="388">
        <f>(H375*$H$352)/$H$351</f>
        <v>1809279.1794138283</v>
      </c>
      <c r="I376" s="460"/>
      <c r="J376" s="388">
        <f>(J375*$J$352)/$J$351</f>
        <v>2790164.7264187373</v>
      </c>
      <c r="K376" s="388">
        <f>(K375*$K$352)/$K$351</f>
        <v>3727772.1304699387</v>
      </c>
      <c r="L376" s="388">
        <v>3727772.1304699387</v>
      </c>
      <c r="M376" s="460"/>
      <c r="N376" s="696"/>
      <c r="O376" s="696"/>
      <c r="P376" s="696"/>
      <c r="Q376" s="696"/>
      <c r="R376" s="696"/>
      <c r="S376" s="696"/>
      <c r="T376" s="696"/>
      <c r="U376" s="696"/>
      <c r="V376" s="696"/>
      <c r="W376" s="696"/>
      <c r="X376" s="696"/>
      <c r="Y376" s="699"/>
      <c r="Z376" s="381"/>
      <c r="AA376" s="382"/>
      <c r="AB376" s="382"/>
      <c r="AC376" s="382"/>
      <c r="AD376" s="382"/>
      <c r="AE376" s="382"/>
      <c r="AF376" s="382"/>
      <c r="AG376" s="382"/>
      <c r="AH376" s="382"/>
      <c r="AI376" s="382"/>
      <c r="AJ376" s="383"/>
      <c r="AK376" s="171"/>
      <c r="AL376" s="171"/>
      <c r="AM376" s="19"/>
      <c r="AN376" s="19"/>
      <c r="AO376" s="19"/>
      <c r="AP376" s="19"/>
      <c r="AQ376" s="19"/>
      <c r="AR376" s="19"/>
      <c r="AS376" s="19"/>
      <c r="AT376" s="5"/>
      <c r="AU376" s="5"/>
      <c r="AV376" s="5"/>
      <c r="AW376" s="5"/>
      <c r="AX376" s="5"/>
      <c r="AY376" s="5"/>
      <c r="AZ376" s="5"/>
      <c r="BA376" s="5"/>
      <c r="BB376" s="5"/>
      <c r="BC376" s="5"/>
    </row>
    <row r="377" spans="1:55" x14ac:dyDescent="0.25">
      <c r="A377" s="713"/>
      <c r="B377" s="696"/>
      <c r="C377" s="696"/>
      <c r="D377" s="384" t="s">
        <v>365</v>
      </c>
      <c r="E377" s="387">
        <v>0</v>
      </c>
      <c r="F377" s="387">
        <v>0</v>
      </c>
      <c r="G377" s="387">
        <v>0</v>
      </c>
      <c r="H377" s="387">
        <v>0</v>
      </c>
      <c r="I377" s="460"/>
      <c r="J377" s="387">
        <v>0</v>
      </c>
      <c r="K377" s="387">
        <v>0</v>
      </c>
      <c r="L377" s="387">
        <v>0</v>
      </c>
      <c r="M377" s="460"/>
      <c r="N377" s="696"/>
      <c r="O377" s="696"/>
      <c r="P377" s="696"/>
      <c r="Q377" s="696"/>
      <c r="R377" s="696"/>
      <c r="S377" s="696"/>
      <c r="T377" s="696"/>
      <c r="U377" s="696"/>
      <c r="V377" s="696"/>
      <c r="W377" s="696"/>
      <c r="X377" s="696"/>
      <c r="Y377" s="699"/>
      <c r="Z377" s="381"/>
      <c r="AA377" s="382"/>
      <c r="AB377" s="382"/>
      <c r="AC377" s="382"/>
      <c r="AD377" s="382"/>
      <c r="AE377" s="382"/>
      <c r="AF377" s="382"/>
      <c r="AG377" s="382"/>
      <c r="AH377" s="382"/>
      <c r="AI377" s="382"/>
      <c r="AJ377" s="383"/>
      <c r="AK377" s="171"/>
      <c r="AL377" s="171"/>
      <c r="AM377" s="19"/>
      <c r="AN377" s="19"/>
      <c r="AO377" s="19"/>
      <c r="AP377" s="19"/>
      <c r="AQ377" s="19"/>
      <c r="AR377" s="19"/>
      <c r="AS377" s="19"/>
      <c r="AT377" s="5"/>
      <c r="AU377" s="5"/>
      <c r="AV377" s="5"/>
      <c r="AW377" s="5"/>
      <c r="AX377" s="5"/>
      <c r="AY377" s="5"/>
      <c r="AZ377" s="5"/>
      <c r="BA377" s="5"/>
      <c r="BB377" s="5"/>
      <c r="BC377" s="5"/>
    </row>
    <row r="378" spans="1:55" ht="22.5" x14ac:dyDescent="0.25">
      <c r="A378" s="713"/>
      <c r="B378" s="696"/>
      <c r="C378" s="696"/>
      <c r="D378" s="386" t="s">
        <v>370</v>
      </c>
      <c r="E378" s="388">
        <v>0</v>
      </c>
      <c r="F378" s="388">
        <v>0</v>
      </c>
      <c r="G378" s="388">
        <v>0</v>
      </c>
      <c r="H378" s="388">
        <v>0</v>
      </c>
      <c r="I378" s="390"/>
      <c r="J378" s="388">
        <v>0</v>
      </c>
      <c r="K378" s="388">
        <v>0</v>
      </c>
      <c r="L378" s="388">
        <v>0</v>
      </c>
      <c r="M378" s="390"/>
      <c r="N378" s="696"/>
      <c r="O378" s="696"/>
      <c r="P378" s="696"/>
      <c r="Q378" s="696"/>
      <c r="R378" s="696"/>
      <c r="S378" s="696"/>
      <c r="T378" s="696"/>
      <c r="U378" s="696"/>
      <c r="V378" s="696"/>
      <c r="W378" s="696"/>
      <c r="X378" s="696"/>
      <c r="Y378" s="699"/>
      <c r="Z378" s="381"/>
      <c r="AA378" s="382"/>
      <c r="AB378" s="382"/>
      <c r="AC378" s="382"/>
      <c r="AD378" s="382"/>
      <c r="AE378" s="382"/>
      <c r="AF378" s="382"/>
      <c r="AG378" s="382"/>
      <c r="AH378" s="382"/>
      <c r="AI378" s="382"/>
      <c r="AJ378" s="383"/>
      <c r="AK378" s="171"/>
      <c r="AL378" s="171"/>
      <c r="AM378" s="19"/>
      <c r="AN378" s="19"/>
      <c r="AO378" s="19"/>
      <c r="AP378" s="19"/>
      <c r="AQ378" s="19"/>
      <c r="AR378" s="19"/>
      <c r="AS378" s="19"/>
      <c r="AT378" s="5"/>
      <c r="AU378" s="5"/>
      <c r="AV378" s="5"/>
      <c r="AW378" s="5"/>
      <c r="AX378" s="5"/>
      <c r="AY378" s="5"/>
      <c r="AZ378" s="5"/>
      <c r="BA378" s="5"/>
      <c r="BB378" s="5"/>
      <c r="BC378" s="5"/>
    </row>
    <row r="379" spans="1:55" x14ac:dyDescent="0.25">
      <c r="A379" s="713"/>
      <c r="B379" s="696"/>
      <c r="C379" s="722" t="s">
        <v>372</v>
      </c>
      <c r="D379" s="389" t="s">
        <v>348</v>
      </c>
      <c r="E379" s="387">
        <v>297080.266</v>
      </c>
      <c r="F379" s="387">
        <v>297080.266</v>
      </c>
      <c r="G379" s="387">
        <f>K379</f>
        <v>587895.04000000004</v>
      </c>
      <c r="H379" s="387">
        <f>G379</f>
        <v>587895.04000000004</v>
      </c>
      <c r="I379" s="460"/>
      <c r="J379" s="387">
        <v>297080.266</v>
      </c>
      <c r="K379" s="460">
        <f>448397.04+139498</f>
        <v>587895.04000000004</v>
      </c>
      <c r="L379" s="460">
        <v>1242986.54</v>
      </c>
      <c r="M379" s="460"/>
      <c r="N379" s="718" t="s">
        <v>372</v>
      </c>
      <c r="O379" s="718" t="s">
        <v>350</v>
      </c>
      <c r="P379" s="718" t="s">
        <v>351</v>
      </c>
      <c r="Q379" s="718" t="s">
        <v>352</v>
      </c>
      <c r="R379" s="718" t="s">
        <v>353</v>
      </c>
      <c r="S379" s="718">
        <v>356324</v>
      </c>
      <c r="T379" s="718">
        <v>374723</v>
      </c>
      <c r="U379" s="718" t="s">
        <v>494</v>
      </c>
      <c r="V379" s="718" t="s">
        <v>355</v>
      </c>
      <c r="W379" s="718" t="s">
        <v>356</v>
      </c>
      <c r="X379" s="718" t="s">
        <v>357</v>
      </c>
      <c r="Y379" s="717">
        <v>731047</v>
      </c>
      <c r="Z379" s="381"/>
      <c r="AA379" s="382"/>
      <c r="AB379" s="382"/>
      <c r="AC379" s="382"/>
      <c r="AD379" s="382"/>
      <c r="AE379" s="382"/>
      <c r="AF379" s="382"/>
      <c r="AG379" s="382"/>
      <c r="AH379" s="382"/>
      <c r="AI379" s="382"/>
      <c r="AJ379" s="383"/>
      <c r="AK379" s="171"/>
      <c r="AL379" s="171"/>
      <c r="AM379" s="19"/>
      <c r="AN379" s="19"/>
      <c r="AO379" s="19"/>
      <c r="AP379" s="19"/>
      <c r="AQ379" s="19"/>
      <c r="AR379" s="19"/>
      <c r="AS379" s="19"/>
      <c r="AT379" s="5"/>
      <c r="AU379" s="5"/>
      <c r="AV379" s="5"/>
      <c r="AW379" s="5"/>
      <c r="AX379" s="5"/>
      <c r="AY379" s="5"/>
      <c r="AZ379" s="5"/>
      <c r="BA379" s="5"/>
      <c r="BB379" s="5"/>
      <c r="BC379" s="5"/>
    </row>
    <row r="380" spans="1:55" x14ac:dyDescent="0.25">
      <c r="A380" s="713"/>
      <c r="B380" s="696"/>
      <c r="C380" s="696"/>
      <c r="D380" s="384" t="s">
        <v>360</v>
      </c>
      <c r="E380" s="388">
        <v>30334573.125849042</v>
      </c>
      <c r="F380" s="388">
        <v>30334573.125849042</v>
      </c>
      <c r="G380" s="388">
        <f>(G379*$G$352)/$G$351</f>
        <v>60459377.288569227</v>
      </c>
      <c r="H380" s="388">
        <f>(H379*$H$352)/$H$351</f>
        <v>48229645.852157861</v>
      </c>
      <c r="I380" s="460"/>
      <c r="J380" s="388">
        <f>(J379*$J$352)/$J$351</f>
        <v>118699575.99786572</v>
      </c>
      <c r="K380" s="388">
        <f>(K379*$K$352)/$K$351</f>
        <v>99370584.548680529</v>
      </c>
      <c r="L380" s="388">
        <v>99370584.548680529</v>
      </c>
      <c r="M380" s="460"/>
      <c r="N380" s="696"/>
      <c r="O380" s="696"/>
      <c r="P380" s="696"/>
      <c r="Q380" s="696"/>
      <c r="R380" s="696"/>
      <c r="S380" s="696"/>
      <c r="T380" s="696"/>
      <c r="U380" s="696"/>
      <c r="V380" s="696"/>
      <c r="W380" s="696"/>
      <c r="X380" s="696"/>
      <c r="Y380" s="699"/>
      <c r="Z380" s="381"/>
      <c r="AA380" s="382"/>
      <c r="AB380" s="382"/>
      <c r="AC380" s="382"/>
      <c r="AD380" s="382"/>
      <c r="AE380" s="382"/>
      <c r="AF380" s="382"/>
      <c r="AG380" s="382"/>
      <c r="AH380" s="382"/>
      <c r="AI380" s="382"/>
      <c r="AJ380" s="383"/>
      <c r="AK380" s="171"/>
      <c r="AL380" s="171"/>
      <c r="AM380" s="19"/>
      <c r="AN380" s="19"/>
      <c r="AO380" s="19"/>
      <c r="AP380" s="19"/>
      <c r="AQ380" s="19"/>
      <c r="AR380" s="19"/>
      <c r="AS380" s="19"/>
      <c r="AT380" s="5"/>
      <c r="AU380" s="5"/>
      <c r="AV380" s="5"/>
      <c r="AW380" s="5"/>
      <c r="AX380" s="5"/>
      <c r="AY380" s="5"/>
      <c r="AZ380" s="5"/>
      <c r="BA380" s="5"/>
      <c r="BB380" s="5"/>
      <c r="BC380" s="5"/>
    </row>
    <row r="381" spans="1:55" x14ac:dyDescent="0.25">
      <c r="A381" s="713"/>
      <c r="B381" s="696"/>
      <c r="C381" s="696"/>
      <c r="D381" s="384" t="s">
        <v>365</v>
      </c>
      <c r="E381" s="387">
        <v>0</v>
      </c>
      <c r="F381" s="387">
        <v>0</v>
      </c>
      <c r="G381" s="387">
        <v>0</v>
      </c>
      <c r="H381" s="387">
        <v>0</v>
      </c>
      <c r="I381" s="460"/>
      <c r="J381" s="387">
        <v>0</v>
      </c>
      <c r="K381" s="387">
        <v>0</v>
      </c>
      <c r="L381" s="387">
        <v>0</v>
      </c>
      <c r="M381" s="460"/>
      <c r="N381" s="696"/>
      <c r="O381" s="696"/>
      <c r="P381" s="696"/>
      <c r="Q381" s="696"/>
      <c r="R381" s="696"/>
      <c r="S381" s="696"/>
      <c r="T381" s="696"/>
      <c r="U381" s="696"/>
      <c r="V381" s="696"/>
      <c r="W381" s="696"/>
      <c r="X381" s="696"/>
      <c r="Y381" s="699"/>
      <c r="Z381" s="381"/>
      <c r="AA381" s="382"/>
      <c r="AB381" s="382"/>
      <c r="AC381" s="382"/>
      <c r="AD381" s="382"/>
      <c r="AE381" s="382"/>
      <c r="AF381" s="382"/>
      <c r="AG381" s="382"/>
      <c r="AH381" s="382"/>
      <c r="AI381" s="382"/>
      <c r="AJ381" s="383"/>
      <c r="AK381" s="171"/>
      <c r="AL381" s="171"/>
      <c r="AM381" s="19"/>
      <c r="AN381" s="19"/>
      <c r="AO381" s="19"/>
      <c r="AP381" s="19"/>
      <c r="AQ381" s="19"/>
      <c r="AR381" s="19"/>
      <c r="AS381" s="19"/>
      <c r="AT381" s="5"/>
      <c r="AU381" s="5"/>
      <c r="AV381" s="5"/>
      <c r="AW381" s="5"/>
      <c r="AX381" s="5"/>
      <c r="AY381" s="5"/>
      <c r="AZ381" s="5"/>
      <c r="BA381" s="5"/>
      <c r="BB381" s="5"/>
      <c r="BC381" s="5"/>
    </row>
    <row r="382" spans="1:55" ht="22.5" x14ac:dyDescent="0.25">
      <c r="A382" s="713"/>
      <c r="B382" s="696"/>
      <c r="C382" s="696"/>
      <c r="D382" s="386" t="s">
        <v>370</v>
      </c>
      <c r="E382" s="388">
        <v>0</v>
      </c>
      <c r="F382" s="388">
        <v>0</v>
      </c>
      <c r="G382" s="388">
        <v>0</v>
      </c>
      <c r="H382" s="388">
        <v>0</v>
      </c>
      <c r="I382" s="390"/>
      <c r="J382" s="388">
        <v>0</v>
      </c>
      <c r="K382" s="388">
        <v>0</v>
      </c>
      <c r="L382" s="388">
        <v>0</v>
      </c>
      <c r="M382" s="390"/>
      <c r="N382" s="696"/>
      <c r="O382" s="696"/>
      <c r="P382" s="696"/>
      <c r="Q382" s="696"/>
      <c r="R382" s="696"/>
      <c r="S382" s="696"/>
      <c r="T382" s="696"/>
      <c r="U382" s="696"/>
      <c r="V382" s="696"/>
      <c r="W382" s="696"/>
      <c r="X382" s="696"/>
      <c r="Y382" s="699"/>
      <c r="Z382" s="381"/>
      <c r="AA382" s="382"/>
      <c r="AB382" s="382"/>
      <c r="AC382" s="382"/>
      <c r="AD382" s="382"/>
      <c r="AE382" s="382"/>
      <c r="AF382" s="382"/>
      <c r="AG382" s="382"/>
      <c r="AH382" s="382"/>
      <c r="AI382" s="382"/>
      <c r="AJ382" s="383"/>
      <c r="AK382" s="171"/>
      <c r="AL382" s="171"/>
      <c r="AM382" s="19"/>
      <c r="AN382" s="19"/>
      <c r="AO382" s="19"/>
      <c r="AP382" s="19"/>
      <c r="AQ382" s="19"/>
      <c r="AR382" s="19"/>
      <c r="AS382" s="19"/>
      <c r="AT382" s="5"/>
      <c r="AU382" s="5"/>
      <c r="AV382" s="5"/>
      <c r="AW382" s="5"/>
      <c r="AX382" s="5"/>
      <c r="AY382" s="5"/>
      <c r="AZ382" s="5"/>
      <c r="BA382" s="5"/>
      <c r="BB382" s="5"/>
      <c r="BC382" s="5"/>
    </row>
    <row r="383" spans="1:55" x14ac:dyDescent="0.25">
      <c r="A383" s="713"/>
      <c r="B383" s="696"/>
      <c r="C383" s="722" t="s">
        <v>393</v>
      </c>
      <c r="D383" s="389" t="s">
        <v>348</v>
      </c>
      <c r="E383" s="387">
        <v>163394.93799999997</v>
      </c>
      <c r="F383" s="387">
        <v>163394.93799999997</v>
      </c>
      <c r="G383" s="387">
        <f>K383</f>
        <v>326907.098</v>
      </c>
      <c r="H383" s="387">
        <f>G383</f>
        <v>326907.098</v>
      </c>
      <c r="I383" s="460"/>
      <c r="J383" s="387">
        <v>163394.93799999997</v>
      </c>
      <c r="K383" s="460">
        <v>326907.098</v>
      </c>
      <c r="L383" s="460">
        <v>749612.72</v>
      </c>
      <c r="M383" s="460"/>
      <c r="N383" s="718" t="s">
        <v>393</v>
      </c>
      <c r="O383" s="718" t="s">
        <v>350</v>
      </c>
      <c r="P383" s="718" t="s">
        <v>351</v>
      </c>
      <c r="Q383" s="718" t="s">
        <v>352</v>
      </c>
      <c r="R383" s="718" t="s">
        <v>353</v>
      </c>
      <c r="S383" s="718">
        <v>589932</v>
      </c>
      <c r="T383" s="718">
        <v>619048</v>
      </c>
      <c r="U383" s="718" t="s">
        <v>494</v>
      </c>
      <c r="V383" s="718" t="s">
        <v>355</v>
      </c>
      <c r="W383" s="718" t="s">
        <v>356</v>
      </c>
      <c r="X383" s="718" t="s">
        <v>357</v>
      </c>
      <c r="Y383" s="717">
        <v>1208980</v>
      </c>
      <c r="Z383" s="381"/>
      <c r="AA383" s="382"/>
      <c r="AB383" s="382"/>
      <c r="AC383" s="382"/>
      <c r="AD383" s="382"/>
      <c r="AE383" s="382"/>
      <c r="AF383" s="382"/>
      <c r="AG383" s="382"/>
      <c r="AH383" s="382"/>
      <c r="AI383" s="382"/>
      <c r="AJ383" s="383"/>
      <c r="AK383" s="171"/>
      <c r="AL383" s="171"/>
      <c r="AM383" s="19"/>
      <c r="AN383" s="19"/>
      <c r="AO383" s="19"/>
      <c r="AP383" s="19"/>
      <c r="AQ383" s="19"/>
      <c r="AR383" s="19"/>
      <c r="AS383" s="19"/>
      <c r="AT383" s="5"/>
      <c r="AU383" s="5"/>
      <c r="AV383" s="5"/>
      <c r="AW383" s="5"/>
      <c r="AX383" s="5"/>
      <c r="AY383" s="5"/>
      <c r="AZ383" s="5"/>
      <c r="BA383" s="5"/>
      <c r="BB383" s="5"/>
      <c r="BC383" s="5"/>
    </row>
    <row r="384" spans="1:55" x14ac:dyDescent="0.25">
      <c r="A384" s="713"/>
      <c r="B384" s="696"/>
      <c r="C384" s="696"/>
      <c r="D384" s="384" t="s">
        <v>360</v>
      </c>
      <c r="E384" s="388">
        <v>16684096.058923582</v>
      </c>
      <c r="F384" s="388">
        <v>16684096.058923582</v>
      </c>
      <c r="G384" s="388">
        <f>(G383*$G$352)/$G$351</f>
        <v>33619265.7388184</v>
      </c>
      <c r="H384" s="388">
        <f>(H383*$H$352)/$H$351</f>
        <v>26818755.883867748</v>
      </c>
      <c r="I384" s="460"/>
      <c r="J384" s="388">
        <f>(J383*$J$352)/$J$351</f>
        <v>65285083.125641041</v>
      </c>
      <c r="K384" s="388">
        <f>(K383*$K$352)/$K$351</f>
        <v>55256376.072458088</v>
      </c>
      <c r="L384" s="388">
        <v>55256376.072458088</v>
      </c>
      <c r="M384" s="460"/>
      <c r="N384" s="696"/>
      <c r="O384" s="696"/>
      <c r="P384" s="696"/>
      <c r="Q384" s="696"/>
      <c r="R384" s="696"/>
      <c r="S384" s="696"/>
      <c r="T384" s="696"/>
      <c r="U384" s="696"/>
      <c r="V384" s="696"/>
      <c r="W384" s="696"/>
      <c r="X384" s="696"/>
      <c r="Y384" s="699"/>
      <c r="Z384" s="381"/>
      <c r="AA384" s="382"/>
      <c r="AB384" s="382"/>
      <c r="AC384" s="382"/>
      <c r="AD384" s="382"/>
      <c r="AE384" s="382"/>
      <c r="AF384" s="382"/>
      <c r="AG384" s="382"/>
      <c r="AH384" s="382"/>
      <c r="AI384" s="382"/>
      <c r="AJ384" s="383"/>
      <c r="AK384" s="171"/>
      <c r="AL384" s="171"/>
      <c r="AM384" s="19"/>
      <c r="AN384" s="19"/>
      <c r="AO384" s="19"/>
      <c r="AP384" s="19"/>
      <c r="AQ384" s="19"/>
      <c r="AR384" s="19"/>
      <c r="AS384" s="19"/>
      <c r="AT384" s="5"/>
      <c r="AU384" s="5"/>
      <c r="AV384" s="5"/>
      <c r="AW384" s="5"/>
      <c r="AX384" s="5"/>
      <c r="AY384" s="5"/>
      <c r="AZ384" s="5"/>
      <c r="BA384" s="5"/>
      <c r="BB384" s="5"/>
      <c r="BC384" s="5"/>
    </row>
    <row r="385" spans="1:55" x14ac:dyDescent="0.25">
      <c r="A385" s="713"/>
      <c r="B385" s="696"/>
      <c r="C385" s="696"/>
      <c r="D385" s="384" t="s">
        <v>365</v>
      </c>
      <c r="E385" s="387">
        <v>0</v>
      </c>
      <c r="F385" s="387">
        <v>0</v>
      </c>
      <c r="G385" s="387">
        <v>0</v>
      </c>
      <c r="H385" s="387">
        <v>0</v>
      </c>
      <c r="I385" s="460"/>
      <c r="J385" s="387">
        <v>0</v>
      </c>
      <c r="K385" s="387">
        <v>0</v>
      </c>
      <c r="L385" s="387">
        <v>0</v>
      </c>
      <c r="M385" s="460"/>
      <c r="N385" s="696"/>
      <c r="O385" s="696"/>
      <c r="P385" s="696"/>
      <c r="Q385" s="696"/>
      <c r="R385" s="696"/>
      <c r="S385" s="696"/>
      <c r="T385" s="696"/>
      <c r="U385" s="696"/>
      <c r="V385" s="696"/>
      <c r="W385" s="696"/>
      <c r="X385" s="696"/>
      <c r="Y385" s="699"/>
      <c r="Z385" s="381"/>
      <c r="AA385" s="382"/>
      <c r="AB385" s="382"/>
      <c r="AC385" s="382"/>
      <c r="AD385" s="382"/>
      <c r="AE385" s="382"/>
      <c r="AF385" s="382"/>
      <c r="AG385" s="382"/>
      <c r="AH385" s="382"/>
      <c r="AI385" s="382"/>
      <c r="AJ385" s="383"/>
      <c r="AK385" s="171"/>
      <c r="AL385" s="171"/>
      <c r="AM385" s="19"/>
      <c r="AN385" s="19"/>
      <c r="AO385" s="19"/>
      <c r="AP385" s="19"/>
      <c r="AQ385" s="19"/>
      <c r="AR385" s="19"/>
      <c r="AS385" s="19"/>
      <c r="AT385" s="5"/>
      <c r="AU385" s="5"/>
      <c r="AV385" s="5"/>
      <c r="AW385" s="5"/>
      <c r="AX385" s="5"/>
      <c r="AY385" s="5"/>
      <c r="AZ385" s="5"/>
      <c r="BA385" s="5"/>
      <c r="BB385" s="5"/>
      <c r="BC385" s="5"/>
    </row>
    <row r="386" spans="1:55" ht="22.5" x14ac:dyDescent="0.25">
      <c r="A386" s="713"/>
      <c r="B386" s="696"/>
      <c r="C386" s="696"/>
      <c r="D386" s="386" t="s">
        <v>370</v>
      </c>
      <c r="E386" s="388">
        <v>0</v>
      </c>
      <c r="F386" s="388">
        <v>0</v>
      </c>
      <c r="G386" s="388">
        <v>0</v>
      </c>
      <c r="H386" s="388">
        <v>0</v>
      </c>
      <c r="I386" s="390"/>
      <c r="J386" s="388">
        <v>0</v>
      </c>
      <c r="K386" s="388">
        <v>0</v>
      </c>
      <c r="L386" s="388">
        <v>0</v>
      </c>
      <c r="M386" s="390"/>
      <c r="N386" s="696"/>
      <c r="O386" s="696"/>
      <c r="P386" s="696"/>
      <c r="Q386" s="696"/>
      <c r="R386" s="696"/>
      <c r="S386" s="696"/>
      <c r="T386" s="696"/>
      <c r="U386" s="696"/>
      <c r="V386" s="696"/>
      <c r="W386" s="696"/>
      <c r="X386" s="696"/>
      <c r="Y386" s="699"/>
      <c r="Z386" s="381"/>
      <c r="AA386" s="382"/>
      <c r="AB386" s="382"/>
      <c r="AC386" s="382"/>
      <c r="AD386" s="382"/>
      <c r="AE386" s="382"/>
      <c r="AF386" s="382"/>
      <c r="AG386" s="382"/>
      <c r="AH386" s="382"/>
      <c r="AI386" s="382"/>
      <c r="AJ386" s="383"/>
      <c r="AK386" s="171"/>
      <c r="AL386" s="171"/>
      <c r="AM386" s="19"/>
      <c r="AN386" s="19"/>
      <c r="AO386" s="19"/>
      <c r="AP386" s="19"/>
      <c r="AQ386" s="19"/>
      <c r="AR386" s="19"/>
      <c r="AS386" s="19"/>
      <c r="AT386" s="5"/>
      <c r="AU386" s="5"/>
      <c r="AV386" s="5"/>
      <c r="AW386" s="5"/>
      <c r="AX386" s="5"/>
      <c r="AY386" s="5"/>
      <c r="AZ386" s="5"/>
      <c r="BA386" s="5"/>
      <c r="BB386" s="5"/>
      <c r="BC386" s="5"/>
    </row>
    <row r="387" spans="1:55" x14ac:dyDescent="0.25">
      <c r="A387" s="713"/>
      <c r="B387" s="696"/>
      <c r="C387" s="722" t="s">
        <v>386</v>
      </c>
      <c r="D387" s="389" t="s">
        <v>348</v>
      </c>
      <c r="E387" s="387">
        <v>127368.16035999999</v>
      </c>
      <c r="F387" s="387">
        <v>127368.16035999999</v>
      </c>
      <c r="G387" s="387">
        <f>K387</f>
        <v>243139.71836</v>
      </c>
      <c r="H387" s="387">
        <f>G387</f>
        <v>243139.71836</v>
      </c>
      <c r="I387" s="460"/>
      <c r="J387" s="387">
        <v>127368.16035999999</v>
      </c>
      <c r="K387" s="460">
        <v>243139.71836</v>
      </c>
      <c r="L387" s="460">
        <v>540888.1</v>
      </c>
      <c r="M387" s="460"/>
      <c r="N387" s="718" t="s">
        <v>386</v>
      </c>
      <c r="O387" s="718" t="s">
        <v>350</v>
      </c>
      <c r="P387" s="718" t="s">
        <v>351</v>
      </c>
      <c r="Q387" s="718" t="s">
        <v>352</v>
      </c>
      <c r="R387" s="718" t="s">
        <v>353</v>
      </c>
      <c r="S387" s="718">
        <v>195255</v>
      </c>
      <c r="T387" s="718">
        <v>218479</v>
      </c>
      <c r="U387" s="718" t="s">
        <v>494</v>
      </c>
      <c r="V387" s="718" t="s">
        <v>355</v>
      </c>
      <c r="W387" s="718" t="s">
        <v>356</v>
      </c>
      <c r="X387" s="718" t="s">
        <v>357</v>
      </c>
      <c r="Y387" s="717">
        <v>413734</v>
      </c>
      <c r="Z387" s="381"/>
      <c r="AA387" s="382"/>
      <c r="AB387" s="382"/>
      <c r="AC387" s="382"/>
      <c r="AD387" s="382"/>
      <c r="AE387" s="382"/>
      <c r="AF387" s="382"/>
      <c r="AG387" s="382"/>
      <c r="AH387" s="382"/>
      <c r="AI387" s="382"/>
      <c r="AJ387" s="383"/>
      <c r="AK387" s="171"/>
      <c r="AL387" s="171"/>
      <c r="AM387" s="19"/>
      <c r="AN387" s="19"/>
      <c r="AO387" s="19"/>
      <c r="AP387" s="19"/>
      <c r="AQ387" s="19"/>
      <c r="AR387" s="19"/>
      <c r="AS387" s="19"/>
      <c r="AT387" s="5"/>
      <c r="AU387" s="5"/>
      <c r="AV387" s="5"/>
      <c r="AW387" s="5"/>
      <c r="AX387" s="5"/>
      <c r="AY387" s="5"/>
      <c r="AZ387" s="5"/>
      <c r="BA387" s="5"/>
      <c r="BB387" s="5"/>
      <c r="BC387" s="5"/>
    </row>
    <row r="388" spans="1:55" x14ac:dyDescent="0.25">
      <c r="A388" s="713"/>
      <c r="B388" s="696"/>
      <c r="C388" s="696"/>
      <c r="D388" s="384" t="s">
        <v>360</v>
      </c>
      <c r="E388" s="388">
        <v>13005437.306109343</v>
      </c>
      <c r="F388" s="388">
        <v>13005437.306109343</v>
      </c>
      <c r="G388" s="388">
        <f>(G387*$G$352)/$G$351</f>
        <v>25004592.59898451</v>
      </c>
      <c r="H388" s="388">
        <f>(H387*$H$352)/$H$351</f>
        <v>19946660.051930707</v>
      </c>
      <c r="I388" s="460"/>
      <c r="J388" s="388">
        <f>(J387*$J$352)/$J$351</f>
        <v>50890443.966278687</v>
      </c>
      <c r="K388" s="388">
        <f>(K387*$K$352)/$K$351</f>
        <v>41097363.128688328</v>
      </c>
      <c r="L388" s="388">
        <v>41097363.128688328</v>
      </c>
      <c r="M388" s="460"/>
      <c r="N388" s="696"/>
      <c r="O388" s="696"/>
      <c r="P388" s="696"/>
      <c r="Q388" s="696"/>
      <c r="R388" s="696"/>
      <c r="S388" s="696"/>
      <c r="T388" s="696"/>
      <c r="U388" s="696"/>
      <c r="V388" s="696"/>
      <c r="W388" s="696"/>
      <c r="X388" s="696"/>
      <c r="Y388" s="699"/>
      <c r="Z388" s="381"/>
      <c r="AA388" s="382"/>
      <c r="AB388" s="382"/>
      <c r="AC388" s="382"/>
      <c r="AD388" s="382"/>
      <c r="AE388" s="382"/>
      <c r="AF388" s="382"/>
      <c r="AG388" s="382"/>
      <c r="AH388" s="382"/>
      <c r="AI388" s="382"/>
      <c r="AJ388" s="383"/>
      <c r="AK388" s="171"/>
      <c r="AL388" s="171"/>
      <c r="AM388" s="19"/>
      <c r="AN388" s="19"/>
      <c r="AO388" s="19"/>
      <c r="AP388" s="19"/>
      <c r="AQ388" s="19"/>
      <c r="AR388" s="19"/>
      <c r="AS388" s="19"/>
      <c r="AT388" s="5"/>
      <c r="AU388" s="5"/>
      <c r="AV388" s="5"/>
      <c r="AW388" s="5"/>
      <c r="AX388" s="5"/>
      <c r="AY388" s="5"/>
      <c r="AZ388" s="5"/>
      <c r="BA388" s="5"/>
      <c r="BB388" s="5"/>
      <c r="BC388" s="5"/>
    </row>
    <row r="389" spans="1:55" x14ac:dyDescent="0.25">
      <c r="A389" s="713"/>
      <c r="B389" s="696"/>
      <c r="C389" s="696"/>
      <c r="D389" s="384" t="s">
        <v>365</v>
      </c>
      <c r="E389" s="387">
        <v>0</v>
      </c>
      <c r="F389" s="387">
        <v>0</v>
      </c>
      <c r="G389" s="387">
        <v>0</v>
      </c>
      <c r="H389" s="387">
        <v>0</v>
      </c>
      <c r="I389" s="460"/>
      <c r="J389" s="387">
        <v>0</v>
      </c>
      <c r="K389" s="387">
        <v>0</v>
      </c>
      <c r="L389" s="387">
        <v>0</v>
      </c>
      <c r="M389" s="460"/>
      <c r="N389" s="696"/>
      <c r="O389" s="696"/>
      <c r="P389" s="696"/>
      <c r="Q389" s="696"/>
      <c r="R389" s="696"/>
      <c r="S389" s="696"/>
      <c r="T389" s="696"/>
      <c r="U389" s="696"/>
      <c r="V389" s="696"/>
      <c r="W389" s="696"/>
      <c r="X389" s="696"/>
      <c r="Y389" s="699"/>
      <c r="Z389" s="381"/>
      <c r="AA389" s="382"/>
      <c r="AB389" s="382"/>
      <c r="AC389" s="382"/>
      <c r="AD389" s="382"/>
      <c r="AE389" s="382"/>
      <c r="AF389" s="382"/>
      <c r="AG389" s="382"/>
      <c r="AH389" s="382"/>
      <c r="AI389" s="382"/>
      <c r="AJ389" s="383"/>
      <c r="AK389" s="171"/>
      <c r="AL389" s="171"/>
      <c r="AM389" s="19"/>
      <c r="AN389" s="19"/>
      <c r="AO389" s="19"/>
      <c r="AP389" s="19"/>
      <c r="AQ389" s="19"/>
      <c r="AR389" s="19"/>
      <c r="AS389" s="19"/>
      <c r="AT389" s="5"/>
      <c r="AU389" s="5"/>
      <c r="AV389" s="5"/>
      <c r="AW389" s="5"/>
      <c r="AX389" s="5"/>
      <c r="AY389" s="5"/>
      <c r="AZ389" s="5"/>
      <c r="BA389" s="5"/>
      <c r="BB389" s="5"/>
      <c r="BC389" s="5"/>
    </row>
    <row r="390" spans="1:55" ht="22.5" x14ac:dyDescent="0.25">
      <c r="A390" s="713"/>
      <c r="B390" s="696"/>
      <c r="C390" s="696"/>
      <c r="D390" s="386" t="s">
        <v>370</v>
      </c>
      <c r="E390" s="388">
        <v>0</v>
      </c>
      <c r="F390" s="388">
        <v>0</v>
      </c>
      <c r="G390" s="388">
        <v>0</v>
      </c>
      <c r="H390" s="388">
        <v>0</v>
      </c>
      <c r="I390" s="390"/>
      <c r="J390" s="388">
        <v>0</v>
      </c>
      <c r="K390" s="388">
        <v>0</v>
      </c>
      <c r="L390" s="388">
        <v>0</v>
      </c>
      <c r="M390" s="390"/>
      <c r="N390" s="696"/>
      <c r="O390" s="696"/>
      <c r="P390" s="696"/>
      <c r="Q390" s="696"/>
      <c r="R390" s="696"/>
      <c r="S390" s="696"/>
      <c r="T390" s="696"/>
      <c r="U390" s="696"/>
      <c r="V390" s="696"/>
      <c r="W390" s="696"/>
      <c r="X390" s="696"/>
      <c r="Y390" s="699"/>
      <c r="Z390" s="381"/>
      <c r="AA390" s="382"/>
      <c r="AB390" s="382"/>
      <c r="AC390" s="382"/>
      <c r="AD390" s="382"/>
      <c r="AE390" s="382"/>
      <c r="AF390" s="382"/>
      <c r="AG390" s="382"/>
      <c r="AH390" s="382"/>
      <c r="AI390" s="382"/>
      <c r="AJ390" s="383"/>
      <c r="AK390" s="171"/>
      <c r="AL390" s="171"/>
      <c r="AM390" s="19"/>
      <c r="AN390" s="19"/>
      <c r="AO390" s="19"/>
      <c r="AP390" s="19"/>
      <c r="AQ390" s="19"/>
      <c r="AR390" s="19"/>
      <c r="AS390" s="19"/>
      <c r="AT390" s="5"/>
      <c r="AU390" s="5"/>
      <c r="AV390" s="5"/>
      <c r="AW390" s="5"/>
      <c r="AX390" s="5"/>
      <c r="AY390" s="5"/>
      <c r="AZ390" s="5"/>
      <c r="BA390" s="5"/>
      <c r="BB390" s="5"/>
      <c r="BC390" s="5"/>
    </row>
    <row r="391" spans="1:55" x14ac:dyDescent="0.25">
      <c r="A391" s="713"/>
      <c r="B391" s="696"/>
      <c r="C391" s="722" t="s">
        <v>385</v>
      </c>
      <c r="D391" s="389" t="s">
        <v>348</v>
      </c>
      <c r="E391" s="387">
        <v>103719.76999999997</v>
      </c>
      <c r="F391" s="387">
        <v>103719.76999999997</v>
      </c>
      <c r="G391" s="387">
        <f>K391</f>
        <v>255512.84359999999</v>
      </c>
      <c r="H391" s="387">
        <f>G391</f>
        <v>255512.84359999999</v>
      </c>
      <c r="I391" s="460"/>
      <c r="J391" s="387">
        <v>103719.76999999997</v>
      </c>
      <c r="K391" s="460">
        <f>255512.8436</f>
        <v>255512.84359999999</v>
      </c>
      <c r="L391" s="460">
        <v>575542</v>
      </c>
      <c r="M391" s="460"/>
      <c r="N391" s="718" t="s">
        <v>385</v>
      </c>
      <c r="O391" s="718" t="s">
        <v>350</v>
      </c>
      <c r="P391" s="718" t="s">
        <v>351</v>
      </c>
      <c r="Q391" s="718" t="s">
        <v>352</v>
      </c>
      <c r="R391" s="718" t="s">
        <v>353</v>
      </c>
      <c r="S391" s="718">
        <v>422164</v>
      </c>
      <c r="T391" s="718">
        <v>456270</v>
      </c>
      <c r="U391" s="718" t="s">
        <v>494</v>
      </c>
      <c r="V391" s="718" t="s">
        <v>355</v>
      </c>
      <c r="W391" s="718" t="s">
        <v>356</v>
      </c>
      <c r="X391" s="718" t="s">
        <v>357</v>
      </c>
      <c r="Y391" s="717">
        <v>878434</v>
      </c>
      <c r="Z391" s="381"/>
      <c r="AA391" s="382"/>
      <c r="AB391" s="382"/>
      <c r="AC391" s="382"/>
      <c r="AD391" s="382"/>
      <c r="AE391" s="382"/>
      <c r="AF391" s="382"/>
      <c r="AG391" s="382"/>
      <c r="AH391" s="382"/>
      <c r="AI391" s="382"/>
      <c r="AJ391" s="383"/>
      <c r="AK391" s="171"/>
      <c r="AL391" s="171"/>
      <c r="AM391" s="19"/>
      <c r="AN391" s="19"/>
      <c r="AO391" s="19"/>
      <c r="AP391" s="19"/>
      <c r="AQ391" s="19"/>
      <c r="AR391" s="19"/>
      <c r="AS391" s="19"/>
      <c r="AT391" s="5"/>
      <c r="AU391" s="5"/>
      <c r="AV391" s="5"/>
      <c r="AW391" s="5"/>
      <c r="AX391" s="5"/>
      <c r="AY391" s="5"/>
      <c r="AZ391" s="5"/>
      <c r="BA391" s="5"/>
      <c r="BB391" s="5"/>
      <c r="BC391" s="5"/>
    </row>
    <row r="392" spans="1:55" x14ac:dyDescent="0.25">
      <c r="A392" s="713"/>
      <c r="B392" s="696"/>
      <c r="C392" s="696"/>
      <c r="D392" s="384" t="s">
        <v>360</v>
      </c>
      <c r="E392" s="388">
        <v>10590723.476938192</v>
      </c>
      <c r="F392" s="388">
        <v>10590723.476938192</v>
      </c>
      <c r="G392" s="388">
        <f>(G391*$G$352)/$G$351</f>
        <v>26277050.089226097</v>
      </c>
      <c r="H392" s="388">
        <f>(H391*$H$352)/$H$351</f>
        <v>20961724.66007844</v>
      </c>
      <c r="I392" s="460"/>
      <c r="J392" s="388">
        <f>(J391*$J$352)/$J$351</f>
        <v>41441637.599705629</v>
      </c>
      <c r="K392" s="388">
        <f>(K391*$K$352)/$K$351</f>
        <v>43188764.831605971</v>
      </c>
      <c r="L392" s="388">
        <v>43188764.831605971</v>
      </c>
      <c r="M392" s="460"/>
      <c r="N392" s="696"/>
      <c r="O392" s="696"/>
      <c r="P392" s="696"/>
      <c r="Q392" s="696"/>
      <c r="R392" s="696"/>
      <c r="S392" s="696"/>
      <c r="T392" s="696"/>
      <c r="U392" s="696"/>
      <c r="V392" s="696"/>
      <c r="W392" s="696"/>
      <c r="X392" s="696"/>
      <c r="Y392" s="699"/>
      <c r="Z392" s="381"/>
      <c r="AA392" s="382"/>
      <c r="AB392" s="382"/>
      <c r="AC392" s="382"/>
      <c r="AD392" s="382"/>
      <c r="AE392" s="382"/>
      <c r="AF392" s="382"/>
      <c r="AG392" s="382"/>
      <c r="AH392" s="382"/>
      <c r="AI392" s="382"/>
      <c r="AJ392" s="383"/>
      <c r="AK392" s="171"/>
      <c r="AL392" s="171"/>
      <c r="AM392" s="19"/>
      <c r="AN392" s="19"/>
      <c r="AO392" s="19"/>
      <c r="AP392" s="19"/>
      <c r="AQ392" s="19"/>
      <c r="AR392" s="19"/>
      <c r="AS392" s="19"/>
      <c r="AT392" s="5"/>
      <c r="AU392" s="5"/>
      <c r="AV392" s="5"/>
      <c r="AW392" s="5"/>
      <c r="AX392" s="5"/>
      <c r="AY392" s="5"/>
      <c r="AZ392" s="5"/>
      <c r="BA392" s="5"/>
      <c r="BB392" s="5"/>
      <c r="BC392" s="5"/>
    </row>
    <row r="393" spans="1:55" x14ac:dyDescent="0.25">
      <c r="A393" s="713"/>
      <c r="B393" s="696"/>
      <c r="C393" s="696"/>
      <c r="D393" s="384" t="s">
        <v>365</v>
      </c>
      <c r="E393" s="387">
        <v>0</v>
      </c>
      <c r="F393" s="387">
        <v>0</v>
      </c>
      <c r="G393" s="387">
        <v>0</v>
      </c>
      <c r="H393" s="387">
        <v>0</v>
      </c>
      <c r="I393" s="460"/>
      <c r="J393" s="387">
        <v>0</v>
      </c>
      <c r="K393" s="387">
        <v>0</v>
      </c>
      <c r="L393" s="387">
        <v>0</v>
      </c>
      <c r="M393" s="460"/>
      <c r="N393" s="696"/>
      <c r="O393" s="696"/>
      <c r="P393" s="696"/>
      <c r="Q393" s="696"/>
      <c r="R393" s="696"/>
      <c r="S393" s="696"/>
      <c r="T393" s="696"/>
      <c r="U393" s="696"/>
      <c r="V393" s="696"/>
      <c r="W393" s="696"/>
      <c r="X393" s="696"/>
      <c r="Y393" s="699"/>
      <c r="Z393" s="381"/>
      <c r="AA393" s="382"/>
      <c r="AB393" s="382"/>
      <c r="AC393" s="382"/>
      <c r="AD393" s="382"/>
      <c r="AE393" s="382"/>
      <c r="AF393" s="382"/>
      <c r="AG393" s="382"/>
      <c r="AH393" s="382"/>
      <c r="AI393" s="382"/>
      <c r="AJ393" s="383"/>
      <c r="AK393" s="171"/>
      <c r="AL393" s="171"/>
      <c r="AM393" s="19"/>
      <c r="AN393" s="19"/>
      <c r="AO393" s="19"/>
      <c r="AP393" s="19"/>
      <c r="AQ393" s="19"/>
      <c r="AR393" s="19"/>
      <c r="AS393" s="19"/>
      <c r="AT393" s="5"/>
      <c r="AU393" s="5"/>
      <c r="AV393" s="5"/>
      <c r="AW393" s="5"/>
      <c r="AX393" s="5"/>
      <c r="AY393" s="5"/>
      <c r="AZ393" s="5"/>
      <c r="BA393" s="5"/>
      <c r="BB393" s="5"/>
      <c r="BC393" s="5"/>
    </row>
    <row r="394" spans="1:55" ht="22.5" x14ac:dyDescent="0.25">
      <c r="A394" s="713"/>
      <c r="B394" s="696"/>
      <c r="C394" s="696"/>
      <c r="D394" s="386" t="s">
        <v>370</v>
      </c>
      <c r="E394" s="388">
        <v>0</v>
      </c>
      <c r="F394" s="388">
        <v>0</v>
      </c>
      <c r="G394" s="388">
        <v>0</v>
      </c>
      <c r="H394" s="388">
        <v>0</v>
      </c>
      <c r="I394" s="390"/>
      <c r="J394" s="388">
        <v>0</v>
      </c>
      <c r="K394" s="388">
        <v>0</v>
      </c>
      <c r="L394" s="388">
        <v>0</v>
      </c>
      <c r="M394" s="390"/>
      <c r="N394" s="696"/>
      <c r="O394" s="696"/>
      <c r="P394" s="696"/>
      <c r="Q394" s="696"/>
      <c r="R394" s="696"/>
      <c r="S394" s="696"/>
      <c r="T394" s="696"/>
      <c r="U394" s="696"/>
      <c r="V394" s="696"/>
      <c r="W394" s="696"/>
      <c r="X394" s="696"/>
      <c r="Y394" s="699"/>
      <c r="Z394" s="381"/>
      <c r="AA394" s="382"/>
      <c r="AB394" s="382"/>
      <c r="AC394" s="382"/>
      <c r="AD394" s="382"/>
      <c r="AE394" s="382"/>
      <c r="AF394" s="382"/>
      <c r="AG394" s="382"/>
      <c r="AH394" s="382"/>
      <c r="AI394" s="382"/>
      <c r="AJ394" s="383"/>
      <c r="AK394" s="171"/>
      <c r="AL394" s="171"/>
      <c r="AM394" s="19"/>
      <c r="AN394" s="19"/>
      <c r="AO394" s="19"/>
      <c r="AP394" s="19"/>
      <c r="AQ394" s="19"/>
      <c r="AR394" s="19"/>
      <c r="AS394" s="19"/>
      <c r="AT394" s="5"/>
      <c r="AU394" s="5"/>
      <c r="AV394" s="5"/>
      <c r="AW394" s="5"/>
      <c r="AX394" s="5"/>
      <c r="AY394" s="5"/>
      <c r="AZ394" s="5"/>
      <c r="BA394" s="5"/>
      <c r="BB394" s="5"/>
      <c r="BC394" s="5"/>
    </row>
    <row r="395" spans="1:55" x14ac:dyDescent="0.25">
      <c r="A395" s="713"/>
      <c r="B395" s="696"/>
      <c r="C395" s="722" t="s">
        <v>400</v>
      </c>
      <c r="D395" s="389" t="s">
        <v>348</v>
      </c>
      <c r="E395" s="387">
        <v>91952.090999999986</v>
      </c>
      <c r="F395" s="387">
        <v>91952.090999999986</v>
      </c>
      <c r="G395" s="387">
        <f>K395</f>
        <v>258418.36300000001</v>
      </c>
      <c r="H395" s="387">
        <f>G395</f>
        <v>258418.36300000001</v>
      </c>
      <c r="I395" s="460"/>
      <c r="J395" s="387">
        <v>91952.090999999986</v>
      </c>
      <c r="K395" s="460">
        <f>258175.519+242.844</f>
        <v>258418.36300000001</v>
      </c>
      <c r="L395" s="460">
        <v>325599.64</v>
      </c>
      <c r="M395" s="460"/>
      <c r="N395" s="718" t="s">
        <v>400</v>
      </c>
      <c r="O395" s="718" t="s">
        <v>350</v>
      </c>
      <c r="P395" s="718" t="s">
        <v>351</v>
      </c>
      <c r="Q395" s="718" t="s">
        <v>352</v>
      </c>
      <c r="R395" s="718" t="s">
        <v>353</v>
      </c>
      <c r="S395" s="718">
        <v>610983</v>
      </c>
      <c r="T395" s="718">
        <v>671995</v>
      </c>
      <c r="U395" s="718" t="s">
        <v>494</v>
      </c>
      <c r="V395" s="718" t="s">
        <v>355</v>
      </c>
      <c r="W395" s="718" t="s">
        <v>356</v>
      </c>
      <c r="X395" s="718" t="s">
        <v>357</v>
      </c>
      <c r="Y395" s="717">
        <v>1282978</v>
      </c>
      <c r="Z395" s="381"/>
      <c r="AA395" s="382"/>
      <c r="AB395" s="382"/>
      <c r="AC395" s="382"/>
      <c r="AD395" s="382"/>
      <c r="AE395" s="382"/>
      <c r="AF395" s="382"/>
      <c r="AG395" s="382"/>
      <c r="AH395" s="382"/>
      <c r="AI395" s="382"/>
      <c r="AJ395" s="383"/>
      <c r="AK395" s="171"/>
      <c r="AL395" s="171"/>
      <c r="AM395" s="19"/>
      <c r="AN395" s="19"/>
      <c r="AO395" s="19"/>
      <c r="AP395" s="19"/>
      <c r="AQ395" s="19"/>
      <c r="AR395" s="19"/>
      <c r="AS395" s="19"/>
      <c r="AT395" s="5"/>
      <c r="AU395" s="5"/>
      <c r="AV395" s="5"/>
      <c r="AW395" s="5"/>
      <c r="AX395" s="5"/>
      <c r="AY395" s="5"/>
      <c r="AZ395" s="5"/>
      <c r="BA395" s="5"/>
      <c r="BB395" s="5"/>
      <c r="BC395" s="5"/>
    </row>
    <row r="396" spans="1:55" x14ac:dyDescent="0.25">
      <c r="A396" s="713"/>
      <c r="B396" s="696"/>
      <c r="C396" s="696"/>
      <c r="D396" s="384" t="s">
        <v>360</v>
      </c>
      <c r="E396" s="388">
        <v>9389137.3737837747</v>
      </c>
      <c r="F396" s="388">
        <v>9389137.3737837747</v>
      </c>
      <c r="G396" s="388">
        <f>(G395*$G$352)/$G$351</f>
        <v>26575854.94667796</v>
      </c>
      <c r="H396" s="388">
        <f>(H395*$H$352)/$H$351</f>
        <v>21200087.228469174</v>
      </c>
      <c r="I396" s="460"/>
      <c r="J396" s="388">
        <f>(J395*$J$352)/$J$351</f>
        <v>36739815.676000379</v>
      </c>
      <c r="K396" s="388">
        <f>(K395*$K$352)/$K$351</f>
        <v>43679878.281373352</v>
      </c>
      <c r="L396" s="388">
        <v>43679878.281373352</v>
      </c>
      <c r="M396" s="460"/>
      <c r="N396" s="696"/>
      <c r="O396" s="696"/>
      <c r="P396" s="696"/>
      <c r="Q396" s="696"/>
      <c r="R396" s="696"/>
      <c r="S396" s="696"/>
      <c r="T396" s="696"/>
      <c r="U396" s="696"/>
      <c r="V396" s="696"/>
      <c r="W396" s="696"/>
      <c r="X396" s="696"/>
      <c r="Y396" s="699"/>
      <c r="Z396" s="381"/>
      <c r="AA396" s="382"/>
      <c r="AB396" s="382"/>
      <c r="AC396" s="382"/>
      <c r="AD396" s="382"/>
      <c r="AE396" s="382"/>
      <c r="AF396" s="382"/>
      <c r="AG396" s="382"/>
      <c r="AH396" s="382"/>
      <c r="AI396" s="382"/>
      <c r="AJ396" s="383"/>
      <c r="AK396" s="171"/>
      <c r="AL396" s="171"/>
      <c r="AM396" s="19"/>
      <c r="AN396" s="19"/>
      <c r="AO396" s="19"/>
      <c r="AP396" s="19"/>
      <c r="AQ396" s="19"/>
      <c r="AR396" s="19"/>
      <c r="AS396" s="19"/>
      <c r="AT396" s="5"/>
      <c r="AU396" s="5"/>
      <c r="AV396" s="5"/>
      <c r="AW396" s="5"/>
      <c r="AX396" s="5"/>
      <c r="AY396" s="5"/>
      <c r="AZ396" s="5"/>
      <c r="BA396" s="5"/>
      <c r="BB396" s="5"/>
      <c r="BC396" s="5"/>
    </row>
    <row r="397" spans="1:55" x14ac:dyDescent="0.25">
      <c r="A397" s="713"/>
      <c r="B397" s="696"/>
      <c r="C397" s="696"/>
      <c r="D397" s="384" t="s">
        <v>365</v>
      </c>
      <c r="E397" s="387">
        <v>0</v>
      </c>
      <c r="F397" s="387">
        <v>0</v>
      </c>
      <c r="G397" s="387">
        <v>0</v>
      </c>
      <c r="H397" s="387">
        <v>0</v>
      </c>
      <c r="I397" s="460"/>
      <c r="J397" s="387">
        <v>0</v>
      </c>
      <c r="K397" s="387">
        <v>0</v>
      </c>
      <c r="L397" s="387">
        <v>0</v>
      </c>
      <c r="M397" s="460"/>
      <c r="N397" s="696"/>
      <c r="O397" s="696"/>
      <c r="P397" s="696"/>
      <c r="Q397" s="696"/>
      <c r="R397" s="696"/>
      <c r="S397" s="696"/>
      <c r="T397" s="696"/>
      <c r="U397" s="696"/>
      <c r="V397" s="696"/>
      <c r="W397" s="696"/>
      <c r="X397" s="696"/>
      <c r="Y397" s="699"/>
      <c r="Z397" s="381"/>
      <c r="AA397" s="382"/>
      <c r="AB397" s="382"/>
      <c r="AC397" s="382"/>
      <c r="AD397" s="382"/>
      <c r="AE397" s="382"/>
      <c r="AF397" s="382"/>
      <c r="AG397" s="382"/>
      <c r="AH397" s="382"/>
      <c r="AI397" s="382"/>
      <c r="AJ397" s="383"/>
      <c r="AK397" s="171"/>
      <c r="AL397" s="171"/>
      <c r="AM397" s="19"/>
      <c r="AN397" s="19"/>
      <c r="AO397" s="19"/>
      <c r="AP397" s="19"/>
      <c r="AQ397" s="19"/>
      <c r="AR397" s="19"/>
      <c r="AS397" s="19"/>
      <c r="AT397" s="5"/>
      <c r="AU397" s="5"/>
      <c r="AV397" s="5"/>
      <c r="AW397" s="5"/>
      <c r="AX397" s="5"/>
      <c r="AY397" s="5"/>
      <c r="AZ397" s="5"/>
      <c r="BA397" s="5"/>
      <c r="BB397" s="5"/>
      <c r="BC397" s="5"/>
    </row>
    <row r="398" spans="1:55" ht="22.5" x14ac:dyDescent="0.25">
      <c r="A398" s="713"/>
      <c r="B398" s="696"/>
      <c r="C398" s="696"/>
      <c r="D398" s="386" t="s">
        <v>370</v>
      </c>
      <c r="E398" s="388">
        <v>0</v>
      </c>
      <c r="F398" s="388">
        <v>0</v>
      </c>
      <c r="G398" s="388">
        <v>0</v>
      </c>
      <c r="H398" s="388">
        <v>0</v>
      </c>
      <c r="I398" s="390"/>
      <c r="J398" s="388">
        <v>0</v>
      </c>
      <c r="K398" s="388">
        <v>0</v>
      </c>
      <c r="L398" s="388">
        <v>0</v>
      </c>
      <c r="M398" s="390"/>
      <c r="N398" s="696"/>
      <c r="O398" s="696"/>
      <c r="P398" s="696"/>
      <c r="Q398" s="696"/>
      <c r="R398" s="696"/>
      <c r="S398" s="696"/>
      <c r="T398" s="696"/>
      <c r="U398" s="696"/>
      <c r="V398" s="696"/>
      <c r="W398" s="696"/>
      <c r="X398" s="696"/>
      <c r="Y398" s="699"/>
      <c r="Z398" s="381"/>
      <c r="AA398" s="382"/>
      <c r="AB398" s="382"/>
      <c r="AC398" s="382"/>
      <c r="AD398" s="382"/>
      <c r="AE398" s="382"/>
      <c r="AF398" s="382"/>
      <c r="AG398" s="382"/>
      <c r="AH398" s="382"/>
      <c r="AI398" s="382"/>
      <c r="AJ398" s="383"/>
      <c r="AK398" s="171"/>
      <c r="AL398" s="171"/>
      <c r="AM398" s="19"/>
      <c r="AN398" s="19"/>
      <c r="AO398" s="19"/>
      <c r="AP398" s="19"/>
      <c r="AQ398" s="19"/>
      <c r="AR398" s="19"/>
      <c r="AS398" s="19"/>
      <c r="AT398" s="5"/>
      <c r="AU398" s="5"/>
      <c r="AV398" s="5"/>
      <c r="AW398" s="5"/>
      <c r="AX398" s="5"/>
      <c r="AY398" s="5"/>
      <c r="AZ398" s="5"/>
      <c r="BA398" s="5"/>
      <c r="BB398" s="5"/>
      <c r="BC398" s="5"/>
    </row>
    <row r="399" spans="1:55" x14ac:dyDescent="0.25">
      <c r="A399" s="713"/>
      <c r="B399" s="696"/>
      <c r="C399" s="722" t="s">
        <v>454</v>
      </c>
      <c r="D399" s="389" t="s">
        <v>348</v>
      </c>
      <c r="E399" s="387">
        <v>39593.777999999998</v>
      </c>
      <c r="F399" s="387">
        <v>39593.777999999998</v>
      </c>
      <c r="G399" s="387">
        <f>K399</f>
        <v>208384.79858</v>
      </c>
      <c r="H399" s="387">
        <f>G399</f>
        <v>208384.79858</v>
      </c>
      <c r="I399" s="460"/>
      <c r="J399" s="387">
        <v>39593.777999999998</v>
      </c>
      <c r="K399" s="460">
        <f>206914.79858 +1470</f>
        <v>208384.79858</v>
      </c>
      <c r="L399" s="460">
        <v>243435.11</v>
      </c>
      <c r="M399" s="460"/>
      <c r="N399" s="718" t="s">
        <v>371</v>
      </c>
      <c r="O399" s="718" t="s">
        <v>350</v>
      </c>
      <c r="P399" s="718" t="s">
        <v>351</v>
      </c>
      <c r="Q399" s="718" t="s">
        <v>352</v>
      </c>
      <c r="R399" s="718" t="s">
        <v>353</v>
      </c>
      <c r="S399" s="718">
        <v>134370</v>
      </c>
      <c r="T399" s="718">
        <v>132736</v>
      </c>
      <c r="U399" s="718" t="s">
        <v>494</v>
      </c>
      <c r="V399" s="718" t="s">
        <v>355</v>
      </c>
      <c r="W399" s="718" t="s">
        <v>356</v>
      </c>
      <c r="X399" s="718" t="s">
        <v>357</v>
      </c>
      <c r="Y399" s="717">
        <v>267106</v>
      </c>
      <c r="Z399" s="381"/>
      <c r="AA399" s="382"/>
      <c r="AB399" s="382"/>
      <c r="AC399" s="382"/>
      <c r="AD399" s="382"/>
      <c r="AE399" s="382"/>
      <c r="AF399" s="382"/>
      <c r="AG399" s="382"/>
      <c r="AH399" s="382"/>
      <c r="AI399" s="382"/>
      <c r="AJ399" s="383"/>
      <c r="AK399" s="171"/>
      <c r="AL399" s="171"/>
      <c r="AM399" s="19"/>
      <c r="AN399" s="19"/>
      <c r="AO399" s="19"/>
      <c r="AP399" s="19"/>
      <c r="AQ399" s="19"/>
      <c r="AR399" s="19"/>
      <c r="AS399" s="19"/>
      <c r="AT399" s="5"/>
      <c r="AU399" s="5"/>
      <c r="AV399" s="5"/>
      <c r="AW399" s="5"/>
      <c r="AX399" s="5"/>
      <c r="AY399" s="5"/>
      <c r="AZ399" s="5"/>
      <c r="BA399" s="5"/>
      <c r="BB399" s="5"/>
      <c r="BC399" s="5"/>
    </row>
    <row r="400" spans="1:55" x14ac:dyDescent="0.25">
      <c r="A400" s="713"/>
      <c r="B400" s="696"/>
      <c r="C400" s="696"/>
      <c r="D400" s="384" t="s">
        <v>360</v>
      </c>
      <c r="E400" s="388">
        <v>4042881.6435408504</v>
      </c>
      <c r="F400" s="388">
        <v>4042881.6435408504</v>
      </c>
      <c r="G400" s="388">
        <f>(G399*$G$352)/$G$351</f>
        <v>21430381.788134705</v>
      </c>
      <c r="H400" s="388">
        <f>(H399*$H$352)/$H$351</f>
        <v>17095441.112220727</v>
      </c>
      <c r="I400" s="460"/>
      <c r="J400" s="388">
        <f>(J399*$J$352)/$J$351</f>
        <v>15819848.029736256</v>
      </c>
      <c r="K400" s="388">
        <f>(K399*$K$352)/$K$351</f>
        <v>35222816.722443603</v>
      </c>
      <c r="L400" s="388">
        <v>35222816.722443603</v>
      </c>
      <c r="M400" s="460"/>
      <c r="N400" s="696"/>
      <c r="O400" s="696"/>
      <c r="P400" s="696"/>
      <c r="Q400" s="696"/>
      <c r="R400" s="696"/>
      <c r="S400" s="696"/>
      <c r="T400" s="696"/>
      <c r="U400" s="696"/>
      <c r="V400" s="696"/>
      <c r="W400" s="696"/>
      <c r="X400" s="696"/>
      <c r="Y400" s="699"/>
      <c r="Z400" s="381"/>
      <c r="AA400" s="382"/>
      <c r="AB400" s="382"/>
      <c r="AC400" s="382"/>
      <c r="AD400" s="382"/>
      <c r="AE400" s="382"/>
      <c r="AF400" s="382"/>
      <c r="AG400" s="382"/>
      <c r="AH400" s="382"/>
      <c r="AI400" s="382"/>
      <c r="AJ400" s="383"/>
      <c r="AK400" s="171"/>
      <c r="AL400" s="171"/>
      <c r="AM400" s="19"/>
      <c r="AN400" s="19"/>
      <c r="AO400" s="19"/>
      <c r="AP400" s="19"/>
      <c r="AQ400" s="19"/>
      <c r="AR400" s="19"/>
      <c r="AS400" s="19"/>
      <c r="AT400" s="5"/>
      <c r="AU400" s="5"/>
      <c r="AV400" s="5"/>
      <c r="AW400" s="5"/>
      <c r="AX400" s="5"/>
      <c r="AY400" s="5"/>
      <c r="AZ400" s="5"/>
      <c r="BA400" s="5"/>
      <c r="BB400" s="5"/>
      <c r="BC400" s="5"/>
    </row>
    <row r="401" spans="1:55" x14ac:dyDescent="0.25">
      <c r="A401" s="713"/>
      <c r="B401" s="696"/>
      <c r="C401" s="696"/>
      <c r="D401" s="384" t="s">
        <v>365</v>
      </c>
      <c r="E401" s="387">
        <v>0</v>
      </c>
      <c r="F401" s="387">
        <v>0</v>
      </c>
      <c r="G401" s="387">
        <v>0</v>
      </c>
      <c r="H401" s="387">
        <v>0</v>
      </c>
      <c r="I401" s="460"/>
      <c r="J401" s="387">
        <v>0</v>
      </c>
      <c r="K401" s="387">
        <v>0</v>
      </c>
      <c r="L401" s="387">
        <v>0</v>
      </c>
      <c r="M401" s="460"/>
      <c r="N401" s="696"/>
      <c r="O401" s="696"/>
      <c r="P401" s="696"/>
      <c r="Q401" s="696"/>
      <c r="R401" s="696"/>
      <c r="S401" s="696"/>
      <c r="T401" s="696"/>
      <c r="U401" s="696"/>
      <c r="V401" s="696"/>
      <c r="W401" s="696"/>
      <c r="X401" s="696"/>
      <c r="Y401" s="699"/>
      <c r="Z401" s="381"/>
      <c r="AA401" s="382"/>
      <c r="AB401" s="382"/>
      <c r="AC401" s="382"/>
      <c r="AD401" s="382"/>
      <c r="AE401" s="382"/>
      <c r="AF401" s="382"/>
      <c r="AG401" s="382"/>
      <c r="AH401" s="382"/>
      <c r="AI401" s="382"/>
      <c r="AJ401" s="383"/>
      <c r="AK401" s="171"/>
      <c r="AL401" s="171"/>
      <c r="AM401" s="19"/>
      <c r="AN401" s="19"/>
      <c r="AO401" s="19"/>
      <c r="AP401" s="19"/>
      <c r="AQ401" s="19"/>
      <c r="AR401" s="19"/>
      <c r="AS401" s="19"/>
      <c r="AT401" s="5"/>
      <c r="AU401" s="5"/>
      <c r="AV401" s="5"/>
      <c r="AW401" s="5"/>
      <c r="AX401" s="5"/>
      <c r="AY401" s="5"/>
      <c r="AZ401" s="5"/>
      <c r="BA401" s="5"/>
      <c r="BB401" s="5"/>
      <c r="BC401" s="5"/>
    </row>
    <row r="402" spans="1:55" ht="22.5" x14ac:dyDescent="0.25">
      <c r="A402" s="713"/>
      <c r="B402" s="696"/>
      <c r="C402" s="696"/>
      <c r="D402" s="386" t="s">
        <v>370</v>
      </c>
      <c r="E402" s="388">
        <v>0</v>
      </c>
      <c r="F402" s="388">
        <v>0</v>
      </c>
      <c r="G402" s="388">
        <v>0</v>
      </c>
      <c r="H402" s="388">
        <v>0</v>
      </c>
      <c r="I402" s="390"/>
      <c r="J402" s="388">
        <v>0</v>
      </c>
      <c r="K402" s="388">
        <v>0</v>
      </c>
      <c r="L402" s="388">
        <v>0</v>
      </c>
      <c r="M402" s="390"/>
      <c r="N402" s="696"/>
      <c r="O402" s="696"/>
      <c r="P402" s="696"/>
      <c r="Q402" s="696"/>
      <c r="R402" s="696"/>
      <c r="S402" s="696"/>
      <c r="T402" s="696"/>
      <c r="U402" s="696"/>
      <c r="V402" s="696"/>
      <c r="W402" s="696"/>
      <c r="X402" s="696"/>
      <c r="Y402" s="699"/>
      <c r="Z402" s="381"/>
      <c r="AA402" s="382"/>
      <c r="AB402" s="382"/>
      <c r="AC402" s="382"/>
      <c r="AD402" s="382"/>
      <c r="AE402" s="382"/>
      <c r="AF402" s="382"/>
      <c r="AG402" s="382"/>
      <c r="AH402" s="382"/>
      <c r="AI402" s="382"/>
      <c r="AJ402" s="383"/>
      <c r="AK402" s="171"/>
      <c r="AL402" s="171"/>
      <c r="AM402" s="19"/>
      <c r="AN402" s="19"/>
      <c r="AO402" s="19"/>
      <c r="AP402" s="19"/>
      <c r="AQ402" s="19"/>
      <c r="AR402" s="19"/>
      <c r="AS402" s="19"/>
      <c r="AT402" s="5"/>
      <c r="AU402" s="5"/>
      <c r="AV402" s="5"/>
      <c r="AW402" s="5"/>
      <c r="AX402" s="5"/>
      <c r="AY402" s="5"/>
      <c r="AZ402" s="5"/>
      <c r="BA402" s="5"/>
      <c r="BB402" s="5"/>
      <c r="BC402" s="5"/>
    </row>
    <row r="403" spans="1:55" x14ac:dyDescent="0.25">
      <c r="A403" s="713"/>
      <c r="B403" s="696"/>
      <c r="C403" s="722" t="s">
        <v>401</v>
      </c>
      <c r="D403" s="389" t="s">
        <v>348</v>
      </c>
      <c r="E403" s="387">
        <v>68705.930999999997</v>
      </c>
      <c r="F403" s="387">
        <v>68705.930999999997</v>
      </c>
      <c r="G403" s="387">
        <f>K403</f>
        <v>180751.90700000001</v>
      </c>
      <c r="H403" s="387">
        <f>G403</f>
        <v>180751.90700000001</v>
      </c>
      <c r="I403" s="460"/>
      <c r="J403" s="387">
        <v>68705.930999999997</v>
      </c>
      <c r="K403" s="460">
        <v>180751.90700000001</v>
      </c>
      <c r="L403" s="460">
        <v>203312.67</v>
      </c>
      <c r="M403" s="460"/>
      <c r="N403" s="718" t="s">
        <v>401</v>
      </c>
      <c r="O403" s="718" t="s">
        <v>350</v>
      </c>
      <c r="P403" s="718" t="s">
        <v>351</v>
      </c>
      <c r="Q403" s="718" t="s">
        <v>352</v>
      </c>
      <c r="R403" s="718" t="s">
        <v>353</v>
      </c>
      <c r="S403" s="718">
        <v>66663</v>
      </c>
      <c r="T403" s="718">
        <v>73810</v>
      </c>
      <c r="U403" s="718" t="s">
        <v>494</v>
      </c>
      <c r="V403" s="718" t="s">
        <v>355</v>
      </c>
      <c r="W403" s="718" t="s">
        <v>356</v>
      </c>
      <c r="X403" s="718" t="s">
        <v>357</v>
      </c>
      <c r="Y403" s="717">
        <v>140473</v>
      </c>
      <c r="Z403" s="381"/>
      <c r="AA403" s="382"/>
      <c r="AB403" s="382"/>
      <c r="AC403" s="382"/>
      <c r="AD403" s="382"/>
      <c r="AE403" s="382"/>
      <c r="AF403" s="382"/>
      <c r="AG403" s="382"/>
      <c r="AH403" s="382"/>
      <c r="AI403" s="382"/>
      <c r="AJ403" s="383"/>
      <c r="AK403" s="171"/>
      <c r="AL403" s="171"/>
      <c r="AM403" s="19"/>
      <c r="AN403" s="19"/>
      <c r="AO403" s="19"/>
      <c r="AP403" s="19"/>
      <c r="AQ403" s="19"/>
      <c r="AR403" s="19"/>
      <c r="AS403" s="19"/>
      <c r="AT403" s="5"/>
      <c r="AU403" s="5"/>
      <c r="AV403" s="5"/>
      <c r="AW403" s="5"/>
      <c r="AX403" s="5"/>
      <c r="AY403" s="5"/>
      <c r="AZ403" s="5"/>
      <c r="BA403" s="5"/>
      <c r="BB403" s="5"/>
      <c r="BC403" s="5"/>
    </row>
    <row r="404" spans="1:55" x14ac:dyDescent="0.25">
      <c r="A404" s="713"/>
      <c r="B404" s="696"/>
      <c r="C404" s="696"/>
      <c r="D404" s="384" t="s">
        <v>360</v>
      </c>
      <c r="E404" s="388">
        <v>7015494.8901891671</v>
      </c>
      <c r="F404" s="388">
        <v>7015494.8901891671</v>
      </c>
      <c r="G404" s="388">
        <f>(G403*$G$352)/$G$351</f>
        <v>18588603.402643736</v>
      </c>
      <c r="H404" s="388">
        <f>(H403*$H$352)/$H$351</f>
        <v>14828498.062702101</v>
      </c>
      <c r="I404" s="460"/>
      <c r="J404" s="388">
        <f>(J403*$J$352)/$J$351</f>
        <v>27451722.014543425</v>
      </c>
      <c r="K404" s="388">
        <f>(K403*$K$352)/$K$351</f>
        <v>30552090.82369319</v>
      </c>
      <c r="L404" s="388">
        <v>30552090.82369319</v>
      </c>
      <c r="M404" s="460"/>
      <c r="N404" s="696"/>
      <c r="O404" s="696"/>
      <c r="P404" s="696"/>
      <c r="Q404" s="696"/>
      <c r="R404" s="696"/>
      <c r="S404" s="696"/>
      <c r="T404" s="696"/>
      <c r="U404" s="696"/>
      <c r="V404" s="696"/>
      <c r="W404" s="696"/>
      <c r="X404" s="696"/>
      <c r="Y404" s="699"/>
      <c r="Z404" s="381"/>
      <c r="AA404" s="382"/>
      <c r="AB404" s="382"/>
      <c r="AC404" s="382"/>
      <c r="AD404" s="382"/>
      <c r="AE404" s="382"/>
      <c r="AF404" s="382"/>
      <c r="AG404" s="382"/>
      <c r="AH404" s="382"/>
      <c r="AI404" s="382"/>
      <c r="AJ404" s="383"/>
      <c r="AK404" s="171"/>
      <c r="AL404" s="171"/>
      <c r="AM404" s="19"/>
      <c r="AN404" s="19"/>
      <c r="AO404" s="19"/>
      <c r="AP404" s="19"/>
      <c r="AQ404" s="19"/>
      <c r="AR404" s="19"/>
      <c r="AS404" s="19"/>
      <c r="AT404" s="5"/>
      <c r="AU404" s="5"/>
      <c r="AV404" s="5"/>
      <c r="AW404" s="5"/>
      <c r="AX404" s="5"/>
      <c r="AY404" s="5"/>
      <c r="AZ404" s="5"/>
      <c r="BA404" s="5"/>
      <c r="BB404" s="5"/>
      <c r="BC404" s="5"/>
    </row>
    <row r="405" spans="1:55" x14ac:dyDescent="0.25">
      <c r="A405" s="713"/>
      <c r="B405" s="696"/>
      <c r="C405" s="696"/>
      <c r="D405" s="384" t="s">
        <v>365</v>
      </c>
      <c r="E405" s="387">
        <v>0</v>
      </c>
      <c r="F405" s="387">
        <v>0</v>
      </c>
      <c r="G405" s="387">
        <v>0</v>
      </c>
      <c r="H405" s="387">
        <v>0</v>
      </c>
      <c r="I405" s="460"/>
      <c r="J405" s="387">
        <v>0</v>
      </c>
      <c r="K405" s="387">
        <v>0</v>
      </c>
      <c r="L405" s="387">
        <v>0</v>
      </c>
      <c r="M405" s="460"/>
      <c r="N405" s="696"/>
      <c r="O405" s="696"/>
      <c r="P405" s="696"/>
      <c r="Q405" s="696"/>
      <c r="R405" s="696"/>
      <c r="S405" s="696"/>
      <c r="T405" s="696"/>
      <c r="U405" s="696"/>
      <c r="V405" s="696"/>
      <c r="W405" s="696"/>
      <c r="X405" s="696"/>
      <c r="Y405" s="699"/>
      <c r="Z405" s="381"/>
      <c r="AA405" s="382"/>
      <c r="AB405" s="382"/>
      <c r="AC405" s="382"/>
      <c r="AD405" s="382"/>
      <c r="AE405" s="382"/>
      <c r="AF405" s="382"/>
      <c r="AG405" s="382"/>
      <c r="AH405" s="382"/>
      <c r="AI405" s="382"/>
      <c r="AJ405" s="383"/>
      <c r="AK405" s="171"/>
      <c r="AL405" s="171"/>
      <c r="AM405" s="19"/>
      <c r="AN405" s="19"/>
      <c r="AO405" s="19"/>
      <c r="AP405" s="19"/>
      <c r="AQ405" s="19"/>
      <c r="AR405" s="19"/>
      <c r="AS405" s="19"/>
      <c r="AT405" s="5"/>
      <c r="AU405" s="5"/>
      <c r="AV405" s="5"/>
      <c r="AW405" s="5"/>
      <c r="AX405" s="5"/>
      <c r="AY405" s="5"/>
      <c r="AZ405" s="5"/>
      <c r="BA405" s="5"/>
      <c r="BB405" s="5"/>
      <c r="BC405" s="5"/>
    </row>
    <row r="406" spans="1:55" ht="22.5" x14ac:dyDescent="0.25">
      <c r="A406" s="713"/>
      <c r="B406" s="696"/>
      <c r="C406" s="696"/>
      <c r="D406" s="386" t="s">
        <v>370</v>
      </c>
      <c r="E406" s="388">
        <v>0</v>
      </c>
      <c r="F406" s="388">
        <v>0</v>
      </c>
      <c r="G406" s="388">
        <v>0</v>
      </c>
      <c r="H406" s="388">
        <v>0</v>
      </c>
      <c r="I406" s="390"/>
      <c r="J406" s="388">
        <v>0</v>
      </c>
      <c r="K406" s="388">
        <v>0</v>
      </c>
      <c r="L406" s="388">
        <v>0</v>
      </c>
      <c r="M406" s="390"/>
      <c r="N406" s="696"/>
      <c r="O406" s="696"/>
      <c r="P406" s="696"/>
      <c r="Q406" s="696"/>
      <c r="R406" s="696"/>
      <c r="S406" s="696"/>
      <c r="T406" s="696"/>
      <c r="U406" s="696"/>
      <c r="V406" s="696"/>
      <c r="W406" s="696"/>
      <c r="X406" s="696"/>
      <c r="Y406" s="699"/>
      <c r="Z406" s="381"/>
      <c r="AA406" s="382"/>
      <c r="AB406" s="382"/>
      <c r="AC406" s="382"/>
      <c r="AD406" s="382"/>
      <c r="AE406" s="382"/>
      <c r="AF406" s="382"/>
      <c r="AG406" s="382"/>
      <c r="AH406" s="382"/>
      <c r="AI406" s="382"/>
      <c r="AJ406" s="383"/>
      <c r="AK406" s="171"/>
      <c r="AL406" s="171"/>
      <c r="AM406" s="19"/>
      <c r="AN406" s="19"/>
      <c r="AO406" s="19"/>
      <c r="AP406" s="19"/>
      <c r="AQ406" s="19"/>
      <c r="AR406" s="19"/>
      <c r="AS406" s="19"/>
      <c r="AT406" s="5"/>
      <c r="AU406" s="5"/>
      <c r="AV406" s="5"/>
      <c r="AW406" s="5"/>
      <c r="AX406" s="5"/>
      <c r="AY406" s="5"/>
      <c r="AZ406" s="5"/>
      <c r="BA406" s="5"/>
      <c r="BB406" s="5"/>
      <c r="BC406" s="5"/>
    </row>
    <row r="407" spans="1:55" x14ac:dyDescent="0.25">
      <c r="A407" s="713"/>
      <c r="B407" s="696"/>
      <c r="C407" s="722" t="s">
        <v>522</v>
      </c>
      <c r="D407" s="389" t="s">
        <v>348</v>
      </c>
      <c r="E407" s="387">
        <v>9257.1219999999994</v>
      </c>
      <c r="F407" s="387">
        <v>9257.1219999999994</v>
      </c>
      <c r="G407" s="387">
        <f>K407</f>
        <v>16861.921999999999</v>
      </c>
      <c r="H407" s="387">
        <f>G407</f>
        <v>16861.921999999999</v>
      </c>
      <c r="I407" s="460"/>
      <c r="J407" s="387">
        <v>9257.1219999999994</v>
      </c>
      <c r="K407" s="460">
        <v>16861.921999999999</v>
      </c>
      <c r="L407" s="460">
        <v>44552.52</v>
      </c>
      <c r="M407" s="460"/>
      <c r="N407" s="718" t="s">
        <v>522</v>
      </c>
      <c r="O407" s="718" t="s">
        <v>350</v>
      </c>
      <c r="P407" s="718" t="s">
        <v>351</v>
      </c>
      <c r="Q407" s="718" t="s">
        <v>352</v>
      </c>
      <c r="R407" s="718" t="s">
        <v>353</v>
      </c>
      <c r="S407" s="718">
        <v>47476</v>
      </c>
      <c r="T407" s="718">
        <v>46240</v>
      </c>
      <c r="U407" s="718" t="s">
        <v>494</v>
      </c>
      <c r="V407" s="718" t="s">
        <v>355</v>
      </c>
      <c r="W407" s="718" t="s">
        <v>356</v>
      </c>
      <c r="X407" s="718" t="s">
        <v>357</v>
      </c>
      <c r="Y407" s="717">
        <v>93716</v>
      </c>
      <c r="Z407" s="381"/>
      <c r="AA407" s="382"/>
      <c r="AB407" s="382"/>
      <c r="AC407" s="382"/>
      <c r="AD407" s="382"/>
      <c r="AE407" s="382"/>
      <c r="AF407" s="382"/>
      <c r="AG407" s="382"/>
      <c r="AH407" s="382"/>
      <c r="AI407" s="382"/>
      <c r="AJ407" s="383"/>
      <c r="AK407" s="171"/>
      <c r="AL407" s="171"/>
      <c r="AM407" s="19"/>
      <c r="AN407" s="19"/>
      <c r="AO407" s="19"/>
      <c r="AP407" s="19"/>
      <c r="AQ407" s="19"/>
      <c r="AR407" s="19"/>
      <c r="AS407" s="19"/>
      <c r="AT407" s="5"/>
      <c r="AU407" s="5"/>
      <c r="AV407" s="5"/>
      <c r="AW407" s="5"/>
      <c r="AX407" s="5"/>
      <c r="AY407" s="5"/>
      <c r="AZ407" s="5"/>
      <c r="BA407" s="5"/>
      <c r="BB407" s="5"/>
      <c r="BC407" s="5"/>
    </row>
    <row r="408" spans="1:55" x14ac:dyDescent="0.25">
      <c r="A408" s="713"/>
      <c r="B408" s="696"/>
      <c r="C408" s="696"/>
      <c r="D408" s="384" t="s">
        <v>360</v>
      </c>
      <c r="E408" s="388">
        <v>945235.60256912489</v>
      </c>
      <c r="F408" s="388">
        <v>945235.60256912489</v>
      </c>
      <c r="G408" s="388">
        <f>(G407*$G$352)/$G$351</f>
        <v>1734087.2683811479</v>
      </c>
      <c r="H408" s="388">
        <f>(H407*$H$352)/$H$351</f>
        <v>1383315.8491126397</v>
      </c>
      <c r="I408" s="460"/>
      <c r="J408" s="388">
        <f>(J407*$J$352)/$J$351</f>
        <v>3698719.1076519187</v>
      </c>
      <c r="K408" s="388">
        <f>(K407*$K$352)/$K$351</f>
        <v>2850132.9859055388</v>
      </c>
      <c r="L408" s="388">
        <v>2850132.9859055388</v>
      </c>
      <c r="M408" s="460"/>
      <c r="N408" s="696"/>
      <c r="O408" s="696"/>
      <c r="P408" s="696"/>
      <c r="Q408" s="696"/>
      <c r="R408" s="696"/>
      <c r="S408" s="696"/>
      <c r="T408" s="696"/>
      <c r="U408" s="696"/>
      <c r="V408" s="696"/>
      <c r="W408" s="696"/>
      <c r="X408" s="696"/>
      <c r="Y408" s="699"/>
      <c r="Z408" s="381"/>
      <c r="AA408" s="382"/>
      <c r="AB408" s="382"/>
      <c r="AC408" s="382"/>
      <c r="AD408" s="382"/>
      <c r="AE408" s="382"/>
      <c r="AF408" s="382"/>
      <c r="AG408" s="382"/>
      <c r="AH408" s="382"/>
      <c r="AI408" s="382"/>
      <c r="AJ408" s="383"/>
      <c r="AK408" s="171"/>
      <c r="AL408" s="171"/>
      <c r="AM408" s="19"/>
      <c r="AN408" s="19"/>
      <c r="AO408" s="19"/>
      <c r="AP408" s="19"/>
      <c r="AQ408" s="19"/>
      <c r="AR408" s="19"/>
      <c r="AS408" s="19"/>
      <c r="AT408" s="5"/>
      <c r="AU408" s="5"/>
      <c r="AV408" s="5"/>
      <c r="AW408" s="5"/>
      <c r="AX408" s="5"/>
      <c r="AY408" s="5"/>
      <c r="AZ408" s="5"/>
      <c r="BA408" s="5"/>
      <c r="BB408" s="5"/>
      <c r="BC408" s="5"/>
    </row>
    <row r="409" spans="1:55" x14ac:dyDescent="0.25">
      <c r="A409" s="713"/>
      <c r="B409" s="696"/>
      <c r="C409" s="696"/>
      <c r="D409" s="384" t="s">
        <v>365</v>
      </c>
      <c r="E409" s="387">
        <v>0</v>
      </c>
      <c r="F409" s="387">
        <v>0</v>
      </c>
      <c r="G409" s="387">
        <v>0</v>
      </c>
      <c r="H409" s="387">
        <v>0</v>
      </c>
      <c r="I409" s="460"/>
      <c r="J409" s="387">
        <v>0</v>
      </c>
      <c r="K409" s="387">
        <v>0</v>
      </c>
      <c r="L409" s="387">
        <v>0</v>
      </c>
      <c r="M409" s="460"/>
      <c r="N409" s="696"/>
      <c r="O409" s="696"/>
      <c r="P409" s="696"/>
      <c r="Q409" s="696"/>
      <c r="R409" s="696"/>
      <c r="S409" s="696"/>
      <c r="T409" s="696"/>
      <c r="U409" s="696"/>
      <c r="V409" s="696"/>
      <c r="W409" s="696"/>
      <c r="X409" s="696"/>
      <c r="Y409" s="699"/>
      <c r="Z409" s="381"/>
      <c r="AA409" s="382"/>
      <c r="AB409" s="382"/>
      <c r="AC409" s="382"/>
      <c r="AD409" s="382"/>
      <c r="AE409" s="382"/>
      <c r="AF409" s="382"/>
      <c r="AG409" s="382"/>
      <c r="AH409" s="382"/>
      <c r="AI409" s="382"/>
      <c r="AJ409" s="383"/>
      <c r="AK409" s="171"/>
      <c r="AL409" s="171"/>
      <c r="AM409" s="19"/>
      <c r="AN409" s="19"/>
      <c r="AO409" s="19"/>
      <c r="AP409" s="19"/>
      <c r="AQ409" s="19"/>
      <c r="AR409" s="19"/>
      <c r="AS409" s="19"/>
      <c r="AT409" s="5"/>
      <c r="AU409" s="5"/>
      <c r="AV409" s="5"/>
      <c r="AW409" s="5"/>
      <c r="AX409" s="5"/>
      <c r="AY409" s="5"/>
      <c r="AZ409" s="5"/>
      <c r="BA409" s="5"/>
      <c r="BB409" s="5"/>
      <c r="BC409" s="5"/>
    </row>
    <row r="410" spans="1:55" ht="22.5" x14ac:dyDescent="0.25">
      <c r="A410" s="713"/>
      <c r="B410" s="696"/>
      <c r="C410" s="696"/>
      <c r="D410" s="386" t="s">
        <v>370</v>
      </c>
      <c r="E410" s="388">
        <v>0</v>
      </c>
      <c r="F410" s="388">
        <v>0</v>
      </c>
      <c r="G410" s="388">
        <v>0</v>
      </c>
      <c r="H410" s="388">
        <v>0</v>
      </c>
      <c r="I410" s="390"/>
      <c r="J410" s="388">
        <v>0</v>
      </c>
      <c r="K410" s="388">
        <v>0</v>
      </c>
      <c r="L410" s="388">
        <v>0</v>
      </c>
      <c r="M410" s="390"/>
      <c r="N410" s="696"/>
      <c r="O410" s="696"/>
      <c r="P410" s="696"/>
      <c r="Q410" s="696"/>
      <c r="R410" s="696"/>
      <c r="S410" s="696"/>
      <c r="T410" s="696"/>
      <c r="U410" s="696"/>
      <c r="V410" s="696"/>
      <c r="W410" s="696"/>
      <c r="X410" s="696"/>
      <c r="Y410" s="699"/>
      <c r="Z410" s="381"/>
      <c r="AA410" s="382"/>
      <c r="AB410" s="382"/>
      <c r="AC410" s="382"/>
      <c r="AD410" s="382"/>
      <c r="AE410" s="382"/>
      <c r="AF410" s="382"/>
      <c r="AG410" s="382"/>
      <c r="AH410" s="382"/>
      <c r="AI410" s="382"/>
      <c r="AJ410" s="383"/>
      <c r="AK410" s="171"/>
      <c r="AL410" s="171"/>
      <c r="AM410" s="19"/>
      <c r="AN410" s="19"/>
      <c r="AO410" s="19"/>
      <c r="AP410" s="19"/>
      <c r="AQ410" s="19"/>
      <c r="AR410" s="19"/>
      <c r="AS410" s="19"/>
      <c r="AT410" s="5"/>
      <c r="AU410" s="5"/>
      <c r="AV410" s="5"/>
      <c r="AW410" s="5"/>
      <c r="AX410" s="5"/>
      <c r="AY410" s="5"/>
      <c r="AZ410" s="5"/>
      <c r="BA410" s="5"/>
      <c r="BB410" s="5"/>
      <c r="BC410" s="5"/>
    </row>
    <row r="411" spans="1:55" x14ac:dyDescent="0.25">
      <c r="A411" s="713"/>
      <c r="B411" s="696"/>
      <c r="C411" s="722" t="s">
        <v>449</v>
      </c>
      <c r="D411" s="389" t="s">
        <v>348</v>
      </c>
      <c r="E411" s="387">
        <v>6903.4</v>
      </c>
      <c r="F411" s="387">
        <v>6903.4</v>
      </c>
      <c r="G411" s="387">
        <f>K411</f>
        <v>7847</v>
      </c>
      <c r="H411" s="387">
        <f>G411</f>
        <v>7847</v>
      </c>
      <c r="I411" s="460"/>
      <c r="J411" s="387">
        <v>6903.4</v>
      </c>
      <c r="K411" s="460">
        <v>7847</v>
      </c>
      <c r="L411" s="460">
        <v>39046</v>
      </c>
      <c r="M411" s="460"/>
      <c r="N411" s="718" t="s">
        <v>449</v>
      </c>
      <c r="O411" s="718" t="s">
        <v>350</v>
      </c>
      <c r="P411" s="718" t="s">
        <v>351</v>
      </c>
      <c r="Q411" s="718" t="s">
        <v>352</v>
      </c>
      <c r="R411" s="718" t="s">
        <v>353</v>
      </c>
      <c r="S411" s="718">
        <v>53702</v>
      </c>
      <c r="T411" s="718">
        <v>55552</v>
      </c>
      <c r="U411" s="718" t="s">
        <v>494</v>
      </c>
      <c r="V411" s="718" t="s">
        <v>355</v>
      </c>
      <c r="W411" s="718" t="s">
        <v>356</v>
      </c>
      <c r="X411" s="718" t="s">
        <v>357</v>
      </c>
      <c r="Y411" s="717">
        <v>109254</v>
      </c>
      <c r="Z411" s="381"/>
      <c r="AA411" s="382"/>
      <c r="AB411" s="382"/>
      <c r="AC411" s="382"/>
      <c r="AD411" s="382"/>
      <c r="AE411" s="382"/>
      <c r="AF411" s="382"/>
      <c r="AG411" s="382"/>
      <c r="AH411" s="382"/>
      <c r="AI411" s="382"/>
      <c r="AJ411" s="383"/>
      <c r="AK411" s="171"/>
      <c r="AL411" s="171"/>
      <c r="AM411" s="19"/>
      <c r="AN411" s="19"/>
      <c r="AO411" s="19"/>
      <c r="AP411" s="19"/>
      <c r="AQ411" s="19"/>
      <c r="AR411" s="19"/>
      <c r="AS411" s="19"/>
      <c r="AT411" s="5"/>
      <c r="AU411" s="5"/>
      <c r="AV411" s="5"/>
      <c r="AW411" s="5"/>
      <c r="AX411" s="5"/>
      <c r="AY411" s="5"/>
      <c r="AZ411" s="5"/>
      <c r="BA411" s="5"/>
      <c r="BB411" s="5"/>
      <c r="BC411" s="5"/>
    </row>
    <row r="412" spans="1:55" x14ac:dyDescent="0.25">
      <c r="A412" s="713"/>
      <c r="B412" s="696"/>
      <c r="C412" s="696"/>
      <c r="D412" s="384" t="s">
        <v>360</v>
      </c>
      <c r="E412" s="388">
        <v>704899.3692397807</v>
      </c>
      <c r="F412" s="388">
        <v>704899.3692397807</v>
      </c>
      <c r="G412" s="388">
        <f>(G411*$G$352)/$G$351</f>
        <v>806988.83525774034</v>
      </c>
      <c r="H412" s="388">
        <f>(H411*$H$352)/$H$351</f>
        <v>643751.01889256074</v>
      </c>
      <c r="I412" s="460"/>
      <c r="J412" s="388">
        <f>(J411*$J$352)/$J$351</f>
        <v>2758280.3259765031</v>
      </c>
      <c r="K412" s="388">
        <f>(K411*$K$352)/$K$351</f>
        <v>1326360.8703919258</v>
      </c>
      <c r="L412" s="388">
        <v>1326360.8703919258</v>
      </c>
      <c r="M412" s="460"/>
      <c r="N412" s="696"/>
      <c r="O412" s="696"/>
      <c r="P412" s="696"/>
      <c r="Q412" s="696"/>
      <c r="R412" s="696"/>
      <c r="S412" s="696"/>
      <c r="T412" s="696"/>
      <c r="U412" s="696"/>
      <c r="V412" s="696"/>
      <c r="W412" s="696"/>
      <c r="X412" s="696"/>
      <c r="Y412" s="699"/>
      <c r="Z412" s="381"/>
      <c r="AA412" s="382"/>
      <c r="AB412" s="382"/>
      <c r="AC412" s="382"/>
      <c r="AD412" s="382"/>
      <c r="AE412" s="382"/>
      <c r="AF412" s="382"/>
      <c r="AG412" s="382"/>
      <c r="AH412" s="382"/>
      <c r="AI412" s="382"/>
      <c r="AJ412" s="383"/>
      <c r="AK412" s="171"/>
      <c r="AL412" s="171"/>
      <c r="AM412" s="19"/>
      <c r="AN412" s="19"/>
      <c r="AO412" s="19"/>
      <c r="AP412" s="19"/>
      <c r="AQ412" s="19"/>
      <c r="AR412" s="19"/>
      <c r="AS412" s="19"/>
      <c r="AT412" s="5"/>
      <c r="AU412" s="5"/>
      <c r="AV412" s="5"/>
      <c r="AW412" s="5"/>
      <c r="AX412" s="5"/>
      <c r="AY412" s="5"/>
      <c r="AZ412" s="5"/>
      <c r="BA412" s="5"/>
      <c r="BB412" s="5"/>
      <c r="BC412" s="5"/>
    </row>
    <row r="413" spans="1:55" x14ac:dyDescent="0.25">
      <c r="A413" s="713"/>
      <c r="B413" s="696"/>
      <c r="C413" s="696"/>
      <c r="D413" s="384" t="s">
        <v>365</v>
      </c>
      <c r="E413" s="387">
        <v>0</v>
      </c>
      <c r="F413" s="387">
        <v>0</v>
      </c>
      <c r="G413" s="387">
        <v>0</v>
      </c>
      <c r="H413" s="387">
        <v>0</v>
      </c>
      <c r="I413" s="460"/>
      <c r="J413" s="387">
        <v>0</v>
      </c>
      <c r="K413" s="387">
        <v>0</v>
      </c>
      <c r="L413" s="387">
        <v>0</v>
      </c>
      <c r="M413" s="460"/>
      <c r="N413" s="696"/>
      <c r="O413" s="696"/>
      <c r="P413" s="696"/>
      <c r="Q413" s="696"/>
      <c r="R413" s="696"/>
      <c r="S413" s="696"/>
      <c r="T413" s="696"/>
      <c r="U413" s="696"/>
      <c r="V413" s="696"/>
      <c r="W413" s="696"/>
      <c r="X413" s="696"/>
      <c r="Y413" s="699"/>
      <c r="Z413" s="381"/>
      <c r="AA413" s="382"/>
      <c r="AB413" s="382"/>
      <c r="AC413" s="382"/>
      <c r="AD413" s="382"/>
      <c r="AE413" s="382"/>
      <c r="AF413" s="382"/>
      <c r="AG413" s="382"/>
      <c r="AH413" s="382"/>
      <c r="AI413" s="382"/>
      <c r="AJ413" s="383"/>
      <c r="AK413" s="171"/>
      <c r="AL413" s="171"/>
      <c r="AM413" s="19"/>
      <c r="AN413" s="19"/>
      <c r="AO413" s="19"/>
      <c r="AP413" s="19"/>
      <c r="AQ413" s="19"/>
      <c r="AR413" s="19"/>
      <c r="AS413" s="19"/>
      <c r="AT413" s="5"/>
      <c r="AU413" s="5"/>
      <c r="AV413" s="5"/>
      <c r="AW413" s="5"/>
      <c r="AX413" s="5"/>
      <c r="AY413" s="5"/>
      <c r="AZ413" s="5"/>
      <c r="BA413" s="5"/>
      <c r="BB413" s="5"/>
      <c r="BC413" s="5"/>
    </row>
    <row r="414" spans="1:55" ht="22.5" x14ac:dyDescent="0.25">
      <c r="A414" s="713"/>
      <c r="B414" s="696"/>
      <c r="C414" s="696"/>
      <c r="D414" s="386" t="s">
        <v>370</v>
      </c>
      <c r="E414" s="388">
        <v>0</v>
      </c>
      <c r="F414" s="388">
        <v>0</v>
      </c>
      <c r="G414" s="388">
        <v>0</v>
      </c>
      <c r="H414" s="388">
        <v>0</v>
      </c>
      <c r="I414" s="390"/>
      <c r="J414" s="388">
        <v>0</v>
      </c>
      <c r="K414" s="388">
        <v>0</v>
      </c>
      <c r="L414" s="388">
        <v>0</v>
      </c>
      <c r="M414" s="390"/>
      <c r="N414" s="696"/>
      <c r="O414" s="696"/>
      <c r="P414" s="696"/>
      <c r="Q414" s="696"/>
      <c r="R414" s="696"/>
      <c r="S414" s="696"/>
      <c r="T414" s="696"/>
      <c r="U414" s="696"/>
      <c r="V414" s="696"/>
      <c r="W414" s="696"/>
      <c r="X414" s="696"/>
      <c r="Y414" s="699"/>
      <c r="Z414" s="381"/>
      <c r="AA414" s="382"/>
      <c r="AB414" s="382"/>
      <c r="AC414" s="382"/>
      <c r="AD414" s="382"/>
      <c r="AE414" s="382"/>
      <c r="AF414" s="382"/>
      <c r="AG414" s="382"/>
      <c r="AH414" s="382"/>
      <c r="AI414" s="382"/>
      <c r="AJ414" s="383"/>
      <c r="AK414" s="171"/>
      <c r="AL414" s="171"/>
      <c r="AM414" s="19"/>
      <c r="AN414" s="19"/>
      <c r="AO414" s="19"/>
      <c r="AP414" s="19"/>
      <c r="AQ414" s="19"/>
      <c r="AR414" s="19"/>
      <c r="AS414" s="19"/>
      <c r="AT414" s="5"/>
      <c r="AU414" s="5"/>
      <c r="AV414" s="5"/>
      <c r="AW414" s="5"/>
      <c r="AX414" s="5"/>
      <c r="AY414" s="5"/>
      <c r="AZ414" s="5"/>
      <c r="BA414" s="5"/>
      <c r="BB414" s="5"/>
      <c r="BC414" s="5"/>
    </row>
    <row r="415" spans="1:55" x14ac:dyDescent="0.25">
      <c r="A415" s="713"/>
      <c r="B415" s="696"/>
      <c r="C415" s="722" t="s">
        <v>382</v>
      </c>
      <c r="D415" s="389" t="s">
        <v>348</v>
      </c>
      <c r="E415" s="387">
        <v>8337.5879999999997</v>
      </c>
      <c r="F415" s="387">
        <v>8337.5879999999997</v>
      </c>
      <c r="G415" s="387">
        <f>K415</f>
        <v>218071.67199999999</v>
      </c>
      <c r="H415" s="387">
        <f>G415</f>
        <v>218071.67199999999</v>
      </c>
      <c r="I415" s="460"/>
      <c r="J415" s="387">
        <v>8337.5879999999997</v>
      </c>
      <c r="K415" s="460">
        <v>218071.67199999999</v>
      </c>
      <c r="L415" s="460">
        <v>234617.31</v>
      </c>
      <c r="M415" s="460"/>
      <c r="N415" s="718" t="s">
        <v>382</v>
      </c>
      <c r="O415" s="718" t="s">
        <v>350</v>
      </c>
      <c r="P415" s="718" t="s">
        <v>351</v>
      </c>
      <c r="Q415" s="718" t="s">
        <v>352</v>
      </c>
      <c r="R415" s="718" t="s">
        <v>353</v>
      </c>
      <c r="S415" s="718">
        <v>110484</v>
      </c>
      <c r="T415" s="718">
        <v>111422</v>
      </c>
      <c r="U415" s="718" t="s">
        <v>494</v>
      </c>
      <c r="V415" s="718" t="s">
        <v>355</v>
      </c>
      <c r="W415" s="718" t="s">
        <v>356</v>
      </c>
      <c r="X415" s="718" t="s">
        <v>357</v>
      </c>
      <c r="Y415" s="717">
        <v>221906</v>
      </c>
      <c r="Z415" s="381"/>
      <c r="AA415" s="382"/>
      <c r="AB415" s="382"/>
      <c r="AC415" s="382"/>
      <c r="AD415" s="382"/>
      <c r="AE415" s="382"/>
      <c r="AF415" s="382"/>
      <c r="AG415" s="382"/>
      <c r="AH415" s="382"/>
      <c r="AI415" s="382"/>
      <c r="AJ415" s="383"/>
      <c r="AK415" s="171"/>
      <c r="AL415" s="171"/>
      <c r="AM415" s="19"/>
      <c r="AN415" s="19"/>
      <c r="AO415" s="19"/>
      <c r="AP415" s="19"/>
      <c r="AQ415" s="19"/>
      <c r="AR415" s="19"/>
      <c r="AS415" s="19"/>
      <c r="AT415" s="5"/>
      <c r="AU415" s="5"/>
      <c r="AV415" s="5"/>
      <c r="AW415" s="5"/>
      <c r="AX415" s="5"/>
      <c r="AY415" s="5"/>
      <c r="AZ415" s="5"/>
      <c r="BA415" s="5"/>
      <c r="BB415" s="5"/>
      <c r="BC415" s="5"/>
    </row>
    <row r="416" spans="1:55" x14ac:dyDescent="0.25">
      <c r="A416" s="713"/>
      <c r="B416" s="696"/>
      <c r="C416" s="696"/>
      <c r="D416" s="384" t="s">
        <v>360</v>
      </c>
      <c r="E416" s="388">
        <v>851342.89222429018</v>
      </c>
      <c r="F416" s="388">
        <v>851342.89222429018</v>
      </c>
      <c r="G416" s="388">
        <f>(G415*$G$352)/$G$351</f>
        <v>22426583.992607109</v>
      </c>
      <c r="H416" s="388">
        <f>(H415*$H$352)/$H$351</f>
        <v>17890131.393093448</v>
      </c>
      <c r="I416" s="460"/>
      <c r="J416" s="388">
        <f>(J415*$J$352)/$J$351</f>
        <v>3331315.7207314912</v>
      </c>
      <c r="K416" s="388">
        <f>(K415*$K$352)/$K$351</f>
        <v>36860167.284534544</v>
      </c>
      <c r="L416" s="388">
        <v>36860167.284534544</v>
      </c>
      <c r="M416" s="460"/>
      <c r="N416" s="696"/>
      <c r="O416" s="696"/>
      <c r="P416" s="696"/>
      <c r="Q416" s="696"/>
      <c r="R416" s="696"/>
      <c r="S416" s="696"/>
      <c r="T416" s="696"/>
      <c r="U416" s="696"/>
      <c r="V416" s="696"/>
      <c r="W416" s="696"/>
      <c r="X416" s="696"/>
      <c r="Y416" s="699"/>
      <c r="Z416" s="381"/>
      <c r="AA416" s="382"/>
      <c r="AB416" s="382"/>
      <c r="AC416" s="382"/>
      <c r="AD416" s="382"/>
      <c r="AE416" s="382"/>
      <c r="AF416" s="382"/>
      <c r="AG416" s="382"/>
      <c r="AH416" s="382"/>
      <c r="AI416" s="382"/>
      <c r="AJ416" s="383"/>
      <c r="AK416" s="171"/>
      <c r="AL416" s="171"/>
      <c r="AM416" s="19"/>
      <c r="AN416" s="19"/>
      <c r="AO416" s="19"/>
      <c r="AP416" s="19"/>
      <c r="AQ416" s="19"/>
      <c r="AR416" s="19"/>
      <c r="AS416" s="19"/>
      <c r="AT416" s="5"/>
      <c r="AU416" s="5"/>
      <c r="AV416" s="5"/>
      <c r="AW416" s="5"/>
      <c r="AX416" s="5"/>
      <c r="AY416" s="5"/>
      <c r="AZ416" s="5"/>
      <c r="BA416" s="5"/>
      <c r="BB416" s="5"/>
      <c r="BC416" s="5"/>
    </row>
    <row r="417" spans="1:55" x14ac:dyDescent="0.25">
      <c r="A417" s="713"/>
      <c r="B417" s="696"/>
      <c r="C417" s="696"/>
      <c r="D417" s="384" t="s">
        <v>365</v>
      </c>
      <c r="E417" s="387">
        <v>0</v>
      </c>
      <c r="F417" s="387">
        <v>0</v>
      </c>
      <c r="G417" s="387">
        <v>0</v>
      </c>
      <c r="H417" s="387">
        <v>0</v>
      </c>
      <c r="I417" s="460"/>
      <c r="J417" s="387">
        <v>0</v>
      </c>
      <c r="K417" s="387">
        <v>0</v>
      </c>
      <c r="L417" s="387">
        <v>0</v>
      </c>
      <c r="M417" s="460"/>
      <c r="N417" s="696"/>
      <c r="O417" s="696"/>
      <c r="P417" s="696"/>
      <c r="Q417" s="696"/>
      <c r="R417" s="696"/>
      <c r="S417" s="696"/>
      <c r="T417" s="696"/>
      <c r="U417" s="696"/>
      <c r="V417" s="696"/>
      <c r="W417" s="696"/>
      <c r="X417" s="696"/>
      <c r="Y417" s="699"/>
      <c r="Z417" s="381"/>
      <c r="AA417" s="382"/>
      <c r="AB417" s="382"/>
      <c r="AC417" s="382"/>
      <c r="AD417" s="382"/>
      <c r="AE417" s="382"/>
      <c r="AF417" s="382"/>
      <c r="AG417" s="382"/>
      <c r="AH417" s="382"/>
      <c r="AI417" s="382"/>
      <c r="AJ417" s="383"/>
      <c r="AK417" s="171"/>
      <c r="AL417" s="171"/>
      <c r="AM417" s="19"/>
      <c r="AN417" s="19"/>
      <c r="AO417" s="19"/>
      <c r="AP417" s="19"/>
      <c r="AQ417" s="19"/>
      <c r="AR417" s="19"/>
      <c r="AS417" s="19"/>
      <c r="AT417" s="5"/>
      <c r="AU417" s="5"/>
      <c r="AV417" s="5"/>
      <c r="AW417" s="5"/>
      <c r="AX417" s="5"/>
      <c r="AY417" s="5"/>
      <c r="AZ417" s="5"/>
      <c r="BA417" s="5"/>
      <c r="BB417" s="5"/>
      <c r="BC417" s="5"/>
    </row>
    <row r="418" spans="1:55" ht="22.5" x14ac:dyDescent="0.25">
      <c r="A418" s="713"/>
      <c r="B418" s="696"/>
      <c r="C418" s="696"/>
      <c r="D418" s="386" t="s">
        <v>370</v>
      </c>
      <c r="E418" s="388">
        <v>0</v>
      </c>
      <c r="F418" s="388">
        <v>0</v>
      </c>
      <c r="G418" s="388">
        <v>0</v>
      </c>
      <c r="H418" s="388">
        <v>0</v>
      </c>
      <c r="I418" s="390"/>
      <c r="J418" s="388">
        <v>0</v>
      </c>
      <c r="K418" s="388">
        <v>0</v>
      </c>
      <c r="L418" s="388">
        <v>0</v>
      </c>
      <c r="M418" s="390"/>
      <c r="N418" s="696"/>
      <c r="O418" s="696"/>
      <c r="P418" s="696"/>
      <c r="Q418" s="696"/>
      <c r="R418" s="696"/>
      <c r="S418" s="696"/>
      <c r="T418" s="696"/>
      <c r="U418" s="696"/>
      <c r="V418" s="696"/>
      <c r="W418" s="696"/>
      <c r="X418" s="696"/>
      <c r="Y418" s="699"/>
      <c r="Z418" s="381"/>
      <c r="AA418" s="382"/>
      <c r="AB418" s="382"/>
      <c r="AC418" s="382"/>
      <c r="AD418" s="382"/>
      <c r="AE418" s="382"/>
      <c r="AF418" s="382"/>
      <c r="AG418" s="382"/>
      <c r="AH418" s="382"/>
      <c r="AI418" s="382"/>
      <c r="AJ418" s="383"/>
      <c r="AK418" s="171"/>
      <c r="AL418" s="171"/>
      <c r="AM418" s="19"/>
      <c r="AN418" s="19"/>
      <c r="AO418" s="19"/>
      <c r="AP418" s="19"/>
      <c r="AQ418" s="19"/>
      <c r="AR418" s="19"/>
      <c r="AS418" s="19"/>
      <c r="AT418" s="5"/>
      <c r="AU418" s="5"/>
      <c r="AV418" s="5"/>
      <c r="AW418" s="5"/>
      <c r="AX418" s="5"/>
      <c r="AY418" s="5"/>
      <c r="AZ418" s="5"/>
      <c r="BA418" s="5"/>
      <c r="BB418" s="5"/>
      <c r="BC418" s="5"/>
    </row>
    <row r="419" spans="1:55" x14ac:dyDescent="0.25">
      <c r="A419" s="713"/>
      <c r="B419" s="696"/>
      <c r="C419" s="722" t="s">
        <v>375</v>
      </c>
      <c r="D419" s="389" t="s">
        <v>348</v>
      </c>
      <c r="E419" s="387">
        <v>11000.695999999998</v>
      </c>
      <c r="F419" s="387">
        <v>11000.695999999998</v>
      </c>
      <c r="G419" s="387">
        <f>K419</f>
        <v>85147.257999999973</v>
      </c>
      <c r="H419" s="387">
        <f>G419</f>
        <v>85147.257999999973</v>
      </c>
      <c r="I419" s="460"/>
      <c r="J419" s="387">
        <v>11000.695999999998</v>
      </c>
      <c r="K419" s="460">
        <v>85147.257999999973</v>
      </c>
      <c r="L419" s="460">
        <v>172736.89</v>
      </c>
      <c r="M419" s="460"/>
      <c r="N419" s="718" t="s">
        <v>375</v>
      </c>
      <c r="O419" s="718" t="s">
        <v>350</v>
      </c>
      <c r="P419" s="718" t="s">
        <v>351</v>
      </c>
      <c r="Q419" s="718" t="s">
        <v>352</v>
      </c>
      <c r="R419" s="718" t="s">
        <v>353</v>
      </c>
      <c r="S419" s="718">
        <v>12045</v>
      </c>
      <c r="T419" s="718">
        <v>10393</v>
      </c>
      <c r="U419" s="718" t="s">
        <v>494</v>
      </c>
      <c r="V419" s="718" t="s">
        <v>355</v>
      </c>
      <c r="W419" s="718" t="s">
        <v>356</v>
      </c>
      <c r="X419" s="718" t="s">
        <v>357</v>
      </c>
      <c r="Y419" s="717">
        <v>22438</v>
      </c>
      <c r="Z419" s="381"/>
      <c r="AA419" s="382"/>
      <c r="AB419" s="382"/>
      <c r="AC419" s="382"/>
      <c r="AD419" s="382"/>
      <c r="AE419" s="382"/>
      <c r="AF419" s="382"/>
      <c r="AG419" s="382"/>
      <c r="AH419" s="382"/>
      <c r="AI419" s="382"/>
      <c r="AJ419" s="383"/>
      <c r="AK419" s="171"/>
      <c r="AL419" s="171"/>
      <c r="AM419" s="19"/>
      <c r="AN419" s="19"/>
      <c r="AO419" s="19"/>
      <c r="AP419" s="19"/>
      <c r="AQ419" s="19"/>
      <c r="AR419" s="19"/>
      <c r="AS419" s="19"/>
      <c r="AT419" s="5"/>
      <c r="AU419" s="5"/>
      <c r="AV419" s="5"/>
      <c r="AW419" s="5"/>
      <c r="AX419" s="5"/>
      <c r="AY419" s="5"/>
      <c r="AZ419" s="5"/>
      <c r="BA419" s="5"/>
      <c r="BB419" s="5"/>
      <c r="BC419" s="5"/>
    </row>
    <row r="420" spans="1:55" x14ac:dyDescent="0.25">
      <c r="A420" s="713"/>
      <c r="B420" s="696"/>
      <c r="C420" s="696"/>
      <c r="D420" s="384" t="s">
        <v>360</v>
      </c>
      <c r="E420" s="388">
        <v>1123270.2250483208</v>
      </c>
      <c r="F420" s="388">
        <v>1123270.2250483208</v>
      </c>
      <c r="G420" s="388">
        <f>(G419*$G$352)/$G$351</f>
        <v>8756580.420391269</v>
      </c>
      <c r="H420" s="388">
        <f>(H419*$H$352)/$H$351</f>
        <v>6985298.0876013413</v>
      </c>
      <c r="I420" s="460"/>
      <c r="J420" s="388">
        <f>(J419*$J$352)/$J$351</f>
        <v>4395370.8822968975</v>
      </c>
      <c r="K420" s="388">
        <f>(K419*$K$352)/$K$351</f>
        <v>14392250.698657556</v>
      </c>
      <c r="L420" s="388">
        <v>14392250.698657556</v>
      </c>
      <c r="M420" s="460"/>
      <c r="N420" s="696"/>
      <c r="O420" s="696"/>
      <c r="P420" s="696"/>
      <c r="Q420" s="696"/>
      <c r="R420" s="696"/>
      <c r="S420" s="696"/>
      <c r="T420" s="696"/>
      <c r="U420" s="696"/>
      <c r="V420" s="696"/>
      <c r="W420" s="696"/>
      <c r="X420" s="696"/>
      <c r="Y420" s="699"/>
      <c r="Z420" s="381"/>
      <c r="AA420" s="382"/>
      <c r="AB420" s="382"/>
      <c r="AC420" s="382"/>
      <c r="AD420" s="382"/>
      <c r="AE420" s="382"/>
      <c r="AF420" s="382"/>
      <c r="AG420" s="382"/>
      <c r="AH420" s="382"/>
      <c r="AI420" s="382"/>
      <c r="AJ420" s="383"/>
      <c r="AK420" s="171"/>
      <c r="AL420" s="171"/>
      <c r="AM420" s="19"/>
      <c r="AN420" s="19"/>
      <c r="AO420" s="19"/>
      <c r="AP420" s="19"/>
      <c r="AQ420" s="19"/>
      <c r="AR420" s="19"/>
      <c r="AS420" s="19"/>
      <c r="AT420" s="5"/>
      <c r="AU420" s="5"/>
      <c r="AV420" s="5"/>
      <c r="AW420" s="5"/>
      <c r="AX420" s="5"/>
      <c r="AY420" s="5"/>
      <c r="AZ420" s="5"/>
      <c r="BA420" s="5"/>
      <c r="BB420" s="5"/>
      <c r="BC420" s="5"/>
    </row>
    <row r="421" spans="1:55" x14ac:dyDescent="0.25">
      <c r="A421" s="713"/>
      <c r="B421" s="696"/>
      <c r="C421" s="696"/>
      <c r="D421" s="384" t="s">
        <v>365</v>
      </c>
      <c r="E421" s="387">
        <v>0</v>
      </c>
      <c r="F421" s="387">
        <v>0</v>
      </c>
      <c r="G421" s="387">
        <v>0</v>
      </c>
      <c r="H421" s="387">
        <v>0</v>
      </c>
      <c r="I421" s="460"/>
      <c r="J421" s="387">
        <v>0</v>
      </c>
      <c r="K421" s="387">
        <v>0</v>
      </c>
      <c r="L421" s="387">
        <v>0</v>
      </c>
      <c r="M421" s="460"/>
      <c r="N421" s="696"/>
      <c r="O421" s="696"/>
      <c r="P421" s="696"/>
      <c r="Q421" s="696"/>
      <c r="R421" s="696"/>
      <c r="S421" s="696"/>
      <c r="T421" s="696"/>
      <c r="U421" s="696"/>
      <c r="V421" s="696"/>
      <c r="W421" s="696"/>
      <c r="X421" s="696"/>
      <c r="Y421" s="699"/>
      <c r="Z421" s="381"/>
      <c r="AA421" s="382"/>
      <c r="AB421" s="382"/>
      <c r="AC421" s="382"/>
      <c r="AD421" s="382"/>
      <c r="AE421" s="382"/>
      <c r="AF421" s="382"/>
      <c r="AG421" s="382"/>
      <c r="AH421" s="382"/>
      <c r="AI421" s="382"/>
      <c r="AJ421" s="383"/>
      <c r="AK421" s="171"/>
      <c r="AL421" s="171"/>
      <c r="AM421" s="19"/>
      <c r="AN421" s="19"/>
      <c r="AO421" s="19"/>
      <c r="AP421" s="19"/>
      <c r="AQ421" s="19"/>
      <c r="AR421" s="19"/>
      <c r="AS421" s="19"/>
      <c r="AT421" s="5"/>
      <c r="AU421" s="5"/>
      <c r="AV421" s="5"/>
      <c r="AW421" s="5"/>
      <c r="AX421" s="5"/>
      <c r="AY421" s="5"/>
      <c r="AZ421" s="5"/>
      <c r="BA421" s="5"/>
      <c r="BB421" s="5"/>
      <c r="BC421" s="5"/>
    </row>
    <row r="422" spans="1:55" ht="22.5" x14ac:dyDescent="0.25">
      <c r="A422" s="713"/>
      <c r="B422" s="696"/>
      <c r="C422" s="696"/>
      <c r="D422" s="386" t="s">
        <v>370</v>
      </c>
      <c r="E422" s="388">
        <v>0</v>
      </c>
      <c r="F422" s="388">
        <v>0</v>
      </c>
      <c r="G422" s="388">
        <v>0</v>
      </c>
      <c r="H422" s="388">
        <v>0</v>
      </c>
      <c r="I422" s="390"/>
      <c r="J422" s="388">
        <v>0</v>
      </c>
      <c r="K422" s="388">
        <v>0</v>
      </c>
      <c r="L422" s="388">
        <v>0</v>
      </c>
      <c r="M422" s="390"/>
      <c r="N422" s="696"/>
      <c r="O422" s="696"/>
      <c r="P422" s="696"/>
      <c r="Q422" s="696"/>
      <c r="R422" s="696"/>
      <c r="S422" s="696"/>
      <c r="T422" s="696"/>
      <c r="U422" s="696"/>
      <c r="V422" s="696"/>
      <c r="W422" s="696"/>
      <c r="X422" s="696"/>
      <c r="Y422" s="699"/>
      <c r="Z422" s="381"/>
      <c r="AA422" s="382"/>
      <c r="AB422" s="382"/>
      <c r="AC422" s="382"/>
      <c r="AD422" s="382"/>
      <c r="AE422" s="382"/>
      <c r="AF422" s="382"/>
      <c r="AG422" s="382"/>
      <c r="AH422" s="382"/>
      <c r="AI422" s="382"/>
      <c r="AJ422" s="383"/>
      <c r="AK422" s="171"/>
      <c r="AL422" s="171"/>
      <c r="AM422" s="19"/>
      <c r="AN422" s="19"/>
      <c r="AO422" s="19"/>
      <c r="AP422" s="19"/>
      <c r="AQ422" s="19"/>
      <c r="AR422" s="19"/>
      <c r="AS422" s="19"/>
      <c r="AT422" s="5"/>
      <c r="AU422" s="5"/>
      <c r="AV422" s="5"/>
      <c r="AW422" s="5"/>
      <c r="AX422" s="5"/>
      <c r="AY422" s="5"/>
      <c r="AZ422" s="5"/>
      <c r="BA422" s="5"/>
      <c r="BB422" s="5"/>
      <c r="BC422" s="5"/>
    </row>
    <row r="423" spans="1:55" x14ac:dyDescent="0.25">
      <c r="A423" s="713"/>
      <c r="B423" s="696"/>
      <c r="C423" s="722" t="s">
        <v>396</v>
      </c>
      <c r="D423" s="389" t="s">
        <v>348</v>
      </c>
      <c r="E423" s="387">
        <v>7790.2999999999993</v>
      </c>
      <c r="F423" s="387">
        <v>7790.2999999999993</v>
      </c>
      <c r="G423" s="387">
        <f>K423</f>
        <v>47595.099999999991</v>
      </c>
      <c r="H423" s="387">
        <f>G423</f>
        <v>47595.099999999991</v>
      </c>
      <c r="I423" s="460"/>
      <c r="J423" s="387">
        <v>7790.2999999999993</v>
      </c>
      <c r="K423" s="460">
        <v>47595.099999999991</v>
      </c>
      <c r="L423" s="460">
        <v>148004.5</v>
      </c>
      <c r="M423" s="460"/>
      <c r="N423" s="718" t="s">
        <v>396</v>
      </c>
      <c r="O423" s="718" t="s">
        <v>350</v>
      </c>
      <c r="P423" s="718" t="s">
        <v>351</v>
      </c>
      <c r="Q423" s="718" t="s">
        <v>352</v>
      </c>
      <c r="R423" s="718" t="s">
        <v>353</v>
      </c>
      <c r="S423" s="718">
        <v>171622</v>
      </c>
      <c r="T423" s="718">
        <v>179322</v>
      </c>
      <c r="U423" s="718" t="s">
        <v>494</v>
      </c>
      <c r="V423" s="718" t="s">
        <v>355</v>
      </c>
      <c r="W423" s="718" t="s">
        <v>356</v>
      </c>
      <c r="X423" s="718" t="s">
        <v>357</v>
      </c>
      <c r="Y423" s="717">
        <v>350944</v>
      </c>
      <c r="Z423" s="381"/>
      <c r="AA423" s="382"/>
      <c r="AB423" s="382"/>
      <c r="AC423" s="382"/>
      <c r="AD423" s="382"/>
      <c r="AE423" s="382"/>
      <c r="AF423" s="382"/>
      <c r="AG423" s="382"/>
      <c r="AH423" s="382"/>
      <c r="AI423" s="382"/>
      <c r="AJ423" s="383"/>
      <c r="AK423" s="171"/>
      <c r="AL423" s="171"/>
      <c r="AM423" s="19"/>
      <c r="AN423" s="19"/>
      <c r="AO423" s="19"/>
      <c r="AP423" s="19"/>
      <c r="AQ423" s="19"/>
      <c r="AR423" s="19"/>
      <c r="AS423" s="19"/>
      <c r="AT423" s="5"/>
      <c r="AU423" s="5"/>
      <c r="AV423" s="5"/>
      <c r="AW423" s="5"/>
      <c r="AX423" s="5"/>
      <c r="AY423" s="5"/>
      <c r="AZ423" s="5"/>
      <c r="BA423" s="5"/>
      <c r="BB423" s="5"/>
      <c r="BC423" s="5"/>
    </row>
    <row r="424" spans="1:55" x14ac:dyDescent="0.25">
      <c r="A424" s="713"/>
      <c r="B424" s="696"/>
      <c r="C424" s="696"/>
      <c r="D424" s="384" t="s">
        <v>360</v>
      </c>
      <c r="E424" s="388">
        <v>795459.85401232191</v>
      </c>
      <c r="F424" s="388">
        <v>795459.85401232191</v>
      </c>
      <c r="G424" s="388">
        <f>(G423*$G$352)/$G$351</f>
        <v>4894700.4349401901</v>
      </c>
      <c r="H424" s="388">
        <f>(H423*$H$352)/$H$351</f>
        <v>3904599.7348404885</v>
      </c>
      <c r="I424" s="460"/>
      <c r="J424" s="388">
        <f>(J423*$J$352)/$J$351</f>
        <v>3112644.6712423945</v>
      </c>
      <c r="K424" s="388">
        <f>(K423*$K$352)/$K$351</f>
        <v>8044893.3684708476</v>
      </c>
      <c r="L424" s="388">
        <v>8044893.3684708476</v>
      </c>
      <c r="M424" s="460"/>
      <c r="N424" s="696"/>
      <c r="O424" s="696"/>
      <c r="P424" s="696"/>
      <c r="Q424" s="696"/>
      <c r="R424" s="696"/>
      <c r="S424" s="696"/>
      <c r="T424" s="696"/>
      <c r="U424" s="696"/>
      <c r="V424" s="696"/>
      <c r="W424" s="696"/>
      <c r="X424" s="696"/>
      <c r="Y424" s="699"/>
      <c r="Z424" s="381"/>
      <c r="AA424" s="382"/>
      <c r="AB424" s="382"/>
      <c r="AC424" s="382"/>
      <c r="AD424" s="382"/>
      <c r="AE424" s="382"/>
      <c r="AF424" s="382"/>
      <c r="AG424" s="382"/>
      <c r="AH424" s="382"/>
      <c r="AI424" s="382"/>
      <c r="AJ424" s="383"/>
      <c r="AK424" s="171"/>
      <c r="AL424" s="171"/>
      <c r="AM424" s="19"/>
      <c r="AN424" s="19"/>
      <c r="AO424" s="19"/>
      <c r="AP424" s="19"/>
      <c r="AQ424" s="19"/>
      <c r="AR424" s="19"/>
      <c r="AS424" s="19"/>
      <c r="AT424" s="5"/>
      <c r="AU424" s="5"/>
      <c r="AV424" s="5"/>
      <c r="AW424" s="5"/>
      <c r="AX424" s="5"/>
      <c r="AY424" s="5"/>
      <c r="AZ424" s="5"/>
      <c r="BA424" s="5"/>
      <c r="BB424" s="5"/>
      <c r="BC424" s="5"/>
    </row>
    <row r="425" spans="1:55" x14ac:dyDescent="0.25">
      <c r="A425" s="713"/>
      <c r="B425" s="696"/>
      <c r="C425" s="696"/>
      <c r="D425" s="384" t="s">
        <v>365</v>
      </c>
      <c r="E425" s="387">
        <v>0</v>
      </c>
      <c r="F425" s="387">
        <v>0</v>
      </c>
      <c r="G425" s="387">
        <v>0</v>
      </c>
      <c r="H425" s="387">
        <v>0</v>
      </c>
      <c r="I425" s="460"/>
      <c r="J425" s="387">
        <v>0</v>
      </c>
      <c r="K425" s="387">
        <v>0</v>
      </c>
      <c r="L425" s="387">
        <v>0</v>
      </c>
      <c r="M425" s="460"/>
      <c r="N425" s="696"/>
      <c r="O425" s="696"/>
      <c r="P425" s="696"/>
      <c r="Q425" s="696"/>
      <c r="R425" s="696"/>
      <c r="S425" s="696"/>
      <c r="T425" s="696"/>
      <c r="U425" s="696"/>
      <c r="V425" s="696"/>
      <c r="W425" s="696"/>
      <c r="X425" s="696"/>
      <c r="Y425" s="699"/>
      <c r="Z425" s="381"/>
      <c r="AA425" s="382"/>
      <c r="AB425" s="382"/>
      <c r="AC425" s="382"/>
      <c r="AD425" s="382"/>
      <c r="AE425" s="382"/>
      <c r="AF425" s="382"/>
      <c r="AG425" s="382"/>
      <c r="AH425" s="382"/>
      <c r="AI425" s="382"/>
      <c r="AJ425" s="383"/>
      <c r="AK425" s="171"/>
      <c r="AL425" s="171"/>
      <c r="AM425" s="19"/>
      <c r="AN425" s="19"/>
      <c r="AO425" s="19"/>
      <c r="AP425" s="19"/>
      <c r="AQ425" s="19"/>
      <c r="AR425" s="19"/>
      <c r="AS425" s="19"/>
      <c r="AT425" s="5"/>
      <c r="AU425" s="5"/>
      <c r="AV425" s="5"/>
      <c r="AW425" s="5"/>
      <c r="AX425" s="5"/>
      <c r="AY425" s="5"/>
      <c r="AZ425" s="5"/>
      <c r="BA425" s="5"/>
      <c r="BB425" s="5"/>
      <c r="BC425" s="5"/>
    </row>
    <row r="426" spans="1:55" ht="22.5" x14ac:dyDescent="0.25">
      <c r="A426" s="713"/>
      <c r="B426" s="696"/>
      <c r="C426" s="696"/>
      <c r="D426" s="386" t="s">
        <v>370</v>
      </c>
      <c r="E426" s="388">
        <v>0</v>
      </c>
      <c r="F426" s="388">
        <v>0</v>
      </c>
      <c r="G426" s="388">
        <v>0</v>
      </c>
      <c r="H426" s="388">
        <v>0</v>
      </c>
      <c r="I426" s="390"/>
      <c r="J426" s="388">
        <v>0</v>
      </c>
      <c r="K426" s="388">
        <v>0</v>
      </c>
      <c r="L426" s="388">
        <v>0</v>
      </c>
      <c r="M426" s="390"/>
      <c r="N426" s="696"/>
      <c r="O426" s="696"/>
      <c r="P426" s="696"/>
      <c r="Q426" s="696"/>
      <c r="R426" s="696"/>
      <c r="S426" s="696"/>
      <c r="T426" s="696"/>
      <c r="U426" s="696"/>
      <c r="V426" s="696"/>
      <c r="W426" s="696"/>
      <c r="X426" s="696"/>
      <c r="Y426" s="699"/>
      <c r="Z426" s="381"/>
      <c r="AA426" s="382"/>
      <c r="AB426" s="382"/>
      <c r="AC426" s="382"/>
      <c r="AD426" s="382"/>
      <c r="AE426" s="382"/>
      <c r="AF426" s="382"/>
      <c r="AG426" s="382"/>
      <c r="AH426" s="382"/>
      <c r="AI426" s="382"/>
      <c r="AJ426" s="383"/>
      <c r="AK426" s="171"/>
      <c r="AL426" s="171"/>
      <c r="AM426" s="19"/>
      <c r="AN426" s="19"/>
      <c r="AO426" s="19"/>
      <c r="AP426" s="19"/>
      <c r="AQ426" s="19"/>
      <c r="AR426" s="19"/>
      <c r="AS426" s="19"/>
      <c r="AT426" s="5"/>
      <c r="AU426" s="5"/>
      <c r="AV426" s="5"/>
      <c r="AW426" s="5"/>
      <c r="AX426" s="5"/>
      <c r="AY426" s="5"/>
      <c r="AZ426" s="5"/>
      <c r="BA426" s="5"/>
      <c r="BB426" s="5"/>
      <c r="BC426" s="5"/>
    </row>
    <row r="427" spans="1:55" x14ac:dyDescent="0.25">
      <c r="A427" s="713"/>
      <c r="B427" s="696"/>
      <c r="C427" s="722" t="s">
        <v>523</v>
      </c>
      <c r="D427" s="389" t="s">
        <v>348</v>
      </c>
      <c r="E427" s="387">
        <v>51504.977999999988</v>
      </c>
      <c r="F427" s="387">
        <v>51504.977999999988</v>
      </c>
      <c r="G427" s="387">
        <f>K427</f>
        <v>174882.97414000001</v>
      </c>
      <c r="H427" s="387">
        <f>G427</f>
        <v>174882.97414000001</v>
      </c>
      <c r="I427" s="460"/>
      <c r="J427" s="387">
        <v>51504.977999999988</v>
      </c>
      <c r="K427" s="460">
        <f>138237.97414+36645</f>
        <v>174882.97414000001</v>
      </c>
      <c r="L427" s="460">
        <v>737938.89</v>
      </c>
      <c r="M427" s="460"/>
      <c r="N427" s="718" t="s">
        <v>384</v>
      </c>
      <c r="O427" s="718" t="s">
        <v>350</v>
      </c>
      <c r="P427" s="718" t="s">
        <v>351</v>
      </c>
      <c r="Q427" s="718" t="s">
        <v>352</v>
      </c>
      <c r="R427" s="718" t="s">
        <v>353</v>
      </c>
      <c r="S427" s="718">
        <v>358148</v>
      </c>
      <c r="T427" s="718">
        <v>375711</v>
      </c>
      <c r="U427" s="718" t="s">
        <v>494</v>
      </c>
      <c r="V427" s="718" t="s">
        <v>355</v>
      </c>
      <c r="W427" s="718" t="s">
        <v>356</v>
      </c>
      <c r="X427" s="718" t="s">
        <v>357</v>
      </c>
      <c r="Y427" s="717">
        <v>733859</v>
      </c>
      <c r="Z427" s="381"/>
      <c r="AA427" s="382"/>
      <c r="AB427" s="382"/>
      <c r="AC427" s="382"/>
      <c r="AD427" s="382"/>
      <c r="AE427" s="382"/>
      <c r="AF427" s="382"/>
      <c r="AG427" s="382"/>
      <c r="AH427" s="382"/>
      <c r="AI427" s="382"/>
      <c r="AJ427" s="383"/>
      <c r="AK427" s="171"/>
      <c r="AL427" s="171"/>
      <c r="AM427" s="19"/>
      <c r="AN427" s="19"/>
      <c r="AO427" s="19"/>
      <c r="AP427" s="19"/>
      <c r="AQ427" s="19"/>
      <c r="AR427" s="19"/>
      <c r="AS427" s="19"/>
      <c r="AT427" s="5"/>
      <c r="AU427" s="5"/>
      <c r="AV427" s="5"/>
      <c r="AW427" s="5"/>
      <c r="AX427" s="5"/>
      <c r="AY427" s="5"/>
      <c r="AZ427" s="5"/>
      <c r="BA427" s="5"/>
      <c r="BB427" s="5"/>
      <c r="BC427" s="5"/>
    </row>
    <row r="428" spans="1:55" x14ac:dyDescent="0.25">
      <c r="A428" s="713"/>
      <c r="B428" s="696"/>
      <c r="C428" s="696"/>
      <c r="D428" s="384" t="s">
        <v>360</v>
      </c>
      <c r="E428" s="388">
        <v>5259122.5345349787</v>
      </c>
      <c r="F428" s="388">
        <v>5259122.5345349787</v>
      </c>
      <c r="G428" s="388">
        <f>(G427*$G$352)/$G$351</f>
        <v>17985039.837854993</v>
      </c>
      <c r="H428" s="388">
        <f>(H427*$H$352)/$H$351</f>
        <v>14347023.421637103</v>
      </c>
      <c r="I428" s="460"/>
      <c r="J428" s="388">
        <f>(J427*$J$352)/$J$351</f>
        <v>20579014.327324588</v>
      </c>
      <c r="K428" s="388">
        <f>(K427*$K$352)/$K$351</f>
        <v>29560078.220601387</v>
      </c>
      <c r="L428" s="388">
        <v>29560078.220601387</v>
      </c>
      <c r="M428" s="460"/>
      <c r="N428" s="696"/>
      <c r="O428" s="696"/>
      <c r="P428" s="696"/>
      <c r="Q428" s="696"/>
      <c r="R428" s="696"/>
      <c r="S428" s="696"/>
      <c r="T428" s="696"/>
      <c r="U428" s="696"/>
      <c r="V428" s="696"/>
      <c r="W428" s="696"/>
      <c r="X428" s="696"/>
      <c r="Y428" s="699"/>
      <c r="Z428" s="381"/>
      <c r="AA428" s="382"/>
      <c r="AB428" s="382"/>
      <c r="AC428" s="382"/>
      <c r="AD428" s="382"/>
      <c r="AE428" s="382"/>
      <c r="AF428" s="382"/>
      <c r="AG428" s="382"/>
      <c r="AH428" s="382"/>
      <c r="AI428" s="382"/>
      <c r="AJ428" s="383"/>
      <c r="AK428" s="171"/>
      <c r="AL428" s="171"/>
      <c r="AM428" s="19"/>
      <c r="AN428" s="19"/>
      <c r="AO428" s="19"/>
      <c r="AP428" s="19"/>
      <c r="AQ428" s="19"/>
      <c r="AR428" s="19"/>
      <c r="AS428" s="19"/>
      <c r="AT428" s="5"/>
      <c r="AU428" s="5"/>
      <c r="AV428" s="5"/>
      <c r="AW428" s="5"/>
      <c r="AX428" s="5"/>
      <c r="AY428" s="5"/>
      <c r="AZ428" s="5"/>
      <c r="BA428" s="5"/>
      <c r="BB428" s="5"/>
      <c r="BC428" s="5"/>
    </row>
    <row r="429" spans="1:55" x14ac:dyDescent="0.25">
      <c r="A429" s="713"/>
      <c r="B429" s="696"/>
      <c r="C429" s="696"/>
      <c r="D429" s="384" t="s">
        <v>365</v>
      </c>
      <c r="E429" s="387">
        <v>0</v>
      </c>
      <c r="F429" s="387">
        <v>0</v>
      </c>
      <c r="G429" s="387">
        <v>0</v>
      </c>
      <c r="H429" s="387">
        <v>0</v>
      </c>
      <c r="I429" s="460"/>
      <c r="J429" s="387">
        <v>0</v>
      </c>
      <c r="K429" s="387">
        <v>0</v>
      </c>
      <c r="L429" s="387">
        <v>0</v>
      </c>
      <c r="M429" s="460"/>
      <c r="N429" s="696"/>
      <c r="O429" s="696"/>
      <c r="P429" s="696"/>
      <c r="Q429" s="696"/>
      <c r="R429" s="696"/>
      <c r="S429" s="696"/>
      <c r="T429" s="696"/>
      <c r="U429" s="696"/>
      <c r="V429" s="696"/>
      <c r="W429" s="696"/>
      <c r="X429" s="696"/>
      <c r="Y429" s="699"/>
      <c r="Z429" s="381"/>
      <c r="AA429" s="382"/>
      <c r="AB429" s="382"/>
      <c r="AC429" s="382"/>
      <c r="AD429" s="382"/>
      <c r="AE429" s="382"/>
      <c r="AF429" s="382"/>
      <c r="AG429" s="382"/>
      <c r="AH429" s="382"/>
      <c r="AI429" s="382"/>
      <c r="AJ429" s="383"/>
      <c r="AK429" s="171"/>
      <c r="AL429" s="171"/>
      <c r="AM429" s="19"/>
      <c r="AN429" s="19"/>
      <c r="AO429" s="19"/>
      <c r="AP429" s="19"/>
      <c r="AQ429" s="19"/>
      <c r="AR429" s="19"/>
      <c r="AS429" s="19"/>
      <c r="AT429" s="5"/>
      <c r="AU429" s="5"/>
      <c r="AV429" s="5"/>
      <c r="AW429" s="5"/>
      <c r="AX429" s="5"/>
      <c r="AY429" s="5"/>
      <c r="AZ429" s="5"/>
      <c r="BA429" s="5"/>
      <c r="BB429" s="5"/>
      <c r="BC429" s="5"/>
    </row>
    <row r="430" spans="1:55" ht="22.5" x14ac:dyDescent="0.25">
      <c r="A430" s="713"/>
      <c r="B430" s="696"/>
      <c r="C430" s="696"/>
      <c r="D430" s="386" t="s">
        <v>370</v>
      </c>
      <c r="E430" s="388">
        <v>0</v>
      </c>
      <c r="F430" s="388">
        <v>0</v>
      </c>
      <c r="G430" s="388">
        <v>0</v>
      </c>
      <c r="H430" s="388">
        <v>0</v>
      </c>
      <c r="I430" s="390"/>
      <c r="J430" s="388">
        <v>0</v>
      </c>
      <c r="K430" s="388">
        <v>0</v>
      </c>
      <c r="L430" s="388">
        <v>0</v>
      </c>
      <c r="M430" s="390"/>
      <c r="N430" s="696"/>
      <c r="O430" s="696"/>
      <c r="P430" s="696"/>
      <c r="Q430" s="696"/>
      <c r="R430" s="696"/>
      <c r="S430" s="696"/>
      <c r="T430" s="696"/>
      <c r="U430" s="696"/>
      <c r="V430" s="696"/>
      <c r="W430" s="696"/>
      <c r="X430" s="696"/>
      <c r="Y430" s="699"/>
      <c r="Z430" s="381"/>
      <c r="AA430" s="382"/>
      <c r="AB430" s="382"/>
      <c r="AC430" s="382"/>
      <c r="AD430" s="382"/>
      <c r="AE430" s="382"/>
      <c r="AF430" s="382"/>
      <c r="AG430" s="382"/>
      <c r="AH430" s="382"/>
      <c r="AI430" s="382"/>
      <c r="AJ430" s="383"/>
      <c r="AK430" s="171"/>
      <c r="AL430" s="171"/>
      <c r="AM430" s="19"/>
      <c r="AN430" s="19"/>
      <c r="AO430" s="19"/>
      <c r="AP430" s="19"/>
      <c r="AQ430" s="19"/>
      <c r="AR430" s="19"/>
      <c r="AS430" s="19"/>
      <c r="AT430" s="5"/>
      <c r="AU430" s="5"/>
      <c r="AV430" s="5"/>
      <c r="AW430" s="5"/>
      <c r="AX430" s="5"/>
      <c r="AY430" s="5"/>
      <c r="AZ430" s="5"/>
      <c r="BA430" s="5"/>
      <c r="BB430" s="5"/>
      <c r="BC430" s="5"/>
    </row>
    <row r="431" spans="1:55" x14ac:dyDescent="0.25">
      <c r="A431" s="713"/>
      <c r="B431" s="696"/>
      <c r="C431" s="722" t="s">
        <v>524</v>
      </c>
      <c r="D431" s="389" t="s">
        <v>348</v>
      </c>
      <c r="E431" s="387">
        <v>6387125.7962400001</v>
      </c>
      <c r="F431" s="387">
        <v>6387125.7962400001</v>
      </c>
      <c r="G431" s="387">
        <f>K431+(G351-K351)</f>
        <v>3650905.0148</v>
      </c>
      <c r="H431" s="387">
        <f>G431</f>
        <v>3650905.0148</v>
      </c>
      <c r="I431" s="387">
        <f>M431+(I351-M351)</f>
        <v>0</v>
      </c>
      <c r="J431" s="387">
        <f>244983.566-0.17</f>
        <v>244983.39599999998</v>
      </c>
      <c r="K431" s="440">
        <f>204063.0148+140328</f>
        <v>344391.0148</v>
      </c>
      <c r="L431" s="440">
        <f>651387.68+0.49</f>
        <v>651388.17000000004</v>
      </c>
      <c r="M431" s="390"/>
      <c r="N431" s="718" t="s">
        <v>493</v>
      </c>
      <c r="O431" s="718" t="s">
        <v>350</v>
      </c>
      <c r="P431" s="718" t="s">
        <v>351</v>
      </c>
      <c r="Q431" s="718" t="s">
        <v>352</v>
      </c>
      <c r="R431" s="718" t="s">
        <v>353</v>
      </c>
      <c r="S431" s="718">
        <v>3912913</v>
      </c>
      <c r="T431" s="718">
        <v>4167821</v>
      </c>
      <c r="U431" s="718" t="s">
        <v>494</v>
      </c>
      <c r="V431" s="718" t="s">
        <v>355</v>
      </c>
      <c r="W431" s="718" t="s">
        <v>356</v>
      </c>
      <c r="X431" s="718" t="s">
        <v>357</v>
      </c>
      <c r="Y431" s="717">
        <v>8080734</v>
      </c>
      <c r="Z431" s="394"/>
      <c r="AA431" s="395"/>
      <c r="AB431" s="395"/>
      <c r="AC431" s="395"/>
      <c r="AD431" s="395"/>
      <c r="AE431" s="395"/>
      <c r="AF431" s="395"/>
      <c r="AG431" s="395"/>
      <c r="AH431" s="395"/>
      <c r="AI431" s="395"/>
      <c r="AJ431" s="396"/>
      <c r="AK431" s="397"/>
      <c r="AL431" s="397"/>
      <c r="AM431" s="398"/>
      <c r="AN431" s="398"/>
      <c r="AO431" s="398"/>
      <c r="AP431" s="398"/>
      <c r="AQ431" s="398"/>
      <c r="AR431" s="398"/>
      <c r="AS431" s="398"/>
      <c r="AT431" s="5"/>
      <c r="AU431" s="5"/>
      <c r="AV431" s="5"/>
      <c r="AW431" s="5"/>
      <c r="AX431" s="5"/>
      <c r="AY431" s="5"/>
      <c r="AZ431" s="5"/>
      <c r="BA431" s="5"/>
      <c r="BB431" s="5"/>
      <c r="BC431" s="5"/>
    </row>
    <row r="432" spans="1:55" x14ac:dyDescent="0.25">
      <c r="A432" s="713"/>
      <c r="B432" s="696"/>
      <c r="C432" s="696"/>
      <c r="D432" s="384" t="s">
        <v>360</v>
      </c>
      <c r="E432" s="388">
        <v>652183119.19122577</v>
      </c>
      <c r="F432" s="388">
        <v>652183119.19122577</v>
      </c>
      <c r="G432" s="388">
        <f>(G431*$G$352)/$G$351</f>
        <v>375460632.79343641</v>
      </c>
      <c r="H432" s="388">
        <f>(H431*$H$352)/$H$351</f>
        <v>299512402.59429842</v>
      </c>
      <c r="I432" s="390"/>
      <c r="J432" s="388">
        <f>(J431*$J$352)/$J$351</f>
        <v>97884068.919331148</v>
      </c>
      <c r="K432" s="388">
        <f>(K431*$K$352)/$K$351</f>
        <v>58211643.449125357</v>
      </c>
      <c r="L432" s="388">
        <v>58211643.449125357</v>
      </c>
      <c r="M432" s="443"/>
      <c r="N432" s="696"/>
      <c r="O432" s="696"/>
      <c r="P432" s="696"/>
      <c r="Q432" s="696"/>
      <c r="R432" s="696"/>
      <c r="S432" s="696"/>
      <c r="T432" s="696"/>
      <c r="U432" s="696"/>
      <c r="V432" s="696"/>
      <c r="W432" s="696"/>
      <c r="X432" s="696"/>
      <c r="Y432" s="699"/>
      <c r="Z432" s="394"/>
      <c r="AA432" s="395"/>
      <c r="AB432" s="395"/>
      <c r="AC432" s="395"/>
      <c r="AD432" s="395"/>
      <c r="AE432" s="395"/>
      <c r="AF432" s="395"/>
      <c r="AG432" s="395"/>
      <c r="AH432" s="395"/>
      <c r="AI432" s="395"/>
      <c r="AJ432" s="396"/>
      <c r="AK432" s="397"/>
      <c r="AL432" s="397"/>
      <c r="AM432" s="398"/>
      <c r="AN432" s="398"/>
      <c r="AO432" s="398"/>
      <c r="AP432" s="398"/>
      <c r="AQ432" s="398"/>
      <c r="AR432" s="398"/>
      <c r="AS432" s="398"/>
      <c r="AT432" s="5"/>
      <c r="AU432" s="5"/>
      <c r="AV432" s="5"/>
      <c r="AW432" s="5"/>
      <c r="AX432" s="5"/>
      <c r="AY432" s="5"/>
      <c r="AZ432" s="5"/>
      <c r="BA432" s="5"/>
      <c r="BB432" s="5"/>
      <c r="BC432" s="5"/>
    </row>
    <row r="433" spans="1:55" x14ac:dyDescent="0.25">
      <c r="A433" s="713"/>
      <c r="B433" s="696"/>
      <c r="C433" s="696"/>
      <c r="D433" s="384" t="s">
        <v>365</v>
      </c>
      <c r="E433" s="387">
        <v>0</v>
      </c>
      <c r="F433" s="387">
        <v>0</v>
      </c>
      <c r="G433" s="387">
        <v>0</v>
      </c>
      <c r="H433" s="387">
        <v>0</v>
      </c>
      <c r="I433" s="390"/>
      <c r="J433" s="387">
        <v>0</v>
      </c>
      <c r="K433" s="387">
        <v>0</v>
      </c>
      <c r="L433" s="387">
        <v>0</v>
      </c>
      <c r="M433" s="386"/>
      <c r="N433" s="696"/>
      <c r="O433" s="696"/>
      <c r="P433" s="696"/>
      <c r="Q433" s="696"/>
      <c r="R433" s="696"/>
      <c r="S433" s="696"/>
      <c r="T433" s="696"/>
      <c r="U433" s="696"/>
      <c r="V433" s="696"/>
      <c r="W433" s="696"/>
      <c r="X433" s="696"/>
      <c r="Y433" s="699"/>
      <c r="Z433" s="394"/>
      <c r="AA433" s="395"/>
      <c r="AB433" s="395"/>
      <c r="AC433" s="395"/>
      <c r="AD433" s="395"/>
      <c r="AE433" s="395"/>
      <c r="AF433" s="395"/>
      <c r="AG433" s="395"/>
      <c r="AH433" s="395"/>
      <c r="AI433" s="395"/>
      <c r="AJ433" s="396"/>
      <c r="AK433" s="397"/>
      <c r="AL433" s="397"/>
      <c r="AM433" s="398"/>
      <c r="AN433" s="398"/>
      <c r="AO433" s="398"/>
      <c r="AP433" s="398"/>
      <c r="AQ433" s="398"/>
      <c r="AR433" s="398"/>
      <c r="AS433" s="398"/>
      <c r="AT433" s="5"/>
      <c r="AU433" s="5"/>
      <c r="AV433" s="5"/>
      <c r="AW433" s="5"/>
      <c r="AX433" s="5"/>
      <c r="AY433" s="5"/>
      <c r="AZ433" s="5"/>
      <c r="BA433" s="5"/>
      <c r="BB433" s="5"/>
      <c r="BC433" s="5"/>
    </row>
    <row r="434" spans="1:55" ht="22.5" x14ac:dyDescent="0.25">
      <c r="A434" s="713"/>
      <c r="B434" s="696"/>
      <c r="C434" s="696"/>
      <c r="D434" s="384" t="s">
        <v>370</v>
      </c>
      <c r="E434" s="388">
        <v>0</v>
      </c>
      <c r="F434" s="388">
        <v>0</v>
      </c>
      <c r="G434" s="388">
        <v>0</v>
      </c>
      <c r="H434" s="388">
        <v>0</v>
      </c>
      <c r="I434" s="390"/>
      <c r="J434" s="388">
        <v>0</v>
      </c>
      <c r="K434" s="388">
        <v>0</v>
      </c>
      <c r="L434" s="388">
        <v>0</v>
      </c>
      <c r="M434" s="390"/>
      <c r="N434" s="696"/>
      <c r="O434" s="696"/>
      <c r="P434" s="696"/>
      <c r="Q434" s="696"/>
      <c r="R434" s="696"/>
      <c r="S434" s="696"/>
      <c r="T434" s="696"/>
      <c r="U434" s="696"/>
      <c r="V434" s="696"/>
      <c r="W434" s="696"/>
      <c r="X434" s="696"/>
      <c r="Y434" s="699"/>
      <c r="Z434" s="394"/>
      <c r="AA434" s="395"/>
      <c r="AB434" s="395"/>
      <c r="AC434" s="395"/>
      <c r="AD434" s="395"/>
      <c r="AE434" s="395"/>
      <c r="AF434" s="395"/>
      <c r="AG434" s="395"/>
      <c r="AH434" s="395"/>
      <c r="AI434" s="395"/>
      <c r="AJ434" s="396"/>
      <c r="AK434" s="397"/>
      <c r="AL434" s="397"/>
      <c r="AM434" s="398"/>
      <c r="AN434" s="398"/>
      <c r="AO434" s="398"/>
      <c r="AP434" s="398"/>
      <c r="AQ434" s="398"/>
      <c r="AR434" s="398"/>
      <c r="AS434" s="398"/>
      <c r="AT434" s="5"/>
      <c r="AU434" s="5"/>
      <c r="AV434" s="5"/>
      <c r="AW434" s="5"/>
      <c r="AX434" s="5"/>
      <c r="AY434" s="5"/>
      <c r="AZ434" s="5"/>
      <c r="BA434" s="5"/>
      <c r="BB434" s="5"/>
      <c r="BC434" s="5"/>
    </row>
    <row r="435" spans="1:55" x14ac:dyDescent="0.25">
      <c r="A435" s="713"/>
      <c r="B435" s="696"/>
      <c r="C435" s="722" t="s">
        <v>496</v>
      </c>
      <c r="D435" s="391" t="s">
        <v>348</v>
      </c>
      <c r="E435" s="445">
        <f t="shared" ref="E435:H436" si="40">E355+E359+E363+E367+E371+E375+E379+E383+E387+E391+E395+E399+E403+E407+E411+E415+E419+E423+E427+E431</f>
        <v>7887278</v>
      </c>
      <c r="F435" s="445">
        <f t="shared" si="40"/>
        <v>7887278</v>
      </c>
      <c r="G435" s="445">
        <f t="shared" si="40"/>
        <v>7887277.9999719998</v>
      </c>
      <c r="H435" s="445">
        <f t="shared" si="40"/>
        <v>7887277.9999719998</v>
      </c>
      <c r="I435" s="446">
        <v>9887278</v>
      </c>
      <c r="J435" s="445">
        <f t="shared" ref="J435:L436" si="41">J355+J359+J363+J367+J371+J375+J379+J383+J387+J391+J395+J399+J403+J407+J411+J415+J419+J423+J427+J431</f>
        <v>1745135.5997599997</v>
      </c>
      <c r="K435" s="445">
        <f t="shared" si="41"/>
        <v>4580763.9999719998</v>
      </c>
      <c r="L435" s="445">
        <f t="shared" si="41"/>
        <v>9170121.9599999972</v>
      </c>
      <c r="M435" s="390"/>
      <c r="N435" s="718"/>
      <c r="O435" s="696"/>
      <c r="P435" s="696"/>
      <c r="Q435" s="696"/>
      <c r="R435" s="696"/>
      <c r="S435" s="696"/>
      <c r="T435" s="696"/>
      <c r="U435" s="696"/>
      <c r="V435" s="696"/>
      <c r="W435" s="696"/>
      <c r="X435" s="696"/>
      <c r="Y435" s="699"/>
      <c r="Z435" s="394"/>
      <c r="AA435" s="395"/>
      <c r="AB435" s="395"/>
      <c r="AC435" s="395"/>
      <c r="AD435" s="395"/>
      <c r="AE435" s="395"/>
      <c r="AF435" s="395"/>
      <c r="AG435" s="395"/>
      <c r="AH435" s="395"/>
      <c r="AI435" s="395"/>
      <c r="AJ435" s="396"/>
      <c r="AK435" s="397"/>
      <c r="AL435" s="397"/>
      <c r="AM435" s="398"/>
      <c r="AN435" s="398"/>
      <c r="AO435" s="398"/>
      <c r="AP435" s="398"/>
      <c r="AQ435" s="398"/>
      <c r="AR435" s="398"/>
      <c r="AS435" s="398"/>
      <c r="AT435" s="5"/>
      <c r="AU435" s="5"/>
      <c r="AV435" s="5"/>
      <c r="AW435" s="5"/>
      <c r="AX435" s="5"/>
      <c r="AY435" s="5"/>
      <c r="AZ435" s="5"/>
      <c r="BA435" s="5"/>
      <c r="BB435" s="5"/>
      <c r="BC435" s="5"/>
    </row>
    <row r="436" spans="1:55" x14ac:dyDescent="0.25">
      <c r="A436" s="713"/>
      <c r="B436" s="696"/>
      <c r="C436" s="696"/>
      <c r="D436" s="399" t="s">
        <v>360</v>
      </c>
      <c r="E436" s="447">
        <f t="shared" si="40"/>
        <v>805362181.99999988</v>
      </c>
      <c r="F436" s="447">
        <f t="shared" si="40"/>
        <v>805362181.99999988</v>
      </c>
      <c r="G436" s="447">
        <f t="shared" si="40"/>
        <v>811131041.99712062</v>
      </c>
      <c r="H436" s="447">
        <f t="shared" si="40"/>
        <v>656994176.40961576</v>
      </c>
      <c r="I436" s="430">
        <v>811131042</v>
      </c>
      <c r="J436" s="461">
        <f t="shared" si="41"/>
        <v>697275717.90410709</v>
      </c>
      <c r="K436" s="447">
        <f t="shared" si="41"/>
        <v>774276299.99526739</v>
      </c>
      <c r="L436" s="447">
        <f t="shared" si="41"/>
        <v>774276299.99526739</v>
      </c>
      <c r="M436" s="443"/>
      <c r="N436" s="696"/>
      <c r="O436" s="719"/>
      <c r="P436" s="719"/>
      <c r="Q436" s="719"/>
      <c r="R436" s="719"/>
      <c r="S436" s="719"/>
      <c r="T436" s="719"/>
      <c r="U436" s="719"/>
      <c r="V436" s="719"/>
      <c r="W436" s="719"/>
      <c r="X436" s="719"/>
      <c r="Y436" s="699"/>
      <c r="Z436" s="394"/>
      <c r="AA436" s="395"/>
      <c r="AB436" s="395"/>
      <c r="AC436" s="395"/>
      <c r="AD436" s="395"/>
      <c r="AE436" s="395"/>
      <c r="AF436" s="395"/>
      <c r="AG436" s="395"/>
      <c r="AH436" s="395"/>
      <c r="AI436" s="395"/>
      <c r="AJ436" s="396"/>
      <c r="AK436" s="397"/>
      <c r="AL436" s="397"/>
      <c r="AM436" s="398"/>
      <c r="AN436" s="398"/>
      <c r="AO436" s="398"/>
      <c r="AP436" s="398"/>
      <c r="AQ436" s="398"/>
      <c r="AR436" s="398"/>
      <c r="AS436" s="398"/>
      <c r="AT436" s="5"/>
      <c r="AU436" s="5"/>
      <c r="AV436" s="5"/>
      <c r="AW436" s="5"/>
      <c r="AX436" s="5"/>
      <c r="AY436" s="5"/>
      <c r="AZ436" s="5"/>
      <c r="BA436" s="5"/>
      <c r="BB436" s="5"/>
      <c r="BC436" s="5"/>
    </row>
    <row r="437" spans="1:55" ht="22.5" x14ac:dyDescent="0.25">
      <c r="A437" s="713"/>
      <c r="B437" s="696"/>
      <c r="C437" s="696"/>
      <c r="D437" s="399" t="s">
        <v>365</v>
      </c>
      <c r="E437" s="445">
        <f t="shared" ref="E437:H438" si="42">E353</f>
        <v>0</v>
      </c>
      <c r="F437" s="445">
        <f t="shared" si="42"/>
        <v>0</v>
      </c>
      <c r="G437" s="445">
        <f t="shared" si="42"/>
        <v>0</v>
      </c>
      <c r="H437" s="445">
        <f t="shared" si="42"/>
        <v>0</v>
      </c>
      <c r="I437" s="430">
        <v>0</v>
      </c>
      <c r="J437" s="445">
        <f t="shared" ref="J437:L438" si="43">J353</f>
        <v>0</v>
      </c>
      <c r="K437" s="445">
        <f t="shared" si="43"/>
        <v>0</v>
      </c>
      <c r="L437" s="445">
        <f t="shared" si="43"/>
        <v>0</v>
      </c>
      <c r="M437" s="386"/>
      <c r="N437" s="696"/>
      <c r="O437" s="719"/>
      <c r="P437" s="719"/>
      <c r="Q437" s="719"/>
      <c r="R437" s="719"/>
      <c r="S437" s="719"/>
      <c r="T437" s="719"/>
      <c r="U437" s="719"/>
      <c r="V437" s="719"/>
      <c r="W437" s="719"/>
      <c r="X437" s="719"/>
      <c r="Y437" s="699"/>
      <c r="Z437" s="394"/>
      <c r="AA437" s="395"/>
      <c r="AB437" s="395"/>
      <c r="AC437" s="395"/>
      <c r="AD437" s="395"/>
      <c r="AE437" s="395"/>
      <c r="AF437" s="395"/>
      <c r="AG437" s="395"/>
      <c r="AH437" s="395"/>
      <c r="AI437" s="395"/>
      <c r="AJ437" s="396"/>
      <c r="AK437" s="397"/>
      <c r="AL437" s="397"/>
      <c r="AM437" s="398"/>
      <c r="AN437" s="398"/>
      <c r="AO437" s="398"/>
      <c r="AP437" s="398"/>
      <c r="AQ437" s="398"/>
      <c r="AR437" s="398"/>
      <c r="AS437" s="398"/>
      <c r="AT437" s="5"/>
      <c r="AU437" s="5"/>
      <c r="AV437" s="5"/>
      <c r="AW437" s="5"/>
      <c r="AX437" s="5"/>
      <c r="AY437" s="5"/>
      <c r="AZ437" s="5"/>
      <c r="BA437" s="5"/>
      <c r="BB437" s="5"/>
      <c r="BC437" s="5"/>
    </row>
    <row r="438" spans="1:55" ht="23.25" thickBot="1" x14ac:dyDescent="0.3">
      <c r="A438" s="714"/>
      <c r="B438" s="697"/>
      <c r="C438" s="697"/>
      <c r="D438" s="462" t="s">
        <v>370</v>
      </c>
      <c r="E438" s="449">
        <f t="shared" si="42"/>
        <v>100922174</v>
      </c>
      <c r="F438" s="449">
        <f t="shared" si="42"/>
        <v>100922174</v>
      </c>
      <c r="G438" s="449">
        <f t="shared" si="42"/>
        <v>100922174</v>
      </c>
      <c r="H438" s="449">
        <f t="shared" si="42"/>
        <v>100922174</v>
      </c>
      <c r="I438" s="433">
        <v>100922174</v>
      </c>
      <c r="J438" s="449">
        <f t="shared" si="43"/>
        <v>75704013</v>
      </c>
      <c r="K438" s="449">
        <f t="shared" si="43"/>
        <v>96600174</v>
      </c>
      <c r="L438" s="449">
        <f t="shared" si="43"/>
        <v>96600174</v>
      </c>
      <c r="M438" s="450"/>
      <c r="N438" s="697"/>
      <c r="O438" s="697"/>
      <c r="P438" s="697"/>
      <c r="Q438" s="697"/>
      <c r="R438" s="697"/>
      <c r="S438" s="697"/>
      <c r="T438" s="697"/>
      <c r="U438" s="697"/>
      <c r="V438" s="697"/>
      <c r="W438" s="697"/>
      <c r="X438" s="697"/>
      <c r="Y438" s="700"/>
      <c r="Z438" s="394"/>
      <c r="AA438" s="395"/>
      <c r="AB438" s="395"/>
      <c r="AC438" s="395"/>
      <c r="AD438" s="395"/>
      <c r="AE438" s="395"/>
      <c r="AF438" s="395"/>
      <c r="AG438" s="395"/>
      <c r="AH438" s="395"/>
      <c r="AI438" s="395"/>
      <c r="AJ438" s="396"/>
      <c r="AK438" s="397"/>
      <c r="AL438" s="397"/>
      <c r="AM438" s="398"/>
      <c r="AN438" s="398"/>
      <c r="AO438" s="398"/>
      <c r="AP438" s="398"/>
      <c r="AQ438" s="398"/>
      <c r="AR438" s="398"/>
      <c r="AS438" s="398"/>
      <c r="AT438" s="5"/>
      <c r="AU438" s="5"/>
      <c r="AV438" s="5"/>
      <c r="AW438" s="5"/>
      <c r="AX438" s="5"/>
      <c r="AY438" s="5"/>
      <c r="AZ438" s="5"/>
      <c r="BA438" s="5"/>
      <c r="BB438" s="5"/>
      <c r="BC438" s="5"/>
    </row>
    <row r="439" spans="1:55" ht="22.5" x14ac:dyDescent="0.25">
      <c r="A439" s="712">
        <v>12</v>
      </c>
      <c r="B439" s="710" t="s">
        <v>210</v>
      </c>
      <c r="C439" s="710" t="s">
        <v>525</v>
      </c>
      <c r="D439" s="405" t="s">
        <v>348</v>
      </c>
      <c r="E439" s="463">
        <v>1</v>
      </c>
      <c r="F439" s="463">
        <v>1</v>
      </c>
      <c r="G439" s="463">
        <v>1</v>
      </c>
      <c r="H439" s="463">
        <f>[1]INVERSIÓN!V75</f>
        <v>1</v>
      </c>
      <c r="I439" s="455"/>
      <c r="J439" s="463">
        <v>1</v>
      </c>
      <c r="K439" s="463">
        <v>1</v>
      </c>
      <c r="L439" s="463">
        <f>[1]INVERSIÓN!AL75</f>
        <v>1</v>
      </c>
      <c r="M439" s="455"/>
      <c r="N439" s="710" t="s">
        <v>349</v>
      </c>
      <c r="O439" s="710" t="s">
        <v>104</v>
      </c>
      <c r="P439" s="710" t="s">
        <v>104</v>
      </c>
      <c r="Q439" s="710" t="s">
        <v>104</v>
      </c>
      <c r="R439" s="716" t="s">
        <v>353</v>
      </c>
      <c r="S439" s="695">
        <v>8185614</v>
      </c>
      <c r="T439" s="711"/>
      <c r="U439" s="695" t="s">
        <v>354</v>
      </c>
      <c r="V439" s="695" t="s">
        <v>355</v>
      </c>
      <c r="W439" s="695" t="s">
        <v>356</v>
      </c>
      <c r="X439" s="695" t="s">
        <v>357</v>
      </c>
      <c r="Y439" s="698">
        <v>8185614</v>
      </c>
      <c r="Z439" s="381"/>
      <c r="AA439" s="382">
        <v>12</v>
      </c>
      <c r="AB439" s="382" t="s">
        <v>358</v>
      </c>
      <c r="AC439" s="382"/>
      <c r="AD439" s="382"/>
      <c r="AE439" s="382"/>
      <c r="AF439" s="382" t="s">
        <v>359</v>
      </c>
      <c r="AG439" s="382"/>
      <c r="AH439" s="382"/>
      <c r="AI439" s="382"/>
      <c r="AJ439" s="383"/>
      <c r="AK439" s="171"/>
      <c r="AL439" s="171"/>
      <c r="AM439" s="19"/>
      <c r="AN439" s="19"/>
      <c r="AO439" s="19"/>
      <c r="AP439" s="19"/>
      <c r="AQ439" s="19"/>
      <c r="AR439" s="19"/>
      <c r="AS439" s="19"/>
      <c r="AT439" s="5"/>
      <c r="AU439" s="5"/>
      <c r="AV439" s="5"/>
      <c r="AW439" s="5"/>
      <c r="AX439" s="5"/>
      <c r="AY439" s="5"/>
      <c r="AZ439" s="5"/>
      <c r="BA439" s="5"/>
      <c r="BB439" s="5"/>
      <c r="BC439" s="5"/>
    </row>
    <row r="440" spans="1:55" ht="45" x14ac:dyDescent="0.25">
      <c r="A440" s="713"/>
      <c r="B440" s="696"/>
      <c r="C440" s="696"/>
      <c r="D440" s="384" t="s">
        <v>360</v>
      </c>
      <c r="E440" s="407">
        <v>106072975</v>
      </c>
      <c r="F440" s="407">
        <v>106072975</v>
      </c>
      <c r="G440" s="407">
        <v>106072975</v>
      </c>
      <c r="H440" s="407">
        <f>[1]INVERSIÓN!V76</f>
        <v>106072975</v>
      </c>
      <c r="I440" s="416"/>
      <c r="J440" s="407">
        <v>81720500</v>
      </c>
      <c r="K440" s="407">
        <v>81720500</v>
      </c>
      <c r="L440" s="407">
        <f>[1]INVERSIÓN!AL76</f>
        <v>102504500</v>
      </c>
      <c r="M440" s="441"/>
      <c r="N440" s="696"/>
      <c r="O440" s="696"/>
      <c r="P440" s="696"/>
      <c r="Q440" s="696"/>
      <c r="R440" s="696"/>
      <c r="S440" s="696"/>
      <c r="T440" s="696"/>
      <c r="U440" s="696"/>
      <c r="V440" s="696"/>
      <c r="W440" s="696"/>
      <c r="X440" s="696"/>
      <c r="Y440" s="699"/>
      <c r="Z440" s="381"/>
      <c r="AA440" s="382">
        <v>13</v>
      </c>
      <c r="AB440" s="382" t="s">
        <v>363</v>
      </c>
      <c r="AC440" s="382"/>
      <c r="AD440" s="382"/>
      <c r="AE440" s="382"/>
      <c r="AF440" s="382" t="s">
        <v>364</v>
      </c>
      <c r="AG440" s="382"/>
      <c r="AH440" s="382"/>
      <c r="AI440" s="382"/>
      <c r="AJ440" s="383"/>
      <c r="AK440" s="171"/>
      <c r="AL440" s="171"/>
      <c r="AM440" s="19"/>
      <c r="AN440" s="19"/>
      <c r="AO440" s="19"/>
      <c r="AP440" s="19"/>
      <c r="AQ440" s="19"/>
      <c r="AR440" s="19"/>
      <c r="AS440" s="19"/>
      <c r="AT440" s="5"/>
      <c r="AU440" s="5"/>
      <c r="AV440" s="5"/>
      <c r="AW440" s="5"/>
      <c r="AX440" s="5"/>
      <c r="AY440" s="5"/>
      <c r="AZ440" s="5"/>
      <c r="BA440" s="5"/>
      <c r="BB440" s="5"/>
      <c r="BC440" s="5"/>
    </row>
    <row r="441" spans="1:55" ht="78.75" x14ac:dyDescent="0.25">
      <c r="A441" s="713"/>
      <c r="B441" s="696"/>
      <c r="C441" s="696"/>
      <c r="D441" s="384" t="s">
        <v>365</v>
      </c>
      <c r="E441" s="464">
        <v>0</v>
      </c>
      <c r="F441" s="464">
        <v>0</v>
      </c>
      <c r="G441" s="464">
        <v>0</v>
      </c>
      <c r="H441" s="464">
        <f>[1]INVERSIÓN!V77</f>
        <v>0</v>
      </c>
      <c r="I441" s="390"/>
      <c r="J441" s="464">
        <v>0</v>
      </c>
      <c r="K441" s="464">
        <v>0</v>
      </c>
      <c r="L441" s="464">
        <f>[1]INVERSIÓN!AL77</f>
        <v>0</v>
      </c>
      <c r="M441" s="440"/>
      <c r="N441" s="696"/>
      <c r="O441" s="696"/>
      <c r="P441" s="696"/>
      <c r="Q441" s="696"/>
      <c r="R441" s="696"/>
      <c r="S441" s="696"/>
      <c r="T441" s="696"/>
      <c r="U441" s="696"/>
      <c r="V441" s="696"/>
      <c r="W441" s="696"/>
      <c r="X441" s="696"/>
      <c r="Y441" s="699"/>
      <c r="Z441" s="381"/>
      <c r="AA441" s="382">
        <v>14</v>
      </c>
      <c r="AB441" s="382" t="s">
        <v>367</v>
      </c>
      <c r="AC441" s="382"/>
      <c r="AD441" s="382"/>
      <c r="AE441" s="382"/>
      <c r="AF441" s="382" t="s">
        <v>369</v>
      </c>
      <c r="AG441" s="382"/>
      <c r="AH441" s="382"/>
      <c r="AI441" s="382"/>
      <c r="AJ441" s="383"/>
      <c r="AK441" s="171"/>
      <c r="AL441" s="171"/>
      <c r="AM441" s="19"/>
      <c r="AN441" s="19"/>
      <c r="AO441" s="19"/>
      <c r="AP441" s="19"/>
      <c r="AQ441" s="19"/>
      <c r="AR441" s="19"/>
      <c r="AS441" s="19"/>
      <c r="AT441" s="5"/>
      <c r="AU441" s="5"/>
      <c r="AV441" s="5"/>
      <c r="AW441" s="5"/>
      <c r="AX441" s="5"/>
      <c r="AY441" s="5"/>
      <c r="AZ441" s="5"/>
      <c r="BA441" s="5"/>
      <c r="BB441" s="5"/>
      <c r="BC441" s="5"/>
    </row>
    <row r="442" spans="1:55" ht="22.5" x14ac:dyDescent="0.25">
      <c r="A442" s="713"/>
      <c r="B442" s="696"/>
      <c r="C442" s="696"/>
      <c r="D442" s="386" t="s">
        <v>370</v>
      </c>
      <c r="E442" s="407">
        <v>20572000</v>
      </c>
      <c r="F442" s="407">
        <v>20572000</v>
      </c>
      <c r="G442" s="407">
        <v>20572000</v>
      </c>
      <c r="H442" s="407">
        <f>[1]INVERSIÓN!V78</f>
        <v>5274800</v>
      </c>
      <c r="I442" s="390"/>
      <c r="J442" s="407">
        <v>5274800</v>
      </c>
      <c r="K442" s="407">
        <f>[1]INVERSIÓN!AK78</f>
        <v>5274800</v>
      </c>
      <c r="L442" s="407">
        <f>[1]INVERSIÓN!AL78</f>
        <v>5274800</v>
      </c>
      <c r="M442" s="390"/>
      <c r="N442" s="696"/>
      <c r="O442" s="696"/>
      <c r="P442" s="696"/>
      <c r="Q442" s="696"/>
      <c r="R442" s="696"/>
      <c r="S442" s="696"/>
      <c r="T442" s="696"/>
      <c r="U442" s="696"/>
      <c r="V442" s="696"/>
      <c r="W442" s="696"/>
      <c r="X442" s="696"/>
      <c r="Y442" s="699"/>
      <c r="Z442" s="381"/>
      <c r="AA442" s="382"/>
      <c r="AB442" s="382"/>
      <c r="AC442" s="382"/>
      <c r="AD442" s="382"/>
      <c r="AE442" s="382"/>
      <c r="AF442" s="382"/>
      <c r="AG442" s="382"/>
      <c r="AH442" s="382"/>
      <c r="AI442" s="382"/>
      <c r="AJ442" s="383"/>
      <c r="AK442" s="171"/>
      <c r="AL442" s="171"/>
      <c r="AM442" s="19"/>
      <c r="AN442" s="19"/>
      <c r="AO442" s="19"/>
      <c r="AP442" s="19"/>
      <c r="AQ442" s="19"/>
      <c r="AR442" s="19"/>
      <c r="AS442" s="19"/>
      <c r="AT442" s="5"/>
      <c r="AU442" s="5"/>
      <c r="AV442" s="5"/>
      <c r="AW442" s="5"/>
      <c r="AX442" s="5"/>
      <c r="AY442" s="5"/>
      <c r="AZ442" s="5"/>
      <c r="BA442" s="5"/>
      <c r="BB442" s="5"/>
      <c r="BC442" s="5"/>
    </row>
    <row r="443" spans="1:55" x14ac:dyDescent="0.25">
      <c r="A443" s="713"/>
      <c r="B443" s="696"/>
      <c r="C443" s="701" t="s">
        <v>417</v>
      </c>
      <c r="D443" s="391" t="s">
        <v>348</v>
      </c>
      <c r="E443" s="457">
        <v>1</v>
      </c>
      <c r="F443" s="458">
        <f t="shared" ref="F443:H446" si="44">F439</f>
        <v>1</v>
      </c>
      <c r="G443" s="458">
        <f t="shared" si="44"/>
        <v>1</v>
      </c>
      <c r="H443" s="458">
        <f t="shared" si="44"/>
        <v>1</v>
      </c>
      <c r="I443" s="408"/>
      <c r="J443" s="458">
        <f t="shared" ref="J443:L446" si="45">J439</f>
        <v>1</v>
      </c>
      <c r="K443" s="458">
        <f t="shared" si="45"/>
        <v>1</v>
      </c>
      <c r="L443" s="458">
        <f t="shared" si="45"/>
        <v>1</v>
      </c>
      <c r="M443" s="393"/>
      <c r="N443" s="696"/>
      <c r="O443" s="696"/>
      <c r="P443" s="696"/>
      <c r="Q443" s="696"/>
      <c r="R443" s="696"/>
      <c r="S443" s="696"/>
      <c r="T443" s="696"/>
      <c r="U443" s="696"/>
      <c r="V443" s="696"/>
      <c r="W443" s="696"/>
      <c r="X443" s="696"/>
      <c r="Y443" s="699"/>
      <c r="Z443" s="394"/>
      <c r="AA443" s="395"/>
      <c r="AB443" s="395"/>
      <c r="AC443" s="395"/>
      <c r="AD443" s="395"/>
      <c r="AE443" s="395"/>
      <c r="AF443" s="395"/>
      <c r="AG443" s="395"/>
      <c r="AH443" s="395"/>
      <c r="AI443" s="395"/>
      <c r="AJ443" s="396"/>
      <c r="AK443" s="397"/>
      <c r="AL443" s="397"/>
      <c r="AM443" s="398"/>
      <c r="AN443" s="398"/>
      <c r="AO443" s="398"/>
      <c r="AP443" s="398"/>
      <c r="AQ443" s="398"/>
      <c r="AR443" s="398"/>
      <c r="AS443" s="398"/>
      <c r="AT443" s="398"/>
      <c r="AU443" s="398"/>
      <c r="AV443" s="398"/>
      <c r="AW443" s="398"/>
      <c r="AX443" s="398"/>
      <c r="AY443" s="398"/>
      <c r="AZ443" s="398"/>
      <c r="BA443" s="398"/>
      <c r="BB443" s="398"/>
      <c r="BC443" s="398"/>
    </row>
    <row r="444" spans="1:55" x14ac:dyDescent="0.25">
      <c r="A444" s="713"/>
      <c r="B444" s="696"/>
      <c r="C444" s="696"/>
      <c r="D444" s="399" t="s">
        <v>360</v>
      </c>
      <c r="E444" s="400">
        <v>106072975</v>
      </c>
      <c r="F444" s="423">
        <f t="shared" si="44"/>
        <v>106072975</v>
      </c>
      <c r="G444" s="423">
        <f t="shared" si="44"/>
        <v>106072975</v>
      </c>
      <c r="H444" s="423">
        <f t="shared" si="44"/>
        <v>106072975</v>
      </c>
      <c r="I444" s="423"/>
      <c r="J444" s="423">
        <f t="shared" si="45"/>
        <v>81720500</v>
      </c>
      <c r="K444" s="423">
        <f t="shared" si="45"/>
        <v>81720500</v>
      </c>
      <c r="L444" s="423">
        <f t="shared" si="45"/>
        <v>102504500</v>
      </c>
      <c r="M444" s="393"/>
      <c r="N444" s="696"/>
      <c r="O444" s="696"/>
      <c r="P444" s="696"/>
      <c r="Q444" s="696"/>
      <c r="R444" s="696"/>
      <c r="S444" s="696"/>
      <c r="T444" s="696"/>
      <c r="U444" s="696"/>
      <c r="V444" s="696"/>
      <c r="W444" s="696"/>
      <c r="X444" s="696"/>
      <c r="Y444" s="699"/>
      <c r="Z444" s="394"/>
      <c r="AA444" s="395"/>
      <c r="AB444" s="395"/>
      <c r="AC444" s="395"/>
      <c r="AD444" s="395"/>
      <c r="AE444" s="395"/>
      <c r="AF444" s="395"/>
      <c r="AG444" s="395"/>
      <c r="AH444" s="395"/>
      <c r="AI444" s="395"/>
      <c r="AJ444" s="396"/>
      <c r="AK444" s="397"/>
      <c r="AL444" s="397"/>
      <c r="AM444" s="398"/>
      <c r="AN444" s="398"/>
      <c r="AO444" s="398"/>
      <c r="AP444" s="398"/>
      <c r="AQ444" s="398"/>
      <c r="AR444" s="398"/>
      <c r="AS444" s="398"/>
      <c r="AT444" s="398"/>
      <c r="AU444" s="398"/>
      <c r="AV444" s="398"/>
      <c r="AW444" s="398"/>
      <c r="AX444" s="398"/>
      <c r="AY444" s="398"/>
      <c r="AZ444" s="398"/>
      <c r="BA444" s="398"/>
      <c r="BB444" s="398"/>
      <c r="BC444" s="398"/>
    </row>
    <row r="445" spans="1:55" ht="22.5" x14ac:dyDescent="0.25">
      <c r="A445" s="713"/>
      <c r="B445" s="696"/>
      <c r="C445" s="696"/>
      <c r="D445" s="399" t="s">
        <v>365</v>
      </c>
      <c r="E445" s="457">
        <v>0</v>
      </c>
      <c r="F445" s="458">
        <f t="shared" si="44"/>
        <v>0</v>
      </c>
      <c r="G445" s="458">
        <f t="shared" si="44"/>
        <v>0</v>
      </c>
      <c r="H445" s="458">
        <f t="shared" si="44"/>
        <v>0</v>
      </c>
      <c r="I445" s="458"/>
      <c r="J445" s="458">
        <f t="shared" si="45"/>
        <v>0</v>
      </c>
      <c r="K445" s="458">
        <f t="shared" si="45"/>
        <v>0</v>
      </c>
      <c r="L445" s="458">
        <f t="shared" si="45"/>
        <v>0</v>
      </c>
      <c r="M445" s="393"/>
      <c r="N445" s="696"/>
      <c r="O445" s="696"/>
      <c r="P445" s="696"/>
      <c r="Q445" s="696"/>
      <c r="R445" s="696"/>
      <c r="S445" s="696"/>
      <c r="T445" s="696"/>
      <c r="U445" s="696"/>
      <c r="V445" s="696"/>
      <c r="W445" s="696"/>
      <c r="X445" s="696"/>
      <c r="Y445" s="699"/>
      <c r="Z445" s="394"/>
      <c r="AA445" s="395"/>
      <c r="AB445" s="395"/>
      <c r="AC445" s="395"/>
      <c r="AD445" s="395"/>
      <c r="AE445" s="395"/>
      <c r="AF445" s="395"/>
      <c r="AG445" s="395"/>
      <c r="AH445" s="395"/>
      <c r="AI445" s="395"/>
      <c r="AJ445" s="396"/>
      <c r="AK445" s="397"/>
      <c r="AL445" s="397"/>
      <c r="AM445" s="398"/>
      <c r="AN445" s="398"/>
      <c r="AO445" s="398"/>
      <c r="AP445" s="398"/>
      <c r="AQ445" s="398"/>
      <c r="AR445" s="398"/>
      <c r="AS445" s="398"/>
      <c r="AT445" s="398"/>
      <c r="AU445" s="398"/>
      <c r="AV445" s="398"/>
      <c r="AW445" s="398"/>
      <c r="AX445" s="398"/>
      <c r="AY445" s="398"/>
      <c r="AZ445" s="398"/>
      <c r="BA445" s="398"/>
      <c r="BB445" s="398"/>
      <c r="BC445" s="398"/>
    </row>
    <row r="446" spans="1:55" ht="23.25" thickBot="1" x14ac:dyDescent="0.3">
      <c r="A446" s="714"/>
      <c r="B446" s="697"/>
      <c r="C446" s="697"/>
      <c r="D446" s="402" t="s">
        <v>370</v>
      </c>
      <c r="E446" s="403">
        <v>20572000</v>
      </c>
      <c r="F446" s="425">
        <f t="shared" si="44"/>
        <v>20572000</v>
      </c>
      <c r="G446" s="425">
        <f t="shared" si="44"/>
        <v>20572000</v>
      </c>
      <c r="H446" s="425">
        <f t="shared" si="44"/>
        <v>5274800</v>
      </c>
      <c r="I446" s="425"/>
      <c r="J446" s="425">
        <f t="shared" si="45"/>
        <v>5274800</v>
      </c>
      <c r="K446" s="425">
        <f t="shared" si="45"/>
        <v>5274800</v>
      </c>
      <c r="L446" s="425">
        <f t="shared" si="45"/>
        <v>5274800</v>
      </c>
      <c r="M446" s="404"/>
      <c r="N446" s="697"/>
      <c r="O446" s="697"/>
      <c r="P446" s="697"/>
      <c r="Q446" s="697"/>
      <c r="R446" s="697"/>
      <c r="S446" s="697"/>
      <c r="T446" s="697"/>
      <c r="U446" s="697"/>
      <c r="V446" s="697"/>
      <c r="W446" s="697"/>
      <c r="X446" s="697"/>
      <c r="Y446" s="700"/>
      <c r="Z446" s="394"/>
      <c r="AA446" s="395"/>
      <c r="AB446" s="395"/>
      <c r="AC446" s="395"/>
      <c r="AD446" s="395"/>
      <c r="AE446" s="395"/>
      <c r="AF446" s="395"/>
      <c r="AG446" s="395"/>
      <c r="AH446" s="395"/>
      <c r="AI446" s="395"/>
      <c r="AJ446" s="396"/>
      <c r="AK446" s="397"/>
      <c r="AL446" s="397"/>
      <c r="AM446" s="398"/>
      <c r="AN446" s="398"/>
      <c r="AO446" s="398"/>
      <c r="AP446" s="398"/>
      <c r="AQ446" s="398"/>
      <c r="AR446" s="398"/>
      <c r="AS446" s="398"/>
      <c r="AT446" s="398"/>
      <c r="AU446" s="398"/>
      <c r="AV446" s="398"/>
      <c r="AW446" s="398"/>
      <c r="AX446" s="398"/>
      <c r="AY446" s="398"/>
      <c r="AZ446" s="398"/>
      <c r="BA446" s="398"/>
      <c r="BB446" s="398"/>
      <c r="BC446" s="398"/>
    </row>
    <row r="447" spans="1:55" ht="22.5" x14ac:dyDescent="0.25">
      <c r="A447" s="712">
        <v>13</v>
      </c>
      <c r="B447" s="710" t="s">
        <v>221</v>
      </c>
      <c r="C447" s="710" t="s">
        <v>526</v>
      </c>
      <c r="D447" s="405" t="s">
        <v>348</v>
      </c>
      <c r="E447" s="465">
        <v>1</v>
      </c>
      <c r="F447" s="465">
        <v>1</v>
      </c>
      <c r="G447" s="465">
        <v>1</v>
      </c>
      <c r="H447" s="465">
        <f>[1]INVERSIÓN!V81</f>
        <v>1</v>
      </c>
      <c r="I447" s="455"/>
      <c r="J447" s="465">
        <v>1</v>
      </c>
      <c r="K447" s="465">
        <v>1</v>
      </c>
      <c r="L447" s="465">
        <f>[1]INVERSIÓN!AL81</f>
        <v>1</v>
      </c>
      <c r="M447" s="455"/>
      <c r="N447" s="710" t="s">
        <v>349</v>
      </c>
      <c r="O447" s="710" t="s">
        <v>104</v>
      </c>
      <c r="P447" s="710" t="s">
        <v>104</v>
      </c>
      <c r="Q447" s="710" t="s">
        <v>104</v>
      </c>
      <c r="R447" s="716" t="s">
        <v>353</v>
      </c>
      <c r="S447" s="695">
        <v>8185614</v>
      </c>
      <c r="T447" s="711"/>
      <c r="U447" s="695" t="s">
        <v>354</v>
      </c>
      <c r="V447" s="695" t="s">
        <v>355</v>
      </c>
      <c r="W447" s="695" t="s">
        <v>356</v>
      </c>
      <c r="X447" s="695" t="s">
        <v>357</v>
      </c>
      <c r="Y447" s="698">
        <v>8185614</v>
      </c>
      <c r="Z447" s="381"/>
      <c r="AA447" s="382">
        <v>12</v>
      </c>
      <c r="AB447" s="382" t="s">
        <v>358</v>
      </c>
      <c r="AC447" s="382"/>
      <c r="AD447" s="382"/>
      <c r="AE447" s="382"/>
      <c r="AF447" s="382" t="s">
        <v>359</v>
      </c>
      <c r="AG447" s="382"/>
      <c r="AH447" s="382"/>
      <c r="AI447" s="382"/>
      <c r="AJ447" s="383"/>
      <c r="AK447" s="171"/>
      <c r="AL447" s="171"/>
      <c r="AM447" s="19"/>
      <c r="AN447" s="19"/>
      <c r="AO447" s="19"/>
      <c r="AP447" s="19"/>
      <c r="AQ447" s="19"/>
      <c r="AR447" s="19"/>
      <c r="AS447" s="19"/>
      <c r="AT447" s="5"/>
      <c r="AU447" s="5"/>
      <c r="AV447" s="5"/>
      <c r="AW447" s="5"/>
      <c r="AX447" s="5"/>
      <c r="AY447" s="5"/>
      <c r="AZ447" s="5"/>
      <c r="BA447" s="5"/>
      <c r="BB447" s="5"/>
      <c r="BC447" s="5"/>
    </row>
    <row r="448" spans="1:55" ht="45" x14ac:dyDescent="0.25">
      <c r="A448" s="713"/>
      <c r="B448" s="696"/>
      <c r="C448" s="696"/>
      <c r="D448" s="384" t="s">
        <v>360</v>
      </c>
      <c r="E448" s="427">
        <v>700608060</v>
      </c>
      <c r="F448" s="427">
        <v>700608060</v>
      </c>
      <c r="G448" s="427">
        <v>719270530</v>
      </c>
      <c r="H448" s="427">
        <f>[1]INVERSIÓN!V82</f>
        <v>719270530</v>
      </c>
      <c r="I448" s="441"/>
      <c r="J448" s="427">
        <v>666502000</v>
      </c>
      <c r="K448" s="427">
        <v>666502000</v>
      </c>
      <c r="L448" s="427">
        <f>[1]INVERSIÓN!AL82</f>
        <v>703924900</v>
      </c>
      <c r="M448" s="441"/>
      <c r="N448" s="696"/>
      <c r="O448" s="696"/>
      <c r="P448" s="696"/>
      <c r="Q448" s="696"/>
      <c r="R448" s="696"/>
      <c r="S448" s="696"/>
      <c r="T448" s="696"/>
      <c r="U448" s="696"/>
      <c r="V448" s="696"/>
      <c r="W448" s="696"/>
      <c r="X448" s="696"/>
      <c r="Y448" s="699"/>
      <c r="Z448" s="381"/>
      <c r="AA448" s="382">
        <v>13</v>
      </c>
      <c r="AB448" s="382" t="s">
        <v>363</v>
      </c>
      <c r="AC448" s="382"/>
      <c r="AD448" s="382"/>
      <c r="AE448" s="382"/>
      <c r="AF448" s="382" t="s">
        <v>364</v>
      </c>
      <c r="AG448" s="382"/>
      <c r="AH448" s="382"/>
      <c r="AI448" s="382"/>
      <c r="AJ448" s="383"/>
      <c r="AK448" s="171"/>
      <c r="AL448" s="171"/>
      <c r="AM448" s="19"/>
      <c r="AN448" s="19"/>
      <c r="AO448" s="19"/>
      <c r="AP448" s="19"/>
      <c r="AQ448" s="19"/>
      <c r="AR448" s="19"/>
      <c r="AS448" s="19"/>
      <c r="AT448" s="5"/>
      <c r="AU448" s="5"/>
      <c r="AV448" s="5"/>
      <c r="AW448" s="5"/>
      <c r="AX448" s="5"/>
      <c r="AY448" s="5"/>
      <c r="AZ448" s="5"/>
      <c r="BA448" s="5"/>
      <c r="BB448" s="5"/>
      <c r="BC448" s="5"/>
    </row>
    <row r="449" spans="1:55" ht="78.75" x14ac:dyDescent="0.25">
      <c r="A449" s="713"/>
      <c r="B449" s="696"/>
      <c r="C449" s="696"/>
      <c r="D449" s="384" t="s">
        <v>365</v>
      </c>
      <c r="E449" s="466">
        <v>0</v>
      </c>
      <c r="F449" s="466">
        <v>0</v>
      </c>
      <c r="G449" s="466">
        <v>0</v>
      </c>
      <c r="H449" s="466">
        <f>[1]INVERSIÓN!V83</f>
        <v>359635265</v>
      </c>
      <c r="I449" s="467"/>
      <c r="J449" s="466">
        <v>0</v>
      </c>
      <c r="K449" s="466">
        <v>0</v>
      </c>
      <c r="L449" s="466" t="e">
        <f>[1]INVERSIÓN!AL83</f>
        <v>#REF!</v>
      </c>
      <c r="M449" s="467"/>
      <c r="N449" s="696"/>
      <c r="O449" s="696"/>
      <c r="P449" s="696"/>
      <c r="Q449" s="696"/>
      <c r="R449" s="696"/>
      <c r="S449" s="696"/>
      <c r="T449" s="696"/>
      <c r="U449" s="696"/>
      <c r="V449" s="696"/>
      <c r="W449" s="696"/>
      <c r="X449" s="696"/>
      <c r="Y449" s="699"/>
      <c r="Z449" s="381"/>
      <c r="AA449" s="382">
        <v>14</v>
      </c>
      <c r="AB449" s="382" t="s">
        <v>367</v>
      </c>
      <c r="AC449" s="382"/>
      <c r="AD449" s="382"/>
      <c r="AE449" s="382"/>
      <c r="AF449" s="382" t="s">
        <v>369</v>
      </c>
      <c r="AG449" s="382"/>
      <c r="AH449" s="382"/>
      <c r="AI449" s="382"/>
      <c r="AJ449" s="383"/>
      <c r="AK449" s="171"/>
      <c r="AL449" s="171"/>
      <c r="AM449" s="19"/>
      <c r="AN449" s="19"/>
      <c r="AO449" s="19"/>
      <c r="AP449" s="19"/>
      <c r="AQ449" s="19"/>
      <c r="AR449" s="19"/>
      <c r="AS449" s="19"/>
      <c r="AT449" s="5"/>
      <c r="AU449" s="5"/>
      <c r="AV449" s="5"/>
      <c r="AW449" s="5"/>
      <c r="AX449" s="5"/>
      <c r="AY449" s="5"/>
      <c r="AZ449" s="5"/>
      <c r="BA449" s="5"/>
      <c r="BB449" s="5"/>
      <c r="BC449" s="5"/>
    </row>
    <row r="450" spans="1:55" ht="22.5" x14ac:dyDescent="0.25">
      <c r="A450" s="713"/>
      <c r="B450" s="696"/>
      <c r="C450" s="696"/>
      <c r="D450" s="386" t="s">
        <v>370</v>
      </c>
      <c r="E450" s="407">
        <v>27632833</v>
      </c>
      <c r="F450" s="407">
        <v>27632833</v>
      </c>
      <c r="G450" s="407">
        <v>27632833</v>
      </c>
      <c r="H450" s="407">
        <f>[1]INVERSIÓN!V84</f>
        <v>27632833</v>
      </c>
      <c r="I450" s="390"/>
      <c r="J450" s="407">
        <v>27632833</v>
      </c>
      <c r="K450" s="407">
        <f>[1]INVERSIÓN!AK84</f>
        <v>27632833</v>
      </c>
      <c r="L450" s="407">
        <f>[1]INVERSIÓN!AL84</f>
        <v>27632833</v>
      </c>
      <c r="M450" s="390"/>
      <c r="N450" s="696"/>
      <c r="O450" s="696"/>
      <c r="P450" s="696"/>
      <c r="Q450" s="696"/>
      <c r="R450" s="696"/>
      <c r="S450" s="696"/>
      <c r="T450" s="696"/>
      <c r="U450" s="696"/>
      <c r="V450" s="696"/>
      <c r="W450" s="696"/>
      <c r="X450" s="696"/>
      <c r="Y450" s="699"/>
      <c r="Z450" s="381"/>
      <c r="AA450" s="382"/>
      <c r="AB450" s="382"/>
      <c r="AC450" s="382"/>
      <c r="AD450" s="382"/>
      <c r="AE450" s="382"/>
      <c r="AF450" s="382"/>
      <c r="AG450" s="382"/>
      <c r="AH450" s="382"/>
      <c r="AI450" s="382"/>
      <c r="AJ450" s="383"/>
      <c r="AK450" s="171"/>
      <c r="AL450" s="171"/>
      <c r="AM450" s="19"/>
      <c r="AN450" s="19"/>
      <c r="AO450" s="19"/>
      <c r="AP450" s="19"/>
      <c r="AQ450" s="19"/>
      <c r="AR450" s="19"/>
      <c r="AS450" s="19"/>
      <c r="AT450" s="5"/>
      <c r="AU450" s="5"/>
      <c r="AV450" s="5"/>
      <c r="AW450" s="5"/>
      <c r="AX450" s="5"/>
      <c r="AY450" s="5"/>
      <c r="AZ450" s="5"/>
      <c r="BA450" s="5"/>
      <c r="BB450" s="5"/>
      <c r="BC450" s="5"/>
    </row>
    <row r="451" spans="1:55" x14ac:dyDescent="0.25">
      <c r="A451" s="713"/>
      <c r="B451" s="696"/>
      <c r="C451" s="701" t="s">
        <v>417</v>
      </c>
      <c r="D451" s="391" t="s">
        <v>348</v>
      </c>
      <c r="E451" s="457">
        <v>1</v>
      </c>
      <c r="F451" s="458">
        <f t="shared" ref="F451:H454" si="46">F447</f>
        <v>1</v>
      </c>
      <c r="G451" s="458">
        <f t="shared" si="46"/>
        <v>1</v>
      </c>
      <c r="H451" s="458">
        <f t="shared" si="46"/>
        <v>1</v>
      </c>
      <c r="I451" s="408"/>
      <c r="J451" s="458">
        <v>1</v>
      </c>
      <c r="K451" s="458">
        <v>1</v>
      </c>
      <c r="L451" s="458">
        <f t="shared" ref="L451:L453" si="47">L447</f>
        <v>1</v>
      </c>
      <c r="M451" s="393"/>
      <c r="N451" s="696"/>
      <c r="O451" s="696"/>
      <c r="P451" s="696"/>
      <c r="Q451" s="696"/>
      <c r="R451" s="696"/>
      <c r="S451" s="696"/>
      <c r="T451" s="696"/>
      <c r="U451" s="696"/>
      <c r="V451" s="696"/>
      <c r="W451" s="696"/>
      <c r="X451" s="696"/>
      <c r="Y451" s="699"/>
      <c r="Z451" s="394"/>
      <c r="AA451" s="395"/>
      <c r="AB451" s="395"/>
      <c r="AC451" s="395"/>
      <c r="AD451" s="395"/>
      <c r="AE451" s="395"/>
      <c r="AF451" s="395"/>
      <c r="AG451" s="395"/>
      <c r="AH451" s="395"/>
      <c r="AI451" s="395"/>
      <c r="AJ451" s="396"/>
      <c r="AK451" s="397"/>
      <c r="AL451" s="397"/>
      <c r="AM451" s="398"/>
      <c r="AN451" s="398"/>
      <c r="AO451" s="398"/>
      <c r="AP451" s="398"/>
      <c r="AQ451" s="398"/>
      <c r="AR451" s="398"/>
      <c r="AS451" s="398"/>
      <c r="AT451" s="398"/>
      <c r="AU451" s="398"/>
      <c r="AV451" s="398"/>
      <c r="AW451" s="398"/>
      <c r="AX451" s="398"/>
      <c r="AY451" s="398"/>
      <c r="AZ451" s="398"/>
      <c r="BA451" s="398"/>
      <c r="BB451" s="398"/>
      <c r="BC451" s="398"/>
    </row>
    <row r="452" spans="1:55" x14ac:dyDescent="0.25">
      <c r="A452" s="713"/>
      <c r="B452" s="696"/>
      <c r="C452" s="696"/>
      <c r="D452" s="399" t="s">
        <v>360</v>
      </c>
      <c r="E452" s="400">
        <v>700608060</v>
      </c>
      <c r="F452" s="423">
        <f t="shared" si="46"/>
        <v>700608060</v>
      </c>
      <c r="G452" s="423">
        <f t="shared" si="46"/>
        <v>719270530</v>
      </c>
      <c r="H452" s="423">
        <f t="shared" si="46"/>
        <v>719270530</v>
      </c>
      <c r="I452" s="423"/>
      <c r="J452" s="423">
        <v>666502000</v>
      </c>
      <c r="K452" s="423">
        <v>666502000</v>
      </c>
      <c r="L452" s="423">
        <f t="shared" si="47"/>
        <v>703924900</v>
      </c>
      <c r="M452" s="393"/>
      <c r="N452" s="696"/>
      <c r="O452" s="696"/>
      <c r="P452" s="696"/>
      <c r="Q452" s="696"/>
      <c r="R452" s="696"/>
      <c r="S452" s="696"/>
      <c r="T452" s="696"/>
      <c r="U452" s="696"/>
      <c r="V452" s="696"/>
      <c r="W452" s="696"/>
      <c r="X452" s="696"/>
      <c r="Y452" s="699"/>
      <c r="Z452" s="394"/>
      <c r="AA452" s="395"/>
      <c r="AB452" s="395"/>
      <c r="AC452" s="395"/>
      <c r="AD452" s="395"/>
      <c r="AE452" s="395"/>
      <c r="AF452" s="395"/>
      <c r="AG452" s="395"/>
      <c r="AH452" s="395"/>
      <c r="AI452" s="395"/>
      <c r="AJ452" s="396"/>
      <c r="AK452" s="397"/>
      <c r="AL452" s="397"/>
      <c r="AM452" s="398"/>
      <c r="AN452" s="398"/>
      <c r="AO452" s="398"/>
      <c r="AP452" s="398"/>
      <c r="AQ452" s="398"/>
      <c r="AR452" s="398"/>
      <c r="AS452" s="398"/>
      <c r="AT452" s="398"/>
      <c r="AU452" s="398"/>
      <c r="AV452" s="398"/>
      <c r="AW452" s="398"/>
      <c r="AX452" s="398"/>
      <c r="AY452" s="398"/>
      <c r="AZ452" s="398"/>
      <c r="BA452" s="398"/>
      <c r="BB452" s="398"/>
      <c r="BC452" s="398"/>
    </row>
    <row r="453" spans="1:55" ht="22.5" x14ac:dyDescent="0.25">
      <c r="A453" s="713"/>
      <c r="B453" s="696"/>
      <c r="C453" s="696"/>
      <c r="D453" s="399" t="s">
        <v>365</v>
      </c>
      <c r="E453" s="457">
        <v>0</v>
      </c>
      <c r="F453" s="458">
        <f t="shared" si="46"/>
        <v>0</v>
      </c>
      <c r="G453" s="458">
        <f t="shared" si="46"/>
        <v>0</v>
      </c>
      <c r="H453" s="458">
        <f t="shared" si="46"/>
        <v>359635265</v>
      </c>
      <c r="I453" s="458"/>
      <c r="J453" s="458">
        <v>0</v>
      </c>
      <c r="K453" s="458">
        <v>0</v>
      </c>
      <c r="L453" s="458" t="e">
        <f t="shared" si="47"/>
        <v>#REF!</v>
      </c>
      <c r="M453" s="393"/>
      <c r="N453" s="696"/>
      <c r="O453" s="696"/>
      <c r="P453" s="696"/>
      <c r="Q453" s="696"/>
      <c r="R453" s="696"/>
      <c r="S453" s="696"/>
      <c r="T453" s="696"/>
      <c r="U453" s="696"/>
      <c r="V453" s="696"/>
      <c r="W453" s="696"/>
      <c r="X453" s="696"/>
      <c r="Y453" s="699"/>
      <c r="Z453" s="394"/>
      <c r="AA453" s="395"/>
      <c r="AB453" s="395"/>
      <c r="AC453" s="395"/>
      <c r="AD453" s="395"/>
      <c r="AE453" s="395"/>
      <c r="AF453" s="395"/>
      <c r="AG453" s="395"/>
      <c r="AH453" s="395"/>
      <c r="AI453" s="395"/>
      <c r="AJ453" s="396"/>
      <c r="AK453" s="397"/>
      <c r="AL453" s="397"/>
      <c r="AM453" s="398"/>
      <c r="AN453" s="398"/>
      <c r="AO453" s="398"/>
      <c r="AP453" s="398"/>
      <c r="AQ453" s="398"/>
      <c r="AR453" s="398"/>
      <c r="AS453" s="398"/>
      <c r="AT453" s="398"/>
      <c r="AU453" s="398"/>
      <c r="AV453" s="398"/>
      <c r="AW453" s="398"/>
      <c r="AX453" s="398"/>
      <c r="AY453" s="398"/>
      <c r="AZ453" s="398"/>
      <c r="BA453" s="398"/>
      <c r="BB453" s="398"/>
      <c r="BC453" s="398"/>
    </row>
    <row r="454" spans="1:55" ht="23.25" thickBot="1" x14ac:dyDescent="0.3">
      <c r="A454" s="714"/>
      <c r="B454" s="697"/>
      <c r="C454" s="697"/>
      <c r="D454" s="402" t="s">
        <v>370</v>
      </c>
      <c r="E454" s="403">
        <v>27632833</v>
      </c>
      <c r="F454" s="425">
        <f t="shared" si="46"/>
        <v>27632833</v>
      </c>
      <c r="G454" s="425">
        <f t="shared" si="46"/>
        <v>27632833</v>
      </c>
      <c r="H454" s="425">
        <f t="shared" si="46"/>
        <v>27632833</v>
      </c>
      <c r="I454" s="425"/>
      <c r="J454" s="425">
        <v>27632833</v>
      </c>
      <c r="K454" s="425">
        <f t="shared" ref="K454:L454" si="48">K450</f>
        <v>27632833</v>
      </c>
      <c r="L454" s="425">
        <f t="shared" si="48"/>
        <v>27632833</v>
      </c>
      <c r="M454" s="404"/>
      <c r="N454" s="697"/>
      <c r="O454" s="697"/>
      <c r="P454" s="697"/>
      <c r="Q454" s="697"/>
      <c r="R454" s="697"/>
      <c r="S454" s="697"/>
      <c r="T454" s="697"/>
      <c r="U454" s="697"/>
      <c r="V454" s="697"/>
      <c r="W454" s="697"/>
      <c r="X454" s="697"/>
      <c r="Y454" s="700"/>
      <c r="Z454" s="394"/>
      <c r="AA454" s="395"/>
      <c r="AB454" s="395"/>
      <c r="AC454" s="395"/>
      <c r="AD454" s="395"/>
      <c r="AE454" s="395"/>
      <c r="AF454" s="395"/>
      <c r="AG454" s="395"/>
      <c r="AH454" s="395"/>
      <c r="AI454" s="395"/>
      <c r="AJ454" s="396"/>
      <c r="AK454" s="397"/>
      <c r="AL454" s="397"/>
      <c r="AM454" s="398"/>
      <c r="AN454" s="398"/>
      <c r="AO454" s="398"/>
      <c r="AP454" s="398"/>
      <c r="AQ454" s="398"/>
      <c r="AR454" s="398"/>
      <c r="AS454" s="398"/>
      <c r="AT454" s="398"/>
      <c r="AU454" s="398"/>
      <c r="AV454" s="398"/>
      <c r="AW454" s="398"/>
      <c r="AX454" s="398"/>
      <c r="AY454" s="398"/>
      <c r="AZ454" s="398"/>
      <c r="BA454" s="398"/>
      <c r="BB454" s="398"/>
      <c r="BC454" s="398"/>
    </row>
    <row r="455" spans="1:55" ht="22.5" x14ac:dyDescent="0.25">
      <c r="A455" s="712">
        <v>14</v>
      </c>
      <c r="B455" s="710" t="s">
        <v>226</v>
      </c>
      <c r="C455" s="710" t="s">
        <v>527</v>
      </c>
      <c r="D455" s="405" t="s">
        <v>348</v>
      </c>
      <c r="E455" s="454">
        <v>0.25</v>
      </c>
      <c r="F455" s="454">
        <v>0.25</v>
      </c>
      <c r="G455" s="454">
        <v>0.25</v>
      </c>
      <c r="H455" s="454">
        <f>[1]INVERSIÓN!V87</f>
        <v>0.25</v>
      </c>
      <c r="I455" s="455"/>
      <c r="J455" s="454">
        <v>0.3034</v>
      </c>
      <c r="K455" s="454">
        <v>0.3034</v>
      </c>
      <c r="L455" s="454">
        <f>[1]INVERSIÓN!AL87</f>
        <v>0.3034</v>
      </c>
      <c r="M455" s="455"/>
      <c r="N455" s="710" t="s">
        <v>349</v>
      </c>
      <c r="O455" s="710" t="s">
        <v>104</v>
      </c>
      <c r="P455" s="710" t="s">
        <v>104</v>
      </c>
      <c r="Q455" s="710" t="s">
        <v>104</v>
      </c>
      <c r="R455" s="716" t="s">
        <v>353</v>
      </c>
      <c r="S455" s="695">
        <v>8185614</v>
      </c>
      <c r="T455" s="711"/>
      <c r="U455" s="695" t="s">
        <v>354</v>
      </c>
      <c r="V455" s="695" t="s">
        <v>355</v>
      </c>
      <c r="W455" s="695" t="s">
        <v>356</v>
      </c>
      <c r="X455" s="695" t="s">
        <v>357</v>
      </c>
      <c r="Y455" s="698">
        <v>8185614</v>
      </c>
      <c r="Z455" s="381"/>
      <c r="AA455" s="382">
        <v>12</v>
      </c>
      <c r="AB455" s="382" t="s">
        <v>358</v>
      </c>
      <c r="AC455" s="382"/>
      <c r="AD455" s="382"/>
      <c r="AE455" s="382"/>
      <c r="AF455" s="382" t="s">
        <v>359</v>
      </c>
      <c r="AG455" s="382"/>
      <c r="AH455" s="382"/>
      <c r="AI455" s="382"/>
      <c r="AJ455" s="383"/>
      <c r="AK455" s="171"/>
      <c r="AL455" s="171"/>
      <c r="AM455" s="19"/>
      <c r="AN455" s="19"/>
      <c r="AO455" s="19"/>
      <c r="AP455" s="19"/>
      <c r="AQ455" s="19"/>
      <c r="AR455" s="19"/>
      <c r="AS455" s="19"/>
      <c r="AT455" s="5"/>
      <c r="AU455" s="5"/>
      <c r="AV455" s="5"/>
      <c r="AW455" s="5"/>
      <c r="AX455" s="5"/>
      <c r="AY455" s="5"/>
      <c r="AZ455" s="5"/>
      <c r="BA455" s="5"/>
      <c r="BB455" s="5"/>
      <c r="BC455" s="5"/>
    </row>
    <row r="456" spans="1:55" ht="45" x14ac:dyDescent="0.25">
      <c r="A456" s="713"/>
      <c r="B456" s="696"/>
      <c r="C456" s="696"/>
      <c r="D456" s="384" t="s">
        <v>360</v>
      </c>
      <c r="E456" s="407">
        <v>634002175</v>
      </c>
      <c r="F456" s="407">
        <v>634002175</v>
      </c>
      <c r="G456" s="407">
        <v>639289845</v>
      </c>
      <c r="H456" s="407">
        <f>[1]INVERSIÓN!V88</f>
        <v>639289845</v>
      </c>
      <c r="I456" s="441"/>
      <c r="J456" s="407">
        <v>343239718</v>
      </c>
      <c r="K456" s="407">
        <v>492014500</v>
      </c>
      <c r="L456" s="407">
        <f>[1]INVERSIÓN!AL88</f>
        <v>604048233</v>
      </c>
      <c r="M456" s="441"/>
      <c r="N456" s="696"/>
      <c r="O456" s="696"/>
      <c r="P456" s="696"/>
      <c r="Q456" s="696"/>
      <c r="R456" s="696"/>
      <c r="S456" s="696"/>
      <c r="T456" s="696"/>
      <c r="U456" s="696"/>
      <c r="V456" s="696"/>
      <c r="W456" s="696"/>
      <c r="X456" s="696"/>
      <c r="Y456" s="699"/>
      <c r="Z456" s="381"/>
      <c r="AA456" s="382">
        <v>13</v>
      </c>
      <c r="AB456" s="382" t="s">
        <v>363</v>
      </c>
      <c r="AC456" s="382"/>
      <c r="AD456" s="382"/>
      <c r="AE456" s="382"/>
      <c r="AF456" s="382" t="s">
        <v>364</v>
      </c>
      <c r="AG456" s="382"/>
      <c r="AH456" s="382"/>
      <c r="AI456" s="382"/>
      <c r="AJ456" s="383"/>
      <c r="AK456" s="171"/>
      <c r="AL456" s="171"/>
      <c r="AM456" s="19"/>
      <c r="AN456" s="19"/>
      <c r="AO456" s="19"/>
      <c r="AP456" s="19"/>
      <c r="AQ456" s="19"/>
      <c r="AR456" s="19"/>
      <c r="AS456" s="19"/>
      <c r="AT456" s="5"/>
      <c r="AU456" s="5"/>
      <c r="AV456" s="5"/>
      <c r="AW456" s="5"/>
      <c r="AX456" s="5"/>
      <c r="AY456" s="5"/>
      <c r="AZ456" s="5"/>
      <c r="BA456" s="5"/>
      <c r="BB456" s="5"/>
      <c r="BC456" s="5"/>
    </row>
    <row r="457" spans="1:55" ht="78.75" x14ac:dyDescent="0.25">
      <c r="A457" s="713"/>
      <c r="B457" s="696"/>
      <c r="C457" s="696"/>
      <c r="D457" s="384" t="s">
        <v>365</v>
      </c>
      <c r="E457" s="456">
        <v>0</v>
      </c>
      <c r="F457" s="456">
        <v>0</v>
      </c>
      <c r="G457" s="456">
        <v>0</v>
      </c>
      <c r="H457" s="456">
        <f>[1]INVERSIÓN!V89</f>
        <v>0</v>
      </c>
      <c r="I457" s="390"/>
      <c r="J457" s="456">
        <v>0</v>
      </c>
      <c r="K457" s="456">
        <v>0</v>
      </c>
      <c r="L457" s="456">
        <f>[1]INVERSIÓN!AL89</f>
        <v>0</v>
      </c>
      <c r="M457" s="390"/>
      <c r="N457" s="696"/>
      <c r="O457" s="696"/>
      <c r="P457" s="696"/>
      <c r="Q457" s="696"/>
      <c r="R457" s="696"/>
      <c r="S457" s="696"/>
      <c r="T457" s="696"/>
      <c r="U457" s="696"/>
      <c r="V457" s="696"/>
      <c r="W457" s="696"/>
      <c r="X457" s="696"/>
      <c r="Y457" s="699"/>
      <c r="Z457" s="381"/>
      <c r="AA457" s="382">
        <v>14</v>
      </c>
      <c r="AB457" s="382" t="s">
        <v>367</v>
      </c>
      <c r="AC457" s="382"/>
      <c r="AD457" s="382"/>
      <c r="AE457" s="382"/>
      <c r="AF457" s="382" t="s">
        <v>369</v>
      </c>
      <c r="AG457" s="382"/>
      <c r="AH457" s="382"/>
      <c r="AI457" s="382"/>
      <c r="AJ457" s="383"/>
      <c r="AK457" s="171"/>
      <c r="AL457" s="171"/>
      <c r="AM457" s="19"/>
      <c r="AN457" s="19"/>
      <c r="AO457" s="19"/>
      <c r="AP457" s="19"/>
      <c r="AQ457" s="19"/>
      <c r="AR457" s="19"/>
      <c r="AS457" s="19"/>
      <c r="AT457" s="5"/>
      <c r="AU457" s="5"/>
      <c r="AV457" s="5"/>
      <c r="AW457" s="5"/>
      <c r="AX457" s="5"/>
      <c r="AY457" s="5"/>
      <c r="AZ457" s="5"/>
      <c r="BA457" s="5"/>
      <c r="BB457" s="5"/>
      <c r="BC457" s="5"/>
    </row>
    <row r="458" spans="1:55" ht="22.5" x14ac:dyDescent="0.25">
      <c r="A458" s="713"/>
      <c r="B458" s="696"/>
      <c r="C458" s="696"/>
      <c r="D458" s="386" t="s">
        <v>370</v>
      </c>
      <c r="E458" s="407">
        <v>145993200</v>
      </c>
      <c r="F458" s="407">
        <v>145993200</v>
      </c>
      <c r="G458" s="407">
        <v>145993200</v>
      </c>
      <c r="H458" s="407">
        <f>[1]INVERSIÓN!V90</f>
        <v>141527133</v>
      </c>
      <c r="I458" s="390"/>
      <c r="J458" s="407">
        <v>64943266</v>
      </c>
      <c r="K458" s="407">
        <f>[1]INVERSIÓN!AK90</f>
        <v>121367100</v>
      </c>
      <c r="L458" s="407">
        <f>[1]INVERSIÓN!AL90</f>
        <v>141527133</v>
      </c>
      <c r="M458" s="390"/>
      <c r="N458" s="696"/>
      <c r="O458" s="696"/>
      <c r="P458" s="696"/>
      <c r="Q458" s="696"/>
      <c r="R458" s="696"/>
      <c r="S458" s="696"/>
      <c r="T458" s="696"/>
      <c r="U458" s="696"/>
      <c r="V458" s="696"/>
      <c r="W458" s="696"/>
      <c r="X458" s="696"/>
      <c r="Y458" s="699"/>
      <c r="Z458" s="381"/>
      <c r="AA458" s="382"/>
      <c r="AB458" s="382"/>
      <c r="AC458" s="382"/>
      <c r="AD458" s="382"/>
      <c r="AE458" s="382"/>
      <c r="AF458" s="382"/>
      <c r="AG458" s="382"/>
      <c r="AH458" s="382"/>
      <c r="AI458" s="382"/>
      <c r="AJ458" s="383"/>
      <c r="AK458" s="171"/>
      <c r="AL458" s="171"/>
      <c r="AM458" s="19"/>
      <c r="AN458" s="19"/>
      <c r="AO458" s="19"/>
      <c r="AP458" s="19"/>
      <c r="AQ458" s="19"/>
      <c r="AR458" s="19"/>
      <c r="AS458" s="19"/>
      <c r="AT458" s="5"/>
      <c r="AU458" s="5"/>
      <c r="AV458" s="5"/>
      <c r="AW458" s="5"/>
      <c r="AX458" s="5"/>
      <c r="AY458" s="5"/>
      <c r="AZ458" s="5"/>
      <c r="BA458" s="5"/>
      <c r="BB458" s="5"/>
      <c r="BC458" s="5"/>
    </row>
    <row r="459" spans="1:55" x14ac:dyDescent="0.25">
      <c r="A459" s="713"/>
      <c r="B459" s="696"/>
      <c r="C459" s="701" t="s">
        <v>417</v>
      </c>
      <c r="D459" s="391" t="s">
        <v>348</v>
      </c>
      <c r="E459" s="457">
        <v>0.25</v>
      </c>
      <c r="F459" s="458">
        <f t="shared" ref="F459:H462" si="49">F455</f>
        <v>0.25</v>
      </c>
      <c r="G459" s="458">
        <f t="shared" si="49"/>
        <v>0.25</v>
      </c>
      <c r="H459" s="458">
        <f t="shared" si="49"/>
        <v>0.25</v>
      </c>
      <c r="I459" s="408"/>
      <c r="J459" s="458">
        <f t="shared" ref="J459:L462" si="50">J455</f>
        <v>0.3034</v>
      </c>
      <c r="K459" s="458">
        <f t="shared" si="50"/>
        <v>0.3034</v>
      </c>
      <c r="L459" s="458">
        <f t="shared" si="50"/>
        <v>0.3034</v>
      </c>
      <c r="M459" s="393"/>
      <c r="N459" s="696"/>
      <c r="O459" s="696"/>
      <c r="P459" s="696"/>
      <c r="Q459" s="696"/>
      <c r="R459" s="696"/>
      <c r="S459" s="696"/>
      <c r="T459" s="696"/>
      <c r="U459" s="696"/>
      <c r="V459" s="696"/>
      <c r="W459" s="696"/>
      <c r="X459" s="696"/>
      <c r="Y459" s="699"/>
      <c r="Z459" s="394"/>
      <c r="AA459" s="395"/>
      <c r="AB459" s="395"/>
      <c r="AC459" s="395"/>
      <c r="AD459" s="395"/>
      <c r="AE459" s="395"/>
      <c r="AF459" s="395"/>
      <c r="AG459" s="395"/>
      <c r="AH459" s="395"/>
      <c r="AI459" s="395"/>
      <c r="AJ459" s="396"/>
      <c r="AK459" s="397"/>
      <c r="AL459" s="397"/>
      <c r="AM459" s="398"/>
      <c r="AN459" s="398"/>
      <c r="AO459" s="398"/>
      <c r="AP459" s="398"/>
      <c r="AQ459" s="398"/>
      <c r="AR459" s="398"/>
      <c r="AS459" s="398"/>
      <c r="AT459" s="398"/>
      <c r="AU459" s="398"/>
      <c r="AV459" s="398"/>
      <c r="AW459" s="398"/>
      <c r="AX459" s="398"/>
      <c r="AY459" s="398"/>
      <c r="AZ459" s="398"/>
      <c r="BA459" s="398"/>
      <c r="BB459" s="398"/>
      <c r="BC459" s="398"/>
    </row>
    <row r="460" spans="1:55" x14ac:dyDescent="0.25">
      <c r="A460" s="713"/>
      <c r="B460" s="696"/>
      <c r="C460" s="696"/>
      <c r="D460" s="399" t="s">
        <v>360</v>
      </c>
      <c r="E460" s="400">
        <v>634002175</v>
      </c>
      <c r="F460" s="423">
        <f t="shared" si="49"/>
        <v>634002175</v>
      </c>
      <c r="G460" s="423">
        <f t="shared" si="49"/>
        <v>639289845</v>
      </c>
      <c r="H460" s="423">
        <f t="shared" si="49"/>
        <v>639289845</v>
      </c>
      <c r="I460" s="423"/>
      <c r="J460" s="423">
        <f t="shared" si="50"/>
        <v>343239718</v>
      </c>
      <c r="K460" s="423">
        <f t="shared" si="50"/>
        <v>492014500</v>
      </c>
      <c r="L460" s="423">
        <f t="shared" si="50"/>
        <v>604048233</v>
      </c>
      <c r="M460" s="393"/>
      <c r="N460" s="696"/>
      <c r="O460" s="696"/>
      <c r="P460" s="696"/>
      <c r="Q460" s="696"/>
      <c r="R460" s="696"/>
      <c r="S460" s="696"/>
      <c r="T460" s="696"/>
      <c r="U460" s="696"/>
      <c r="V460" s="696"/>
      <c r="W460" s="696"/>
      <c r="X460" s="696"/>
      <c r="Y460" s="699"/>
      <c r="Z460" s="394"/>
      <c r="AA460" s="395"/>
      <c r="AB460" s="395"/>
      <c r="AC460" s="395"/>
      <c r="AD460" s="395"/>
      <c r="AE460" s="395"/>
      <c r="AF460" s="395"/>
      <c r="AG460" s="395"/>
      <c r="AH460" s="395"/>
      <c r="AI460" s="395"/>
      <c r="AJ460" s="396"/>
      <c r="AK460" s="397"/>
      <c r="AL460" s="397"/>
      <c r="AM460" s="398"/>
      <c r="AN460" s="398"/>
      <c r="AO460" s="398"/>
      <c r="AP460" s="398"/>
      <c r="AQ460" s="398"/>
      <c r="AR460" s="398"/>
      <c r="AS460" s="398"/>
      <c r="AT460" s="398"/>
      <c r="AU460" s="398"/>
      <c r="AV460" s="398"/>
      <c r="AW460" s="398"/>
      <c r="AX460" s="398"/>
      <c r="AY460" s="398"/>
      <c r="AZ460" s="398"/>
      <c r="BA460" s="398"/>
      <c r="BB460" s="398"/>
      <c r="BC460" s="398"/>
    </row>
    <row r="461" spans="1:55" ht="22.5" x14ac:dyDescent="0.25">
      <c r="A461" s="713"/>
      <c r="B461" s="696"/>
      <c r="C461" s="696"/>
      <c r="D461" s="399" t="s">
        <v>365</v>
      </c>
      <c r="E461" s="457">
        <v>0</v>
      </c>
      <c r="F461" s="458">
        <f t="shared" si="49"/>
        <v>0</v>
      </c>
      <c r="G461" s="458">
        <f t="shared" si="49"/>
        <v>0</v>
      </c>
      <c r="H461" s="458">
        <f t="shared" si="49"/>
        <v>0</v>
      </c>
      <c r="I461" s="458"/>
      <c r="J461" s="458">
        <f t="shared" si="50"/>
        <v>0</v>
      </c>
      <c r="K461" s="458">
        <f t="shared" si="50"/>
        <v>0</v>
      </c>
      <c r="L461" s="458">
        <f t="shared" si="50"/>
        <v>0</v>
      </c>
      <c r="M461" s="393"/>
      <c r="N461" s="696"/>
      <c r="O461" s="696"/>
      <c r="P461" s="696"/>
      <c r="Q461" s="696"/>
      <c r="R461" s="696"/>
      <c r="S461" s="696"/>
      <c r="T461" s="696"/>
      <c r="U461" s="696"/>
      <c r="V461" s="696"/>
      <c r="W461" s="696"/>
      <c r="X461" s="696"/>
      <c r="Y461" s="699"/>
      <c r="Z461" s="394"/>
      <c r="AA461" s="395"/>
      <c r="AB461" s="395"/>
      <c r="AC461" s="395"/>
      <c r="AD461" s="395"/>
      <c r="AE461" s="395"/>
      <c r="AF461" s="395"/>
      <c r="AG461" s="395"/>
      <c r="AH461" s="395"/>
      <c r="AI461" s="395"/>
      <c r="AJ461" s="396"/>
      <c r="AK461" s="397"/>
      <c r="AL461" s="397"/>
      <c r="AM461" s="398"/>
      <c r="AN461" s="398"/>
      <c r="AO461" s="398"/>
      <c r="AP461" s="398"/>
      <c r="AQ461" s="398"/>
      <c r="AR461" s="398"/>
      <c r="AS461" s="398"/>
      <c r="AT461" s="398"/>
      <c r="AU461" s="398"/>
      <c r="AV461" s="398"/>
      <c r="AW461" s="398"/>
      <c r="AX461" s="398"/>
      <c r="AY461" s="398"/>
      <c r="AZ461" s="398"/>
      <c r="BA461" s="398"/>
      <c r="BB461" s="398"/>
      <c r="BC461" s="398"/>
    </row>
    <row r="462" spans="1:55" ht="23.25" thickBot="1" x14ac:dyDescent="0.3">
      <c r="A462" s="714"/>
      <c r="B462" s="697"/>
      <c r="C462" s="697"/>
      <c r="D462" s="402" t="s">
        <v>370</v>
      </c>
      <c r="E462" s="403">
        <v>145993200</v>
      </c>
      <c r="F462" s="425">
        <f t="shared" si="49"/>
        <v>145993200</v>
      </c>
      <c r="G462" s="425">
        <f t="shared" si="49"/>
        <v>145993200</v>
      </c>
      <c r="H462" s="425">
        <f t="shared" si="49"/>
        <v>141527133</v>
      </c>
      <c r="I462" s="425"/>
      <c r="J462" s="425">
        <f t="shared" si="50"/>
        <v>64943266</v>
      </c>
      <c r="K462" s="425">
        <f t="shared" si="50"/>
        <v>121367100</v>
      </c>
      <c r="L462" s="425">
        <f t="shared" si="50"/>
        <v>141527133</v>
      </c>
      <c r="M462" s="404"/>
      <c r="N462" s="697"/>
      <c r="O462" s="697"/>
      <c r="P462" s="697"/>
      <c r="Q462" s="697"/>
      <c r="R462" s="697"/>
      <c r="S462" s="697"/>
      <c r="T462" s="697"/>
      <c r="U462" s="697"/>
      <c r="V462" s="697"/>
      <c r="W462" s="697"/>
      <c r="X462" s="697"/>
      <c r="Y462" s="700"/>
      <c r="Z462" s="394"/>
      <c r="AA462" s="395"/>
      <c r="AB462" s="395"/>
      <c r="AC462" s="395"/>
      <c r="AD462" s="395"/>
      <c r="AE462" s="395"/>
      <c r="AF462" s="395"/>
      <c r="AG462" s="395"/>
      <c r="AH462" s="395"/>
      <c r="AI462" s="395"/>
      <c r="AJ462" s="396"/>
      <c r="AK462" s="397"/>
      <c r="AL462" s="397"/>
      <c r="AM462" s="398"/>
      <c r="AN462" s="398"/>
      <c r="AO462" s="398"/>
      <c r="AP462" s="398"/>
      <c r="AQ462" s="398"/>
      <c r="AR462" s="398"/>
      <c r="AS462" s="398"/>
      <c r="AT462" s="398"/>
      <c r="AU462" s="398"/>
      <c r="AV462" s="398"/>
      <c r="AW462" s="398"/>
      <c r="AX462" s="398"/>
      <c r="AY462" s="398"/>
      <c r="AZ462" s="398"/>
      <c r="BA462" s="398"/>
      <c r="BB462" s="398"/>
      <c r="BC462" s="398"/>
    </row>
    <row r="463" spans="1:55" ht="22.5" x14ac:dyDescent="0.25">
      <c r="A463" s="712">
        <v>15</v>
      </c>
      <c r="B463" s="710" t="s">
        <v>237</v>
      </c>
      <c r="C463" s="710" t="s">
        <v>528</v>
      </c>
      <c r="D463" s="405" t="s">
        <v>348</v>
      </c>
      <c r="E463" s="454">
        <v>0.7</v>
      </c>
      <c r="F463" s="454">
        <v>0.7</v>
      </c>
      <c r="G463" s="454">
        <v>0.7</v>
      </c>
      <c r="H463" s="454">
        <f>[1]INVERSIÓN!V93</f>
        <v>0.7</v>
      </c>
      <c r="I463" s="455"/>
      <c r="J463" s="454">
        <v>0.26300000000000001</v>
      </c>
      <c r="K463" s="454">
        <v>0.27600000000000002</v>
      </c>
      <c r="L463" s="454">
        <f>[1]INVERSIÓN!AL93</f>
        <v>0.309</v>
      </c>
      <c r="M463" s="455"/>
      <c r="N463" s="710" t="s">
        <v>349</v>
      </c>
      <c r="O463" s="710" t="s">
        <v>104</v>
      </c>
      <c r="P463" s="710" t="s">
        <v>104</v>
      </c>
      <c r="Q463" s="710" t="s">
        <v>104</v>
      </c>
      <c r="R463" s="716" t="s">
        <v>353</v>
      </c>
      <c r="S463" s="695">
        <v>8185614</v>
      </c>
      <c r="T463" s="711"/>
      <c r="U463" s="695" t="s">
        <v>354</v>
      </c>
      <c r="V463" s="695" t="s">
        <v>355</v>
      </c>
      <c r="W463" s="695" t="s">
        <v>356</v>
      </c>
      <c r="X463" s="695" t="s">
        <v>357</v>
      </c>
      <c r="Y463" s="698">
        <v>8185614</v>
      </c>
      <c r="Z463" s="381"/>
      <c r="AA463" s="382">
        <v>12</v>
      </c>
      <c r="AB463" s="382" t="s">
        <v>358</v>
      </c>
      <c r="AC463" s="382"/>
      <c r="AD463" s="382"/>
      <c r="AE463" s="382"/>
      <c r="AF463" s="382" t="s">
        <v>359</v>
      </c>
      <c r="AG463" s="382"/>
      <c r="AH463" s="382"/>
      <c r="AI463" s="382"/>
      <c r="AJ463" s="383"/>
      <c r="AK463" s="171"/>
      <c r="AL463" s="171"/>
      <c r="AM463" s="19"/>
      <c r="AN463" s="19"/>
      <c r="AO463" s="19"/>
      <c r="AP463" s="19"/>
      <c r="AQ463" s="19"/>
      <c r="AR463" s="19"/>
      <c r="AS463" s="19"/>
      <c r="AT463" s="5"/>
      <c r="AU463" s="5"/>
      <c r="AV463" s="5"/>
      <c r="AW463" s="5"/>
      <c r="AX463" s="5"/>
      <c r="AY463" s="5"/>
      <c r="AZ463" s="5"/>
      <c r="BA463" s="5"/>
      <c r="BB463" s="5"/>
      <c r="BC463" s="5"/>
    </row>
    <row r="464" spans="1:55" ht="45" x14ac:dyDescent="0.25">
      <c r="A464" s="713"/>
      <c r="B464" s="696"/>
      <c r="C464" s="696"/>
      <c r="D464" s="384" t="s">
        <v>360</v>
      </c>
      <c r="E464" s="407">
        <v>127743000</v>
      </c>
      <c r="F464" s="407">
        <v>127743000</v>
      </c>
      <c r="G464" s="407">
        <v>127743000</v>
      </c>
      <c r="H464" s="407">
        <f>[1]INVERSIÓN!V94</f>
        <v>127743000</v>
      </c>
      <c r="I464" s="441"/>
      <c r="J464" s="407">
        <v>0</v>
      </c>
      <c r="K464" s="407">
        <v>0</v>
      </c>
      <c r="L464" s="407">
        <f>[1]INVERSIÓN!AL94</f>
        <v>15000000</v>
      </c>
      <c r="M464" s="441"/>
      <c r="N464" s="696"/>
      <c r="O464" s="696"/>
      <c r="P464" s="696"/>
      <c r="Q464" s="696"/>
      <c r="R464" s="696"/>
      <c r="S464" s="696"/>
      <c r="T464" s="696"/>
      <c r="U464" s="696"/>
      <c r="V464" s="696"/>
      <c r="W464" s="696"/>
      <c r="X464" s="696"/>
      <c r="Y464" s="699"/>
      <c r="Z464" s="381"/>
      <c r="AA464" s="382">
        <v>13</v>
      </c>
      <c r="AB464" s="382" t="s">
        <v>363</v>
      </c>
      <c r="AC464" s="382"/>
      <c r="AD464" s="382"/>
      <c r="AE464" s="382"/>
      <c r="AF464" s="382" t="s">
        <v>364</v>
      </c>
      <c r="AG464" s="382"/>
      <c r="AH464" s="382"/>
      <c r="AI464" s="382"/>
      <c r="AJ464" s="383"/>
      <c r="AK464" s="171"/>
      <c r="AL464" s="171"/>
      <c r="AM464" s="19"/>
      <c r="AN464" s="19"/>
      <c r="AO464" s="19"/>
      <c r="AP464" s="19"/>
      <c r="AQ464" s="19"/>
      <c r="AR464" s="19"/>
      <c r="AS464" s="19"/>
      <c r="AT464" s="5"/>
      <c r="AU464" s="5"/>
      <c r="AV464" s="5"/>
      <c r="AW464" s="5"/>
      <c r="AX464" s="5"/>
      <c r="AY464" s="5"/>
      <c r="AZ464" s="5"/>
      <c r="BA464" s="5"/>
      <c r="BB464" s="5"/>
      <c r="BC464" s="5"/>
    </row>
    <row r="465" spans="1:55" ht="78.75" x14ac:dyDescent="0.25">
      <c r="A465" s="713"/>
      <c r="B465" s="696"/>
      <c r="C465" s="696"/>
      <c r="D465" s="384" t="s">
        <v>365</v>
      </c>
      <c r="E465" s="456">
        <v>0</v>
      </c>
      <c r="F465" s="456">
        <v>0</v>
      </c>
      <c r="G465" s="456">
        <v>0</v>
      </c>
      <c r="H465" s="456">
        <f>[1]INVERSIÓN!V95</f>
        <v>0</v>
      </c>
      <c r="I465" s="467"/>
      <c r="J465" s="456">
        <v>0</v>
      </c>
      <c r="K465" s="456">
        <v>0</v>
      </c>
      <c r="L465" s="456">
        <f>[1]INVERSIÓN!AL95</f>
        <v>0</v>
      </c>
      <c r="M465" s="467"/>
      <c r="N465" s="696"/>
      <c r="O465" s="696"/>
      <c r="P465" s="696"/>
      <c r="Q465" s="696"/>
      <c r="R465" s="696"/>
      <c r="S465" s="696"/>
      <c r="T465" s="696"/>
      <c r="U465" s="696"/>
      <c r="V465" s="696"/>
      <c r="W465" s="696"/>
      <c r="X465" s="696"/>
      <c r="Y465" s="699"/>
      <c r="Z465" s="381"/>
      <c r="AA465" s="382">
        <v>14</v>
      </c>
      <c r="AB465" s="382" t="s">
        <v>367</v>
      </c>
      <c r="AC465" s="382"/>
      <c r="AD465" s="382"/>
      <c r="AE465" s="382"/>
      <c r="AF465" s="382" t="s">
        <v>369</v>
      </c>
      <c r="AG465" s="382"/>
      <c r="AH465" s="382"/>
      <c r="AI465" s="382"/>
      <c r="AJ465" s="383"/>
      <c r="AK465" s="171"/>
      <c r="AL465" s="171"/>
      <c r="AM465" s="19"/>
      <c r="AN465" s="19"/>
      <c r="AO465" s="19"/>
      <c r="AP465" s="19"/>
      <c r="AQ465" s="19"/>
      <c r="AR465" s="19"/>
      <c r="AS465" s="19"/>
      <c r="AT465" s="5"/>
      <c r="AU465" s="5"/>
      <c r="AV465" s="5"/>
      <c r="AW465" s="5"/>
      <c r="AX465" s="5"/>
      <c r="AY465" s="5"/>
      <c r="AZ465" s="5"/>
      <c r="BA465" s="5"/>
      <c r="BB465" s="5"/>
      <c r="BC465" s="5"/>
    </row>
    <row r="466" spans="1:55" ht="22.5" x14ac:dyDescent="0.25">
      <c r="A466" s="713"/>
      <c r="B466" s="696"/>
      <c r="C466" s="696"/>
      <c r="D466" s="384" t="s">
        <v>370</v>
      </c>
      <c r="E466" s="407">
        <v>0</v>
      </c>
      <c r="F466" s="407">
        <v>0</v>
      </c>
      <c r="G466" s="407">
        <v>0</v>
      </c>
      <c r="H466" s="407">
        <f>[1]INVERSIÓN!V96</f>
        <v>0</v>
      </c>
      <c r="I466" s="390"/>
      <c r="J466" s="407">
        <v>0</v>
      </c>
      <c r="K466" s="407">
        <v>0</v>
      </c>
      <c r="L466" s="407">
        <f>[1]INVERSIÓN!AL96</f>
        <v>0</v>
      </c>
      <c r="M466" s="390"/>
      <c r="N466" s="696"/>
      <c r="O466" s="696"/>
      <c r="P466" s="696"/>
      <c r="Q466" s="696"/>
      <c r="R466" s="696"/>
      <c r="S466" s="696"/>
      <c r="T466" s="696"/>
      <c r="U466" s="696"/>
      <c r="V466" s="696"/>
      <c r="W466" s="696"/>
      <c r="X466" s="696"/>
      <c r="Y466" s="699"/>
      <c r="Z466" s="381"/>
      <c r="AA466" s="382"/>
      <c r="AB466" s="382"/>
      <c r="AC466" s="382"/>
      <c r="AD466" s="382"/>
      <c r="AE466" s="382"/>
      <c r="AF466" s="382"/>
      <c r="AG466" s="382"/>
      <c r="AH466" s="382"/>
      <c r="AI466" s="382"/>
      <c r="AJ466" s="383"/>
      <c r="AK466" s="171"/>
      <c r="AL466" s="171"/>
      <c r="AM466" s="19"/>
      <c r="AN466" s="19"/>
      <c r="AO466" s="19"/>
      <c r="AP466" s="19"/>
      <c r="AQ466" s="19"/>
      <c r="AR466" s="19"/>
      <c r="AS466" s="19"/>
      <c r="AT466" s="5"/>
      <c r="AU466" s="5"/>
      <c r="AV466" s="5"/>
      <c r="AW466" s="5"/>
      <c r="AX466" s="5"/>
      <c r="AY466" s="5"/>
      <c r="AZ466" s="5"/>
      <c r="BA466" s="5"/>
      <c r="BB466" s="5"/>
      <c r="BC466" s="5"/>
    </row>
    <row r="467" spans="1:55" x14ac:dyDescent="0.25">
      <c r="A467" s="713"/>
      <c r="B467" s="696"/>
      <c r="C467" s="701" t="s">
        <v>417</v>
      </c>
      <c r="D467" s="391" t="s">
        <v>348</v>
      </c>
      <c r="E467" s="457">
        <v>0.7</v>
      </c>
      <c r="F467" s="458">
        <f t="shared" ref="F467:H470" si="51">F463</f>
        <v>0.7</v>
      </c>
      <c r="G467" s="458">
        <f t="shared" si="51"/>
        <v>0.7</v>
      </c>
      <c r="H467" s="458">
        <f t="shared" si="51"/>
        <v>0.7</v>
      </c>
      <c r="I467" s="408"/>
      <c r="J467" s="458">
        <f t="shared" ref="J467:L470" si="52">J463</f>
        <v>0.26300000000000001</v>
      </c>
      <c r="K467" s="458">
        <f t="shared" si="52"/>
        <v>0.27600000000000002</v>
      </c>
      <c r="L467" s="458">
        <f t="shared" si="52"/>
        <v>0.309</v>
      </c>
      <c r="M467" s="393"/>
      <c r="N467" s="696"/>
      <c r="O467" s="696"/>
      <c r="P467" s="696"/>
      <c r="Q467" s="696"/>
      <c r="R467" s="696"/>
      <c r="S467" s="696"/>
      <c r="T467" s="696"/>
      <c r="U467" s="696"/>
      <c r="V467" s="696"/>
      <c r="W467" s="696"/>
      <c r="X467" s="696"/>
      <c r="Y467" s="699"/>
      <c r="Z467" s="394"/>
      <c r="AA467" s="395"/>
      <c r="AB467" s="395"/>
      <c r="AC467" s="395"/>
      <c r="AD467" s="395"/>
      <c r="AE467" s="395"/>
      <c r="AF467" s="395"/>
      <c r="AG467" s="395"/>
      <c r="AH467" s="395"/>
      <c r="AI467" s="395"/>
      <c r="AJ467" s="396"/>
      <c r="AK467" s="397"/>
      <c r="AL467" s="397"/>
      <c r="AM467" s="398"/>
      <c r="AN467" s="398"/>
      <c r="AO467" s="398"/>
      <c r="AP467" s="398"/>
      <c r="AQ467" s="398"/>
      <c r="AR467" s="398"/>
      <c r="AS467" s="398"/>
      <c r="AT467" s="398"/>
      <c r="AU467" s="398"/>
      <c r="AV467" s="398"/>
      <c r="AW467" s="398"/>
      <c r="AX467" s="398"/>
      <c r="AY467" s="398"/>
      <c r="AZ467" s="398"/>
      <c r="BA467" s="398"/>
      <c r="BB467" s="398"/>
      <c r="BC467" s="398"/>
    </row>
    <row r="468" spans="1:55" x14ac:dyDescent="0.25">
      <c r="A468" s="713"/>
      <c r="B468" s="696"/>
      <c r="C468" s="696"/>
      <c r="D468" s="399" t="s">
        <v>360</v>
      </c>
      <c r="E468" s="400">
        <v>127743000</v>
      </c>
      <c r="F468" s="423">
        <f t="shared" si="51"/>
        <v>127743000</v>
      </c>
      <c r="G468" s="423">
        <f t="shared" si="51"/>
        <v>127743000</v>
      </c>
      <c r="H468" s="423">
        <f t="shared" si="51"/>
        <v>127743000</v>
      </c>
      <c r="I468" s="423"/>
      <c r="J468" s="423">
        <f t="shared" si="52"/>
        <v>0</v>
      </c>
      <c r="K468" s="423">
        <f t="shared" si="52"/>
        <v>0</v>
      </c>
      <c r="L468" s="423">
        <f t="shared" si="52"/>
        <v>15000000</v>
      </c>
      <c r="M468" s="393"/>
      <c r="N468" s="696"/>
      <c r="O468" s="696"/>
      <c r="P468" s="696"/>
      <c r="Q468" s="696"/>
      <c r="R468" s="696"/>
      <c r="S468" s="696"/>
      <c r="T468" s="696"/>
      <c r="U468" s="696"/>
      <c r="V468" s="696"/>
      <c r="W468" s="696"/>
      <c r="X468" s="696"/>
      <c r="Y468" s="699"/>
      <c r="Z468" s="394"/>
      <c r="AA468" s="395"/>
      <c r="AB468" s="395"/>
      <c r="AC468" s="395"/>
      <c r="AD468" s="395"/>
      <c r="AE468" s="395"/>
      <c r="AF468" s="395"/>
      <c r="AG468" s="395"/>
      <c r="AH468" s="395"/>
      <c r="AI468" s="395"/>
      <c r="AJ468" s="396"/>
      <c r="AK468" s="397"/>
      <c r="AL468" s="397"/>
      <c r="AM468" s="398"/>
      <c r="AN468" s="398"/>
      <c r="AO468" s="398"/>
      <c r="AP468" s="398"/>
      <c r="AQ468" s="398"/>
      <c r="AR468" s="398"/>
      <c r="AS468" s="398"/>
      <c r="AT468" s="398"/>
      <c r="AU468" s="398"/>
      <c r="AV468" s="398"/>
      <c r="AW468" s="398"/>
      <c r="AX468" s="398"/>
      <c r="AY468" s="398"/>
      <c r="AZ468" s="398"/>
      <c r="BA468" s="398"/>
      <c r="BB468" s="398"/>
      <c r="BC468" s="398"/>
    </row>
    <row r="469" spans="1:55" ht="22.5" x14ac:dyDescent="0.25">
      <c r="A469" s="713"/>
      <c r="B469" s="696"/>
      <c r="C469" s="696"/>
      <c r="D469" s="399" t="s">
        <v>365</v>
      </c>
      <c r="E469" s="457">
        <v>0</v>
      </c>
      <c r="F469" s="458">
        <f t="shared" si="51"/>
        <v>0</v>
      </c>
      <c r="G469" s="458">
        <f t="shared" si="51"/>
        <v>0</v>
      </c>
      <c r="H469" s="458">
        <f t="shared" si="51"/>
        <v>0</v>
      </c>
      <c r="I469" s="458"/>
      <c r="J469" s="458">
        <f t="shared" si="52"/>
        <v>0</v>
      </c>
      <c r="K469" s="458">
        <f t="shared" si="52"/>
        <v>0</v>
      </c>
      <c r="L469" s="458">
        <f t="shared" si="52"/>
        <v>0</v>
      </c>
      <c r="M469" s="393"/>
      <c r="N469" s="696"/>
      <c r="O469" s="696"/>
      <c r="P469" s="696"/>
      <c r="Q469" s="696"/>
      <c r="R469" s="696"/>
      <c r="S469" s="696"/>
      <c r="T469" s="696"/>
      <c r="U469" s="696"/>
      <c r="V469" s="696"/>
      <c r="W469" s="696"/>
      <c r="X469" s="696"/>
      <c r="Y469" s="699"/>
      <c r="Z469" s="394"/>
      <c r="AA469" s="395"/>
      <c r="AB469" s="395"/>
      <c r="AC469" s="395"/>
      <c r="AD469" s="395"/>
      <c r="AE469" s="395"/>
      <c r="AF469" s="395"/>
      <c r="AG469" s="395"/>
      <c r="AH469" s="395"/>
      <c r="AI469" s="395"/>
      <c r="AJ469" s="396"/>
      <c r="AK469" s="397"/>
      <c r="AL469" s="397"/>
      <c r="AM469" s="398"/>
      <c r="AN469" s="398"/>
      <c r="AO469" s="398"/>
      <c r="AP469" s="398"/>
      <c r="AQ469" s="398"/>
      <c r="AR469" s="398"/>
      <c r="AS469" s="398"/>
      <c r="AT469" s="398"/>
      <c r="AU469" s="398"/>
      <c r="AV469" s="398"/>
      <c r="AW469" s="398"/>
      <c r="AX469" s="398"/>
      <c r="AY469" s="398"/>
      <c r="AZ469" s="398"/>
      <c r="BA469" s="398"/>
      <c r="BB469" s="398"/>
      <c r="BC469" s="398"/>
    </row>
    <row r="470" spans="1:55" ht="23.25" thickBot="1" x14ac:dyDescent="0.3">
      <c r="A470" s="714"/>
      <c r="B470" s="697"/>
      <c r="C470" s="697"/>
      <c r="D470" s="402" t="s">
        <v>370</v>
      </c>
      <c r="E470" s="403">
        <v>0</v>
      </c>
      <c r="F470" s="425">
        <f t="shared" si="51"/>
        <v>0</v>
      </c>
      <c r="G470" s="425">
        <f t="shared" si="51"/>
        <v>0</v>
      </c>
      <c r="H470" s="425">
        <f t="shared" si="51"/>
        <v>0</v>
      </c>
      <c r="I470" s="425"/>
      <c r="J470" s="425">
        <f t="shared" si="52"/>
        <v>0</v>
      </c>
      <c r="K470" s="425">
        <f t="shared" si="52"/>
        <v>0</v>
      </c>
      <c r="L470" s="425">
        <f t="shared" si="52"/>
        <v>0</v>
      </c>
      <c r="M470" s="404"/>
      <c r="N470" s="697"/>
      <c r="O470" s="697"/>
      <c r="P470" s="697"/>
      <c r="Q470" s="697"/>
      <c r="R470" s="697"/>
      <c r="S470" s="697"/>
      <c r="T470" s="697"/>
      <c r="U470" s="697"/>
      <c r="V470" s="697"/>
      <c r="W470" s="697"/>
      <c r="X470" s="697"/>
      <c r="Y470" s="700"/>
      <c r="Z470" s="394"/>
      <c r="AA470" s="395"/>
      <c r="AB470" s="395"/>
      <c r="AC470" s="395"/>
      <c r="AD470" s="395"/>
      <c r="AE470" s="395"/>
      <c r="AF470" s="395"/>
      <c r="AG470" s="395"/>
      <c r="AH470" s="395"/>
      <c r="AI470" s="395"/>
      <c r="AJ470" s="396"/>
      <c r="AK470" s="397"/>
      <c r="AL470" s="397"/>
      <c r="AM470" s="398"/>
      <c r="AN470" s="398"/>
      <c r="AO470" s="398"/>
      <c r="AP470" s="398"/>
      <c r="AQ470" s="398"/>
      <c r="AR470" s="398"/>
      <c r="AS470" s="398"/>
      <c r="AT470" s="398"/>
      <c r="AU470" s="398"/>
      <c r="AV470" s="398"/>
      <c r="AW470" s="398"/>
      <c r="AX470" s="398"/>
      <c r="AY470" s="398"/>
      <c r="AZ470" s="398"/>
      <c r="BA470" s="398"/>
      <c r="BB470" s="398"/>
      <c r="BC470" s="398"/>
    </row>
    <row r="471" spans="1:55" ht="22.5" x14ac:dyDescent="0.25">
      <c r="A471" s="712">
        <v>16</v>
      </c>
      <c r="B471" s="710" t="s">
        <v>246</v>
      </c>
      <c r="C471" s="710" t="s">
        <v>529</v>
      </c>
      <c r="D471" s="405" t="s">
        <v>348</v>
      </c>
      <c r="E471" s="379">
        <v>7333</v>
      </c>
      <c r="F471" s="379">
        <v>7333</v>
      </c>
      <c r="G471" s="379">
        <v>7333</v>
      </c>
      <c r="H471" s="379">
        <f>[1]INVERSIÓN!V99</f>
        <v>7333</v>
      </c>
      <c r="I471" s="380"/>
      <c r="J471" s="379">
        <v>1625</v>
      </c>
      <c r="K471" s="379">
        <v>5208</v>
      </c>
      <c r="L471" s="379">
        <f>[1]INVERSIÓN!AL99</f>
        <v>5396</v>
      </c>
      <c r="M471" s="380"/>
      <c r="N471" s="710" t="s">
        <v>349</v>
      </c>
      <c r="O471" s="710" t="s">
        <v>104</v>
      </c>
      <c r="P471" s="710" t="s">
        <v>104</v>
      </c>
      <c r="Q471" s="710" t="s">
        <v>104</v>
      </c>
      <c r="R471" s="716" t="s">
        <v>353</v>
      </c>
      <c r="S471" s="695">
        <v>8185614</v>
      </c>
      <c r="T471" s="711"/>
      <c r="U471" s="695" t="s">
        <v>354</v>
      </c>
      <c r="V471" s="695" t="s">
        <v>355</v>
      </c>
      <c r="W471" s="695" t="s">
        <v>356</v>
      </c>
      <c r="X471" s="695" t="s">
        <v>357</v>
      </c>
      <c r="Y471" s="698">
        <v>8185614</v>
      </c>
      <c r="Z471" s="381"/>
      <c r="AA471" s="382">
        <v>12</v>
      </c>
      <c r="AB471" s="382" t="s">
        <v>358</v>
      </c>
      <c r="AC471" s="382"/>
      <c r="AD471" s="382"/>
      <c r="AE471" s="382"/>
      <c r="AF471" s="382" t="s">
        <v>359</v>
      </c>
      <c r="AG471" s="382"/>
      <c r="AH471" s="382"/>
      <c r="AI471" s="382"/>
      <c r="AJ471" s="383"/>
      <c r="AK471" s="171"/>
      <c r="AL471" s="171"/>
      <c r="AM471" s="19"/>
      <c r="AN471" s="19"/>
      <c r="AO471" s="19"/>
      <c r="AP471" s="19"/>
      <c r="AQ471" s="19"/>
      <c r="AR471" s="19"/>
      <c r="AS471" s="19"/>
      <c r="AT471" s="5"/>
      <c r="AU471" s="5"/>
      <c r="AV471" s="5"/>
      <c r="AW471" s="5"/>
      <c r="AX471" s="5"/>
      <c r="AY471" s="5"/>
      <c r="AZ471" s="5"/>
      <c r="BA471" s="5"/>
      <c r="BB471" s="5"/>
      <c r="BC471" s="5"/>
    </row>
    <row r="472" spans="1:55" ht="45" x14ac:dyDescent="0.25">
      <c r="A472" s="713"/>
      <c r="B472" s="696"/>
      <c r="C472" s="696"/>
      <c r="D472" s="384" t="s">
        <v>360</v>
      </c>
      <c r="E472" s="407">
        <v>525237755</v>
      </c>
      <c r="F472" s="407">
        <v>525237755</v>
      </c>
      <c r="G472" s="407">
        <v>525237755</v>
      </c>
      <c r="H472" s="407">
        <f>[1]INVERSIÓN!V100</f>
        <v>525237755</v>
      </c>
      <c r="I472" s="390"/>
      <c r="J472" s="407">
        <v>373920241</v>
      </c>
      <c r="K472" s="407">
        <v>452755331</v>
      </c>
      <c r="L472" s="407">
        <f>[1]INVERSIÓN!AL100</f>
        <v>454397291</v>
      </c>
      <c r="M472" s="390"/>
      <c r="N472" s="696"/>
      <c r="O472" s="696"/>
      <c r="P472" s="696"/>
      <c r="Q472" s="696"/>
      <c r="R472" s="696"/>
      <c r="S472" s="696"/>
      <c r="T472" s="696"/>
      <c r="U472" s="696"/>
      <c r="V472" s="696"/>
      <c r="W472" s="696"/>
      <c r="X472" s="696"/>
      <c r="Y472" s="699"/>
      <c r="Z472" s="381"/>
      <c r="AA472" s="382">
        <v>13</v>
      </c>
      <c r="AB472" s="382" t="s">
        <v>363</v>
      </c>
      <c r="AC472" s="382"/>
      <c r="AD472" s="382"/>
      <c r="AE472" s="382"/>
      <c r="AF472" s="382" t="s">
        <v>364</v>
      </c>
      <c r="AG472" s="382"/>
      <c r="AH472" s="382"/>
      <c r="AI472" s="382"/>
      <c r="AJ472" s="383"/>
      <c r="AK472" s="171"/>
      <c r="AL472" s="171"/>
      <c r="AM472" s="19"/>
      <c r="AN472" s="19"/>
      <c r="AO472" s="19"/>
      <c r="AP472" s="19"/>
      <c r="AQ472" s="19"/>
      <c r="AR472" s="19"/>
      <c r="AS472" s="19"/>
      <c r="AT472" s="5"/>
      <c r="AU472" s="5"/>
      <c r="AV472" s="5"/>
      <c r="AW472" s="5"/>
      <c r="AX472" s="5"/>
      <c r="AY472" s="5"/>
      <c r="AZ472" s="5"/>
      <c r="BA472" s="5"/>
      <c r="BB472" s="5"/>
      <c r="BC472" s="5"/>
    </row>
    <row r="473" spans="1:55" ht="78.75" x14ac:dyDescent="0.25">
      <c r="A473" s="713"/>
      <c r="B473" s="696"/>
      <c r="C473" s="696"/>
      <c r="D473" s="384" t="s">
        <v>365</v>
      </c>
      <c r="E473" s="387">
        <v>0</v>
      </c>
      <c r="F473" s="387">
        <v>0</v>
      </c>
      <c r="G473" s="387">
        <v>0</v>
      </c>
      <c r="H473" s="387">
        <f>[1]INVERSIÓN!V101</f>
        <v>0</v>
      </c>
      <c r="I473" s="390"/>
      <c r="J473" s="387">
        <v>0</v>
      </c>
      <c r="K473" s="387">
        <v>0</v>
      </c>
      <c r="L473" s="387">
        <f>[1]INVERSIÓN!AL101</f>
        <v>0</v>
      </c>
      <c r="M473" s="390"/>
      <c r="N473" s="696"/>
      <c r="O473" s="696"/>
      <c r="P473" s="696"/>
      <c r="Q473" s="696"/>
      <c r="R473" s="696"/>
      <c r="S473" s="696"/>
      <c r="T473" s="696"/>
      <c r="U473" s="696"/>
      <c r="V473" s="696"/>
      <c r="W473" s="696"/>
      <c r="X473" s="696"/>
      <c r="Y473" s="699"/>
      <c r="Z473" s="381"/>
      <c r="AA473" s="382">
        <v>14</v>
      </c>
      <c r="AB473" s="382" t="s">
        <v>367</v>
      </c>
      <c r="AC473" s="382"/>
      <c r="AD473" s="382"/>
      <c r="AE473" s="382"/>
      <c r="AF473" s="382" t="s">
        <v>369</v>
      </c>
      <c r="AG473" s="382"/>
      <c r="AH473" s="382"/>
      <c r="AI473" s="382"/>
      <c r="AJ473" s="383"/>
      <c r="AK473" s="171"/>
      <c r="AL473" s="171"/>
      <c r="AM473" s="19"/>
      <c r="AN473" s="19"/>
      <c r="AO473" s="19"/>
      <c r="AP473" s="19"/>
      <c r="AQ473" s="19"/>
      <c r="AR473" s="19"/>
      <c r="AS473" s="19"/>
      <c r="AT473" s="5"/>
      <c r="AU473" s="5"/>
      <c r="AV473" s="5"/>
      <c r="AW473" s="5"/>
      <c r="AX473" s="5"/>
      <c r="AY473" s="5"/>
      <c r="AZ473" s="5"/>
      <c r="BA473" s="5"/>
      <c r="BB473" s="5"/>
      <c r="BC473" s="5"/>
    </row>
    <row r="474" spans="1:55" ht="22.5" x14ac:dyDescent="0.25">
      <c r="A474" s="713"/>
      <c r="B474" s="696"/>
      <c r="C474" s="696"/>
      <c r="D474" s="384" t="s">
        <v>370</v>
      </c>
      <c r="E474" s="407">
        <v>61495493</v>
      </c>
      <c r="F474" s="407">
        <v>61495493</v>
      </c>
      <c r="G474" s="407">
        <v>61495493</v>
      </c>
      <c r="H474" s="407">
        <f>[1]INVERSIÓN!V102</f>
        <v>61495493</v>
      </c>
      <c r="I474" s="390"/>
      <c r="J474" s="407">
        <v>53105859</v>
      </c>
      <c r="K474" s="407">
        <v>61495493</v>
      </c>
      <c r="L474" s="407">
        <f>[1]INVERSIÓN!AL102</f>
        <v>61495493</v>
      </c>
      <c r="M474" s="390"/>
      <c r="N474" s="696"/>
      <c r="O474" s="696"/>
      <c r="P474" s="696"/>
      <c r="Q474" s="696"/>
      <c r="R474" s="696"/>
      <c r="S474" s="696"/>
      <c r="T474" s="696"/>
      <c r="U474" s="696"/>
      <c r="V474" s="696"/>
      <c r="W474" s="696"/>
      <c r="X474" s="696"/>
      <c r="Y474" s="699"/>
      <c r="Z474" s="381"/>
      <c r="AA474" s="382"/>
      <c r="AB474" s="382"/>
      <c r="AC474" s="382"/>
      <c r="AD474" s="382"/>
      <c r="AE474" s="382"/>
      <c r="AF474" s="382"/>
      <c r="AG474" s="382"/>
      <c r="AH474" s="382"/>
      <c r="AI474" s="382"/>
      <c r="AJ474" s="383"/>
      <c r="AK474" s="171"/>
      <c r="AL474" s="171"/>
      <c r="AM474" s="19"/>
      <c r="AN474" s="19"/>
      <c r="AO474" s="19"/>
      <c r="AP474" s="19"/>
      <c r="AQ474" s="19"/>
      <c r="AR474" s="19"/>
      <c r="AS474" s="19"/>
      <c r="AT474" s="5"/>
      <c r="AU474" s="5"/>
      <c r="AV474" s="5"/>
      <c r="AW474" s="5"/>
      <c r="AX474" s="5"/>
      <c r="AY474" s="5"/>
      <c r="AZ474" s="5"/>
      <c r="BA474" s="5"/>
      <c r="BB474" s="5"/>
      <c r="BC474" s="5"/>
    </row>
    <row r="475" spans="1:55" x14ac:dyDescent="0.25">
      <c r="A475" s="713"/>
      <c r="B475" s="696"/>
      <c r="C475" s="722" t="s">
        <v>405</v>
      </c>
      <c r="D475" s="389" t="s">
        <v>348</v>
      </c>
      <c r="E475" s="387">
        <v>574</v>
      </c>
      <c r="F475" s="387">
        <v>574</v>
      </c>
      <c r="G475" s="387">
        <v>950.72</v>
      </c>
      <c r="H475" s="387">
        <v>1097.5450000000001</v>
      </c>
      <c r="I475" s="390"/>
      <c r="J475" s="387">
        <v>574</v>
      </c>
      <c r="K475" s="387">
        <v>950.72</v>
      </c>
      <c r="L475" s="387">
        <v>1097.5450000000001</v>
      </c>
      <c r="M475" s="460"/>
      <c r="N475" s="718" t="s">
        <v>405</v>
      </c>
      <c r="O475" s="720" t="s">
        <v>350</v>
      </c>
      <c r="P475" s="720" t="s">
        <v>351</v>
      </c>
      <c r="Q475" s="720" t="s">
        <v>352</v>
      </c>
      <c r="R475" s="720" t="s">
        <v>353</v>
      </c>
      <c r="S475" s="720">
        <v>220260</v>
      </c>
      <c r="T475" s="723">
        <v>253926</v>
      </c>
      <c r="U475" s="724" t="s">
        <v>494</v>
      </c>
      <c r="V475" s="720" t="s">
        <v>355</v>
      </c>
      <c r="W475" s="720" t="s">
        <v>356</v>
      </c>
      <c r="X475" s="720" t="s">
        <v>357</v>
      </c>
      <c r="Y475" s="721">
        <v>474186</v>
      </c>
      <c r="Z475" s="381"/>
      <c r="AA475" s="381"/>
      <c r="AB475" s="381"/>
      <c r="AC475" s="381"/>
      <c r="AD475" s="381"/>
      <c r="AE475" s="381"/>
      <c r="AF475" s="381"/>
      <c r="AG475" s="381"/>
      <c r="AH475" s="381"/>
      <c r="AI475" s="381"/>
      <c r="AJ475" s="381"/>
      <c r="AK475" s="19"/>
      <c r="AL475" s="19"/>
      <c r="AM475" s="19"/>
      <c r="AN475" s="19"/>
      <c r="AO475" s="19"/>
      <c r="AP475" s="19"/>
      <c r="AQ475" s="19"/>
      <c r="AR475" s="19"/>
      <c r="AS475" s="19"/>
      <c r="AT475" s="5"/>
      <c r="AU475" s="5"/>
      <c r="AV475" s="5"/>
      <c r="AW475" s="5"/>
      <c r="AX475" s="5"/>
      <c r="AY475" s="5"/>
      <c r="AZ475" s="5"/>
      <c r="BA475" s="5"/>
      <c r="BB475" s="5"/>
      <c r="BC475" s="5"/>
    </row>
    <row r="476" spans="1:55" x14ac:dyDescent="0.25">
      <c r="A476" s="713"/>
      <c r="B476" s="696"/>
      <c r="C476" s="696"/>
      <c r="D476" s="384" t="s">
        <v>360</v>
      </c>
      <c r="E476" s="407">
        <v>41113660.353197873</v>
      </c>
      <c r="F476" s="407">
        <v>41113660.353197873</v>
      </c>
      <c r="G476" s="407">
        <f>(G475*$G$472)/$G$471</f>
        <v>68096827.824028373</v>
      </c>
      <c r="H476" s="407">
        <f>(H475*$H$472)/$H$471</f>
        <v>78613401.310715273</v>
      </c>
      <c r="I476" s="390"/>
      <c r="J476" s="407">
        <v>132080134.35938461</v>
      </c>
      <c r="K476" s="407">
        <f>(K475*$K$472)/$K$471</f>
        <v>82650450.90021506</v>
      </c>
      <c r="L476" s="407">
        <v>82650450.90021506</v>
      </c>
      <c r="M476" s="460"/>
      <c r="N476" s="696"/>
      <c r="O476" s="696"/>
      <c r="P476" s="696"/>
      <c r="Q476" s="696"/>
      <c r="R476" s="696"/>
      <c r="S476" s="696"/>
      <c r="T476" s="696"/>
      <c r="U476" s="696"/>
      <c r="V476" s="696"/>
      <c r="W476" s="696"/>
      <c r="X476" s="696"/>
      <c r="Y476" s="699"/>
      <c r="Z476" s="381"/>
      <c r="AA476" s="381"/>
      <c r="AB476" s="381"/>
      <c r="AC476" s="381"/>
      <c r="AD476" s="381"/>
      <c r="AE476" s="381"/>
      <c r="AF476" s="381"/>
      <c r="AG476" s="381"/>
      <c r="AH476" s="381"/>
      <c r="AI476" s="381"/>
      <c r="AJ476" s="381"/>
      <c r="AK476" s="19"/>
      <c r="AL476" s="19"/>
      <c r="AM476" s="19"/>
      <c r="AN476" s="19"/>
      <c r="AO476" s="19"/>
      <c r="AP476" s="19"/>
      <c r="AQ476" s="19"/>
      <c r="AR476" s="19"/>
      <c r="AS476" s="19"/>
      <c r="AT476" s="5"/>
      <c r="AU476" s="5"/>
      <c r="AV476" s="5"/>
      <c r="AW476" s="5"/>
      <c r="AX476" s="5"/>
      <c r="AY476" s="5"/>
      <c r="AZ476" s="5"/>
      <c r="BA476" s="5"/>
      <c r="BB476" s="5"/>
      <c r="BC476" s="5"/>
    </row>
    <row r="477" spans="1:55" x14ac:dyDescent="0.25">
      <c r="A477" s="713"/>
      <c r="B477" s="696"/>
      <c r="C477" s="696"/>
      <c r="D477" s="384" t="s">
        <v>365</v>
      </c>
      <c r="E477" s="387">
        <v>0</v>
      </c>
      <c r="F477" s="387">
        <v>0</v>
      </c>
      <c r="G477" s="387">
        <v>0</v>
      </c>
      <c r="H477" s="387">
        <v>0</v>
      </c>
      <c r="I477" s="390"/>
      <c r="J477" s="387">
        <v>0</v>
      </c>
      <c r="K477" s="387">
        <v>0</v>
      </c>
      <c r="L477" s="387">
        <v>0</v>
      </c>
      <c r="M477" s="460"/>
      <c r="N477" s="696"/>
      <c r="O477" s="696"/>
      <c r="P477" s="696"/>
      <c r="Q477" s="696"/>
      <c r="R477" s="696"/>
      <c r="S477" s="696"/>
      <c r="T477" s="696"/>
      <c r="U477" s="696"/>
      <c r="V477" s="696"/>
      <c r="W477" s="696"/>
      <c r="X477" s="696"/>
      <c r="Y477" s="699"/>
      <c r="Z477" s="381"/>
      <c r="AA477" s="381"/>
      <c r="AB477" s="381"/>
      <c r="AC477" s="381"/>
      <c r="AD477" s="381"/>
      <c r="AE477" s="381"/>
      <c r="AF477" s="381"/>
      <c r="AG477" s="381"/>
      <c r="AH477" s="381"/>
      <c r="AI477" s="381"/>
      <c r="AJ477" s="381"/>
      <c r="AK477" s="19"/>
      <c r="AL477" s="19"/>
      <c r="AM477" s="19"/>
      <c r="AN477" s="19"/>
      <c r="AO477" s="19"/>
      <c r="AP477" s="19"/>
      <c r="AQ477" s="19"/>
      <c r="AR477" s="19"/>
      <c r="AS477" s="19"/>
      <c r="AT477" s="5"/>
      <c r="AU477" s="5"/>
      <c r="AV477" s="5"/>
      <c r="AW477" s="5"/>
      <c r="AX477" s="5"/>
      <c r="AY477" s="5"/>
      <c r="AZ477" s="5"/>
      <c r="BA477" s="5"/>
      <c r="BB477" s="5"/>
      <c r="BC477" s="5"/>
    </row>
    <row r="478" spans="1:55" ht="22.5" x14ac:dyDescent="0.25">
      <c r="A478" s="713"/>
      <c r="B478" s="696"/>
      <c r="C478" s="696"/>
      <c r="D478" s="386" t="s">
        <v>370</v>
      </c>
      <c r="E478" s="407">
        <v>0</v>
      </c>
      <c r="F478" s="407">
        <v>0</v>
      </c>
      <c r="G478" s="407">
        <v>0</v>
      </c>
      <c r="H478" s="407">
        <v>0</v>
      </c>
      <c r="I478" s="390"/>
      <c r="J478" s="407">
        <v>0</v>
      </c>
      <c r="K478" s="407">
        <v>0</v>
      </c>
      <c r="L478" s="407">
        <v>0</v>
      </c>
      <c r="M478" s="390"/>
      <c r="N478" s="696"/>
      <c r="O478" s="696"/>
      <c r="P478" s="696"/>
      <c r="Q478" s="696"/>
      <c r="R478" s="696"/>
      <c r="S478" s="696"/>
      <c r="T478" s="696"/>
      <c r="U478" s="696"/>
      <c r="V478" s="696"/>
      <c r="W478" s="696"/>
      <c r="X478" s="696"/>
      <c r="Y478" s="699"/>
      <c r="Z478" s="381"/>
      <c r="AA478" s="381"/>
      <c r="AB478" s="381"/>
      <c r="AC478" s="381"/>
      <c r="AD478" s="381"/>
      <c r="AE478" s="381"/>
      <c r="AF478" s="381"/>
      <c r="AG478" s="381"/>
      <c r="AH478" s="381"/>
      <c r="AI478" s="381"/>
      <c r="AJ478" s="381"/>
      <c r="AK478" s="19"/>
      <c r="AL478" s="19"/>
      <c r="AM478" s="19"/>
      <c r="AN478" s="19"/>
      <c r="AO478" s="19"/>
      <c r="AP478" s="19"/>
      <c r="AQ478" s="19"/>
      <c r="AR478" s="19"/>
      <c r="AS478" s="19"/>
      <c r="AT478" s="5"/>
      <c r="AU478" s="5"/>
      <c r="AV478" s="5"/>
      <c r="AW478" s="5"/>
      <c r="AX478" s="5"/>
      <c r="AY478" s="5"/>
      <c r="AZ478" s="5"/>
      <c r="BA478" s="5"/>
      <c r="BB478" s="5"/>
      <c r="BC478" s="5"/>
    </row>
    <row r="479" spans="1:55" x14ac:dyDescent="0.25">
      <c r="A479" s="713"/>
      <c r="B479" s="696"/>
      <c r="C479" s="722" t="s">
        <v>373</v>
      </c>
      <c r="D479" s="389" t="s">
        <v>348</v>
      </c>
      <c r="E479" s="387">
        <v>309</v>
      </c>
      <c r="F479" s="387">
        <v>309</v>
      </c>
      <c r="G479" s="387">
        <v>618.46999999999991</v>
      </c>
      <c r="H479" s="387">
        <v>636.56700000000001</v>
      </c>
      <c r="I479" s="390"/>
      <c r="J479" s="387">
        <v>309</v>
      </c>
      <c r="K479" s="387">
        <v>618.46999999999991</v>
      </c>
      <c r="L479" s="387">
        <v>636.56700000000001</v>
      </c>
      <c r="M479" s="460"/>
      <c r="N479" s="718" t="s">
        <v>373</v>
      </c>
      <c r="O479" s="718" t="s">
        <v>350</v>
      </c>
      <c r="P479" s="720" t="s">
        <v>351</v>
      </c>
      <c r="Q479" s="720" t="s">
        <v>352</v>
      </c>
      <c r="R479" s="720" t="s">
        <v>353</v>
      </c>
      <c r="S479" s="720">
        <v>60558</v>
      </c>
      <c r="T479" s="723">
        <v>66033</v>
      </c>
      <c r="U479" s="724" t="s">
        <v>494</v>
      </c>
      <c r="V479" s="720" t="s">
        <v>355</v>
      </c>
      <c r="W479" s="720" t="s">
        <v>356</v>
      </c>
      <c r="X479" s="720" t="s">
        <v>357</v>
      </c>
      <c r="Y479" s="721">
        <v>126591</v>
      </c>
      <c r="Z479" s="381"/>
      <c r="AA479" s="381"/>
      <c r="AB479" s="381"/>
      <c r="AC479" s="381"/>
      <c r="AD479" s="381"/>
      <c r="AE479" s="381"/>
      <c r="AF479" s="381"/>
      <c r="AG479" s="381"/>
      <c r="AH479" s="381"/>
      <c r="AI479" s="381"/>
      <c r="AJ479" s="381"/>
      <c r="AK479" s="19"/>
      <c r="AL479" s="19"/>
      <c r="AM479" s="19"/>
      <c r="AN479" s="19"/>
      <c r="AO479" s="19"/>
      <c r="AP479" s="19"/>
      <c r="AQ479" s="19"/>
      <c r="AR479" s="19"/>
      <c r="AS479" s="19"/>
      <c r="AT479" s="5"/>
      <c r="AU479" s="5"/>
      <c r="AV479" s="5"/>
      <c r="AW479" s="5"/>
      <c r="AX479" s="5"/>
      <c r="AY479" s="5"/>
      <c r="AZ479" s="5"/>
      <c r="BA479" s="5"/>
      <c r="BB479" s="5"/>
      <c r="BC479" s="5"/>
    </row>
    <row r="480" spans="1:55" x14ac:dyDescent="0.25">
      <c r="A480" s="713"/>
      <c r="B480" s="696"/>
      <c r="C480" s="696"/>
      <c r="D480" s="384" t="s">
        <v>360</v>
      </c>
      <c r="E480" s="407">
        <v>22132615.068184916</v>
      </c>
      <c r="F480" s="407">
        <v>22132615.068184916</v>
      </c>
      <c r="G480" s="407">
        <f>(G479*$G$472)/$G$471</f>
        <v>44298894.631780989</v>
      </c>
      <c r="H480" s="407">
        <f>(H479*$H$472)/$H$471</f>
        <v>45595120.958282426</v>
      </c>
      <c r="I480" s="390"/>
      <c r="J480" s="407">
        <v>71102371.980923072</v>
      </c>
      <c r="K480" s="407">
        <f>(K479*$K$472)/$K$471</f>
        <v>53766434.247997299</v>
      </c>
      <c r="L480" s="407">
        <v>53805322.5240914</v>
      </c>
      <c r="M480" s="460"/>
      <c r="N480" s="696"/>
      <c r="O480" s="696"/>
      <c r="P480" s="696"/>
      <c r="Q480" s="696"/>
      <c r="R480" s="696"/>
      <c r="S480" s="696"/>
      <c r="T480" s="696"/>
      <c r="U480" s="696"/>
      <c r="V480" s="696"/>
      <c r="W480" s="696"/>
      <c r="X480" s="696"/>
      <c r="Y480" s="699"/>
      <c r="Z480" s="381"/>
      <c r="AA480" s="381"/>
      <c r="AB480" s="381"/>
      <c r="AC480" s="381"/>
      <c r="AD480" s="381"/>
      <c r="AE480" s="381"/>
      <c r="AF480" s="381"/>
      <c r="AG480" s="381"/>
      <c r="AH480" s="381"/>
      <c r="AI480" s="381"/>
      <c r="AJ480" s="381"/>
      <c r="AK480" s="19"/>
      <c r="AL480" s="19"/>
      <c r="AM480" s="19"/>
      <c r="AN480" s="19"/>
      <c r="AO480" s="19"/>
      <c r="AP480" s="19"/>
      <c r="AQ480" s="19"/>
      <c r="AR480" s="19"/>
      <c r="AS480" s="19"/>
      <c r="AT480" s="5"/>
      <c r="AU480" s="5"/>
      <c r="AV480" s="5"/>
      <c r="AW480" s="5"/>
      <c r="AX480" s="5"/>
      <c r="AY480" s="5"/>
      <c r="AZ480" s="5"/>
      <c r="BA480" s="5"/>
      <c r="BB480" s="5"/>
      <c r="BC480" s="5"/>
    </row>
    <row r="481" spans="1:55" x14ac:dyDescent="0.25">
      <c r="A481" s="713"/>
      <c r="B481" s="696"/>
      <c r="C481" s="696"/>
      <c r="D481" s="384" t="s">
        <v>365</v>
      </c>
      <c r="E481" s="387">
        <v>0</v>
      </c>
      <c r="F481" s="387">
        <v>0</v>
      </c>
      <c r="G481" s="387">
        <v>0</v>
      </c>
      <c r="H481" s="387">
        <v>0</v>
      </c>
      <c r="I481" s="390"/>
      <c r="J481" s="387">
        <v>0</v>
      </c>
      <c r="K481" s="387">
        <v>0</v>
      </c>
      <c r="L481" s="387">
        <v>0</v>
      </c>
      <c r="M481" s="460"/>
      <c r="N481" s="696"/>
      <c r="O481" s="696"/>
      <c r="P481" s="696"/>
      <c r="Q481" s="696"/>
      <c r="R481" s="696"/>
      <c r="S481" s="696"/>
      <c r="T481" s="696"/>
      <c r="U481" s="696"/>
      <c r="V481" s="696"/>
      <c r="W481" s="696"/>
      <c r="X481" s="696"/>
      <c r="Y481" s="699"/>
      <c r="Z481" s="381"/>
      <c r="AA481" s="381"/>
      <c r="AB481" s="381"/>
      <c r="AC481" s="381"/>
      <c r="AD481" s="381"/>
      <c r="AE481" s="381"/>
      <c r="AF481" s="381"/>
      <c r="AG481" s="381"/>
      <c r="AH481" s="381"/>
      <c r="AI481" s="381"/>
      <c r="AJ481" s="381"/>
      <c r="AK481" s="19"/>
      <c r="AL481" s="19"/>
      <c r="AM481" s="19"/>
      <c r="AN481" s="19"/>
      <c r="AO481" s="19"/>
      <c r="AP481" s="19"/>
      <c r="AQ481" s="19"/>
      <c r="AR481" s="19"/>
      <c r="AS481" s="19"/>
      <c r="AT481" s="5"/>
      <c r="AU481" s="5"/>
      <c r="AV481" s="5"/>
      <c r="AW481" s="5"/>
      <c r="AX481" s="5"/>
      <c r="AY481" s="5"/>
      <c r="AZ481" s="5"/>
      <c r="BA481" s="5"/>
      <c r="BB481" s="5"/>
      <c r="BC481" s="5"/>
    </row>
    <row r="482" spans="1:55" ht="22.5" x14ac:dyDescent="0.25">
      <c r="A482" s="713"/>
      <c r="B482" s="696"/>
      <c r="C482" s="696"/>
      <c r="D482" s="386" t="s">
        <v>370</v>
      </c>
      <c r="E482" s="407">
        <v>0</v>
      </c>
      <c r="F482" s="407">
        <v>0</v>
      </c>
      <c r="G482" s="407">
        <v>0</v>
      </c>
      <c r="H482" s="407">
        <v>0</v>
      </c>
      <c r="I482" s="390"/>
      <c r="J482" s="407">
        <v>0</v>
      </c>
      <c r="K482" s="407">
        <v>0</v>
      </c>
      <c r="L482" s="407">
        <v>0</v>
      </c>
      <c r="M482" s="390"/>
      <c r="N482" s="696"/>
      <c r="O482" s="696"/>
      <c r="P482" s="696"/>
      <c r="Q482" s="696"/>
      <c r="R482" s="696"/>
      <c r="S482" s="696"/>
      <c r="T482" s="696"/>
      <c r="U482" s="696"/>
      <c r="V482" s="696"/>
      <c r="W482" s="696"/>
      <c r="X482" s="696"/>
      <c r="Y482" s="699"/>
      <c r="Z482" s="381"/>
      <c r="AA482" s="381"/>
      <c r="AB482" s="381"/>
      <c r="AC482" s="381"/>
      <c r="AD482" s="381"/>
      <c r="AE482" s="381"/>
      <c r="AF482" s="381"/>
      <c r="AG482" s="381"/>
      <c r="AH482" s="381"/>
      <c r="AI482" s="381"/>
      <c r="AJ482" s="381"/>
      <c r="AK482" s="19"/>
      <c r="AL482" s="19"/>
      <c r="AM482" s="19"/>
      <c r="AN482" s="19"/>
      <c r="AO482" s="19"/>
      <c r="AP482" s="19"/>
      <c r="AQ482" s="19"/>
      <c r="AR482" s="19"/>
      <c r="AS482" s="19"/>
      <c r="AT482" s="5"/>
      <c r="AU482" s="5"/>
      <c r="AV482" s="5"/>
      <c r="AW482" s="5"/>
      <c r="AX482" s="5"/>
      <c r="AY482" s="5"/>
      <c r="AZ482" s="5"/>
      <c r="BA482" s="5"/>
      <c r="BB482" s="5"/>
      <c r="BC482" s="5"/>
    </row>
    <row r="483" spans="1:55" x14ac:dyDescent="0.25">
      <c r="A483" s="713"/>
      <c r="B483" s="696"/>
      <c r="C483" s="722" t="s">
        <v>517</v>
      </c>
      <c r="D483" s="389" t="s">
        <v>348</v>
      </c>
      <c r="E483" s="387">
        <v>3</v>
      </c>
      <c r="F483" s="387">
        <v>3</v>
      </c>
      <c r="G483" s="387">
        <v>30.11</v>
      </c>
      <c r="H483" s="387">
        <v>30.184999999999999</v>
      </c>
      <c r="I483" s="390"/>
      <c r="J483" s="387">
        <v>3</v>
      </c>
      <c r="K483" s="387">
        <v>30.11</v>
      </c>
      <c r="L483" s="387">
        <v>30.184999999999999</v>
      </c>
      <c r="M483" s="460"/>
      <c r="N483" s="718" t="s">
        <v>517</v>
      </c>
      <c r="O483" s="725" t="s">
        <v>350</v>
      </c>
      <c r="P483" s="720" t="s">
        <v>351</v>
      </c>
      <c r="Q483" s="725" t="s">
        <v>352</v>
      </c>
      <c r="R483" s="725" t="s">
        <v>353</v>
      </c>
      <c r="S483" s="725">
        <v>48066</v>
      </c>
      <c r="T483" s="727">
        <v>47135</v>
      </c>
      <c r="U483" s="728" t="s">
        <v>494</v>
      </c>
      <c r="V483" s="725" t="s">
        <v>355</v>
      </c>
      <c r="W483" s="725" t="s">
        <v>356</v>
      </c>
      <c r="X483" s="725" t="s">
        <v>357</v>
      </c>
      <c r="Y483" s="726">
        <v>95201</v>
      </c>
      <c r="Z483" s="381"/>
      <c r="AA483" s="381"/>
      <c r="AB483" s="381"/>
      <c r="AC483" s="381"/>
      <c r="AD483" s="381"/>
      <c r="AE483" s="381"/>
      <c r="AF483" s="381"/>
      <c r="AG483" s="381"/>
      <c r="AH483" s="381"/>
      <c r="AI483" s="381"/>
      <c r="AJ483" s="381"/>
      <c r="AK483" s="19"/>
      <c r="AL483" s="19"/>
      <c r="AM483" s="19"/>
      <c r="AN483" s="19"/>
      <c r="AO483" s="19"/>
      <c r="AP483" s="19"/>
      <c r="AQ483" s="19"/>
      <c r="AR483" s="19"/>
      <c r="AS483" s="19"/>
      <c r="AT483" s="5"/>
      <c r="AU483" s="5"/>
      <c r="AV483" s="5"/>
      <c r="AW483" s="5"/>
      <c r="AX483" s="5"/>
      <c r="AY483" s="5"/>
      <c r="AZ483" s="5"/>
      <c r="BA483" s="5"/>
      <c r="BB483" s="5"/>
      <c r="BC483" s="5"/>
    </row>
    <row r="484" spans="1:55" x14ac:dyDescent="0.25">
      <c r="A484" s="713"/>
      <c r="B484" s="696"/>
      <c r="C484" s="696"/>
      <c r="D484" s="384" t="s">
        <v>360</v>
      </c>
      <c r="E484" s="407">
        <v>214879.75794354288</v>
      </c>
      <c r="F484" s="407">
        <v>214879.75794354288</v>
      </c>
      <c r="G484" s="407">
        <f>(G483*$G$472)/$G$471</f>
        <v>2156676.5038933586</v>
      </c>
      <c r="H484" s="407">
        <f>(H483*$H$472)/$H$471</f>
        <v>2162048.4978419472</v>
      </c>
      <c r="I484" s="390"/>
      <c r="J484" s="407">
        <v>690314.29107692302</v>
      </c>
      <c r="K484" s="407">
        <f>(K483*$K$472)/$K$471</f>
        <v>2617600.4255779572</v>
      </c>
      <c r="L484" s="407">
        <v>2641879.5828085602</v>
      </c>
      <c r="M484" s="460"/>
      <c r="N484" s="696"/>
      <c r="O484" s="696"/>
      <c r="P484" s="696"/>
      <c r="Q484" s="696"/>
      <c r="R484" s="696"/>
      <c r="S484" s="696"/>
      <c r="T484" s="696"/>
      <c r="U484" s="696"/>
      <c r="V484" s="696"/>
      <c r="W484" s="696"/>
      <c r="X484" s="696"/>
      <c r="Y484" s="699"/>
      <c r="Z484" s="381"/>
      <c r="AA484" s="381"/>
      <c r="AB484" s="381"/>
      <c r="AC484" s="381"/>
      <c r="AD484" s="381"/>
      <c r="AE484" s="381"/>
      <c r="AF484" s="381"/>
      <c r="AG484" s="381"/>
      <c r="AH484" s="381"/>
      <c r="AI484" s="381"/>
      <c r="AJ484" s="381"/>
      <c r="AK484" s="19"/>
      <c r="AL484" s="19"/>
      <c r="AM484" s="19"/>
      <c r="AN484" s="19"/>
      <c r="AO484" s="19"/>
      <c r="AP484" s="19"/>
      <c r="AQ484" s="19"/>
      <c r="AR484" s="19"/>
      <c r="AS484" s="19"/>
      <c r="AT484" s="5"/>
      <c r="AU484" s="5"/>
      <c r="AV484" s="5"/>
      <c r="AW484" s="5"/>
      <c r="AX484" s="5"/>
      <c r="AY484" s="5"/>
      <c r="AZ484" s="5"/>
      <c r="BA484" s="5"/>
      <c r="BB484" s="5"/>
      <c r="BC484" s="5"/>
    </row>
    <row r="485" spans="1:55" x14ac:dyDescent="0.25">
      <c r="A485" s="713"/>
      <c r="B485" s="696"/>
      <c r="C485" s="696"/>
      <c r="D485" s="384" t="s">
        <v>365</v>
      </c>
      <c r="E485" s="387">
        <v>0</v>
      </c>
      <c r="F485" s="387">
        <v>0</v>
      </c>
      <c r="G485" s="387">
        <v>0</v>
      </c>
      <c r="H485" s="387">
        <v>0</v>
      </c>
      <c r="I485" s="390"/>
      <c r="J485" s="387">
        <v>0</v>
      </c>
      <c r="K485" s="387">
        <v>0</v>
      </c>
      <c r="L485" s="387">
        <v>0</v>
      </c>
      <c r="M485" s="460"/>
      <c r="N485" s="696"/>
      <c r="O485" s="696"/>
      <c r="P485" s="696"/>
      <c r="Q485" s="696"/>
      <c r="R485" s="696"/>
      <c r="S485" s="696"/>
      <c r="T485" s="696"/>
      <c r="U485" s="696"/>
      <c r="V485" s="696"/>
      <c r="W485" s="696"/>
      <c r="X485" s="696"/>
      <c r="Y485" s="699"/>
      <c r="Z485" s="381"/>
      <c r="AA485" s="381"/>
      <c r="AB485" s="381"/>
      <c r="AC485" s="381"/>
      <c r="AD485" s="381"/>
      <c r="AE485" s="381"/>
      <c r="AF485" s="381"/>
      <c r="AG485" s="381"/>
      <c r="AH485" s="381"/>
      <c r="AI485" s="381"/>
      <c r="AJ485" s="381"/>
      <c r="AK485" s="19"/>
      <c r="AL485" s="19"/>
      <c r="AM485" s="19"/>
      <c r="AN485" s="19"/>
      <c r="AO485" s="19"/>
      <c r="AP485" s="19"/>
      <c r="AQ485" s="19"/>
      <c r="AR485" s="19"/>
      <c r="AS485" s="19"/>
      <c r="AT485" s="5"/>
      <c r="AU485" s="5"/>
      <c r="AV485" s="5"/>
      <c r="AW485" s="5"/>
      <c r="AX485" s="5"/>
      <c r="AY485" s="5"/>
      <c r="AZ485" s="5"/>
      <c r="BA485" s="5"/>
      <c r="BB485" s="5"/>
      <c r="BC485" s="5"/>
    </row>
    <row r="486" spans="1:55" ht="22.5" x14ac:dyDescent="0.25">
      <c r="A486" s="713"/>
      <c r="B486" s="696"/>
      <c r="C486" s="696"/>
      <c r="D486" s="386" t="s">
        <v>370</v>
      </c>
      <c r="E486" s="407">
        <v>0</v>
      </c>
      <c r="F486" s="407">
        <v>0</v>
      </c>
      <c r="G486" s="407">
        <v>0</v>
      </c>
      <c r="H486" s="407">
        <v>0</v>
      </c>
      <c r="I486" s="390"/>
      <c r="J486" s="407">
        <v>0</v>
      </c>
      <c r="K486" s="407">
        <v>0</v>
      </c>
      <c r="L486" s="407">
        <v>0</v>
      </c>
      <c r="M486" s="390"/>
      <c r="N486" s="696"/>
      <c r="O486" s="696"/>
      <c r="P486" s="696"/>
      <c r="Q486" s="696"/>
      <c r="R486" s="696"/>
      <c r="S486" s="696"/>
      <c r="T486" s="696"/>
      <c r="U486" s="696"/>
      <c r="V486" s="696"/>
      <c r="W486" s="696"/>
      <c r="X486" s="696"/>
      <c r="Y486" s="699"/>
      <c r="Z486" s="381"/>
      <c r="AA486" s="381"/>
      <c r="AB486" s="381"/>
      <c r="AC486" s="381"/>
      <c r="AD486" s="381"/>
      <c r="AE486" s="381"/>
      <c r="AF486" s="381"/>
      <c r="AG486" s="381"/>
      <c r="AH486" s="381"/>
      <c r="AI486" s="381"/>
      <c r="AJ486" s="381"/>
      <c r="AK486" s="19"/>
      <c r="AL486" s="19"/>
      <c r="AM486" s="19"/>
      <c r="AN486" s="19"/>
      <c r="AO486" s="19"/>
      <c r="AP486" s="19"/>
      <c r="AQ486" s="19"/>
      <c r="AR486" s="19"/>
      <c r="AS486" s="19"/>
      <c r="AT486" s="5"/>
      <c r="AU486" s="5"/>
      <c r="AV486" s="5"/>
      <c r="AW486" s="5"/>
      <c r="AX486" s="5"/>
      <c r="AY486" s="5"/>
      <c r="AZ486" s="5"/>
      <c r="BA486" s="5"/>
      <c r="BB486" s="5"/>
      <c r="BC486" s="5"/>
    </row>
    <row r="487" spans="1:55" x14ac:dyDescent="0.25">
      <c r="A487" s="713"/>
      <c r="B487" s="696"/>
      <c r="C487" s="722" t="s">
        <v>398</v>
      </c>
      <c r="D487" s="389" t="s">
        <v>348</v>
      </c>
      <c r="E487" s="387">
        <v>2</v>
      </c>
      <c r="F487" s="387">
        <v>2</v>
      </c>
      <c r="G487" s="387">
        <v>405.95</v>
      </c>
      <c r="H487" s="387">
        <v>405.95</v>
      </c>
      <c r="I487" s="390"/>
      <c r="J487" s="387">
        <v>2</v>
      </c>
      <c r="K487" s="387">
        <v>405.95</v>
      </c>
      <c r="L487" s="387">
        <v>405.95</v>
      </c>
      <c r="M487" s="460"/>
      <c r="N487" s="718" t="s">
        <v>398</v>
      </c>
      <c r="O487" s="718" t="s">
        <v>350</v>
      </c>
      <c r="P487" s="720" t="s">
        <v>351</v>
      </c>
      <c r="Q487" s="720" t="s">
        <v>352</v>
      </c>
      <c r="R487" s="720" t="s">
        <v>353</v>
      </c>
      <c r="S487" s="720">
        <v>191535</v>
      </c>
      <c r="T487" s="723">
        <v>202823</v>
      </c>
      <c r="U487" s="724" t="s">
        <v>494</v>
      </c>
      <c r="V487" s="720" t="s">
        <v>355</v>
      </c>
      <c r="W487" s="720" t="s">
        <v>356</v>
      </c>
      <c r="X487" s="720" t="s">
        <v>357</v>
      </c>
      <c r="Y487" s="721">
        <v>394358</v>
      </c>
      <c r="Z487" s="381"/>
      <c r="AA487" s="381"/>
      <c r="AB487" s="381"/>
      <c r="AC487" s="381"/>
      <c r="AD487" s="381"/>
      <c r="AE487" s="381"/>
      <c r="AF487" s="381"/>
      <c r="AG487" s="381"/>
      <c r="AH487" s="381"/>
      <c r="AI487" s="381"/>
      <c r="AJ487" s="381"/>
      <c r="AK487" s="19"/>
      <c r="AL487" s="19"/>
      <c r="AM487" s="19"/>
      <c r="AN487" s="19"/>
      <c r="AO487" s="19"/>
      <c r="AP487" s="19"/>
      <c r="AQ487" s="19"/>
      <c r="AR487" s="19"/>
      <c r="AS487" s="19"/>
      <c r="AT487" s="5"/>
      <c r="AU487" s="5"/>
      <c r="AV487" s="5"/>
      <c r="AW487" s="5"/>
      <c r="AX487" s="5"/>
      <c r="AY487" s="5"/>
      <c r="AZ487" s="5"/>
      <c r="BA487" s="5"/>
      <c r="BB487" s="5"/>
      <c r="BC487" s="5"/>
    </row>
    <row r="488" spans="1:55" x14ac:dyDescent="0.25">
      <c r="A488" s="713"/>
      <c r="B488" s="696"/>
      <c r="C488" s="696"/>
      <c r="D488" s="384" t="s">
        <v>360</v>
      </c>
      <c r="E488" s="407">
        <v>143253.17196236193</v>
      </c>
      <c r="F488" s="407">
        <v>143253.17196236193</v>
      </c>
      <c r="G488" s="407">
        <f>(G487*$G$472)/$G$471</f>
        <v>29076812.579060413</v>
      </c>
      <c r="H488" s="407">
        <f>(H487*$H$472)/$H$471</f>
        <v>29076812.579060413</v>
      </c>
      <c r="I488" s="390"/>
      <c r="J488" s="407">
        <v>460209.52738461539</v>
      </c>
      <c r="K488" s="407">
        <f>(K487*$K$472)/$K$471</f>
        <v>35291095.741061822</v>
      </c>
      <c r="L488" s="407">
        <v>35291095.741061822</v>
      </c>
      <c r="M488" s="460"/>
      <c r="N488" s="696"/>
      <c r="O488" s="696"/>
      <c r="P488" s="696"/>
      <c r="Q488" s="696"/>
      <c r="R488" s="696"/>
      <c r="S488" s="696"/>
      <c r="T488" s="696"/>
      <c r="U488" s="696"/>
      <c r="V488" s="696"/>
      <c r="W488" s="696"/>
      <c r="X488" s="696"/>
      <c r="Y488" s="699"/>
      <c r="Z488" s="381"/>
      <c r="AA488" s="381"/>
      <c r="AB488" s="381"/>
      <c r="AC488" s="381"/>
      <c r="AD488" s="381"/>
      <c r="AE488" s="381"/>
      <c r="AF488" s="381"/>
      <c r="AG488" s="381"/>
      <c r="AH488" s="381"/>
      <c r="AI488" s="381"/>
      <c r="AJ488" s="381"/>
      <c r="AK488" s="19"/>
      <c r="AL488" s="19"/>
      <c r="AM488" s="19"/>
      <c r="AN488" s="19"/>
      <c r="AO488" s="19"/>
      <c r="AP488" s="19"/>
      <c r="AQ488" s="19"/>
      <c r="AR488" s="19"/>
      <c r="AS488" s="19"/>
      <c r="AT488" s="5"/>
      <c r="AU488" s="5"/>
      <c r="AV488" s="5"/>
      <c r="AW488" s="5"/>
      <c r="AX488" s="5"/>
      <c r="AY488" s="5"/>
      <c r="AZ488" s="5"/>
      <c r="BA488" s="5"/>
      <c r="BB488" s="5"/>
      <c r="BC488" s="5"/>
    </row>
    <row r="489" spans="1:55" s="469" customFormat="1" x14ac:dyDescent="0.25">
      <c r="A489" s="713"/>
      <c r="B489" s="696"/>
      <c r="C489" s="696"/>
      <c r="D489" s="384" t="s">
        <v>365</v>
      </c>
      <c r="E489" s="387">
        <v>0</v>
      </c>
      <c r="F489" s="387">
        <v>0</v>
      </c>
      <c r="G489" s="387">
        <v>0</v>
      </c>
      <c r="H489" s="387">
        <v>0</v>
      </c>
      <c r="I489" s="390"/>
      <c r="J489" s="387">
        <v>0</v>
      </c>
      <c r="K489" s="387">
        <v>0</v>
      </c>
      <c r="L489" s="387">
        <v>0</v>
      </c>
      <c r="M489" s="460"/>
      <c r="N489" s="696"/>
      <c r="O489" s="696"/>
      <c r="P489" s="696"/>
      <c r="Q489" s="696"/>
      <c r="R489" s="696"/>
      <c r="S489" s="696"/>
      <c r="T489" s="696"/>
      <c r="U489" s="696"/>
      <c r="V489" s="696"/>
      <c r="W489" s="696"/>
      <c r="X489" s="696"/>
      <c r="Y489" s="699"/>
      <c r="Z489" s="381"/>
      <c r="AA489" s="381"/>
      <c r="AB489" s="381"/>
      <c r="AC489" s="381"/>
      <c r="AD489" s="381"/>
      <c r="AE489" s="381"/>
      <c r="AF489" s="381"/>
      <c r="AG489" s="381"/>
      <c r="AH489" s="381"/>
      <c r="AI489" s="381"/>
      <c r="AJ489" s="381"/>
      <c r="AK489" s="381"/>
      <c r="AL489" s="381"/>
      <c r="AM489" s="381"/>
      <c r="AN489" s="381"/>
      <c r="AO489" s="381"/>
      <c r="AP489" s="381"/>
      <c r="AQ489" s="381"/>
      <c r="AR489" s="381"/>
      <c r="AS489" s="381"/>
      <c r="AT489" s="468"/>
      <c r="AU489" s="468"/>
      <c r="AV489" s="468"/>
      <c r="AW489" s="468"/>
      <c r="AX489" s="468"/>
      <c r="AY489" s="468"/>
      <c r="AZ489" s="468"/>
      <c r="BA489" s="468"/>
      <c r="BB489" s="468"/>
      <c r="BC489" s="468"/>
    </row>
    <row r="490" spans="1:55" s="469" customFormat="1" ht="22.5" x14ac:dyDescent="0.25">
      <c r="A490" s="713"/>
      <c r="B490" s="696"/>
      <c r="C490" s="696"/>
      <c r="D490" s="386" t="s">
        <v>370</v>
      </c>
      <c r="E490" s="407">
        <v>0</v>
      </c>
      <c r="F490" s="407">
        <v>0</v>
      </c>
      <c r="G490" s="407">
        <v>0</v>
      </c>
      <c r="H490" s="407">
        <v>0</v>
      </c>
      <c r="I490" s="390"/>
      <c r="J490" s="407">
        <v>0</v>
      </c>
      <c r="K490" s="407">
        <v>0</v>
      </c>
      <c r="L490" s="407">
        <v>0</v>
      </c>
      <c r="M490" s="390"/>
      <c r="N490" s="696"/>
      <c r="O490" s="696"/>
      <c r="P490" s="696"/>
      <c r="Q490" s="696"/>
      <c r="R490" s="696"/>
      <c r="S490" s="696"/>
      <c r="T490" s="696"/>
      <c r="U490" s="696"/>
      <c r="V490" s="696"/>
      <c r="W490" s="696"/>
      <c r="X490" s="696"/>
      <c r="Y490" s="699"/>
      <c r="Z490" s="381"/>
      <c r="AA490" s="381"/>
      <c r="AB490" s="381"/>
      <c r="AC490" s="381"/>
      <c r="AD490" s="381"/>
      <c r="AE490" s="381"/>
      <c r="AF490" s="381"/>
      <c r="AG490" s="381"/>
      <c r="AH490" s="381"/>
      <c r="AI490" s="381"/>
      <c r="AJ490" s="381"/>
      <c r="AK490" s="381"/>
      <c r="AL490" s="381"/>
      <c r="AM490" s="381"/>
      <c r="AN490" s="381"/>
      <c r="AO490" s="381"/>
      <c r="AP490" s="381"/>
      <c r="AQ490" s="381"/>
      <c r="AR490" s="381"/>
      <c r="AS490" s="381"/>
      <c r="AT490" s="468"/>
      <c r="AU490" s="468"/>
      <c r="AV490" s="468"/>
      <c r="AW490" s="468"/>
      <c r="AX490" s="468"/>
      <c r="AY490" s="468"/>
      <c r="AZ490" s="468"/>
      <c r="BA490" s="468"/>
      <c r="BB490" s="468"/>
      <c r="BC490" s="468"/>
    </row>
    <row r="491" spans="1:55" s="469" customFormat="1" x14ac:dyDescent="0.25">
      <c r="A491" s="713"/>
      <c r="B491" s="696"/>
      <c r="C491" s="722" t="s">
        <v>379</v>
      </c>
      <c r="D491" s="389" t="s">
        <v>348</v>
      </c>
      <c r="E491" s="387"/>
      <c r="F491" s="387"/>
      <c r="G491" s="387">
        <v>0.4</v>
      </c>
      <c r="H491" s="387">
        <v>1.012</v>
      </c>
      <c r="I491" s="390"/>
      <c r="J491" s="387"/>
      <c r="K491" s="387">
        <v>0.4</v>
      </c>
      <c r="L491" s="387">
        <v>1.012</v>
      </c>
      <c r="M491" s="460"/>
      <c r="N491" s="718" t="s">
        <v>379</v>
      </c>
      <c r="O491" s="718" t="s">
        <v>350</v>
      </c>
      <c r="P491" s="718" t="s">
        <v>351</v>
      </c>
      <c r="Q491" s="718" t="s">
        <v>352</v>
      </c>
      <c r="R491" s="718" t="s">
        <v>353</v>
      </c>
      <c r="S491" s="718">
        <v>166347</v>
      </c>
      <c r="T491" s="718">
        <v>173754</v>
      </c>
      <c r="U491" s="718" t="s">
        <v>494</v>
      </c>
      <c r="V491" s="718" t="s">
        <v>355</v>
      </c>
      <c r="W491" s="718" t="s">
        <v>356</v>
      </c>
      <c r="X491" s="718" t="s">
        <v>357</v>
      </c>
      <c r="Y491" s="717">
        <v>340101</v>
      </c>
      <c r="Z491" s="394"/>
      <c r="AA491" s="394"/>
      <c r="AB491" s="394"/>
      <c r="AC491" s="394"/>
      <c r="AD491" s="394"/>
      <c r="AE491" s="394"/>
      <c r="AF491" s="394"/>
      <c r="AG491" s="394"/>
      <c r="AH491" s="394"/>
      <c r="AI491" s="394"/>
      <c r="AJ491" s="394"/>
      <c r="AK491" s="394"/>
      <c r="AL491" s="394"/>
      <c r="AM491" s="394"/>
      <c r="AN491" s="394"/>
      <c r="AO491" s="394"/>
      <c r="AP491" s="394"/>
      <c r="AQ491" s="394"/>
      <c r="AR491" s="394"/>
      <c r="AS491" s="394"/>
      <c r="AT491" s="470"/>
      <c r="AU491" s="470"/>
      <c r="AV491" s="470"/>
      <c r="AW491" s="470"/>
      <c r="AX491" s="470"/>
      <c r="AY491" s="470"/>
      <c r="AZ491" s="470"/>
      <c r="BA491" s="470"/>
      <c r="BB491" s="470"/>
      <c r="BC491" s="470"/>
    </row>
    <row r="492" spans="1:55" s="469" customFormat="1" x14ac:dyDescent="0.25">
      <c r="A492" s="713"/>
      <c r="B492" s="696"/>
      <c r="C492" s="696"/>
      <c r="D492" s="384" t="s">
        <v>360</v>
      </c>
      <c r="E492" s="407"/>
      <c r="F492" s="407"/>
      <c r="G492" s="407">
        <f>(G491*$G$472)/$G$471</f>
        <v>28650.634392472384</v>
      </c>
      <c r="H492" s="407">
        <f>(H491*$H$472)/$H$471</f>
        <v>72486.105012955129</v>
      </c>
      <c r="I492" s="390"/>
      <c r="J492" s="407"/>
      <c r="K492" s="407">
        <f>(K491*$K$472)/$K$471</f>
        <v>34773.834946236559</v>
      </c>
      <c r="L492" s="407">
        <f>(L491*$L$472)/$L$471</f>
        <v>85220.544568569312</v>
      </c>
      <c r="M492" s="460"/>
      <c r="N492" s="696"/>
      <c r="O492" s="696"/>
      <c r="P492" s="696"/>
      <c r="Q492" s="696"/>
      <c r="R492" s="696"/>
      <c r="S492" s="696"/>
      <c r="T492" s="696"/>
      <c r="U492" s="696"/>
      <c r="V492" s="696"/>
      <c r="W492" s="696"/>
      <c r="X492" s="696"/>
      <c r="Y492" s="699"/>
      <c r="Z492" s="394"/>
      <c r="AA492" s="394"/>
      <c r="AB492" s="394"/>
      <c r="AC492" s="394"/>
      <c r="AD492" s="394"/>
      <c r="AE492" s="394"/>
      <c r="AF492" s="394"/>
      <c r="AG492" s="394"/>
      <c r="AH492" s="394"/>
      <c r="AI492" s="394"/>
      <c r="AJ492" s="394"/>
      <c r="AK492" s="394"/>
      <c r="AL492" s="394"/>
      <c r="AM492" s="394"/>
      <c r="AN492" s="394"/>
      <c r="AO492" s="394"/>
      <c r="AP492" s="394"/>
      <c r="AQ492" s="394"/>
      <c r="AR492" s="394"/>
      <c r="AS492" s="394"/>
      <c r="AT492" s="470"/>
      <c r="AU492" s="470"/>
      <c r="AV492" s="470"/>
      <c r="AW492" s="470"/>
      <c r="AX492" s="470"/>
      <c r="AY492" s="470"/>
      <c r="AZ492" s="470"/>
      <c r="BA492" s="470"/>
      <c r="BB492" s="470"/>
      <c r="BC492" s="470"/>
    </row>
    <row r="493" spans="1:55" s="469" customFormat="1" x14ac:dyDescent="0.25">
      <c r="A493" s="713"/>
      <c r="B493" s="696"/>
      <c r="C493" s="696"/>
      <c r="D493" s="384" t="s">
        <v>365</v>
      </c>
      <c r="E493" s="387"/>
      <c r="F493" s="387"/>
      <c r="G493" s="387">
        <v>0</v>
      </c>
      <c r="H493" s="387">
        <v>0</v>
      </c>
      <c r="I493" s="390"/>
      <c r="J493" s="387"/>
      <c r="K493" s="387">
        <v>0</v>
      </c>
      <c r="L493" s="387">
        <v>0</v>
      </c>
      <c r="M493" s="460"/>
      <c r="N493" s="696"/>
      <c r="O493" s="696"/>
      <c r="P493" s="696"/>
      <c r="Q493" s="696"/>
      <c r="R493" s="696"/>
      <c r="S493" s="696"/>
      <c r="T493" s="696"/>
      <c r="U493" s="696"/>
      <c r="V493" s="696"/>
      <c r="W493" s="696"/>
      <c r="X493" s="696"/>
      <c r="Y493" s="699"/>
      <c r="Z493" s="394"/>
      <c r="AA493" s="394"/>
      <c r="AB493" s="394"/>
      <c r="AC493" s="394"/>
      <c r="AD493" s="394"/>
      <c r="AE493" s="394"/>
      <c r="AF493" s="394"/>
      <c r="AG493" s="394"/>
      <c r="AH493" s="394"/>
      <c r="AI493" s="394"/>
      <c r="AJ493" s="394"/>
      <c r="AK493" s="394"/>
      <c r="AL493" s="394"/>
      <c r="AM493" s="394"/>
      <c r="AN493" s="394"/>
      <c r="AO493" s="394"/>
      <c r="AP493" s="394"/>
      <c r="AQ493" s="394"/>
      <c r="AR493" s="394"/>
      <c r="AS493" s="394"/>
      <c r="AT493" s="470"/>
      <c r="AU493" s="470"/>
      <c r="AV493" s="470"/>
      <c r="AW493" s="470"/>
      <c r="AX493" s="470"/>
      <c r="AY493" s="470"/>
      <c r="AZ493" s="470"/>
      <c r="BA493" s="470"/>
      <c r="BB493" s="470"/>
      <c r="BC493" s="470"/>
    </row>
    <row r="494" spans="1:55" s="469" customFormat="1" ht="22.5" x14ac:dyDescent="0.25">
      <c r="A494" s="713"/>
      <c r="B494" s="696"/>
      <c r="C494" s="696"/>
      <c r="D494" s="386" t="s">
        <v>370</v>
      </c>
      <c r="E494" s="407"/>
      <c r="F494" s="407"/>
      <c r="G494" s="407">
        <v>0</v>
      </c>
      <c r="H494" s="407">
        <v>0</v>
      </c>
      <c r="I494" s="390"/>
      <c r="J494" s="407"/>
      <c r="K494" s="407">
        <v>0</v>
      </c>
      <c r="L494" s="407">
        <v>0</v>
      </c>
      <c r="M494" s="390"/>
      <c r="N494" s="696"/>
      <c r="O494" s="696"/>
      <c r="P494" s="696"/>
      <c r="Q494" s="696"/>
      <c r="R494" s="696"/>
      <c r="S494" s="696"/>
      <c r="T494" s="696"/>
      <c r="U494" s="696"/>
      <c r="V494" s="696"/>
      <c r="W494" s="696"/>
      <c r="X494" s="696"/>
      <c r="Y494" s="699"/>
      <c r="Z494" s="394"/>
      <c r="AA494" s="394"/>
      <c r="AB494" s="394"/>
      <c r="AC494" s="394"/>
      <c r="AD494" s="394"/>
      <c r="AE494" s="394"/>
      <c r="AF494" s="394"/>
      <c r="AG494" s="394"/>
      <c r="AH494" s="394"/>
      <c r="AI494" s="394"/>
      <c r="AJ494" s="394"/>
      <c r="AK494" s="394"/>
      <c r="AL494" s="394"/>
      <c r="AM494" s="394"/>
      <c r="AN494" s="394"/>
      <c r="AO494" s="394"/>
      <c r="AP494" s="394"/>
      <c r="AQ494" s="394"/>
      <c r="AR494" s="394"/>
      <c r="AS494" s="394"/>
      <c r="AT494" s="470"/>
      <c r="AU494" s="470"/>
      <c r="AV494" s="470"/>
      <c r="AW494" s="470"/>
      <c r="AX494" s="470"/>
      <c r="AY494" s="470"/>
      <c r="AZ494" s="470"/>
      <c r="BA494" s="470"/>
      <c r="BB494" s="470"/>
      <c r="BC494" s="470"/>
    </row>
    <row r="495" spans="1:55" s="469" customFormat="1" x14ac:dyDescent="0.25">
      <c r="A495" s="713"/>
      <c r="B495" s="696"/>
      <c r="C495" s="722" t="s">
        <v>402</v>
      </c>
      <c r="D495" s="389" t="s">
        <v>348</v>
      </c>
      <c r="E495" s="387"/>
      <c r="F495" s="387"/>
      <c r="G495" s="387">
        <v>14.38</v>
      </c>
      <c r="H495" s="387">
        <v>14.721</v>
      </c>
      <c r="I495" s="390"/>
      <c r="J495" s="387"/>
      <c r="K495" s="387">
        <v>14.38</v>
      </c>
      <c r="L495" s="387">
        <v>14.721</v>
      </c>
      <c r="M495" s="460"/>
      <c r="N495" s="718" t="s">
        <v>402</v>
      </c>
      <c r="O495" s="718" t="s">
        <v>350</v>
      </c>
      <c r="P495" s="718" t="s">
        <v>351</v>
      </c>
      <c r="Q495" s="718" t="s">
        <v>352</v>
      </c>
      <c r="R495" s="718" t="s">
        <v>353</v>
      </c>
      <c r="S495" s="718">
        <v>93152</v>
      </c>
      <c r="T495" s="718">
        <v>94819</v>
      </c>
      <c r="U495" s="718" t="s">
        <v>494</v>
      </c>
      <c r="V495" s="718" t="s">
        <v>355</v>
      </c>
      <c r="W495" s="718" t="s">
        <v>356</v>
      </c>
      <c r="X495" s="718" t="s">
        <v>357</v>
      </c>
      <c r="Y495" s="717">
        <v>187971</v>
      </c>
      <c r="Z495" s="394"/>
      <c r="AA495" s="394"/>
      <c r="AB495" s="394"/>
      <c r="AC495" s="394"/>
      <c r="AD495" s="394"/>
      <c r="AE495" s="394"/>
      <c r="AF495" s="394"/>
      <c r="AG495" s="394"/>
      <c r="AH495" s="394"/>
      <c r="AI495" s="394"/>
      <c r="AJ495" s="394"/>
      <c r="AK495" s="394"/>
      <c r="AL495" s="394"/>
      <c r="AM495" s="394"/>
      <c r="AN495" s="394"/>
      <c r="AO495" s="394"/>
      <c r="AP495" s="394"/>
      <c r="AQ495" s="394"/>
      <c r="AR495" s="394"/>
      <c r="AS495" s="394"/>
      <c r="AT495" s="470"/>
      <c r="AU495" s="470"/>
      <c r="AV495" s="470"/>
      <c r="AW495" s="470"/>
      <c r="AX495" s="470"/>
      <c r="AY495" s="470"/>
      <c r="AZ495" s="470"/>
      <c r="BA495" s="470"/>
      <c r="BB495" s="470"/>
      <c r="BC495" s="470"/>
    </row>
    <row r="496" spans="1:55" s="469" customFormat="1" x14ac:dyDescent="0.25">
      <c r="A496" s="713"/>
      <c r="B496" s="696"/>
      <c r="C496" s="696"/>
      <c r="D496" s="384" t="s">
        <v>360</v>
      </c>
      <c r="E496" s="407"/>
      <c r="F496" s="407"/>
      <c r="G496" s="407">
        <f>(G495*$G$472)/$G$471</f>
        <v>1029990.3064093824</v>
      </c>
      <c r="H496" s="407">
        <f>(H495*$H$472)/$H$471</f>
        <v>1054414.972228965</v>
      </c>
      <c r="I496" s="390"/>
      <c r="J496" s="407"/>
      <c r="K496" s="407">
        <f>(K495*$K$472)/$K$471</f>
        <v>1250119.3663172044</v>
      </c>
      <c r="L496" s="407">
        <v>1250119.3663172044</v>
      </c>
      <c r="M496" s="460"/>
      <c r="N496" s="696"/>
      <c r="O496" s="696"/>
      <c r="P496" s="696"/>
      <c r="Q496" s="696"/>
      <c r="R496" s="696"/>
      <c r="S496" s="696"/>
      <c r="T496" s="696"/>
      <c r="U496" s="696"/>
      <c r="V496" s="696"/>
      <c r="W496" s="696"/>
      <c r="X496" s="696"/>
      <c r="Y496" s="699"/>
      <c r="Z496" s="394"/>
      <c r="AA496" s="394"/>
      <c r="AB496" s="394"/>
      <c r="AC496" s="394"/>
      <c r="AD496" s="394"/>
      <c r="AE496" s="394"/>
      <c r="AF496" s="394"/>
      <c r="AG496" s="394"/>
      <c r="AH496" s="394"/>
      <c r="AI496" s="394"/>
      <c r="AJ496" s="394"/>
      <c r="AK496" s="394"/>
      <c r="AL496" s="394"/>
      <c r="AM496" s="394"/>
      <c r="AN496" s="394"/>
      <c r="AO496" s="394"/>
      <c r="AP496" s="394"/>
      <c r="AQ496" s="394"/>
      <c r="AR496" s="394"/>
      <c r="AS496" s="394"/>
      <c r="AT496" s="470"/>
      <c r="AU496" s="470"/>
      <c r="AV496" s="470"/>
      <c r="AW496" s="470"/>
      <c r="AX496" s="470"/>
      <c r="AY496" s="470"/>
      <c r="AZ496" s="470"/>
      <c r="BA496" s="470"/>
      <c r="BB496" s="470"/>
      <c r="BC496" s="470"/>
    </row>
    <row r="497" spans="1:55" s="469" customFormat="1" x14ac:dyDescent="0.25">
      <c r="A497" s="713"/>
      <c r="B497" s="696"/>
      <c r="C497" s="696"/>
      <c r="D497" s="384" t="s">
        <v>365</v>
      </c>
      <c r="E497" s="387"/>
      <c r="F497" s="387"/>
      <c r="G497" s="387">
        <v>0</v>
      </c>
      <c r="H497" s="387">
        <v>0</v>
      </c>
      <c r="I497" s="390"/>
      <c r="J497" s="387"/>
      <c r="K497" s="387">
        <v>0</v>
      </c>
      <c r="L497" s="387">
        <v>0</v>
      </c>
      <c r="M497" s="460"/>
      <c r="N497" s="696"/>
      <c r="O497" s="696"/>
      <c r="P497" s="696"/>
      <c r="Q497" s="696"/>
      <c r="R497" s="696"/>
      <c r="S497" s="696"/>
      <c r="T497" s="696"/>
      <c r="U497" s="696"/>
      <c r="V497" s="696"/>
      <c r="W497" s="696"/>
      <c r="X497" s="696"/>
      <c r="Y497" s="699"/>
      <c r="Z497" s="394"/>
      <c r="AA497" s="394"/>
      <c r="AB497" s="394"/>
      <c r="AC497" s="394"/>
      <c r="AD497" s="394"/>
      <c r="AE497" s="394"/>
      <c r="AF497" s="394"/>
      <c r="AG497" s="394"/>
      <c r="AH497" s="394"/>
      <c r="AI497" s="394"/>
      <c r="AJ497" s="394"/>
      <c r="AK497" s="394"/>
      <c r="AL497" s="394"/>
      <c r="AM497" s="394"/>
      <c r="AN497" s="394"/>
      <c r="AO497" s="394"/>
      <c r="AP497" s="394"/>
      <c r="AQ497" s="394"/>
      <c r="AR497" s="394"/>
      <c r="AS497" s="394"/>
      <c r="AT497" s="470"/>
      <c r="AU497" s="470"/>
      <c r="AV497" s="470"/>
      <c r="AW497" s="470"/>
      <c r="AX497" s="470"/>
      <c r="AY497" s="470"/>
      <c r="AZ497" s="470"/>
      <c r="BA497" s="470"/>
      <c r="BB497" s="470"/>
      <c r="BC497" s="470"/>
    </row>
    <row r="498" spans="1:55" s="469" customFormat="1" ht="22.5" x14ac:dyDescent="0.25">
      <c r="A498" s="713"/>
      <c r="B498" s="696"/>
      <c r="C498" s="696"/>
      <c r="D498" s="386" t="s">
        <v>370</v>
      </c>
      <c r="E498" s="407"/>
      <c r="F498" s="407"/>
      <c r="G498" s="407">
        <v>0</v>
      </c>
      <c r="H498" s="407">
        <v>0</v>
      </c>
      <c r="I498" s="390"/>
      <c r="J498" s="407"/>
      <c r="K498" s="407">
        <v>0</v>
      </c>
      <c r="L498" s="407">
        <v>0</v>
      </c>
      <c r="M498" s="390"/>
      <c r="N498" s="696"/>
      <c r="O498" s="696"/>
      <c r="P498" s="696"/>
      <c r="Q498" s="696"/>
      <c r="R498" s="696"/>
      <c r="S498" s="696"/>
      <c r="T498" s="696"/>
      <c r="U498" s="696"/>
      <c r="V498" s="696"/>
      <c r="W498" s="696"/>
      <c r="X498" s="696"/>
      <c r="Y498" s="699"/>
      <c r="Z498" s="394"/>
      <c r="AA498" s="394"/>
      <c r="AB498" s="394"/>
      <c r="AC498" s="394"/>
      <c r="AD498" s="394"/>
      <c r="AE498" s="394"/>
      <c r="AF498" s="394"/>
      <c r="AG498" s="394"/>
      <c r="AH498" s="394"/>
      <c r="AI498" s="394"/>
      <c r="AJ498" s="394"/>
      <c r="AK498" s="394"/>
      <c r="AL498" s="394"/>
      <c r="AM498" s="394"/>
      <c r="AN498" s="394"/>
      <c r="AO498" s="394"/>
      <c r="AP498" s="394"/>
      <c r="AQ498" s="394"/>
      <c r="AR498" s="394"/>
      <c r="AS498" s="394"/>
      <c r="AT498" s="470"/>
      <c r="AU498" s="470"/>
      <c r="AV498" s="470"/>
      <c r="AW498" s="470"/>
      <c r="AX498" s="470"/>
      <c r="AY498" s="470"/>
      <c r="AZ498" s="470"/>
      <c r="BA498" s="470"/>
      <c r="BB498" s="470"/>
      <c r="BC498" s="470"/>
    </row>
    <row r="499" spans="1:55" s="469" customFormat="1" x14ac:dyDescent="0.25">
      <c r="A499" s="713"/>
      <c r="B499" s="696"/>
      <c r="C499" s="722" t="s">
        <v>372</v>
      </c>
      <c r="D499" s="389" t="s">
        <v>348</v>
      </c>
      <c r="E499" s="387"/>
      <c r="F499" s="387"/>
      <c r="G499" s="387">
        <v>62.02</v>
      </c>
      <c r="H499" s="387">
        <v>62.02</v>
      </c>
      <c r="I499" s="390"/>
      <c r="J499" s="387"/>
      <c r="K499" s="387">
        <v>62.02</v>
      </c>
      <c r="L499" s="387">
        <v>62.02</v>
      </c>
      <c r="M499" s="460"/>
      <c r="N499" s="718" t="s">
        <v>372</v>
      </c>
      <c r="O499" s="718"/>
      <c r="P499" s="720"/>
      <c r="Q499" s="720"/>
      <c r="R499" s="720"/>
      <c r="S499" s="720"/>
      <c r="T499" s="723"/>
      <c r="U499" s="724"/>
      <c r="V499" s="720"/>
      <c r="W499" s="720"/>
      <c r="X499" s="720"/>
      <c r="Y499" s="721"/>
      <c r="Z499" s="394"/>
      <c r="AA499" s="394"/>
      <c r="AB499" s="394"/>
      <c r="AC499" s="394"/>
      <c r="AD499" s="394"/>
      <c r="AE499" s="394"/>
      <c r="AF499" s="394"/>
      <c r="AG499" s="394"/>
      <c r="AH499" s="394"/>
      <c r="AI499" s="394"/>
      <c r="AJ499" s="394"/>
      <c r="AK499" s="394"/>
      <c r="AL499" s="394"/>
      <c r="AM499" s="394"/>
      <c r="AN499" s="394"/>
      <c r="AO499" s="394"/>
      <c r="AP499" s="394"/>
      <c r="AQ499" s="394"/>
      <c r="AR499" s="394"/>
      <c r="AS499" s="394"/>
      <c r="AT499" s="470"/>
      <c r="AU499" s="470"/>
      <c r="AV499" s="470"/>
      <c r="AW499" s="470"/>
      <c r="AX499" s="470"/>
      <c r="AY499" s="470"/>
      <c r="AZ499" s="470"/>
      <c r="BA499" s="470"/>
      <c r="BB499" s="470"/>
      <c r="BC499" s="470"/>
    </row>
    <row r="500" spans="1:55" s="469" customFormat="1" x14ac:dyDescent="0.25">
      <c r="A500" s="713"/>
      <c r="B500" s="696"/>
      <c r="C500" s="696"/>
      <c r="D500" s="384" t="s">
        <v>360</v>
      </c>
      <c r="E500" s="407"/>
      <c r="F500" s="407"/>
      <c r="G500" s="407">
        <f>(G499*$G$472)/$G$471</f>
        <v>4442280.862552844</v>
      </c>
      <c r="H500" s="407">
        <f>(H499*$H$472)/$H$471</f>
        <v>4442280.862552844</v>
      </c>
      <c r="I500" s="390"/>
      <c r="J500" s="407"/>
      <c r="K500" s="407">
        <f>(K499*$K$472)/$K$471</f>
        <v>5391683.1084139794</v>
      </c>
      <c r="L500" s="407">
        <f>(L499*$K$472)/$K$471</f>
        <v>5391683.1084139794</v>
      </c>
      <c r="M500" s="460"/>
      <c r="N500" s="696"/>
      <c r="O500" s="696"/>
      <c r="P500" s="696"/>
      <c r="Q500" s="696"/>
      <c r="R500" s="696"/>
      <c r="S500" s="696"/>
      <c r="T500" s="696"/>
      <c r="U500" s="696"/>
      <c r="V500" s="696"/>
      <c r="W500" s="696"/>
      <c r="X500" s="696"/>
      <c r="Y500" s="699"/>
      <c r="Z500" s="394"/>
      <c r="AA500" s="394"/>
      <c r="AB500" s="394"/>
      <c r="AC500" s="394"/>
      <c r="AD500" s="394"/>
      <c r="AE500" s="394"/>
      <c r="AF500" s="394"/>
      <c r="AG500" s="394"/>
      <c r="AH500" s="394"/>
      <c r="AI500" s="394"/>
      <c r="AJ500" s="394"/>
      <c r="AK500" s="394"/>
      <c r="AL500" s="394"/>
      <c r="AM500" s="394"/>
      <c r="AN500" s="394"/>
      <c r="AO500" s="394"/>
      <c r="AP500" s="394"/>
      <c r="AQ500" s="394"/>
      <c r="AR500" s="394"/>
      <c r="AS500" s="394"/>
      <c r="AT500" s="470"/>
      <c r="AU500" s="470"/>
      <c r="AV500" s="470"/>
      <c r="AW500" s="470"/>
      <c r="AX500" s="470"/>
      <c r="AY500" s="470"/>
      <c r="AZ500" s="470"/>
      <c r="BA500" s="470"/>
      <c r="BB500" s="470"/>
      <c r="BC500" s="470"/>
    </row>
    <row r="501" spans="1:55" s="469" customFormat="1" x14ac:dyDescent="0.25">
      <c r="A501" s="713"/>
      <c r="B501" s="696"/>
      <c r="C501" s="696"/>
      <c r="D501" s="384" t="s">
        <v>365</v>
      </c>
      <c r="E501" s="387"/>
      <c r="F501" s="387"/>
      <c r="G501" s="387">
        <v>0</v>
      </c>
      <c r="H501" s="387">
        <v>0</v>
      </c>
      <c r="I501" s="390"/>
      <c r="J501" s="387"/>
      <c r="K501" s="387">
        <v>0</v>
      </c>
      <c r="L501" s="387">
        <v>0</v>
      </c>
      <c r="M501" s="460"/>
      <c r="N501" s="696"/>
      <c r="O501" s="696"/>
      <c r="P501" s="696"/>
      <c r="Q501" s="696"/>
      <c r="R501" s="696"/>
      <c r="S501" s="696"/>
      <c r="T501" s="696"/>
      <c r="U501" s="696"/>
      <c r="V501" s="696"/>
      <c r="W501" s="696"/>
      <c r="X501" s="696"/>
      <c r="Y501" s="699"/>
      <c r="Z501" s="394"/>
      <c r="AA501" s="394"/>
      <c r="AB501" s="394"/>
      <c r="AC501" s="394"/>
      <c r="AD501" s="394"/>
      <c r="AE501" s="394"/>
      <c r="AF501" s="394"/>
      <c r="AG501" s="394"/>
      <c r="AH501" s="394"/>
      <c r="AI501" s="394"/>
      <c r="AJ501" s="394"/>
      <c r="AK501" s="394"/>
      <c r="AL501" s="394"/>
      <c r="AM501" s="394"/>
      <c r="AN501" s="394"/>
      <c r="AO501" s="394"/>
      <c r="AP501" s="394"/>
      <c r="AQ501" s="394"/>
      <c r="AR501" s="394"/>
      <c r="AS501" s="394"/>
      <c r="AT501" s="470"/>
      <c r="AU501" s="470"/>
      <c r="AV501" s="470"/>
      <c r="AW501" s="470"/>
      <c r="AX501" s="470"/>
      <c r="AY501" s="470"/>
      <c r="AZ501" s="470"/>
      <c r="BA501" s="470"/>
      <c r="BB501" s="470"/>
      <c r="BC501" s="470"/>
    </row>
    <row r="502" spans="1:55" s="469" customFormat="1" ht="22.5" x14ac:dyDescent="0.25">
      <c r="A502" s="713"/>
      <c r="B502" s="696"/>
      <c r="C502" s="696"/>
      <c r="D502" s="386" t="s">
        <v>370</v>
      </c>
      <c r="E502" s="407"/>
      <c r="F502" s="407"/>
      <c r="G502" s="407">
        <v>0</v>
      </c>
      <c r="H502" s="407">
        <v>0</v>
      </c>
      <c r="I502" s="390"/>
      <c r="J502" s="407"/>
      <c r="K502" s="407">
        <v>0</v>
      </c>
      <c r="L502" s="407">
        <v>0</v>
      </c>
      <c r="M502" s="390"/>
      <c r="N502" s="696"/>
      <c r="O502" s="696"/>
      <c r="P502" s="696"/>
      <c r="Q502" s="696"/>
      <c r="R502" s="696"/>
      <c r="S502" s="696"/>
      <c r="T502" s="696"/>
      <c r="U502" s="696"/>
      <c r="V502" s="696"/>
      <c r="W502" s="696"/>
      <c r="X502" s="696"/>
      <c r="Y502" s="699"/>
      <c r="Z502" s="394"/>
      <c r="AA502" s="394"/>
      <c r="AB502" s="394"/>
      <c r="AC502" s="394"/>
      <c r="AD502" s="394"/>
      <c r="AE502" s="394"/>
      <c r="AF502" s="394"/>
      <c r="AG502" s="394"/>
      <c r="AH502" s="394"/>
      <c r="AI502" s="394"/>
      <c r="AJ502" s="394"/>
      <c r="AK502" s="394"/>
      <c r="AL502" s="394"/>
      <c r="AM502" s="394"/>
      <c r="AN502" s="394"/>
      <c r="AO502" s="394"/>
      <c r="AP502" s="394"/>
      <c r="AQ502" s="394"/>
      <c r="AR502" s="394"/>
      <c r="AS502" s="394"/>
      <c r="AT502" s="470"/>
      <c r="AU502" s="470"/>
      <c r="AV502" s="470"/>
      <c r="AW502" s="470"/>
      <c r="AX502" s="470"/>
      <c r="AY502" s="470"/>
      <c r="AZ502" s="470"/>
      <c r="BA502" s="470"/>
      <c r="BB502" s="470"/>
      <c r="BC502" s="470"/>
    </row>
    <row r="503" spans="1:55" s="469" customFormat="1" x14ac:dyDescent="0.25">
      <c r="A503" s="713"/>
      <c r="B503" s="696"/>
      <c r="C503" s="722" t="s">
        <v>375</v>
      </c>
      <c r="D503" s="389" t="s">
        <v>348</v>
      </c>
      <c r="E503" s="387"/>
      <c r="F503" s="387"/>
      <c r="G503" s="387">
        <v>0.14000000000000001</v>
      </c>
      <c r="H503" s="387">
        <v>0.14000000000000001</v>
      </c>
      <c r="I503" s="390"/>
      <c r="J503" s="387"/>
      <c r="K503" s="387">
        <v>0.14000000000000001</v>
      </c>
      <c r="L503" s="387">
        <v>0.14000000000000001</v>
      </c>
      <c r="M503" s="460"/>
      <c r="N503" s="718" t="s">
        <v>375</v>
      </c>
      <c r="O503" s="718"/>
      <c r="P503" s="720"/>
      <c r="Q503" s="720"/>
      <c r="R503" s="720"/>
      <c r="S503" s="720"/>
      <c r="T503" s="723"/>
      <c r="U503" s="724"/>
      <c r="V503" s="720"/>
      <c r="W503" s="720"/>
      <c r="X503" s="720"/>
      <c r="Y503" s="721"/>
      <c r="Z503" s="394"/>
      <c r="AA503" s="394"/>
      <c r="AB503" s="394"/>
      <c r="AC503" s="394"/>
      <c r="AD503" s="394"/>
      <c r="AE503" s="394"/>
      <c r="AF503" s="394"/>
      <c r="AG503" s="394"/>
      <c r="AH503" s="394"/>
      <c r="AI503" s="394"/>
      <c r="AJ503" s="394"/>
      <c r="AK503" s="394"/>
      <c r="AL503" s="394"/>
      <c r="AM503" s="394"/>
      <c r="AN503" s="394"/>
      <c r="AO503" s="394"/>
      <c r="AP503" s="394"/>
      <c r="AQ503" s="394"/>
      <c r="AR503" s="394"/>
      <c r="AS503" s="394"/>
      <c r="AT503" s="470"/>
      <c r="AU503" s="470"/>
      <c r="AV503" s="470"/>
      <c r="AW503" s="470"/>
      <c r="AX503" s="470"/>
      <c r="AY503" s="470"/>
      <c r="AZ503" s="470"/>
      <c r="BA503" s="470"/>
      <c r="BB503" s="470"/>
      <c r="BC503" s="470"/>
    </row>
    <row r="504" spans="1:55" s="469" customFormat="1" x14ac:dyDescent="0.25">
      <c r="A504" s="713"/>
      <c r="B504" s="696"/>
      <c r="C504" s="696"/>
      <c r="D504" s="384" t="s">
        <v>360</v>
      </c>
      <c r="E504" s="407"/>
      <c r="F504" s="407"/>
      <c r="G504" s="407">
        <f>(G503*$G$472)/$G$471</f>
        <v>10027.722037365334</v>
      </c>
      <c r="H504" s="407">
        <f>(H503*$H$472)/$H$471</f>
        <v>10027.722037365334</v>
      </c>
      <c r="I504" s="390"/>
      <c r="J504" s="407"/>
      <c r="K504" s="407">
        <f>(K503*$K$472)/$K$471</f>
        <v>12170.842231182796</v>
      </c>
      <c r="L504" s="407">
        <f>(L503*$K$472)/$K$471</f>
        <v>12170.842231182796</v>
      </c>
      <c r="M504" s="460"/>
      <c r="N504" s="696"/>
      <c r="O504" s="696"/>
      <c r="P504" s="696"/>
      <c r="Q504" s="696"/>
      <c r="R504" s="696"/>
      <c r="S504" s="696"/>
      <c r="T504" s="696"/>
      <c r="U504" s="696"/>
      <c r="V504" s="696"/>
      <c r="W504" s="696"/>
      <c r="X504" s="696"/>
      <c r="Y504" s="699"/>
      <c r="Z504" s="394"/>
      <c r="AA504" s="394"/>
      <c r="AB504" s="394"/>
      <c r="AC504" s="394"/>
      <c r="AD504" s="394"/>
      <c r="AE504" s="394"/>
      <c r="AF504" s="394"/>
      <c r="AG504" s="394"/>
      <c r="AH504" s="394"/>
      <c r="AI504" s="394"/>
      <c r="AJ504" s="394"/>
      <c r="AK504" s="394"/>
      <c r="AL504" s="394"/>
      <c r="AM504" s="394"/>
      <c r="AN504" s="394"/>
      <c r="AO504" s="394"/>
      <c r="AP504" s="394"/>
      <c r="AQ504" s="394"/>
      <c r="AR504" s="394"/>
      <c r="AS504" s="394"/>
      <c r="AT504" s="470"/>
      <c r="AU504" s="470"/>
      <c r="AV504" s="470"/>
      <c r="AW504" s="470"/>
      <c r="AX504" s="470"/>
      <c r="AY504" s="470"/>
      <c r="AZ504" s="470"/>
      <c r="BA504" s="470"/>
      <c r="BB504" s="470"/>
      <c r="BC504" s="470"/>
    </row>
    <row r="505" spans="1:55" s="469" customFormat="1" x14ac:dyDescent="0.25">
      <c r="A505" s="713"/>
      <c r="B505" s="696"/>
      <c r="C505" s="696"/>
      <c r="D505" s="384" t="s">
        <v>365</v>
      </c>
      <c r="E505" s="387"/>
      <c r="F505" s="387"/>
      <c r="G505" s="387">
        <v>0</v>
      </c>
      <c r="H505" s="387">
        <v>0</v>
      </c>
      <c r="I505" s="390"/>
      <c r="J505" s="387"/>
      <c r="K505" s="387">
        <v>0</v>
      </c>
      <c r="L505" s="387">
        <v>0</v>
      </c>
      <c r="M505" s="460"/>
      <c r="N505" s="696"/>
      <c r="O505" s="696"/>
      <c r="P505" s="696"/>
      <c r="Q505" s="696"/>
      <c r="R505" s="696"/>
      <c r="S505" s="696"/>
      <c r="T505" s="696"/>
      <c r="U505" s="696"/>
      <c r="V505" s="696"/>
      <c r="W505" s="696"/>
      <c r="X505" s="696"/>
      <c r="Y505" s="699"/>
      <c r="Z505" s="394"/>
      <c r="AA505" s="394"/>
      <c r="AB505" s="394"/>
      <c r="AC505" s="394"/>
      <c r="AD505" s="394"/>
      <c r="AE505" s="394"/>
      <c r="AF505" s="394"/>
      <c r="AG505" s="394"/>
      <c r="AH505" s="394"/>
      <c r="AI505" s="394"/>
      <c r="AJ505" s="394"/>
      <c r="AK505" s="394"/>
      <c r="AL505" s="394"/>
      <c r="AM505" s="394"/>
      <c r="AN505" s="394"/>
      <c r="AO505" s="394"/>
      <c r="AP505" s="394"/>
      <c r="AQ505" s="394"/>
      <c r="AR505" s="394"/>
      <c r="AS505" s="394"/>
      <c r="AT505" s="470"/>
      <c r="AU505" s="470"/>
      <c r="AV505" s="470"/>
      <c r="AW505" s="470"/>
      <c r="AX505" s="470"/>
      <c r="AY505" s="470"/>
      <c r="AZ505" s="470"/>
      <c r="BA505" s="470"/>
      <c r="BB505" s="470"/>
      <c r="BC505" s="470"/>
    </row>
    <row r="506" spans="1:55" s="469" customFormat="1" ht="22.5" x14ac:dyDescent="0.25">
      <c r="A506" s="713"/>
      <c r="B506" s="696"/>
      <c r="C506" s="696"/>
      <c r="D506" s="386" t="s">
        <v>370</v>
      </c>
      <c r="E506" s="407"/>
      <c r="F506" s="407"/>
      <c r="G506" s="407">
        <v>0</v>
      </c>
      <c r="H506" s="407">
        <v>0</v>
      </c>
      <c r="I506" s="390"/>
      <c r="J506" s="407"/>
      <c r="K506" s="407">
        <v>0</v>
      </c>
      <c r="L506" s="407">
        <v>0</v>
      </c>
      <c r="M506" s="390"/>
      <c r="N506" s="696"/>
      <c r="O506" s="696"/>
      <c r="P506" s="696"/>
      <c r="Q506" s="696"/>
      <c r="R506" s="696"/>
      <c r="S506" s="696"/>
      <c r="T506" s="696"/>
      <c r="U506" s="696"/>
      <c r="V506" s="696"/>
      <c r="W506" s="696"/>
      <c r="X506" s="696"/>
      <c r="Y506" s="699"/>
      <c r="Z506" s="394"/>
      <c r="AA506" s="394"/>
      <c r="AB506" s="394"/>
      <c r="AC506" s="394"/>
      <c r="AD506" s="394"/>
      <c r="AE506" s="394"/>
      <c r="AF506" s="394"/>
      <c r="AG506" s="394"/>
      <c r="AH506" s="394"/>
      <c r="AI506" s="394"/>
      <c r="AJ506" s="394"/>
      <c r="AK506" s="394"/>
      <c r="AL506" s="394"/>
      <c r="AM506" s="394"/>
      <c r="AN506" s="394"/>
      <c r="AO506" s="394"/>
      <c r="AP506" s="394"/>
      <c r="AQ506" s="394"/>
      <c r="AR506" s="394"/>
      <c r="AS506" s="394"/>
      <c r="AT506" s="470"/>
      <c r="AU506" s="470"/>
      <c r="AV506" s="470"/>
      <c r="AW506" s="470"/>
      <c r="AX506" s="470"/>
      <c r="AY506" s="470"/>
      <c r="AZ506" s="470"/>
      <c r="BA506" s="470"/>
      <c r="BB506" s="470"/>
      <c r="BC506" s="470"/>
    </row>
    <row r="507" spans="1:55" s="469" customFormat="1" x14ac:dyDescent="0.25">
      <c r="A507" s="713"/>
      <c r="B507" s="696"/>
      <c r="C507" s="722" t="s">
        <v>522</v>
      </c>
      <c r="D507" s="389" t="s">
        <v>348</v>
      </c>
      <c r="E507" s="387"/>
      <c r="F507" s="387"/>
      <c r="G507" s="387">
        <v>218.9</v>
      </c>
      <c r="H507" s="387">
        <v>218.9</v>
      </c>
      <c r="I507" s="390"/>
      <c r="J507" s="387"/>
      <c r="K507" s="387">
        <v>218.9</v>
      </c>
      <c r="L507" s="387">
        <v>218.9</v>
      </c>
      <c r="M507" s="460"/>
      <c r="N507" s="718" t="s">
        <v>522</v>
      </c>
      <c r="O507" s="718"/>
      <c r="P507" s="720"/>
      <c r="Q507" s="720"/>
      <c r="R507" s="720"/>
      <c r="S507" s="720"/>
      <c r="T507" s="723"/>
      <c r="U507" s="724"/>
      <c r="V507" s="720"/>
      <c r="W507" s="720"/>
      <c r="X507" s="720"/>
      <c r="Y507" s="721"/>
      <c r="Z507" s="394"/>
      <c r="AA507" s="394"/>
      <c r="AB507" s="394"/>
      <c r="AC507" s="394"/>
      <c r="AD507" s="394"/>
      <c r="AE507" s="394"/>
      <c r="AF507" s="394"/>
      <c r="AG507" s="394"/>
      <c r="AH507" s="394"/>
      <c r="AI507" s="394"/>
      <c r="AJ507" s="394"/>
      <c r="AK507" s="394"/>
      <c r="AL507" s="394"/>
      <c r="AM507" s="394"/>
      <c r="AN507" s="394"/>
      <c r="AO507" s="394"/>
      <c r="AP507" s="394"/>
      <c r="AQ507" s="394"/>
      <c r="AR507" s="394"/>
      <c r="AS507" s="394"/>
      <c r="AT507" s="470"/>
      <c r="AU507" s="470"/>
      <c r="AV507" s="470"/>
      <c r="AW507" s="470"/>
      <c r="AX507" s="470"/>
      <c r="AY507" s="470"/>
      <c r="AZ507" s="470"/>
      <c r="BA507" s="470"/>
      <c r="BB507" s="470"/>
      <c r="BC507" s="470"/>
    </row>
    <row r="508" spans="1:55" s="469" customFormat="1" x14ac:dyDescent="0.25">
      <c r="A508" s="713"/>
      <c r="B508" s="696"/>
      <c r="C508" s="696"/>
      <c r="D508" s="384" t="s">
        <v>360</v>
      </c>
      <c r="E508" s="407"/>
      <c r="F508" s="407"/>
      <c r="G508" s="407">
        <f>(G507*$G$472)/$G$471</f>
        <v>15679059.671280513</v>
      </c>
      <c r="H508" s="407">
        <f>(H507*$H$472)/$H$471</f>
        <v>15679059.671280513</v>
      </c>
      <c r="I508" s="390"/>
      <c r="J508" s="407"/>
      <c r="K508" s="407">
        <f>(K507*$K$472)/$K$471</f>
        <v>19029981.174327958</v>
      </c>
      <c r="L508" s="407">
        <f>(L507*$K$472)/$K$471</f>
        <v>19029981.174327958</v>
      </c>
      <c r="M508" s="460"/>
      <c r="N508" s="696"/>
      <c r="O508" s="696"/>
      <c r="P508" s="696"/>
      <c r="Q508" s="696"/>
      <c r="R508" s="696"/>
      <c r="S508" s="696"/>
      <c r="T508" s="696"/>
      <c r="U508" s="696"/>
      <c r="V508" s="696"/>
      <c r="W508" s="696"/>
      <c r="X508" s="696"/>
      <c r="Y508" s="699"/>
      <c r="Z508" s="394"/>
      <c r="AA508" s="394"/>
      <c r="AB508" s="394"/>
      <c r="AC508" s="394"/>
      <c r="AD508" s="394"/>
      <c r="AE508" s="394"/>
      <c r="AF508" s="394"/>
      <c r="AG508" s="394"/>
      <c r="AH508" s="394"/>
      <c r="AI508" s="394"/>
      <c r="AJ508" s="394"/>
      <c r="AK508" s="394"/>
      <c r="AL508" s="394"/>
      <c r="AM508" s="394"/>
      <c r="AN508" s="394"/>
      <c r="AO508" s="394"/>
      <c r="AP508" s="394"/>
      <c r="AQ508" s="394"/>
      <c r="AR508" s="394"/>
      <c r="AS508" s="394"/>
      <c r="AT508" s="470"/>
      <c r="AU508" s="470"/>
      <c r="AV508" s="470"/>
      <c r="AW508" s="470"/>
      <c r="AX508" s="470"/>
      <c r="AY508" s="470"/>
      <c r="AZ508" s="470"/>
      <c r="BA508" s="470"/>
      <c r="BB508" s="470"/>
      <c r="BC508" s="470"/>
    </row>
    <row r="509" spans="1:55" s="469" customFormat="1" x14ac:dyDescent="0.25">
      <c r="A509" s="713"/>
      <c r="B509" s="696"/>
      <c r="C509" s="696"/>
      <c r="D509" s="384" t="s">
        <v>365</v>
      </c>
      <c r="E509" s="387"/>
      <c r="F509" s="387"/>
      <c r="G509" s="387">
        <v>0</v>
      </c>
      <c r="H509" s="387">
        <v>0</v>
      </c>
      <c r="I509" s="390"/>
      <c r="J509" s="387"/>
      <c r="K509" s="387">
        <v>0</v>
      </c>
      <c r="L509" s="387">
        <v>0</v>
      </c>
      <c r="M509" s="460"/>
      <c r="N509" s="696"/>
      <c r="O509" s="696"/>
      <c r="P509" s="696"/>
      <c r="Q509" s="696"/>
      <c r="R509" s="696"/>
      <c r="S509" s="696"/>
      <c r="T509" s="696"/>
      <c r="U509" s="696"/>
      <c r="V509" s="696"/>
      <c r="W509" s="696"/>
      <c r="X509" s="696"/>
      <c r="Y509" s="699"/>
      <c r="Z509" s="394"/>
      <c r="AA509" s="394"/>
      <c r="AB509" s="394"/>
      <c r="AC509" s="394"/>
      <c r="AD509" s="394"/>
      <c r="AE509" s="394"/>
      <c r="AF509" s="394"/>
      <c r="AG509" s="394"/>
      <c r="AH509" s="394"/>
      <c r="AI509" s="394"/>
      <c r="AJ509" s="394"/>
      <c r="AK509" s="394"/>
      <c r="AL509" s="394"/>
      <c r="AM509" s="394"/>
      <c r="AN509" s="394"/>
      <c r="AO509" s="394"/>
      <c r="AP509" s="394"/>
      <c r="AQ509" s="394"/>
      <c r="AR509" s="394"/>
      <c r="AS509" s="394"/>
      <c r="AT509" s="470"/>
      <c r="AU509" s="470"/>
      <c r="AV509" s="470"/>
      <c r="AW509" s="470"/>
      <c r="AX509" s="470"/>
      <c r="AY509" s="470"/>
      <c r="AZ509" s="470"/>
      <c r="BA509" s="470"/>
      <c r="BB509" s="470"/>
      <c r="BC509" s="470"/>
    </row>
    <row r="510" spans="1:55" s="469" customFormat="1" ht="22.5" x14ac:dyDescent="0.25">
      <c r="A510" s="713"/>
      <c r="B510" s="696"/>
      <c r="C510" s="696"/>
      <c r="D510" s="386" t="s">
        <v>370</v>
      </c>
      <c r="E510" s="407"/>
      <c r="F510" s="407"/>
      <c r="G510" s="407">
        <v>0</v>
      </c>
      <c r="H510" s="407">
        <v>0</v>
      </c>
      <c r="I510" s="390"/>
      <c r="J510" s="407"/>
      <c r="K510" s="407">
        <v>0</v>
      </c>
      <c r="L510" s="407">
        <v>0</v>
      </c>
      <c r="M510" s="390"/>
      <c r="N510" s="696"/>
      <c r="O510" s="696"/>
      <c r="P510" s="696"/>
      <c r="Q510" s="696"/>
      <c r="R510" s="696"/>
      <c r="S510" s="696"/>
      <c r="T510" s="696"/>
      <c r="U510" s="696"/>
      <c r="V510" s="696"/>
      <c r="W510" s="696"/>
      <c r="X510" s="696"/>
      <c r="Y510" s="699"/>
      <c r="Z510" s="394"/>
      <c r="AA510" s="394"/>
      <c r="AB510" s="394"/>
      <c r="AC510" s="394"/>
      <c r="AD510" s="394"/>
      <c r="AE510" s="394"/>
      <c r="AF510" s="394"/>
      <c r="AG510" s="394"/>
      <c r="AH510" s="394"/>
      <c r="AI510" s="394"/>
      <c r="AJ510" s="394"/>
      <c r="AK510" s="394"/>
      <c r="AL510" s="394"/>
      <c r="AM510" s="394"/>
      <c r="AN510" s="394"/>
      <c r="AO510" s="394"/>
      <c r="AP510" s="394"/>
      <c r="AQ510" s="394"/>
      <c r="AR510" s="394"/>
      <c r="AS510" s="394"/>
      <c r="AT510" s="470"/>
      <c r="AU510" s="470"/>
      <c r="AV510" s="470"/>
      <c r="AW510" s="470"/>
      <c r="AX510" s="470"/>
      <c r="AY510" s="470"/>
      <c r="AZ510" s="470"/>
      <c r="BA510" s="470"/>
      <c r="BB510" s="470"/>
      <c r="BC510" s="470"/>
    </row>
    <row r="511" spans="1:55" s="469" customFormat="1" x14ac:dyDescent="0.25">
      <c r="A511" s="713"/>
      <c r="B511" s="696"/>
      <c r="C511" s="722" t="s">
        <v>393</v>
      </c>
      <c r="D511" s="389" t="s">
        <v>348</v>
      </c>
      <c r="E511" s="387">
        <v>37</v>
      </c>
      <c r="F511" s="387">
        <v>37</v>
      </c>
      <c r="G511" s="387">
        <v>392.79</v>
      </c>
      <c r="H511" s="387">
        <v>392.79</v>
      </c>
      <c r="I511" s="390"/>
      <c r="J511" s="387">
        <v>37</v>
      </c>
      <c r="K511" s="387">
        <v>392.79</v>
      </c>
      <c r="L511" s="387">
        <v>392.79</v>
      </c>
      <c r="M511" s="460"/>
      <c r="N511" s="718" t="s">
        <v>393</v>
      </c>
      <c r="O511" s="718" t="s">
        <v>350</v>
      </c>
      <c r="P511" s="720" t="s">
        <v>351</v>
      </c>
      <c r="Q511" s="720" t="s">
        <v>352</v>
      </c>
      <c r="R511" s="720" t="s">
        <v>353</v>
      </c>
      <c r="S511" s="720">
        <v>589932</v>
      </c>
      <c r="T511" s="723">
        <v>619048</v>
      </c>
      <c r="U511" s="724" t="s">
        <v>494</v>
      </c>
      <c r="V511" s="720" t="s">
        <v>355</v>
      </c>
      <c r="W511" s="720" t="s">
        <v>356</v>
      </c>
      <c r="X511" s="720" t="s">
        <v>357</v>
      </c>
      <c r="Y511" s="721">
        <v>1208980</v>
      </c>
      <c r="Z511" s="381"/>
      <c r="AA511" s="381"/>
      <c r="AB511" s="381"/>
      <c r="AC511" s="381"/>
      <c r="AD511" s="381"/>
      <c r="AE511" s="381"/>
      <c r="AF511" s="381"/>
      <c r="AG511" s="381"/>
      <c r="AH511" s="381"/>
      <c r="AI511" s="381"/>
      <c r="AJ511" s="381"/>
      <c r="AK511" s="381"/>
      <c r="AL511" s="381"/>
      <c r="AM511" s="381"/>
      <c r="AN511" s="381"/>
      <c r="AO511" s="381"/>
      <c r="AP511" s="381"/>
      <c r="AQ511" s="381"/>
      <c r="AR511" s="381"/>
      <c r="AS511" s="381"/>
      <c r="AT511" s="468"/>
      <c r="AU511" s="468"/>
      <c r="AV511" s="468"/>
      <c r="AW511" s="468"/>
      <c r="AX511" s="468"/>
      <c r="AY511" s="468"/>
      <c r="AZ511" s="468"/>
      <c r="BA511" s="468"/>
      <c r="BB511" s="468"/>
      <c r="BC511" s="468"/>
    </row>
    <row r="512" spans="1:55" s="469" customFormat="1" x14ac:dyDescent="0.25">
      <c r="A512" s="713"/>
      <c r="B512" s="696"/>
      <c r="C512" s="696"/>
      <c r="D512" s="384" t="s">
        <v>360</v>
      </c>
      <c r="E512" s="407">
        <v>2650183.6813036958</v>
      </c>
      <c r="F512" s="407">
        <v>2650183.6813036958</v>
      </c>
      <c r="G512" s="407">
        <f>(G511*$G$472)/$G$471</f>
        <v>28134206.707548071</v>
      </c>
      <c r="H512" s="407">
        <f>(H511*$H$472)/$H$471</f>
        <v>28134206.707548071</v>
      </c>
      <c r="I512" s="390"/>
      <c r="J512" s="407">
        <v>8513876.2566153854</v>
      </c>
      <c r="K512" s="407">
        <f>(K511*$K$472)/$K$471</f>
        <v>34147036.571330652</v>
      </c>
      <c r="L512" s="407">
        <v>34147036.571330652</v>
      </c>
      <c r="M512" s="460"/>
      <c r="N512" s="696"/>
      <c r="O512" s="696"/>
      <c r="P512" s="696"/>
      <c r="Q512" s="696"/>
      <c r="R512" s="696"/>
      <c r="S512" s="696"/>
      <c r="T512" s="696"/>
      <c r="U512" s="696"/>
      <c r="V512" s="696"/>
      <c r="W512" s="696"/>
      <c r="X512" s="696"/>
      <c r="Y512" s="699"/>
      <c r="Z512" s="381"/>
      <c r="AA512" s="381"/>
      <c r="AB512" s="381"/>
      <c r="AC512" s="381"/>
      <c r="AD512" s="381"/>
      <c r="AE512" s="381"/>
      <c r="AF512" s="381"/>
      <c r="AG512" s="381"/>
      <c r="AH512" s="381"/>
      <c r="AI512" s="381"/>
      <c r="AJ512" s="381"/>
      <c r="AK512" s="381"/>
      <c r="AL512" s="381"/>
      <c r="AM512" s="381"/>
      <c r="AN512" s="381"/>
      <c r="AO512" s="381"/>
      <c r="AP512" s="381"/>
      <c r="AQ512" s="381"/>
      <c r="AR512" s="381"/>
      <c r="AS512" s="381"/>
      <c r="AT512" s="468"/>
      <c r="AU512" s="468"/>
      <c r="AV512" s="468"/>
      <c r="AW512" s="468"/>
      <c r="AX512" s="468"/>
      <c r="AY512" s="468"/>
      <c r="AZ512" s="468"/>
      <c r="BA512" s="468"/>
      <c r="BB512" s="468"/>
      <c r="BC512" s="468"/>
    </row>
    <row r="513" spans="1:55" s="469" customFormat="1" x14ac:dyDescent="0.25">
      <c r="A513" s="713"/>
      <c r="B513" s="696"/>
      <c r="C513" s="696"/>
      <c r="D513" s="384" t="s">
        <v>365</v>
      </c>
      <c r="E513" s="387">
        <v>0</v>
      </c>
      <c r="F513" s="387">
        <v>0</v>
      </c>
      <c r="G513" s="387">
        <v>0</v>
      </c>
      <c r="H513" s="387">
        <v>0</v>
      </c>
      <c r="I513" s="390"/>
      <c r="J513" s="387">
        <v>0</v>
      </c>
      <c r="K513" s="387">
        <v>0</v>
      </c>
      <c r="L513" s="387">
        <v>0</v>
      </c>
      <c r="M513" s="460"/>
      <c r="N513" s="696"/>
      <c r="O513" s="696"/>
      <c r="P513" s="696"/>
      <c r="Q513" s="696"/>
      <c r="R513" s="696"/>
      <c r="S513" s="696"/>
      <c r="T513" s="696"/>
      <c r="U513" s="696"/>
      <c r="V513" s="696"/>
      <c r="W513" s="696"/>
      <c r="X513" s="696"/>
      <c r="Y513" s="699"/>
      <c r="Z513" s="381"/>
      <c r="AA513" s="381"/>
      <c r="AB513" s="381"/>
      <c r="AC513" s="381"/>
      <c r="AD513" s="381"/>
      <c r="AE513" s="381"/>
      <c r="AF513" s="381"/>
      <c r="AG513" s="381"/>
      <c r="AH513" s="381"/>
      <c r="AI513" s="381"/>
      <c r="AJ513" s="381"/>
      <c r="AK513" s="381"/>
      <c r="AL513" s="381"/>
      <c r="AM513" s="381"/>
      <c r="AN513" s="381"/>
      <c r="AO513" s="381"/>
      <c r="AP513" s="381"/>
      <c r="AQ513" s="381"/>
      <c r="AR513" s="381"/>
      <c r="AS513" s="381"/>
      <c r="AT513" s="468"/>
      <c r="AU513" s="468"/>
      <c r="AV513" s="468"/>
      <c r="AW513" s="468"/>
      <c r="AX513" s="468"/>
      <c r="AY513" s="468"/>
      <c r="AZ513" s="468"/>
      <c r="BA513" s="468"/>
      <c r="BB513" s="468"/>
      <c r="BC513" s="468"/>
    </row>
    <row r="514" spans="1:55" s="469" customFormat="1" ht="22.5" x14ac:dyDescent="0.25">
      <c r="A514" s="713"/>
      <c r="B514" s="696"/>
      <c r="C514" s="696"/>
      <c r="D514" s="386" t="s">
        <v>370</v>
      </c>
      <c r="E514" s="407">
        <v>0</v>
      </c>
      <c r="F514" s="407">
        <v>0</v>
      </c>
      <c r="G514" s="407">
        <v>0</v>
      </c>
      <c r="H514" s="407">
        <v>0</v>
      </c>
      <c r="I514" s="390"/>
      <c r="J514" s="407">
        <v>0</v>
      </c>
      <c r="K514" s="407">
        <v>0</v>
      </c>
      <c r="L514" s="407">
        <v>0</v>
      </c>
      <c r="M514" s="390"/>
      <c r="N514" s="696"/>
      <c r="O514" s="696"/>
      <c r="P514" s="696"/>
      <c r="Q514" s="696"/>
      <c r="R514" s="696"/>
      <c r="S514" s="696"/>
      <c r="T514" s="696"/>
      <c r="U514" s="696"/>
      <c r="V514" s="696"/>
      <c r="W514" s="696"/>
      <c r="X514" s="696"/>
      <c r="Y514" s="699"/>
      <c r="Z514" s="381"/>
      <c r="AA514" s="381"/>
      <c r="AB514" s="381"/>
      <c r="AC514" s="381"/>
      <c r="AD514" s="381"/>
      <c r="AE514" s="381"/>
      <c r="AF514" s="381"/>
      <c r="AG514" s="381"/>
      <c r="AH514" s="381"/>
      <c r="AI514" s="381"/>
      <c r="AJ514" s="381"/>
      <c r="AK514" s="381"/>
      <c r="AL514" s="381"/>
      <c r="AM514" s="381"/>
      <c r="AN514" s="381"/>
      <c r="AO514" s="381"/>
      <c r="AP514" s="381"/>
      <c r="AQ514" s="381"/>
      <c r="AR514" s="381"/>
      <c r="AS514" s="381"/>
      <c r="AT514" s="468"/>
      <c r="AU514" s="468"/>
      <c r="AV514" s="468"/>
      <c r="AW514" s="468"/>
      <c r="AX514" s="468"/>
      <c r="AY514" s="468"/>
      <c r="AZ514" s="468"/>
      <c r="BA514" s="468"/>
      <c r="BB514" s="468"/>
      <c r="BC514" s="468"/>
    </row>
    <row r="515" spans="1:55" x14ac:dyDescent="0.25">
      <c r="A515" s="713"/>
      <c r="B515" s="696"/>
      <c r="C515" s="722" t="s">
        <v>386</v>
      </c>
      <c r="D515" s="389" t="s">
        <v>348</v>
      </c>
      <c r="E515" s="387">
        <v>494</v>
      </c>
      <c r="F515" s="387">
        <v>494</v>
      </c>
      <c r="G515" s="387">
        <v>504.1</v>
      </c>
      <c r="H515" s="387">
        <v>504.33199999999999</v>
      </c>
      <c r="I515" s="390"/>
      <c r="J515" s="387">
        <v>494</v>
      </c>
      <c r="K515" s="387">
        <v>504.1</v>
      </c>
      <c r="L515" s="387">
        <v>504.33199999999999</v>
      </c>
      <c r="M515" s="460"/>
      <c r="N515" s="718" t="s">
        <v>386</v>
      </c>
      <c r="O515" s="718" t="s">
        <v>350</v>
      </c>
      <c r="P515" s="720" t="s">
        <v>351</v>
      </c>
      <c r="Q515" s="720" t="s">
        <v>352</v>
      </c>
      <c r="R515" s="720" t="s">
        <v>353</v>
      </c>
      <c r="S515" s="720">
        <v>195255</v>
      </c>
      <c r="T515" s="723">
        <v>218479</v>
      </c>
      <c r="U515" s="724" t="s">
        <v>494</v>
      </c>
      <c r="V515" s="720" t="s">
        <v>355</v>
      </c>
      <c r="W515" s="720" t="s">
        <v>356</v>
      </c>
      <c r="X515" s="720" t="s">
        <v>357</v>
      </c>
      <c r="Y515" s="721">
        <v>413734</v>
      </c>
      <c r="Z515" s="381"/>
      <c r="AA515" s="381"/>
      <c r="AB515" s="381"/>
      <c r="AC515" s="381"/>
      <c r="AD515" s="381"/>
      <c r="AE515" s="381"/>
      <c r="AF515" s="381"/>
      <c r="AG515" s="381"/>
      <c r="AH515" s="381"/>
      <c r="AI515" s="381"/>
      <c r="AJ515" s="381"/>
      <c r="AK515" s="19"/>
      <c r="AL515" s="19"/>
      <c r="AM515" s="19"/>
      <c r="AN515" s="19"/>
      <c r="AO515" s="19"/>
      <c r="AP515" s="19"/>
      <c r="AQ515" s="19"/>
      <c r="AR515" s="19"/>
      <c r="AS515" s="19"/>
      <c r="AT515" s="5"/>
      <c r="AU515" s="5"/>
      <c r="AV515" s="5"/>
      <c r="AW515" s="5"/>
      <c r="AX515" s="5"/>
      <c r="AY515" s="5"/>
      <c r="AZ515" s="5"/>
      <c r="BA515" s="5"/>
      <c r="BB515" s="5"/>
      <c r="BC515" s="5"/>
    </row>
    <row r="516" spans="1:55" x14ac:dyDescent="0.25">
      <c r="A516" s="713"/>
      <c r="B516" s="696"/>
      <c r="C516" s="696"/>
      <c r="D516" s="384" t="s">
        <v>360</v>
      </c>
      <c r="E516" s="407">
        <v>35383533.474703394</v>
      </c>
      <c r="F516" s="407">
        <v>35383533.474703394</v>
      </c>
      <c r="G516" s="407">
        <f>(G515*$G$472)/$G$471</f>
        <v>36106961.993113324</v>
      </c>
      <c r="H516" s="407">
        <f>(H515*$H$472)/$H$471</f>
        <v>36123579.361060955</v>
      </c>
      <c r="I516" s="390"/>
      <c r="J516" s="407">
        <v>113671753.264</v>
      </c>
      <c r="K516" s="407">
        <f>(K515*$K$472)/$K$471</f>
        <v>43823725.490994625</v>
      </c>
      <c r="L516" s="407">
        <f>(L515*$K$472)/$K$471</f>
        <v>43843894.315263443</v>
      </c>
      <c r="M516" s="460"/>
      <c r="N516" s="696"/>
      <c r="O516" s="696"/>
      <c r="P516" s="696"/>
      <c r="Q516" s="696"/>
      <c r="R516" s="696"/>
      <c r="S516" s="696"/>
      <c r="T516" s="696"/>
      <c r="U516" s="696"/>
      <c r="V516" s="696"/>
      <c r="W516" s="696"/>
      <c r="X516" s="696"/>
      <c r="Y516" s="699"/>
      <c r="Z516" s="381"/>
      <c r="AA516" s="381"/>
      <c r="AB516" s="381"/>
      <c r="AC516" s="381"/>
      <c r="AD516" s="381"/>
      <c r="AE516" s="381"/>
      <c r="AF516" s="381"/>
      <c r="AG516" s="381"/>
      <c r="AH516" s="381"/>
      <c r="AI516" s="381"/>
      <c r="AJ516" s="381"/>
      <c r="AK516" s="19"/>
      <c r="AL516" s="19"/>
      <c r="AM516" s="19"/>
      <c r="AN516" s="19"/>
      <c r="AO516" s="19"/>
      <c r="AP516" s="19"/>
      <c r="AQ516" s="19"/>
      <c r="AR516" s="19"/>
      <c r="AS516" s="19"/>
      <c r="AT516" s="5"/>
      <c r="AU516" s="5"/>
      <c r="AV516" s="5"/>
      <c r="AW516" s="5"/>
      <c r="AX516" s="5"/>
      <c r="AY516" s="5"/>
      <c r="AZ516" s="5"/>
      <c r="BA516" s="5"/>
      <c r="BB516" s="5"/>
      <c r="BC516" s="5"/>
    </row>
    <row r="517" spans="1:55" x14ac:dyDescent="0.25">
      <c r="A517" s="713"/>
      <c r="B517" s="696"/>
      <c r="C517" s="696"/>
      <c r="D517" s="384" t="s">
        <v>365</v>
      </c>
      <c r="E517" s="387">
        <v>0</v>
      </c>
      <c r="F517" s="387">
        <v>0</v>
      </c>
      <c r="G517" s="387">
        <v>0</v>
      </c>
      <c r="H517" s="387">
        <v>0</v>
      </c>
      <c r="I517" s="390"/>
      <c r="J517" s="387">
        <v>0</v>
      </c>
      <c r="K517" s="387">
        <v>0</v>
      </c>
      <c r="L517" s="387">
        <v>0</v>
      </c>
      <c r="M517" s="460"/>
      <c r="N517" s="696"/>
      <c r="O517" s="696"/>
      <c r="P517" s="696"/>
      <c r="Q517" s="696"/>
      <c r="R517" s="696"/>
      <c r="S517" s="696"/>
      <c r="T517" s="696"/>
      <c r="U517" s="696"/>
      <c r="V517" s="696"/>
      <c r="W517" s="696"/>
      <c r="X517" s="696"/>
      <c r="Y517" s="699"/>
      <c r="Z517" s="381"/>
      <c r="AA517" s="381"/>
      <c r="AB517" s="381"/>
      <c r="AC517" s="381"/>
      <c r="AD517" s="381"/>
      <c r="AE517" s="381"/>
      <c r="AF517" s="381"/>
      <c r="AG517" s="381"/>
      <c r="AH517" s="381"/>
      <c r="AI517" s="381"/>
      <c r="AJ517" s="381"/>
      <c r="AK517" s="19"/>
      <c r="AL517" s="19"/>
      <c r="AM517" s="19"/>
      <c r="AN517" s="19"/>
      <c r="AO517" s="19"/>
      <c r="AP517" s="19"/>
      <c r="AQ517" s="19"/>
      <c r="AR517" s="19"/>
      <c r="AS517" s="19"/>
      <c r="AT517" s="5"/>
      <c r="AU517" s="5"/>
      <c r="AV517" s="5"/>
      <c r="AW517" s="5"/>
      <c r="AX517" s="5"/>
      <c r="AY517" s="5"/>
      <c r="AZ517" s="5"/>
      <c r="BA517" s="5"/>
      <c r="BB517" s="5"/>
      <c r="BC517" s="5"/>
    </row>
    <row r="518" spans="1:55" ht="22.5" x14ac:dyDescent="0.25">
      <c r="A518" s="713"/>
      <c r="B518" s="696"/>
      <c r="C518" s="696"/>
      <c r="D518" s="386" t="s">
        <v>370</v>
      </c>
      <c r="E518" s="407">
        <v>0</v>
      </c>
      <c r="F518" s="407">
        <v>0</v>
      </c>
      <c r="G518" s="407">
        <v>0</v>
      </c>
      <c r="H518" s="407">
        <v>0</v>
      </c>
      <c r="I518" s="390"/>
      <c r="J518" s="407">
        <v>0</v>
      </c>
      <c r="K518" s="407">
        <v>0</v>
      </c>
      <c r="L518" s="407">
        <v>0</v>
      </c>
      <c r="M518" s="390"/>
      <c r="N518" s="696"/>
      <c r="O518" s="696"/>
      <c r="P518" s="696"/>
      <c r="Q518" s="696"/>
      <c r="R518" s="696"/>
      <c r="S518" s="696"/>
      <c r="T518" s="696"/>
      <c r="U518" s="696"/>
      <c r="V518" s="696"/>
      <c r="W518" s="696"/>
      <c r="X518" s="696"/>
      <c r="Y518" s="699"/>
      <c r="Z518" s="381"/>
      <c r="AA518" s="381"/>
      <c r="AB518" s="381"/>
      <c r="AC518" s="381"/>
      <c r="AD518" s="381"/>
      <c r="AE518" s="381"/>
      <c r="AF518" s="381"/>
      <c r="AG518" s="381"/>
      <c r="AH518" s="381"/>
      <c r="AI518" s="381"/>
      <c r="AJ518" s="381"/>
      <c r="AK518" s="19"/>
      <c r="AL518" s="19"/>
      <c r="AM518" s="19"/>
      <c r="AN518" s="19"/>
      <c r="AO518" s="19"/>
      <c r="AP518" s="19"/>
      <c r="AQ518" s="19"/>
      <c r="AR518" s="19"/>
      <c r="AS518" s="19"/>
      <c r="AT518" s="5"/>
      <c r="AU518" s="5"/>
      <c r="AV518" s="5"/>
      <c r="AW518" s="5"/>
      <c r="AX518" s="5"/>
      <c r="AY518" s="5"/>
      <c r="AZ518" s="5"/>
      <c r="BA518" s="5"/>
      <c r="BB518" s="5"/>
      <c r="BC518" s="5"/>
    </row>
    <row r="519" spans="1:55" x14ac:dyDescent="0.25">
      <c r="A519" s="713"/>
      <c r="B519" s="696"/>
      <c r="C519" s="722" t="s">
        <v>385</v>
      </c>
      <c r="D519" s="389" t="s">
        <v>348</v>
      </c>
      <c r="E519" s="387">
        <v>3</v>
      </c>
      <c r="F519" s="387">
        <v>3</v>
      </c>
      <c r="G519" s="387">
        <v>82</v>
      </c>
      <c r="H519" s="387">
        <v>82.061000000000007</v>
      </c>
      <c r="I519" s="390"/>
      <c r="J519" s="387">
        <v>3</v>
      </c>
      <c r="K519" s="387">
        <v>82</v>
      </c>
      <c r="L519" s="387">
        <v>82.061000000000007</v>
      </c>
      <c r="M519" s="460"/>
      <c r="N519" s="718" t="s">
        <v>385</v>
      </c>
      <c r="O519" s="718" t="s">
        <v>350</v>
      </c>
      <c r="P519" s="720" t="s">
        <v>351</v>
      </c>
      <c r="Q519" s="720" t="s">
        <v>352</v>
      </c>
      <c r="R519" s="720" t="s">
        <v>353</v>
      </c>
      <c r="S519" s="720">
        <v>422164</v>
      </c>
      <c r="T519" s="723">
        <v>456270</v>
      </c>
      <c r="U519" s="724" t="s">
        <v>494</v>
      </c>
      <c r="V519" s="720" t="s">
        <v>355</v>
      </c>
      <c r="W519" s="720" t="s">
        <v>356</v>
      </c>
      <c r="X519" s="720" t="s">
        <v>357</v>
      </c>
      <c r="Y519" s="721">
        <v>878434</v>
      </c>
      <c r="Z519" s="381"/>
      <c r="AA519" s="381"/>
      <c r="AB519" s="381"/>
      <c r="AC519" s="381"/>
      <c r="AD519" s="381"/>
      <c r="AE519" s="381"/>
      <c r="AF519" s="381"/>
      <c r="AG519" s="381"/>
      <c r="AH519" s="381"/>
      <c r="AI519" s="381"/>
      <c r="AJ519" s="381"/>
      <c r="AK519" s="19"/>
      <c r="AL519" s="19"/>
      <c r="AM519" s="19"/>
      <c r="AN519" s="19"/>
      <c r="AO519" s="19"/>
      <c r="AP519" s="19"/>
      <c r="AQ519" s="19"/>
      <c r="AR519" s="19"/>
      <c r="AS519" s="19"/>
      <c r="AT519" s="5"/>
      <c r="AU519" s="5"/>
      <c r="AV519" s="5"/>
      <c r="AW519" s="5"/>
      <c r="AX519" s="5"/>
      <c r="AY519" s="5"/>
      <c r="AZ519" s="5"/>
      <c r="BA519" s="5"/>
      <c r="BB519" s="5"/>
      <c r="BC519" s="5"/>
    </row>
    <row r="520" spans="1:55" x14ac:dyDescent="0.25">
      <c r="A520" s="713"/>
      <c r="B520" s="696"/>
      <c r="C520" s="696"/>
      <c r="D520" s="384" t="s">
        <v>360</v>
      </c>
      <c r="E520" s="407">
        <v>214879.75794354288</v>
      </c>
      <c r="F520" s="407">
        <v>214879.75794354288</v>
      </c>
      <c r="G520" s="407">
        <f>(G519*$G$472)/$G$471</f>
        <v>5873380.0504568387</v>
      </c>
      <c r="H520" s="407">
        <f>(H519*$H$472)/$H$471</f>
        <v>5877749.2722016908</v>
      </c>
      <c r="I520" s="390"/>
      <c r="J520" s="407">
        <v>690314.29107692302</v>
      </c>
      <c r="K520" s="407">
        <f>(K519*$K$472)/$K$471</f>
        <v>7128636.1639784947</v>
      </c>
      <c r="L520" s="407">
        <v>7128636.1639784947</v>
      </c>
      <c r="M520" s="460"/>
      <c r="N520" s="696"/>
      <c r="O520" s="696"/>
      <c r="P520" s="696"/>
      <c r="Q520" s="696"/>
      <c r="R520" s="696"/>
      <c r="S520" s="696"/>
      <c r="T520" s="696"/>
      <c r="U520" s="696"/>
      <c r="V520" s="696"/>
      <c r="W520" s="696"/>
      <c r="X520" s="696"/>
      <c r="Y520" s="699"/>
      <c r="Z520" s="381"/>
      <c r="AA520" s="381"/>
      <c r="AB520" s="381"/>
      <c r="AC520" s="381"/>
      <c r="AD520" s="381"/>
      <c r="AE520" s="381"/>
      <c r="AF520" s="381"/>
      <c r="AG520" s="381"/>
      <c r="AH520" s="381"/>
      <c r="AI520" s="381"/>
      <c r="AJ520" s="381"/>
      <c r="AK520" s="19"/>
      <c r="AL520" s="19"/>
      <c r="AM520" s="19"/>
      <c r="AN520" s="19"/>
      <c r="AO520" s="19"/>
      <c r="AP520" s="19"/>
      <c r="AQ520" s="19"/>
      <c r="AR520" s="19"/>
      <c r="AS520" s="19"/>
      <c r="AT520" s="5"/>
      <c r="AU520" s="5"/>
      <c r="AV520" s="5"/>
      <c r="AW520" s="5"/>
      <c r="AX520" s="5"/>
      <c r="AY520" s="5"/>
      <c r="AZ520" s="5"/>
      <c r="BA520" s="5"/>
      <c r="BB520" s="5"/>
      <c r="BC520" s="5"/>
    </row>
    <row r="521" spans="1:55" x14ac:dyDescent="0.25">
      <c r="A521" s="713"/>
      <c r="B521" s="696"/>
      <c r="C521" s="696"/>
      <c r="D521" s="384" t="s">
        <v>365</v>
      </c>
      <c r="E521" s="387">
        <v>0</v>
      </c>
      <c r="F521" s="387">
        <v>0</v>
      </c>
      <c r="G521" s="387">
        <v>0</v>
      </c>
      <c r="H521" s="387">
        <v>0</v>
      </c>
      <c r="I521" s="390"/>
      <c r="J521" s="387">
        <v>0</v>
      </c>
      <c r="K521" s="387">
        <v>0</v>
      </c>
      <c r="L521" s="387">
        <v>0</v>
      </c>
      <c r="M521" s="460"/>
      <c r="N521" s="696"/>
      <c r="O521" s="696"/>
      <c r="P521" s="696"/>
      <c r="Q521" s="696"/>
      <c r="R521" s="696"/>
      <c r="S521" s="696"/>
      <c r="T521" s="696"/>
      <c r="U521" s="696"/>
      <c r="V521" s="696"/>
      <c r="W521" s="696"/>
      <c r="X521" s="696"/>
      <c r="Y521" s="699"/>
      <c r="Z521" s="381"/>
      <c r="AA521" s="381"/>
      <c r="AB521" s="381"/>
      <c r="AC521" s="381"/>
      <c r="AD521" s="381"/>
      <c r="AE521" s="381"/>
      <c r="AF521" s="381"/>
      <c r="AG521" s="381"/>
      <c r="AH521" s="381"/>
      <c r="AI521" s="381"/>
      <c r="AJ521" s="381"/>
      <c r="AK521" s="19"/>
      <c r="AL521" s="19"/>
      <c r="AM521" s="19"/>
      <c r="AN521" s="19"/>
      <c r="AO521" s="19"/>
      <c r="AP521" s="19"/>
      <c r="AQ521" s="19"/>
      <c r="AR521" s="19"/>
      <c r="AS521" s="19"/>
      <c r="AT521" s="5"/>
      <c r="AU521" s="5"/>
      <c r="AV521" s="5"/>
      <c r="AW521" s="5"/>
      <c r="AX521" s="5"/>
      <c r="AY521" s="5"/>
      <c r="AZ521" s="5"/>
      <c r="BA521" s="5"/>
      <c r="BB521" s="5"/>
      <c r="BC521" s="5"/>
    </row>
    <row r="522" spans="1:55" ht="22.5" x14ac:dyDescent="0.25">
      <c r="A522" s="713"/>
      <c r="B522" s="696"/>
      <c r="C522" s="696"/>
      <c r="D522" s="386" t="s">
        <v>370</v>
      </c>
      <c r="E522" s="407">
        <v>0</v>
      </c>
      <c r="F522" s="407">
        <v>0</v>
      </c>
      <c r="G522" s="407">
        <v>0</v>
      </c>
      <c r="H522" s="407">
        <v>0</v>
      </c>
      <c r="I522" s="390"/>
      <c r="J522" s="407">
        <v>0</v>
      </c>
      <c r="K522" s="407">
        <v>0</v>
      </c>
      <c r="L522" s="407">
        <v>0</v>
      </c>
      <c r="M522" s="390"/>
      <c r="N522" s="696"/>
      <c r="O522" s="696"/>
      <c r="P522" s="696"/>
      <c r="Q522" s="696"/>
      <c r="R522" s="696"/>
      <c r="S522" s="696"/>
      <c r="T522" s="696"/>
      <c r="U522" s="696"/>
      <c r="V522" s="696"/>
      <c r="W522" s="696"/>
      <c r="X522" s="696"/>
      <c r="Y522" s="699"/>
      <c r="Z522" s="381"/>
      <c r="AA522" s="381"/>
      <c r="AB522" s="381"/>
      <c r="AC522" s="381"/>
      <c r="AD522" s="381"/>
      <c r="AE522" s="381"/>
      <c r="AF522" s="381"/>
      <c r="AG522" s="381"/>
      <c r="AH522" s="381"/>
      <c r="AI522" s="381"/>
      <c r="AJ522" s="381"/>
      <c r="AK522" s="19"/>
      <c r="AL522" s="19"/>
      <c r="AM522" s="19"/>
      <c r="AN522" s="19"/>
      <c r="AO522" s="19"/>
      <c r="AP522" s="19"/>
      <c r="AQ522" s="19"/>
      <c r="AR522" s="19"/>
      <c r="AS522" s="19"/>
      <c r="AT522" s="5"/>
      <c r="AU522" s="5"/>
      <c r="AV522" s="5"/>
      <c r="AW522" s="5"/>
      <c r="AX522" s="5"/>
      <c r="AY522" s="5"/>
      <c r="AZ522" s="5"/>
      <c r="BA522" s="5"/>
      <c r="BB522" s="5"/>
      <c r="BC522" s="5"/>
    </row>
    <row r="523" spans="1:55" x14ac:dyDescent="0.25">
      <c r="A523" s="713"/>
      <c r="B523" s="696"/>
      <c r="C523" s="722" t="s">
        <v>400</v>
      </c>
      <c r="D523" s="389" t="s">
        <v>348</v>
      </c>
      <c r="E523" s="387">
        <v>4</v>
      </c>
      <c r="F523" s="387">
        <v>4</v>
      </c>
      <c r="G523" s="387">
        <v>396.4</v>
      </c>
      <c r="H523" s="387">
        <v>397.125</v>
      </c>
      <c r="I523" s="390"/>
      <c r="J523" s="387">
        <v>4</v>
      </c>
      <c r="K523" s="387">
        <v>396.4</v>
      </c>
      <c r="L523" s="387">
        <v>397.125</v>
      </c>
      <c r="M523" s="460"/>
      <c r="N523" s="718" t="s">
        <v>400</v>
      </c>
      <c r="O523" s="718" t="s">
        <v>350</v>
      </c>
      <c r="P523" s="720" t="s">
        <v>351</v>
      </c>
      <c r="Q523" s="720" t="s">
        <v>352</v>
      </c>
      <c r="R523" s="720" t="s">
        <v>353</v>
      </c>
      <c r="S523" s="720">
        <v>610983</v>
      </c>
      <c r="T523" s="723">
        <v>671995</v>
      </c>
      <c r="U523" s="724" t="s">
        <v>494</v>
      </c>
      <c r="V523" s="720" t="s">
        <v>355</v>
      </c>
      <c r="W523" s="720" t="s">
        <v>356</v>
      </c>
      <c r="X523" s="720" t="s">
        <v>357</v>
      </c>
      <c r="Y523" s="721">
        <v>1282978</v>
      </c>
      <c r="Z523" s="468"/>
      <c r="AA523" s="468"/>
      <c r="AB523" s="468"/>
      <c r="AC523" s="468"/>
      <c r="AD523" s="468"/>
      <c r="AE523" s="468"/>
      <c r="AF523" s="468"/>
      <c r="AG523" s="468"/>
      <c r="AH523" s="468"/>
      <c r="AI523" s="468"/>
      <c r="AJ523" s="468"/>
      <c r="AK523" s="5"/>
      <c r="AL523" s="5"/>
      <c r="AM523" s="5"/>
      <c r="AN523" s="5"/>
      <c r="AO523" s="5"/>
      <c r="AP523" s="5"/>
      <c r="AQ523" s="5"/>
      <c r="AR523" s="5"/>
      <c r="AS523" s="5"/>
      <c r="AT523" s="5"/>
      <c r="AU523" s="5"/>
      <c r="AV523" s="5"/>
      <c r="AW523" s="5"/>
      <c r="AX523" s="5"/>
      <c r="AY523" s="5"/>
      <c r="AZ523" s="5"/>
      <c r="BA523" s="5"/>
      <c r="BB523" s="5"/>
      <c r="BC523" s="5"/>
    </row>
    <row r="524" spans="1:55" x14ac:dyDescent="0.25">
      <c r="A524" s="713"/>
      <c r="B524" s="696"/>
      <c r="C524" s="696"/>
      <c r="D524" s="384" t="s">
        <v>360</v>
      </c>
      <c r="E524" s="407">
        <v>286506.34392472386</v>
      </c>
      <c r="F524" s="407">
        <v>286506.34392472386</v>
      </c>
      <c r="G524" s="407">
        <f>(G523*$G$472)/$G$471</f>
        <v>28392778.682940133</v>
      </c>
      <c r="H524" s="407">
        <f>(H523*$H$472)/$H$471</f>
        <v>28444707.957776491</v>
      </c>
      <c r="I524" s="390"/>
      <c r="J524" s="407">
        <v>920419.05476923077</v>
      </c>
      <c r="K524" s="407">
        <f>(K523*$K$472)/$K$471</f>
        <v>34460870.431720428</v>
      </c>
      <c r="L524" s="407">
        <v>34460870.431720428</v>
      </c>
      <c r="M524" s="460"/>
      <c r="N524" s="696"/>
      <c r="O524" s="696"/>
      <c r="P524" s="696"/>
      <c r="Q524" s="696"/>
      <c r="R524" s="696"/>
      <c r="S524" s="696"/>
      <c r="T524" s="696"/>
      <c r="U524" s="696"/>
      <c r="V524" s="696"/>
      <c r="W524" s="696"/>
      <c r="X524" s="696"/>
      <c r="Y524" s="699"/>
      <c r="Z524" s="468"/>
      <c r="AA524" s="468"/>
      <c r="AB524" s="468"/>
      <c r="AC524" s="468"/>
      <c r="AD524" s="468"/>
      <c r="AE524" s="468"/>
      <c r="AF524" s="468"/>
      <c r="AG524" s="468"/>
      <c r="AH524" s="468"/>
      <c r="AI524" s="468"/>
      <c r="AJ524" s="468"/>
      <c r="AK524" s="5"/>
      <c r="AL524" s="5"/>
      <c r="AM524" s="5"/>
      <c r="AN524" s="5"/>
      <c r="AO524" s="5"/>
      <c r="AP524" s="5"/>
      <c r="AQ524" s="5"/>
      <c r="AR524" s="5"/>
      <c r="AS524" s="5"/>
      <c r="AT524" s="5"/>
      <c r="AU524" s="5"/>
      <c r="AV524" s="5"/>
      <c r="AW524" s="5"/>
      <c r="AX524" s="5"/>
      <c r="AY524" s="5"/>
      <c r="AZ524" s="5"/>
      <c r="BA524" s="5"/>
      <c r="BB524" s="5"/>
      <c r="BC524" s="5"/>
    </row>
    <row r="525" spans="1:55" x14ac:dyDescent="0.25">
      <c r="A525" s="713"/>
      <c r="B525" s="696"/>
      <c r="C525" s="696"/>
      <c r="D525" s="384" t="s">
        <v>365</v>
      </c>
      <c r="E525" s="387">
        <v>0</v>
      </c>
      <c r="F525" s="387">
        <v>0</v>
      </c>
      <c r="G525" s="387">
        <v>0</v>
      </c>
      <c r="H525" s="387">
        <v>0</v>
      </c>
      <c r="I525" s="390"/>
      <c r="J525" s="387">
        <v>0</v>
      </c>
      <c r="K525" s="387">
        <v>0</v>
      </c>
      <c r="L525" s="387">
        <v>0</v>
      </c>
      <c r="M525" s="460"/>
      <c r="N525" s="696"/>
      <c r="O525" s="696"/>
      <c r="P525" s="696"/>
      <c r="Q525" s="696"/>
      <c r="R525" s="696"/>
      <c r="S525" s="696"/>
      <c r="T525" s="696"/>
      <c r="U525" s="696"/>
      <c r="V525" s="696"/>
      <c r="W525" s="696"/>
      <c r="X525" s="696"/>
      <c r="Y525" s="699"/>
      <c r="Z525" s="468"/>
      <c r="AA525" s="468"/>
      <c r="AB525" s="468"/>
      <c r="AC525" s="468"/>
      <c r="AD525" s="468"/>
      <c r="AE525" s="468"/>
      <c r="AF525" s="468"/>
      <c r="AG525" s="468"/>
      <c r="AH525" s="468"/>
      <c r="AI525" s="468"/>
      <c r="AJ525" s="468"/>
      <c r="AK525" s="5"/>
      <c r="AL525" s="5"/>
      <c r="AM525" s="5"/>
      <c r="AN525" s="5"/>
      <c r="AO525" s="5"/>
      <c r="AP525" s="5"/>
      <c r="AQ525" s="5"/>
      <c r="AR525" s="5"/>
      <c r="AS525" s="5"/>
      <c r="AT525" s="5"/>
      <c r="AU525" s="5"/>
      <c r="AV525" s="5"/>
      <c r="AW525" s="5"/>
      <c r="AX525" s="5"/>
      <c r="AY525" s="5"/>
      <c r="AZ525" s="5"/>
      <c r="BA525" s="5"/>
      <c r="BB525" s="5"/>
      <c r="BC525" s="5"/>
    </row>
    <row r="526" spans="1:55" ht="22.5" x14ac:dyDescent="0.25">
      <c r="A526" s="713"/>
      <c r="B526" s="696"/>
      <c r="C526" s="696"/>
      <c r="D526" s="386" t="s">
        <v>370</v>
      </c>
      <c r="E526" s="407">
        <v>0</v>
      </c>
      <c r="F526" s="407">
        <v>0</v>
      </c>
      <c r="G526" s="407">
        <v>0</v>
      </c>
      <c r="H526" s="407">
        <v>0</v>
      </c>
      <c r="I526" s="390"/>
      <c r="J526" s="407">
        <v>0</v>
      </c>
      <c r="K526" s="407">
        <v>0</v>
      </c>
      <c r="L526" s="407">
        <v>0</v>
      </c>
      <c r="M526" s="390"/>
      <c r="N526" s="696"/>
      <c r="O526" s="696"/>
      <c r="P526" s="696"/>
      <c r="Q526" s="696"/>
      <c r="R526" s="696"/>
      <c r="S526" s="696"/>
      <c r="T526" s="696"/>
      <c r="U526" s="696"/>
      <c r="V526" s="696"/>
      <c r="W526" s="696"/>
      <c r="X526" s="696"/>
      <c r="Y526" s="699"/>
      <c r="Z526" s="468"/>
      <c r="AA526" s="468"/>
      <c r="AB526" s="468"/>
      <c r="AC526" s="468"/>
      <c r="AD526" s="468"/>
      <c r="AE526" s="468"/>
      <c r="AF526" s="468"/>
      <c r="AG526" s="468"/>
      <c r="AH526" s="468"/>
      <c r="AI526" s="468"/>
      <c r="AJ526" s="468"/>
      <c r="AK526" s="5"/>
      <c r="AL526" s="5"/>
      <c r="AM526" s="5"/>
      <c r="AN526" s="5"/>
      <c r="AO526" s="5"/>
      <c r="AP526" s="5"/>
      <c r="AQ526" s="5"/>
      <c r="AR526" s="5"/>
      <c r="AS526" s="5"/>
      <c r="AT526" s="5"/>
      <c r="AU526" s="5"/>
      <c r="AV526" s="5"/>
      <c r="AW526" s="5"/>
      <c r="AX526" s="5"/>
      <c r="AY526" s="5"/>
      <c r="AZ526" s="5"/>
      <c r="BA526" s="5"/>
      <c r="BB526" s="5"/>
      <c r="BC526" s="5"/>
    </row>
    <row r="527" spans="1:55" x14ac:dyDescent="0.25">
      <c r="A527" s="713"/>
      <c r="B527" s="696"/>
      <c r="C527" s="722" t="s">
        <v>454</v>
      </c>
      <c r="D527" s="389" t="s">
        <v>348</v>
      </c>
      <c r="E527" s="387">
        <v>141</v>
      </c>
      <c r="F527" s="387">
        <v>141</v>
      </c>
      <c r="G527" s="387">
        <v>271.33999999999997</v>
      </c>
      <c r="H527" s="387">
        <v>271</v>
      </c>
      <c r="I527" s="390"/>
      <c r="J527" s="387">
        <v>141</v>
      </c>
      <c r="K527" s="387">
        <v>271.33999999999997</v>
      </c>
      <c r="L527" s="387">
        <v>271.33999999999997</v>
      </c>
      <c r="M527" s="460"/>
      <c r="N527" s="718" t="s">
        <v>371</v>
      </c>
      <c r="O527" s="718" t="s">
        <v>350</v>
      </c>
      <c r="P527" s="720" t="s">
        <v>351</v>
      </c>
      <c r="Q527" s="720" t="s">
        <v>352</v>
      </c>
      <c r="R527" s="720" t="s">
        <v>353</v>
      </c>
      <c r="S527" s="720">
        <v>134370</v>
      </c>
      <c r="T527" s="723">
        <v>132736</v>
      </c>
      <c r="U527" s="724" t="s">
        <v>494</v>
      </c>
      <c r="V527" s="720" t="s">
        <v>355</v>
      </c>
      <c r="W527" s="720" t="s">
        <v>356</v>
      </c>
      <c r="X527" s="720" t="s">
        <v>357</v>
      </c>
      <c r="Y527" s="721">
        <v>267106</v>
      </c>
      <c r="Z527" s="468"/>
      <c r="AA527" s="468"/>
      <c r="AB527" s="468"/>
      <c r="AC527" s="468"/>
      <c r="AD527" s="468"/>
      <c r="AE527" s="468"/>
      <c r="AF527" s="468"/>
      <c r="AG527" s="468"/>
      <c r="AH527" s="468"/>
      <c r="AI527" s="468"/>
      <c r="AJ527" s="468"/>
      <c r="AK527" s="5"/>
      <c r="AL527" s="5"/>
      <c r="AM527" s="5"/>
      <c r="AN527" s="5"/>
      <c r="AO527" s="5"/>
      <c r="AP527" s="5"/>
      <c r="AQ527" s="5"/>
      <c r="AR527" s="5"/>
      <c r="AS527" s="5"/>
      <c r="AT527" s="5"/>
      <c r="AU527" s="5"/>
      <c r="AV527" s="5"/>
      <c r="AW527" s="5"/>
      <c r="AX527" s="5"/>
      <c r="AY527" s="5"/>
      <c r="AZ527" s="5"/>
      <c r="BA527" s="5"/>
      <c r="BB527" s="5"/>
      <c r="BC527" s="5"/>
    </row>
    <row r="528" spans="1:55" x14ac:dyDescent="0.25">
      <c r="A528" s="713"/>
      <c r="B528" s="696"/>
      <c r="C528" s="696"/>
      <c r="D528" s="384" t="s">
        <v>360</v>
      </c>
      <c r="E528" s="407">
        <v>10099348.623346515</v>
      </c>
      <c r="F528" s="407">
        <v>10099348.623346515</v>
      </c>
      <c r="G528" s="407">
        <f>(G527*$G$472)/$G$471</f>
        <v>19435157.840133641</v>
      </c>
      <c r="H528" s="407">
        <f>(H527*$H$472)/$H$471</f>
        <v>19410804.800900042</v>
      </c>
      <c r="I528" s="390"/>
      <c r="J528" s="407">
        <v>32444771.680615384</v>
      </c>
      <c r="K528" s="407">
        <f>(K527*$K$472)/$K$471</f>
        <v>23588830.935779568</v>
      </c>
      <c r="L528" s="407">
        <v>23588830.935779568</v>
      </c>
      <c r="M528" s="460"/>
      <c r="N528" s="696"/>
      <c r="O528" s="696"/>
      <c r="P528" s="696"/>
      <c r="Q528" s="696"/>
      <c r="R528" s="696"/>
      <c r="S528" s="696"/>
      <c r="T528" s="696"/>
      <c r="U528" s="696"/>
      <c r="V528" s="696"/>
      <c r="W528" s="696"/>
      <c r="X528" s="696"/>
      <c r="Y528" s="699"/>
      <c r="Z528" s="468"/>
      <c r="AA528" s="468"/>
      <c r="AB528" s="468"/>
      <c r="AC528" s="468"/>
      <c r="AD528" s="468"/>
      <c r="AE528" s="468"/>
      <c r="AF528" s="468"/>
      <c r="AG528" s="468"/>
      <c r="AH528" s="468"/>
      <c r="AI528" s="468"/>
      <c r="AJ528" s="468"/>
      <c r="AK528" s="5"/>
      <c r="AL528" s="5"/>
      <c r="AM528" s="5"/>
      <c r="AN528" s="5"/>
      <c r="AO528" s="5"/>
      <c r="AP528" s="5"/>
      <c r="AQ528" s="5"/>
      <c r="AR528" s="5"/>
      <c r="AS528" s="5"/>
      <c r="AT528" s="5"/>
      <c r="AU528" s="5"/>
      <c r="AV528" s="5"/>
      <c r="AW528" s="5"/>
      <c r="AX528" s="5"/>
      <c r="AY528" s="5"/>
      <c r="AZ528" s="5"/>
      <c r="BA528" s="5"/>
      <c r="BB528" s="5"/>
      <c r="BC528" s="5"/>
    </row>
    <row r="529" spans="1:55" x14ac:dyDescent="0.25">
      <c r="A529" s="713"/>
      <c r="B529" s="696"/>
      <c r="C529" s="696"/>
      <c r="D529" s="384" t="s">
        <v>365</v>
      </c>
      <c r="E529" s="387">
        <v>0</v>
      </c>
      <c r="F529" s="387">
        <v>0</v>
      </c>
      <c r="G529" s="387">
        <v>0</v>
      </c>
      <c r="H529" s="387">
        <v>0</v>
      </c>
      <c r="I529" s="390"/>
      <c r="J529" s="387">
        <v>0</v>
      </c>
      <c r="K529" s="387">
        <v>0</v>
      </c>
      <c r="L529" s="387">
        <v>0</v>
      </c>
      <c r="M529" s="460"/>
      <c r="N529" s="696"/>
      <c r="O529" s="696"/>
      <c r="P529" s="696"/>
      <c r="Q529" s="696"/>
      <c r="R529" s="696"/>
      <c r="S529" s="696"/>
      <c r="T529" s="696"/>
      <c r="U529" s="696"/>
      <c r="V529" s="696"/>
      <c r="W529" s="696"/>
      <c r="X529" s="696"/>
      <c r="Y529" s="699"/>
      <c r="Z529" s="468"/>
      <c r="AA529" s="468"/>
      <c r="AB529" s="468"/>
      <c r="AC529" s="468"/>
      <c r="AD529" s="468"/>
      <c r="AE529" s="468"/>
      <c r="AF529" s="468"/>
      <c r="AG529" s="468"/>
      <c r="AH529" s="468"/>
      <c r="AI529" s="468"/>
      <c r="AJ529" s="468"/>
      <c r="AK529" s="5"/>
      <c r="AL529" s="5"/>
      <c r="AM529" s="5"/>
      <c r="AN529" s="5"/>
      <c r="AO529" s="5"/>
      <c r="AP529" s="5"/>
      <c r="AQ529" s="5"/>
      <c r="AR529" s="5"/>
      <c r="AS529" s="5"/>
      <c r="AT529" s="5"/>
      <c r="AU529" s="5"/>
      <c r="AV529" s="5"/>
      <c r="AW529" s="5"/>
      <c r="AX529" s="5"/>
      <c r="AY529" s="5"/>
      <c r="AZ529" s="5"/>
      <c r="BA529" s="5"/>
      <c r="BB529" s="5"/>
      <c r="BC529" s="5"/>
    </row>
    <row r="530" spans="1:55" ht="22.5" x14ac:dyDescent="0.25">
      <c r="A530" s="713"/>
      <c r="B530" s="696"/>
      <c r="C530" s="696"/>
      <c r="D530" s="386" t="s">
        <v>370</v>
      </c>
      <c r="E530" s="407">
        <v>0</v>
      </c>
      <c r="F530" s="407">
        <v>0</v>
      </c>
      <c r="G530" s="407">
        <v>0</v>
      </c>
      <c r="H530" s="407">
        <v>0</v>
      </c>
      <c r="I530" s="390"/>
      <c r="J530" s="407">
        <v>0</v>
      </c>
      <c r="K530" s="407">
        <v>0</v>
      </c>
      <c r="L530" s="407">
        <v>0</v>
      </c>
      <c r="M530" s="390"/>
      <c r="N530" s="696"/>
      <c r="O530" s="696"/>
      <c r="P530" s="696"/>
      <c r="Q530" s="696"/>
      <c r="R530" s="696"/>
      <c r="S530" s="696"/>
      <c r="T530" s="696"/>
      <c r="U530" s="696"/>
      <c r="V530" s="696"/>
      <c r="W530" s="696"/>
      <c r="X530" s="696"/>
      <c r="Y530" s="699"/>
      <c r="Z530" s="468"/>
      <c r="AA530" s="468"/>
      <c r="AB530" s="468"/>
      <c r="AC530" s="468"/>
      <c r="AD530" s="468"/>
      <c r="AE530" s="468"/>
      <c r="AF530" s="468"/>
      <c r="AG530" s="468"/>
      <c r="AH530" s="468"/>
      <c r="AI530" s="468"/>
      <c r="AJ530" s="468"/>
      <c r="AK530" s="5"/>
      <c r="AL530" s="5"/>
      <c r="AM530" s="5"/>
      <c r="AN530" s="5"/>
      <c r="AO530" s="5"/>
      <c r="AP530" s="5"/>
      <c r="AQ530" s="5"/>
      <c r="AR530" s="5"/>
      <c r="AS530" s="5"/>
      <c r="AT530" s="5"/>
      <c r="AU530" s="5"/>
      <c r="AV530" s="5"/>
      <c r="AW530" s="5"/>
      <c r="AX530" s="5"/>
      <c r="AY530" s="5"/>
      <c r="AZ530" s="5"/>
      <c r="BA530" s="5"/>
      <c r="BB530" s="5"/>
      <c r="BC530" s="5"/>
    </row>
    <row r="531" spans="1:55" x14ac:dyDescent="0.25">
      <c r="A531" s="713"/>
      <c r="B531" s="696"/>
      <c r="C531" s="722" t="s">
        <v>401</v>
      </c>
      <c r="D531" s="389" t="s">
        <v>348</v>
      </c>
      <c r="E531" s="387">
        <v>32</v>
      </c>
      <c r="F531" s="387">
        <v>32</v>
      </c>
      <c r="G531" s="387">
        <v>633.34</v>
      </c>
      <c r="H531" s="387">
        <v>641.12</v>
      </c>
      <c r="I531" s="390"/>
      <c r="J531" s="387">
        <v>32</v>
      </c>
      <c r="K531" s="387">
        <v>633.34</v>
      </c>
      <c r="L531" s="387">
        <v>641.12</v>
      </c>
      <c r="M531" s="460"/>
      <c r="N531" s="718" t="s">
        <v>401</v>
      </c>
      <c r="O531" s="718" t="s">
        <v>350</v>
      </c>
      <c r="P531" s="720" t="s">
        <v>351</v>
      </c>
      <c r="Q531" s="720" t="s">
        <v>352</v>
      </c>
      <c r="R531" s="720" t="s">
        <v>353</v>
      </c>
      <c r="S531" s="720">
        <v>66663</v>
      </c>
      <c r="T531" s="723">
        <v>73810</v>
      </c>
      <c r="U531" s="724" t="s">
        <v>494</v>
      </c>
      <c r="V531" s="720" t="s">
        <v>355</v>
      </c>
      <c r="W531" s="720" t="s">
        <v>356</v>
      </c>
      <c r="X531" s="720" t="s">
        <v>357</v>
      </c>
      <c r="Y531" s="721">
        <v>140473</v>
      </c>
      <c r="Z531" s="468"/>
      <c r="AA531" s="468"/>
      <c r="AB531" s="468"/>
      <c r="AC531" s="468"/>
      <c r="AD531" s="468"/>
      <c r="AE531" s="468"/>
      <c r="AF531" s="468"/>
      <c r="AG531" s="468"/>
      <c r="AH531" s="468"/>
      <c r="AI531" s="468"/>
      <c r="AJ531" s="468"/>
      <c r="AK531" s="5"/>
      <c r="AL531" s="5"/>
      <c r="AM531" s="5"/>
      <c r="AN531" s="5"/>
      <c r="AO531" s="5"/>
      <c r="AP531" s="5"/>
      <c r="AQ531" s="5"/>
      <c r="AR531" s="5"/>
      <c r="AS531" s="5"/>
      <c r="AT531" s="5"/>
      <c r="AU531" s="5"/>
      <c r="AV531" s="5"/>
      <c r="AW531" s="5"/>
      <c r="AX531" s="5"/>
      <c r="AY531" s="5"/>
      <c r="AZ531" s="5"/>
      <c r="BA531" s="5"/>
      <c r="BB531" s="5"/>
      <c r="BC531" s="5"/>
    </row>
    <row r="532" spans="1:55" x14ac:dyDescent="0.25">
      <c r="A532" s="713"/>
      <c r="B532" s="696"/>
      <c r="C532" s="696"/>
      <c r="D532" s="384" t="s">
        <v>360</v>
      </c>
      <c r="E532" s="407">
        <v>2292050.7513977909</v>
      </c>
      <c r="F532" s="407">
        <v>2292050.7513977909</v>
      </c>
      <c r="G532" s="407">
        <f>(G531*$G$472)/$G$471</f>
        <v>45363981.965321153</v>
      </c>
      <c r="H532" s="407">
        <f>(H531*$H$472)/$H$471</f>
        <v>45921236.804254733</v>
      </c>
      <c r="I532" s="390"/>
      <c r="J532" s="407">
        <v>7363352.4381538462</v>
      </c>
      <c r="K532" s="407">
        <f>(K531*$K$472)/$K$471</f>
        <v>55059151.562123664</v>
      </c>
      <c r="L532" s="407">
        <v>55059151.562123664</v>
      </c>
      <c r="M532" s="460"/>
      <c r="N532" s="696"/>
      <c r="O532" s="696"/>
      <c r="P532" s="696"/>
      <c r="Q532" s="696"/>
      <c r="R532" s="696"/>
      <c r="S532" s="696"/>
      <c r="T532" s="696"/>
      <c r="U532" s="696"/>
      <c r="V532" s="696"/>
      <c r="W532" s="696"/>
      <c r="X532" s="696"/>
      <c r="Y532" s="699"/>
      <c r="Z532" s="468"/>
      <c r="AA532" s="468"/>
      <c r="AB532" s="468"/>
      <c r="AC532" s="468"/>
      <c r="AD532" s="468"/>
      <c r="AE532" s="468"/>
      <c r="AF532" s="468"/>
      <c r="AG532" s="468"/>
      <c r="AH532" s="468"/>
      <c r="AI532" s="468"/>
      <c r="AJ532" s="468"/>
      <c r="AK532" s="5"/>
      <c r="AL532" s="5"/>
      <c r="AM532" s="5"/>
      <c r="AN532" s="5"/>
      <c r="AO532" s="5"/>
      <c r="AP532" s="5"/>
      <c r="AQ532" s="5"/>
      <c r="AR532" s="5"/>
      <c r="AS532" s="5"/>
      <c r="AT532" s="5"/>
      <c r="AU532" s="5"/>
      <c r="AV532" s="5"/>
      <c r="AW532" s="5"/>
      <c r="AX532" s="5"/>
      <c r="AY532" s="5"/>
      <c r="AZ532" s="5"/>
      <c r="BA532" s="5"/>
      <c r="BB532" s="5"/>
      <c r="BC532" s="5"/>
    </row>
    <row r="533" spans="1:55" x14ac:dyDescent="0.25">
      <c r="A533" s="713"/>
      <c r="B533" s="696"/>
      <c r="C533" s="696"/>
      <c r="D533" s="384" t="s">
        <v>365</v>
      </c>
      <c r="E533" s="387">
        <v>0</v>
      </c>
      <c r="F533" s="387">
        <v>0</v>
      </c>
      <c r="G533" s="387">
        <v>0</v>
      </c>
      <c r="H533" s="387">
        <v>0</v>
      </c>
      <c r="I533" s="390"/>
      <c r="J533" s="387">
        <v>0</v>
      </c>
      <c r="K533" s="387">
        <v>0</v>
      </c>
      <c r="L533" s="387">
        <v>0</v>
      </c>
      <c r="M533" s="460"/>
      <c r="N533" s="696"/>
      <c r="O533" s="696"/>
      <c r="P533" s="696"/>
      <c r="Q533" s="696"/>
      <c r="R533" s="696"/>
      <c r="S533" s="696"/>
      <c r="T533" s="696"/>
      <c r="U533" s="696"/>
      <c r="V533" s="696"/>
      <c r="W533" s="696"/>
      <c r="X533" s="696"/>
      <c r="Y533" s="699"/>
      <c r="Z533" s="468"/>
      <c r="AA533" s="468"/>
      <c r="AB533" s="468"/>
      <c r="AC533" s="468"/>
      <c r="AD533" s="468"/>
      <c r="AE533" s="468"/>
      <c r="AF533" s="468"/>
      <c r="AG533" s="468"/>
      <c r="AH533" s="468"/>
      <c r="AI533" s="468"/>
      <c r="AJ533" s="468"/>
      <c r="AK533" s="5"/>
      <c r="AL533" s="5"/>
      <c r="AM533" s="5"/>
      <c r="AN533" s="5"/>
      <c r="AO533" s="5"/>
      <c r="AP533" s="5"/>
      <c r="AQ533" s="5"/>
      <c r="AR533" s="5"/>
      <c r="AS533" s="5"/>
      <c r="AT533" s="5"/>
      <c r="AU533" s="5"/>
      <c r="AV533" s="5"/>
      <c r="AW533" s="5"/>
      <c r="AX533" s="5"/>
      <c r="AY533" s="5"/>
      <c r="AZ533" s="5"/>
      <c r="BA533" s="5"/>
      <c r="BB533" s="5"/>
      <c r="BC533" s="5"/>
    </row>
    <row r="534" spans="1:55" ht="22.5" x14ac:dyDescent="0.25">
      <c r="A534" s="713"/>
      <c r="B534" s="696"/>
      <c r="C534" s="696"/>
      <c r="D534" s="386" t="s">
        <v>370</v>
      </c>
      <c r="E534" s="407">
        <v>0</v>
      </c>
      <c r="F534" s="407">
        <v>0</v>
      </c>
      <c r="G534" s="407">
        <v>0</v>
      </c>
      <c r="H534" s="407">
        <v>0</v>
      </c>
      <c r="I534" s="390"/>
      <c r="J534" s="407">
        <v>0</v>
      </c>
      <c r="K534" s="407">
        <v>0</v>
      </c>
      <c r="L534" s="407">
        <v>0</v>
      </c>
      <c r="M534" s="390"/>
      <c r="N534" s="696"/>
      <c r="O534" s="696"/>
      <c r="P534" s="696"/>
      <c r="Q534" s="696"/>
      <c r="R534" s="696"/>
      <c r="S534" s="696"/>
      <c r="T534" s="696"/>
      <c r="U534" s="696"/>
      <c r="V534" s="696"/>
      <c r="W534" s="696"/>
      <c r="X534" s="696"/>
      <c r="Y534" s="699"/>
      <c r="Z534" s="468"/>
      <c r="AA534" s="468"/>
      <c r="AB534" s="468"/>
      <c r="AC534" s="468"/>
      <c r="AD534" s="468"/>
      <c r="AE534" s="468"/>
      <c r="AF534" s="468"/>
      <c r="AG534" s="468"/>
      <c r="AH534" s="468"/>
      <c r="AI534" s="468"/>
      <c r="AJ534" s="468"/>
      <c r="AK534" s="5"/>
      <c r="AL534" s="5"/>
      <c r="AM534" s="5"/>
      <c r="AN534" s="5"/>
      <c r="AO534" s="5"/>
      <c r="AP534" s="5"/>
      <c r="AQ534" s="5"/>
      <c r="AR534" s="5"/>
      <c r="AS534" s="5"/>
      <c r="AT534" s="5"/>
      <c r="AU534" s="5"/>
      <c r="AV534" s="5"/>
      <c r="AW534" s="5"/>
      <c r="AX534" s="5"/>
      <c r="AY534" s="5"/>
      <c r="AZ534" s="5"/>
      <c r="BA534" s="5"/>
      <c r="BB534" s="5"/>
      <c r="BC534" s="5"/>
    </row>
    <row r="535" spans="1:55" x14ac:dyDescent="0.25">
      <c r="A535" s="713"/>
      <c r="B535" s="696"/>
      <c r="C535" s="722" t="s">
        <v>449</v>
      </c>
      <c r="D535" s="389" t="s">
        <v>348</v>
      </c>
      <c r="E535" s="387">
        <v>1</v>
      </c>
      <c r="F535" s="387">
        <v>1</v>
      </c>
      <c r="G535" s="387">
        <v>191.31</v>
      </c>
      <c r="H535" s="387">
        <v>191.31</v>
      </c>
      <c r="I535" s="390"/>
      <c r="J535" s="387">
        <v>1</v>
      </c>
      <c r="K535" s="387">
        <v>191.31</v>
      </c>
      <c r="L535" s="387">
        <v>191.31</v>
      </c>
      <c r="M535" s="460"/>
      <c r="N535" s="718" t="s">
        <v>449</v>
      </c>
      <c r="O535" s="718" t="s">
        <v>350</v>
      </c>
      <c r="P535" s="720" t="s">
        <v>351</v>
      </c>
      <c r="Q535" s="720" t="s">
        <v>352</v>
      </c>
      <c r="R535" s="720" t="s">
        <v>353</v>
      </c>
      <c r="S535" s="720">
        <v>53702</v>
      </c>
      <c r="T535" s="723">
        <v>55552</v>
      </c>
      <c r="U535" s="724" t="s">
        <v>494</v>
      </c>
      <c r="V535" s="720" t="s">
        <v>355</v>
      </c>
      <c r="W535" s="720" t="s">
        <v>356</v>
      </c>
      <c r="X535" s="720" t="s">
        <v>357</v>
      </c>
      <c r="Y535" s="721">
        <v>109254</v>
      </c>
      <c r="Z535" s="468"/>
      <c r="AA535" s="468"/>
      <c r="AB535" s="468"/>
      <c r="AC535" s="468"/>
      <c r="AD535" s="468"/>
      <c r="AE535" s="468"/>
      <c r="AF535" s="468"/>
      <c r="AG535" s="468"/>
      <c r="AH535" s="468"/>
      <c r="AI535" s="468"/>
      <c r="AJ535" s="468"/>
      <c r="AK535" s="5"/>
      <c r="AL535" s="5"/>
      <c r="AM535" s="5"/>
      <c r="AN535" s="5"/>
      <c r="AO535" s="5"/>
      <c r="AP535" s="5"/>
      <c r="AQ535" s="5"/>
      <c r="AR535" s="5"/>
      <c r="AS535" s="5"/>
      <c r="AT535" s="5"/>
      <c r="AU535" s="5"/>
      <c r="AV535" s="5"/>
      <c r="AW535" s="5"/>
      <c r="AX535" s="5"/>
      <c r="AY535" s="5"/>
      <c r="AZ535" s="5"/>
      <c r="BA535" s="5"/>
      <c r="BB535" s="5"/>
      <c r="BC535" s="5"/>
    </row>
    <row r="536" spans="1:55" x14ac:dyDescent="0.25">
      <c r="A536" s="713"/>
      <c r="B536" s="696"/>
      <c r="C536" s="696"/>
      <c r="D536" s="384" t="s">
        <v>360</v>
      </c>
      <c r="E536" s="407">
        <v>71626.585981180964</v>
      </c>
      <c r="F536" s="407">
        <v>71626.585981180964</v>
      </c>
      <c r="G536" s="407">
        <f>(G535*$G$472)/$G$471</f>
        <v>13702882.16405973</v>
      </c>
      <c r="H536" s="407">
        <f>(H535*$H$472)/$H$471</f>
        <v>13702882.16405973</v>
      </c>
      <c r="I536" s="390"/>
      <c r="J536" s="407">
        <v>230104.76369230769</v>
      </c>
      <c r="K536" s="407">
        <f>(K535*$K$472)/$K$471</f>
        <v>16631455.90891129</v>
      </c>
      <c r="L536" s="407">
        <v>16631455.90891129</v>
      </c>
      <c r="M536" s="460"/>
      <c r="N536" s="696"/>
      <c r="O536" s="696"/>
      <c r="P536" s="696"/>
      <c r="Q536" s="696"/>
      <c r="R536" s="696"/>
      <c r="S536" s="696"/>
      <c r="T536" s="696"/>
      <c r="U536" s="696"/>
      <c r="V536" s="696"/>
      <c r="W536" s="696"/>
      <c r="X536" s="696"/>
      <c r="Y536" s="699"/>
      <c r="Z536" s="468"/>
      <c r="AA536" s="468"/>
      <c r="AB536" s="468"/>
      <c r="AC536" s="468"/>
      <c r="AD536" s="468"/>
      <c r="AE536" s="468"/>
      <c r="AF536" s="468"/>
      <c r="AG536" s="468"/>
      <c r="AH536" s="468"/>
      <c r="AI536" s="468"/>
      <c r="AJ536" s="468"/>
      <c r="AK536" s="5"/>
      <c r="AL536" s="5"/>
      <c r="AM536" s="5"/>
      <c r="AN536" s="5"/>
      <c r="AO536" s="5"/>
      <c r="AP536" s="5"/>
      <c r="AQ536" s="5"/>
      <c r="AR536" s="5"/>
      <c r="AS536" s="5"/>
      <c r="AT536" s="5"/>
      <c r="AU536" s="5"/>
      <c r="AV536" s="5"/>
      <c r="AW536" s="5"/>
      <c r="AX536" s="5"/>
      <c r="AY536" s="5"/>
      <c r="AZ536" s="5"/>
      <c r="BA536" s="5"/>
      <c r="BB536" s="5"/>
      <c r="BC536" s="5"/>
    </row>
    <row r="537" spans="1:55" x14ac:dyDescent="0.25">
      <c r="A537" s="713"/>
      <c r="B537" s="696"/>
      <c r="C537" s="696"/>
      <c r="D537" s="384" t="s">
        <v>365</v>
      </c>
      <c r="E537" s="387">
        <v>0</v>
      </c>
      <c r="F537" s="387">
        <v>0</v>
      </c>
      <c r="G537" s="387">
        <v>0</v>
      </c>
      <c r="H537" s="387">
        <v>0</v>
      </c>
      <c r="I537" s="390"/>
      <c r="J537" s="387">
        <v>0</v>
      </c>
      <c r="K537" s="387">
        <v>0</v>
      </c>
      <c r="L537" s="387">
        <v>0</v>
      </c>
      <c r="M537" s="460"/>
      <c r="N537" s="696"/>
      <c r="O537" s="696"/>
      <c r="P537" s="696"/>
      <c r="Q537" s="696"/>
      <c r="R537" s="696"/>
      <c r="S537" s="696"/>
      <c r="T537" s="696"/>
      <c r="U537" s="696"/>
      <c r="V537" s="696"/>
      <c r="W537" s="696"/>
      <c r="X537" s="696"/>
      <c r="Y537" s="699"/>
      <c r="Z537" s="468"/>
      <c r="AA537" s="468"/>
      <c r="AB537" s="468"/>
      <c r="AC537" s="468"/>
      <c r="AD537" s="468"/>
      <c r="AE537" s="468"/>
      <c r="AF537" s="468"/>
      <c r="AG537" s="468"/>
      <c r="AH537" s="468"/>
      <c r="AI537" s="468"/>
      <c r="AJ537" s="468"/>
      <c r="AK537" s="5"/>
      <c r="AL537" s="5"/>
      <c r="AM537" s="5"/>
      <c r="AN537" s="5"/>
      <c r="AO537" s="5"/>
      <c r="AP537" s="5"/>
      <c r="AQ537" s="5"/>
      <c r="AR537" s="5"/>
      <c r="AS537" s="5"/>
      <c r="AT537" s="5"/>
      <c r="AU537" s="5"/>
      <c r="AV537" s="5"/>
      <c r="AW537" s="5"/>
      <c r="AX537" s="5"/>
      <c r="AY537" s="5"/>
      <c r="AZ537" s="5"/>
      <c r="BA537" s="5"/>
      <c r="BB537" s="5"/>
      <c r="BC537" s="5"/>
    </row>
    <row r="538" spans="1:55" ht="22.5" x14ac:dyDescent="0.25">
      <c r="A538" s="713"/>
      <c r="B538" s="696"/>
      <c r="C538" s="696"/>
      <c r="D538" s="386" t="s">
        <v>370</v>
      </c>
      <c r="E538" s="407">
        <v>0</v>
      </c>
      <c r="F538" s="407">
        <v>0</v>
      </c>
      <c r="G538" s="407">
        <v>0</v>
      </c>
      <c r="H538" s="407">
        <v>0</v>
      </c>
      <c r="I538" s="390"/>
      <c r="J538" s="407">
        <v>0</v>
      </c>
      <c r="K538" s="407">
        <v>0</v>
      </c>
      <c r="L538" s="407">
        <v>0</v>
      </c>
      <c r="M538" s="390"/>
      <c r="N538" s="696"/>
      <c r="O538" s="696"/>
      <c r="P538" s="696"/>
      <c r="Q538" s="696"/>
      <c r="R538" s="696"/>
      <c r="S538" s="696"/>
      <c r="T538" s="696"/>
      <c r="U538" s="696"/>
      <c r="V538" s="696"/>
      <c r="W538" s="696"/>
      <c r="X538" s="696"/>
      <c r="Y538" s="699"/>
      <c r="Z538" s="468"/>
      <c r="AA538" s="468"/>
      <c r="AB538" s="468"/>
      <c r="AC538" s="468"/>
      <c r="AD538" s="468"/>
      <c r="AE538" s="468"/>
      <c r="AF538" s="468"/>
      <c r="AG538" s="468"/>
      <c r="AH538" s="468"/>
      <c r="AI538" s="468"/>
      <c r="AJ538" s="468"/>
      <c r="AK538" s="5"/>
      <c r="AL538" s="5"/>
      <c r="AM538" s="5"/>
      <c r="AN538" s="5"/>
      <c r="AO538" s="5"/>
      <c r="AP538" s="5"/>
      <c r="AQ538" s="5"/>
      <c r="AR538" s="5"/>
      <c r="AS538" s="5"/>
      <c r="AT538" s="5"/>
      <c r="AU538" s="5"/>
      <c r="AV538" s="5"/>
      <c r="AW538" s="5"/>
      <c r="AX538" s="5"/>
      <c r="AY538" s="5"/>
      <c r="AZ538" s="5"/>
      <c r="BA538" s="5"/>
      <c r="BB538" s="5"/>
      <c r="BC538" s="5"/>
    </row>
    <row r="539" spans="1:55" x14ac:dyDescent="0.25">
      <c r="A539" s="713"/>
      <c r="B539" s="696"/>
      <c r="C539" s="722" t="s">
        <v>382</v>
      </c>
      <c r="D539" s="389" t="s">
        <v>348</v>
      </c>
      <c r="E539" s="387">
        <v>21</v>
      </c>
      <c r="F539" s="387">
        <v>21</v>
      </c>
      <c r="G539" s="387">
        <v>37.11</v>
      </c>
      <c r="H539" s="387">
        <v>48.536999999999999</v>
      </c>
      <c r="I539" s="390"/>
      <c r="J539" s="387">
        <v>21</v>
      </c>
      <c r="K539" s="387">
        <v>37.11</v>
      </c>
      <c r="L539" s="387">
        <v>48.536999999999999</v>
      </c>
      <c r="M539" s="460"/>
      <c r="N539" s="718" t="s">
        <v>382</v>
      </c>
      <c r="O539" s="718" t="s">
        <v>350</v>
      </c>
      <c r="P539" s="720" t="s">
        <v>351</v>
      </c>
      <c r="Q539" s="720" t="s">
        <v>352</v>
      </c>
      <c r="R539" s="720" t="s">
        <v>353</v>
      </c>
      <c r="S539" s="720">
        <v>110484</v>
      </c>
      <c r="T539" s="723">
        <v>111422</v>
      </c>
      <c r="U539" s="724" t="s">
        <v>494</v>
      </c>
      <c r="V539" s="720" t="s">
        <v>355</v>
      </c>
      <c r="W539" s="720" t="s">
        <v>356</v>
      </c>
      <c r="X539" s="720" t="s">
        <v>357</v>
      </c>
      <c r="Y539" s="721">
        <v>221906</v>
      </c>
      <c r="Z539" s="468"/>
      <c r="AA539" s="468"/>
      <c r="AB539" s="468"/>
      <c r="AC539" s="468"/>
      <c r="AD539" s="468"/>
      <c r="AE539" s="468"/>
      <c r="AF539" s="468"/>
      <c r="AG539" s="468"/>
      <c r="AH539" s="468"/>
      <c r="AI539" s="468"/>
      <c r="AJ539" s="468"/>
      <c r="AK539" s="5"/>
      <c r="AL539" s="5"/>
      <c r="AM539" s="5"/>
      <c r="AN539" s="5"/>
      <c r="AO539" s="5"/>
      <c r="AP539" s="5"/>
      <c r="AQ539" s="5"/>
      <c r="AR539" s="5"/>
      <c r="AS539" s="5"/>
      <c r="AT539" s="5"/>
      <c r="AU539" s="5"/>
      <c r="AV539" s="5"/>
      <c r="AW539" s="5"/>
      <c r="AX539" s="5"/>
      <c r="AY539" s="5"/>
      <c r="AZ539" s="5"/>
      <c r="BA539" s="5"/>
      <c r="BB539" s="5"/>
      <c r="BC539" s="5"/>
    </row>
    <row r="540" spans="1:55" x14ac:dyDescent="0.25">
      <c r="A540" s="713"/>
      <c r="B540" s="696"/>
      <c r="C540" s="696"/>
      <c r="D540" s="384" t="s">
        <v>360</v>
      </c>
      <c r="E540" s="407">
        <v>1504158.3056048001</v>
      </c>
      <c r="F540" s="407">
        <v>1504158.3056048001</v>
      </c>
      <c r="G540" s="407">
        <f>(G539*$G$472)/$G$471</f>
        <v>2658062.6057616253</v>
      </c>
      <c r="H540" s="407">
        <f>(H539*$H$472)/$H$471</f>
        <v>3476539.6037685806</v>
      </c>
      <c r="I540" s="390"/>
      <c r="J540" s="407">
        <v>4832200.0375384614</v>
      </c>
      <c r="K540" s="407">
        <f>(K539*$K$472)/$K$471</f>
        <v>3226142.5371370967</v>
      </c>
      <c r="L540" s="407">
        <f>(L539*$L$472)/$L$471</f>
        <v>4087301.9483445142</v>
      </c>
      <c r="M540" s="460"/>
      <c r="N540" s="696"/>
      <c r="O540" s="696"/>
      <c r="P540" s="696"/>
      <c r="Q540" s="696"/>
      <c r="R540" s="696"/>
      <c r="S540" s="696"/>
      <c r="T540" s="696"/>
      <c r="U540" s="696"/>
      <c r="V540" s="696"/>
      <c r="W540" s="696"/>
      <c r="X540" s="696"/>
      <c r="Y540" s="699"/>
      <c r="Z540" s="468"/>
      <c r="AA540" s="468"/>
      <c r="AB540" s="468"/>
      <c r="AC540" s="468"/>
      <c r="AD540" s="468"/>
      <c r="AE540" s="468"/>
      <c r="AF540" s="468"/>
      <c r="AG540" s="468"/>
      <c r="AH540" s="468"/>
      <c r="AI540" s="468"/>
      <c r="AJ540" s="468"/>
      <c r="AK540" s="5"/>
      <c r="AL540" s="5"/>
      <c r="AM540" s="5"/>
      <c r="AN540" s="5"/>
      <c r="AO540" s="5"/>
      <c r="AP540" s="5"/>
      <c r="AQ540" s="5"/>
      <c r="AR540" s="5"/>
      <c r="AS540" s="5"/>
      <c r="AT540" s="5"/>
      <c r="AU540" s="5"/>
      <c r="AV540" s="5"/>
      <c r="AW540" s="5"/>
      <c r="AX540" s="5"/>
      <c r="AY540" s="5"/>
      <c r="AZ540" s="5"/>
      <c r="BA540" s="5"/>
      <c r="BB540" s="5"/>
      <c r="BC540" s="5"/>
    </row>
    <row r="541" spans="1:55" x14ac:dyDescent="0.25">
      <c r="A541" s="713"/>
      <c r="B541" s="696"/>
      <c r="C541" s="696"/>
      <c r="D541" s="384" t="s">
        <v>365</v>
      </c>
      <c r="E541" s="387">
        <v>0</v>
      </c>
      <c r="F541" s="387">
        <v>0</v>
      </c>
      <c r="G541" s="387">
        <v>0</v>
      </c>
      <c r="H541" s="387">
        <v>0</v>
      </c>
      <c r="I541" s="390"/>
      <c r="J541" s="387">
        <v>0</v>
      </c>
      <c r="K541" s="387">
        <v>0</v>
      </c>
      <c r="L541" s="387">
        <v>0</v>
      </c>
      <c r="M541" s="460"/>
      <c r="N541" s="696"/>
      <c r="O541" s="696"/>
      <c r="P541" s="696"/>
      <c r="Q541" s="696"/>
      <c r="R541" s="696"/>
      <c r="S541" s="696"/>
      <c r="T541" s="696"/>
      <c r="U541" s="696"/>
      <c r="V541" s="696"/>
      <c r="W541" s="696"/>
      <c r="X541" s="696"/>
      <c r="Y541" s="699"/>
      <c r="Z541" s="468"/>
      <c r="AA541" s="468"/>
      <c r="AB541" s="468"/>
      <c r="AC541" s="468"/>
      <c r="AD541" s="468"/>
      <c r="AE541" s="468"/>
      <c r="AF541" s="468"/>
      <c r="AG541" s="468"/>
      <c r="AH541" s="468"/>
      <c r="AI541" s="468"/>
      <c r="AJ541" s="468"/>
      <c r="AK541" s="5"/>
      <c r="AL541" s="5"/>
      <c r="AM541" s="5"/>
      <c r="AN541" s="5"/>
      <c r="AO541" s="5"/>
      <c r="AP541" s="5"/>
      <c r="AQ541" s="5"/>
      <c r="AR541" s="5"/>
      <c r="AS541" s="5"/>
      <c r="AT541" s="5"/>
      <c r="AU541" s="5"/>
      <c r="AV541" s="5"/>
      <c r="AW541" s="5"/>
      <c r="AX541" s="5"/>
      <c r="AY541" s="5"/>
      <c r="AZ541" s="5"/>
      <c r="BA541" s="5"/>
      <c r="BB541" s="5"/>
      <c r="BC541" s="5"/>
    </row>
    <row r="542" spans="1:55" ht="22.5" x14ac:dyDescent="0.25">
      <c r="A542" s="713"/>
      <c r="B542" s="696"/>
      <c r="C542" s="696"/>
      <c r="D542" s="386" t="s">
        <v>370</v>
      </c>
      <c r="E542" s="407">
        <v>0</v>
      </c>
      <c r="F542" s="407">
        <v>0</v>
      </c>
      <c r="G542" s="407">
        <v>0</v>
      </c>
      <c r="H542" s="407">
        <v>0</v>
      </c>
      <c r="I542" s="390"/>
      <c r="J542" s="407">
        <v>0</v>
      </c>
      <c r="K542" s="407">
        <v>0</v>
      </c>
      <c r="L542" s="407">
        <v>0</v>
      </c>
      <c r="M542" s="390"/>
      <c r="N542" s="696"/>
      <c r="O542" s="696"/>
      <c r="P542" s="696"/>
      <c r="Q542" s="696"/>
      <c r="R542" s="696"/>
      <c r="S542" s="696"/>
      <c r="T542" s="696"/>
      <c r="U542" s="696"/>
      <c r="V542" s="696"/>
      <c r="W542" s="696"/>
      <c r="X542" s="696"/>
      <c r="Y542" s="699"/>
      <c r="Z542" s="468"/>
      <c r="AA542" s="468"/>
      <c r="AB542" s="468"/>
      <c r="AC542" s="468"/>
      <c r="AD542" s="468"/>
      <c r="AE542" s="468"/>
      <c r="AF542" s="468"/>
      <c r="AG542" s="468"/>
      <c r="AH542" s="468"/>
      <c r="AI542" s="468"/>
      <c r="AJ542" s="468"/>
      <c r="AK542" s="5"/>
      <c r="AL542" s="5"/>
      <c r="AM542" s="5"/>
      <c r="AN542" s="5"/>
      <c r="AO542" s="5"/>
      <c r="AP542" s="5"/>
      <c r="AQ542" s="5"/>
      <c r="AR542" s="5"/>
      <c r="AS542" s="5"/>
      <c r="AT542" s="5"/>
      <c r="AU542" s="5"/>
      <c r="AV542" s="5"/>
      <c r="AW542" s="5"/>
      <c r="AX542" s="5"/>
      <c r="AY542" s="5"/>
      <c r="AZ542" s="5"/>
      <c r="BA542" s="5"/>
      <c r="BB542" s="5"/>
      <c r="BC542" s="5"/>
    </row>
    <row r="543" spans="1:55" x14ac:dyDescent="0.25">
      <c r="A543" s="713"/>
      <c r="B543" s="696"/>
      <c r="C543" s="722" t="s">
        <v>396</v>
      </c>
      <c r="D543" s="389" t="s">
        <v>348</v>
      </c>
      <c r="E543" s="387">
        <v>1</v>
      </c>
      <c r="F543" s="387">
        <v>1</v>
      </c>
      <c r="G543" s="387">
        <v>370.93</v>
      </c>
      <c r="H543" s="387">
        <v>370.93</v>
      </c>
      <c r="I543" s="390"/>
      <c r="J543" s="387">
        <v>1</v>
      </c>
      <c r="K543" s="387">
        <v>370.93</v>
      </c>
      <c r="L543" s="387">
        <f>370.93-0.771</f>
        <v>370.15899999999999</v>
      </c>
      <c r="M543" s="460"/>
      <c r="N543" s="718" t="s">
        <v>396</v>
      </c>
      <c r="O543" s="718" t="s">
        <v>350</v>
      </c>
      <c r="P543" s="720" t="s">
        <v>351</v>
      </c>
      <c r="Q543" s="720" t="s">
        <v>352</v>
      </c>
      <c r="R543" s="720" t="s">
        <v>353</v>
      </c>
      <c r="S543" s="720">
        <v>171622</v>
      </c>
      <c r="T543" s="723">
        <v>179322</v>
      </c>
      <c r="U543" s="724" t="s">
        <v>494</v>
      </c>
      <c r="V543" s="720" t="s">
        <v>355</v>
      </c>
      <c r="W543" s="720" t="s">
        <v>356</v>
      </c>
      <c r="X543" s="720" t="s">
        <v>357</v>
      </c>
      <c r="Y543" s="721">
        <v>350944</v>
      </c>
      <c r="Z543" s="468"/>
      <c r="AA543" s="468"/>
      <c r="AB543" s="468"/>
      <c r="AC543" s="468"/>
      <c r="AD543" s="468"/>
      <c r="AE543" s="468"/>
      <c r="AF543" s="468"/>
      <c r="AG543" s="468"/>
      <c r="AH543" s="468"/>
      <c r="AI543" s="468"/>
      <c r="AJ543" s="468"/>
      <c r="AK543" s="5"/>
      <c r="AL543" s="5"/>
      <c r="AM543" s="5"/>
      <c r="AN543" s="5"/>
      <c r="AO543" s="5"/>
      <c r="AP543" s="5"/>
      <c r="AQ543" s="5"/>
      <c r="AR543" s="5"/>
      <c r="AS543" s="5"/>
      <c r="AT543" s="5"/>
      <c r="AU543" s="5"/>
      <c r="AV543" s="5"/>
      <c r="AW543" s="5"/>
      <c r="AX543" s="5"/>
      <c r="AY543" s="5"/>
      <c r="AZ543" s="5"/>
      <c r="BA543" s="5"/>
      <c r="BB543" s="5"/>
      <c r="BC543" s="5"/>
    </row>
    <row r="544" spans="1:55" x14ac:dyDescent="0.25">
      <c r="A544" s="713"/>
      <c r="B544" s="696"/>
      <c r="C544" s="696"/>
      <c r="D544" s="384" t="s">
        <v>360</v>
      </c>
      <c r="E544" s="407">
        <v>71626.585981180964</v>
      </c>
      <c r="F544" s="407">
        <v>71626.585981180964</v>
      </c>
      <c r="G544" s="407">
        <f>(G543*$G$472)/$G$471</f>
        <v>26568449.537999455</v>
      </c>
      <c r="H544" s="407">
        <f>(H543*$H$472)/$H$471</f>
        <v>26568449.537999455</v>
      </c>
      <c r="I544" s="390"/>
      <c r="J544" s="407">
        <v>230104.76369230769</v>
      </c>
      <c r="K544" s="407">
        <f>(K543*$K$472)/$K$471</f>
        <v>32246646.491518822</v>
      </c>
      <c r="L544" s="407">
        <v>32750225.59</v>
      </c>
      <c r="M544" s="460"/>
      <c r="N544" s="696"/>
      <c r="O544" s="696"/>
      <c r="P544" s="696"/>
      <c r="Q544" s="696"/>
      <c r="R544" s="696"/>
      <c r="S544" s="696"/>
      <c r="T544" s="696"/>
      <c r="U544" s="696"/>
      <c r="V544" s="696"/>
      <c r="W544" s="696"/>
      <c r="X544" s="696"/>
      <c r="Y544" s="699"/>
      <c r="Z544" s="468"/>
      <c r="AA544" s="468"/>
      <c r="AB544" s="468"/>
      <c r="AC544" s="468"/>
      <c r="AD544" s="468"/>
      <c r="AE544" s="468"/>
      <c r="AF544" s="468"/>
      <c r="AG544" s="468"/>
      <c r="AH544" s="468"/>
      <c r="AI544" s="468"/>
      <c r="AJ544" s="468"/>
      <c r="AK544" s="5"/>
      <c r="AL544" s="5"/>
      <c r="AM544" s="5"/>
      <c r="AN544" s="5"/>
      <c r="AO544" s="5"/>
      <c r="AP544" s="5"/>
      <c r="AQ544" s="5"/>
      <c r="AR544" s="5"/>
      <c r="AS544" s="5"/>
      <c r="AT544" s="5"/>
      <c r="AU544" s="5"/>
      <c r="AV544" s="5"/>
      <c r="AW544" s="5"/>
      <c r="AX544" s="5"/>
      <c r="AY544" s="5"/>
      <c r="AZ544" s="5"/>
      <c r="BA544" s="5"/>
      <c r="BB544" s="5"/>
      <c r="BC544" s="5"/>
    </row>
    <row r="545" spans="1:55" x14ac:dyDescent="0.25">
      <c r="A545" s="713"/>
      <c r="B545" s="696"/>
      <c r="C545" s="696"/>
      <c r="D545" s="384" t="s">
        <v>365</v>
      </c>
      <c r="E545" s="387">
        <v>0</v>
      </c>
      <c r="F545" s="387">
        <v>0</v>
      </c>
      <c r="G545" s="387">
        <v>0</v>
      </c>
      <c r="H545" s="387">
        <v>0</v>
      </c>
      <c r="I545" s="390"/>
      <c r="J545" s="387">
        <v>0</v>
      </c>
      <c r="K545" s="387">
        <v>0</v>
      </c>
      <c r="L545" s="387">
        <v>0</v>
      </c>
      <c r="M545" s="460"/>
      <c r="N545" s="696"/>
      <c r="O545" s="696"/>
      <c r="P545" s="696"/>
      <c r="Q545" s="696"/>
      <c r="R545" s="696"/>
      <c r="S545" s="696"/>
      <c r="T545" s="696"/>
      <c r="U545" s="696"/>
      <c r="V545" s="696"/>
      <c r="W545" s="696"/>
      <c r="X545" s="696"/>
      <c r="Y545" s="699"/>
      <c r="Z545" s="468"/>
      <c r="AA545" s="468"/>
      <c r="AB545" s="468"/>
      <c r="AC545" s="468"/>
      <c r="AD545" s="468"/>
      <c r="AE545" s="468"/>
      <c r="AF545" s="468"/>
      <c r="AG545" s="468"/>
      <c r="AH545" s="468"/>
      <c r="AI545" s="468"/>
      <c r="AJ545" s="468"/>
      <c r="AK545" s="5"/>
      <c r="AL545" s="5"/>
      <c r="AM545" s="5"/>
      <c r="AN545" s="5"/>
      <c r="AO545" s="5"/>
      <c r="AP545" s="5"/>
      <c r="AQ545" s="5"/>
      <c r="AR545" s="5"/>
      <c r="AS545" s="5"/>
      <c r="AT545" s="5"/>
      <c r="AU545" s="5"/>
      <c r="AV545" s="5"/>
      <c r="AW545" s="5"/>
      <c r="AX545" s="5"/>
      <c r="AY545" s="5"/>
      <c r="AZ545" s="5"/>
      <c r="BA545" s="5"/>
      <c r="BB545" s="5"/>
      <c r="BC545" s="5"/>
    </row>
    <row r="546" spans="1:55" ht="22.5" x14ac:dyDescent="0.25">
      <c r="A546" s="713"/>
      <c r="B546" s="696"/>
      <c r="C546" s="696"/>
      <c r="D546" s="386" t="s">
        <v>370</v>
      </c>
      <c r="E546" s="407">
        <v>0</v>
      </c>
      <c r="F546" s="407">
        <v>0</v>
      </c>
      <c r="G546" s="407">
        <v>0</v>
      </c>
      <c r="H546" s="407">
        <v>0</v>
      </c>
      <c r="I546" s="390"/>
      <c r="J546" s="407">
        <v>0</v>
      </c>
      <c r="K546" s="407">
        <v>0</v>
      </c>
      <c r="L546" s="407">
        <v>0</v>
      </c>
      <c r="M546" s="390"/>
      <c r="N546" s="696"/>
      <c r="O546" s="696"/>
      <c r="P546" s="696"/>
      <c r="Q546" s="696"/>
      <c r="R546" s="696"/>
      <c r="S546" s="696"/>
      <c r="T546" s="696"/>
      <c r="U546" s="696"/>
      <c r="V546" s="696"/>
      <c r="W546" s="696"/>
      <c r="X546" s="696"/>
      <c r="Y546" s="699"/>
      <c r="Z546" s="468"/>
      <c r="AA546" s="468"/>
      <c r="AB546" s="468"/>
      <c r="AC546" s="468"/>
      <c r="AD546" s="468"/>
      <c r="AE546" s="468"/>
      <c r="AF546" s="468"/>
      <c r="AG546" s="468"/>
      <c r="AH546" s="468"/>
      <c r="AI546" s="468"/>
      <c r="AJ546" s="468"/>
      <c r="AK546" s="5"/>
      <c r="AL546" s="5"/>
      <c r="AM546" s="5"/>
      <c r="AN546" s="5"/>
      <c r="AO546" s="5"/>
      <c r="AP546" s="5"/>
      <c r="AQ546" s="5"/>
      <c r="AR546" s="5"/>
      <c r="AS546" s="5"/>
      <c r="AT546" s="5"/>
      <c r="AU546" s="5"/>
      <c r="AV546" s="5"/>
      <c r="AW546" s="5"/>
      <c r="AX546" s="5"/>
      <c r="AY546" s="5"/>
      <c r="AZ546" s="5"/>
      <c r="BA546" s="5"/>
      <c r="BB546" s="5"/>
      <c r="BC546" s="5"/>
    </row>
    <row r="547" spans="1:55" x14ac:dyDescent="0.25">
      <c r="A547" s="713"/>
      <c r="B547" s="696"/>
      <c r="C547" s="722" t="s">
        <v>523</v>
      </c>
      <c r="D547" s="389" t="s">
        <v>348</v>
      </c>
      <c r="E547" s="387">
        <v>3</v>
      </c>
      <c r="F547" s="387">
        <v>3</v>
      </c>
      <c r="G547" s="387">
        <v>27.59</v>
      </c>
      <c r="H547" s="387">
        <v>30.186</v>
      </c>
      <c r="I547" s="390"/>
      <c r="J547" s="387">
        <v>3</v>
      </c>
      <c r="K547" s="387">
        <v>27.59</v>
      </c>
      <c r="L547" s="387">
        <v>30.186</v>
      </c>
      <c r="M547" s="460"/>
      <c r="N547" s="718" t="s">
        <v>384</v>
      </c>
      <c r="O547" s="718" t="s">
        <v>350</v>
      </c>
      <c r="P547" s="720" t="s">
        <v>351</v>
      </c>
      <c r="Q547" s="720" t="s">
        <v>352</v>
      </c>
      <c r="R547" s="720" t="s">
        <v>353</v>
      </c>
      <c r="S547" s="720">
        <v>358148</v>
      </c>
      <c r="T547" s="723">
        <v>375711</v>
      </c>
      <c r="U547" s="724" t="s">
        <v>494</v>
      </c>
      <c r="V547" s="720" t="s">
        <v>355</v>
      </c>
      <c r="W547" s="720" t="s">
        <v>356</v>
      </c>
      <c r="X547" s="720" t="s">
        <v>357</v>
      </c>
      <c r="Y547" s="721">
        <v>733859</v>
      </c>
      <c r="Z547" s="468"/>
      <c r="AA547" s="468"/>
      <c r="AB547" s="468"/>
      <c r="AC547" s="468"/>
      <c r="AD547" s="468"/>
      <c r="AE547" s="468"/>
      <c r="AF547" s="468"/>
      <c r="AG547" s="468"/>
      <c r="AH547" s="468"/>
      <c r="AI547" s="468"/>
      <c r="AJ547" s="468"/>
      <c r="AK547" s="5"/>
      <c r="AL547" s="5"/>
      <c r="AM547" s="5"/>
      <c r="AN547" s="5"/>
      <c r="AO547" s="5"/>
      <c r="AP547" s="5"/>
      <c r="AQ547" s="5"/>
      <c r="AR547" s="5"/>
      <c r="AS547" s="5"/>
      <c r="AT547" s="5"/>
      <c r="AU547" s="5"/>
      <c r="AV547" s="5"/>
      <c r="AW547" s="5"/>
      <c r="AX547" s="5"/>
      <c r="AY547" s="5"/>
      <c r="AZ547" s="5"/>
      <c r="BA547" s="5"/>
      <c r="BB547" s="5"/>
      <c r="BC547" s="5"/>
    </row>
    <row r="548" spans="1:55" x14ac:dyDescent="0.25">
      <c r="A548" s="713"/>
      <c r="B548" s="696"/>
      <c r="C548" s="696"/>
      <c r="D548" s="384" t="s">
        <v>360</v>
      </c>
      <c r="E548" s="407">
        <v>214879.75794354288</v>
      </c>
      <c r="F548" s="407">
        <v>214879.75794354288</v>
      </c>
      <c r="G548" s="407">
        <f>(G547*$G$472)/$G$471</f>
        <v>1976177.5072207828</v>
      </c>
      <c r="H548" s="407">
        <f>(H547*$H$472)/$H$471</f>
        <v>2162120.1244279286</v>
      </c>
      <c r="I548" s="390"/>
      <c r="J548" s="407">
        <v>690314.29107692302</v>
      </c>
      <c r="K548" s="407">
        <f>(K547*$K$472)/$K$471</f>
        <v>2398525.2654166664</v>
      </c>
      <c r="L548" s="407">
        <f>(L547*$L$472)/$L$471</f>
        <v>2541963.7928328388</v>
      </c>
      <c r="M548" s="460"/>
      <c r="N548" s="696"/>
      <c r="O548" s="696"/>
      <c r="P548" s="696"/>
      <c r="Q548" s="696"/>
      <c r="R548" s="696"/>
      <c r="S548" s="696"/>
      <c r="T548" s="696"/>
      <c r="U548" s="696"/>
      <c r="V548" s="696"/>
      <c r="W548" s="696"/>
      <c r="X548" s="696"/>
      <c r="Y548" s="699"/>
      <c r="Z548" s="468"/>
      <c r="AA548" s="468"/>
      <c r="AB548" s="468"/>
      <c r="AC548" s="468"/>
      <c r="AD548" s="468"/>
      <c r="AE548" s="468"/>
      <c r="AF548" s="468"/>
      <c r="AG548" s="468"/>
      <c r="AH548" s="468"/>
      <c r="AI548" s="468"/>
      <c r="AJ548" s="468"/>
      <c r="AK548" s="5"/>
      <c r="AL548" s="5"/>
      <c r="AM548" s="5"/>
      <c r="AN548" s="5"/>
      <c r="AO548" s="5"/>
      <c r="AP548" s="5"/>
      <c r="AQ548" s="5"/>
      <c r="AR548" s="5"/>
      <c r="AS548" s="5"/>
      <c r="AT548" s="5"/>
      <c r="AU548" s="5"/>
      <c r="AV548" s="5"/>
      <c r="AW548" s="5"/>
      <c r="AX548" s="5"/>
      <c r="AY548" s="5"/>
      <c r="AZ548" s="5"/>
      <c r="BA548" s="5"/>
      <c r="BB548" s="5"/>
      <c r="BC548" s="5"/>
    </row>
    <row r="549" spans="1:55" x14ac:dyDescent="0.25">
      <c r="A549" s="713"/>
      <c r="B549" s="696"/>
      <c r="C549" s="696"/>
      <c r="D549" s="384" t="s">
        <v>365</v>
      </c>
      <c r="E549" s="387">
        <v>0</v>
      </c>
      <c r="F549" s="387">
        <v>0</v>
      </c>
      <c r="G549" s="387">
        <v>0</v>
      </c>
      <c r="H549" s="387">
        <v>0</v>
      </c>
      <c r="I549" s="390"/>
      <c r="J549" s="387">
        <v>0</v>
      </c>
      <c r="K549" s="387">
        <v>0</v>
      </c>
      <c r="L549" s="387">
        <v>0</v>
      </c>
      <c r="M549" s="460"/>
      <c r="N549" s="696"/>
      <c r="O549" s="696"/>
      <c r="P549" s="696"/>
      <c r="Q549" s="696"/>
      <c r="R549" s="696"/>
      <c r="S549" s="696"/>
      <c r="T549" s="696"/>
      <c r="U549" s="696"/>
      <c r="V549" s="696"/>
      <c r="W549" s="696"/>
      <c r="X549" s="696"/>
      <c r="Y549" s="699"/>
      <c r="Z549" s="468"/>
      <c r="AA549" s="468"/>
      <c r="AB549" s="468"/>
      <c r="AC549" s="468"/>
      <c r="AD549" s="468"/>
      <c r="AE549" s="468"/>
      <c r="AF549" s="468"/>
      <c r="AG549" s="468"/>
      <c r="AH549" s="468"/>
      <c r="AI549" s="468"/>
      <c r="AJ549" s="468"/>
      <c r="AK549" s="5"/>
      <c r="AL549" s="5"/>
      <c r="AM549" s="5"/>
      <c r="AN549" s="5"/>
      <c r="AO549" s="5"/>
      <c r="AP549" s="5"/>
      <c r="AQ549" s="5"/>
      <c r="AR549" s="5"/>
      <c r="AS549" s="5"/>
      <c r="AT549" s="5"/>
      <c r="AU549" s="5"/>
      <c r="AV549" s="5"/>
      <c r="AW549" s="5"/>
      <c r="AX549" s="5"/>
      <c r="AY549" s="5"/>
      <c r="AZ549" s="5"/>
      <c r="BA549" s="5"/>
      <c r="BB549" s="5"/>
      <c r="BC549" s="5"/>
    </row>
    <row r="550" spans="1:55" ht="22.5" x14ac:dyDescent="0.25">
      <c r="A550" s="713"/>
      <c r="B550" s="696"/>
      <c r="C550" s="696"/>
      <c r="D550" s="386" t="s">
        <v>370</v>
      </c>
      <c r="E550" s="407">
        <v>0</v>
      </c>
      <c r="F550" s="407">
        <v>0</v>
      </c>
      <c r="G550" s="407">
        <v>0</v>
      </c>
      <c r="H550" s="407">
        <v>0</v>
      </c>
      <c r="I550" s="390"/>
      <c r="J550" s="407">
        <v>0</v>
      </c>
      <c r="K550" s="407">
        <v>0</v>
      </c>
      <c r="L550" s="407">
        <v>0</v>
      </c>
      <c r="M550" s="390"/>
      <c r="N550" s="696"/>
      <c r="O550" s="696"/>
      <c r="P550" s="696"/>
      <c r="Q550" s="696"/>
      <c r="R550" s="696"/>
      <c r="S550" s="696"/>
      <c r="T550" s="696"/>
      <c r="U550" s="696"/>
      <c r="V550" s="696"/>
      <c r="W550" s="696"/>
      <c r="X550" s="696"/>
      <c r="Y550" s="699"/>
      <c r="Z550" s="468"/>
      <c r="AA550" s="468"/>
      <c r="AB550" s="468"/>
      <c r="AC550" s="468"/>
      <c r="AD550" s="468"/>
      <c r="AE550" s="468"/>
      <c r="AF550" s="468"/>
      <c r="AG550" s="468"/>
      <c r="AH550" s="468"/>
      <c r="AI550" s="468"/>
      <c r="AJ550" s="468"/>
      <c r="AK550" s="5"/>
      <c r="AL550" s="5"/>
      <c r="AM550" s="5"/>
      <c r="AN550" s="5"/>
      <c r="AO550" s="5"/>
      <c r="AP550" s="5"/>
      <c r="AQ550" s="5"/>
      <c r="AR550" s="5"/>
      <c r="AS550" s="5"/>
      <c r="AT550" s="5"/>
      <c r="AU550" s="5"/>
      <c r="AV550" s="5"/>
      <c r="AW550" s="5"/>
      <c r="AX550" s="5"/>
      <c r="AY550" s="5"/>
      <c r="AZ550" s="5"/>
      <c r="BA550" s="5"/>
      <c r="BB550" s="5"/>
      <c r="BC550" s="5"/>
    </row>
    <row r="551" spans="1:55" x14ac:dyDescent="0.25">
      <c r="A551" s="713"/>
      <c r="B551" s="696"/>
      <c r="C551" s="722" t="s">
        <v>406</v>
      </c>
      <c r="D551" s="389" t="s">
        <v>348</v>
      </c>
      <c r="E551" s="387">
        <v>5708</v>
      </c>
      <c r="F551" s="387">
        <v>5708</v>
      </c>
      <c r="G551" s="387">
        <f>G471-K471</f>
        <v>2125</v>
      </c>
      <c r="H551" s="387">
        <f>1936.231+0.338</f>
        <v>1936.569</v>
      </c>
      <c r="I551" s="390"/>
      <c r="J551" s="387"/>
      <c r="K551" s="387"/>
      <c r="L551" s="387"/>
      <c r="M551" s="471"/>
      <c r="N551" s="718" t="s">
        <v>349</v>
      </c>
      <c r="O551" s="718" t="s">
        <v>350</v>
      </c>
      <c r="P551" s="718" t="s">
        <v>351</v>
      </c>
      <c r="Q551" s="718" t="s">
        <v>352</v>
      </c>
      <c r="R551" s="718" t="s">
        <v>353</v>
      </c>
      <c r="S551" s="718">
        <v>3912913</v>
      </c>
      <c r="T551" s="718">
        <v>4167821</v>
      </c>
      <c r="U551" s="718" t="s">
        <v>494</v>
      </c>
      <c r="V551" s="718" t="s">
        <v>355</v>
      </c>
      <c r="W551" s="718" t="s">
        <v>356</v>
      </c>
      <c r="X551" s="718" t="s">
        <v>357</v>
      </c>
      <c r="Y551" s="717">
        <v>8080734</v>
      </c>
      <c r="Z551" s="468"/>
      <c r="AA551" s="468"/>
      <c r="AB551" s="468"/>
      <c r="AC551" s="468"/>
      <c r="AD551" s="468"/>
      <c r="AE551" s="468"/>
      <c r="AF551" s="468"/>
      <c r="AG551" s="468"/>
      <c r="AH551" s="468"/>
      <c r="AI551" s="468"/>
      <c r="AJ551" s="468"/>
      <c r="AK551" s="5"/>
      <c r="AL551" s="5"/>
      <c r="AM551" s="5"/>
      <c r="AN551" s="5"/>
      <c r="AO551" s="5"/>
      <c r="AP551" s="5"/>
      <c r="AQ551" s="5"/>
      <c r="AR551" s="5"/>
      <c r="AS551" s="5"/>
      <c r="AT551" s="5"/>
      <c r="AU551" s="5"/>
      <c r="AV551" s="5"/>
      <c r="AW551" s="5"/>
      <c r="AX551" s="5"/>
      <c r="AY551" s="5"/>
      <c r="AZ551" s="5"/>
      <c r="BA551" s="5"/>
      <c r="BB551" s="5"/>
      <c r="BC551" s="5"/>
    </row>
    <row r="552" spans="1:55" x14ac:dyDescent="0.25">
      <c r="A552" s="713"/>
      <c r="B552" s="696"/>
      <c r="C552" s="696"/>
      <c r="D552" s="384" t="s">
        <v>360</v>
      </c>
      <c r="E552" s="407">
        <v>408844552.78058094</v>
      </c>
      <c r="F552" s="407">
        <v>408844552.78058094</v>
      </c>
      <c r="G552" s="407">
        <f>(G551*$G$472)/$G$471</f>
        <v>152206495.21000955</v>
      </c>
      <c r="H552" s="407">
        <f>(H551*$H$472)/$H$471</f>
        <v>138709825.98698962</v>
      </c>
      <c r="I552" s="390"/>
      <c r="J552" s="407"/>
      <c r="K552" s="407"/>
      <c r="L552" s="407"/>
      <c r="M552" s="471"/>
      <c r="N552" s="696"/>
      <c r="O552" s="696"/>
      <c r="P552" s="696"/>
      <c r="Q552" s="696"/>
      <c r="R552" s="696"/>
      <c r="S552" s="696"/>
      <c r="T552" s="696"/>
      <c r="U552" s="696"/>
      <c r="V552" s="696"/>
      <c r="W552" s="696"/>
      <c r="X552" s="696"/>
      <c r="Y552" s="699"/>
      <c r="Z552" s="468"/>
      <c r="AA552" s="468"/>
      <c r="AB552" s="468"/>
      <c r="AC552" s="468"/>
      <c r="AD552" s="468"/>
      <c r="AE552" s="468"/>
      <c r="AF552" s="468"/>
      <c r="AG552" s="468"/>
      <c r="AH552" s="468"/>
      <c r="AI552" s="468"/>
      <c r="AJ552" s="468"/>
      <c r="AK552" s="5"/>
      <c r="AL552" s="5"/>
      <c r="AM552" s="5"/>
      <c r="AN552" s="5"/>
      <c r="AO552" s="5"/>
      <c r="AP552" s="5"/>
      <c r="AQ552" s="5"/>
      <c r="AR552" s="5"/>
      <c r="AS552" s="5"/>
      <c r="AT552" s="5"/>
      <c r="AU552" s="5"/>
      <c r="AV552" s="5"/>
      <c r="AW552" s="5"/>
      <c r="AX552" s="5"/>
      <c r="AY552" s="5"/>
      <c r="AZ552" s="5"/>
      <c r="BA552" s="5"/>
      <c r="BB552" s="5"/>
      <c r="BC552" s="5"/>
    </row>
    <row r="553" spans="1:55" x14ac:dyDescent="0.25">
      <c r="A553" s="713"/>
      <c r="B553" s="696"/>
      <c r="C553" s="696"/>
      <c r="D553" s="384" t="s">
        <v>365</v>
      </c>
      <c r="E553" s="387">
        <v>0</v>
      </c>
      <c r="F553" s="387">
        <v>0</v>
      </c>
      <c r="G553" s="387">
        <v>0</v>
      </c>
      <c r="H553" s="387">
        <v>0</v>
      </c>
      <c r="I553" s="390"/>
      <c r="J553" s="387">
        <v>0</v>
      </c>
      <c r="K553" s="387">
        <v>0</v>
      </c>
      <c r="L553" s="387">
        <v>0</v>
      </c>
      <c r="M553" s="471"/>
      <c r="N553" s="696"/>
      <c r="O553" s="696"/>
      <c r="P553" s="696"/>
      <c r="Q553" s="696"/>
      <c r="R553" s="696"/>
      <c r="S553" s="696"/>
      <c r="T553" s="696"/>
      <c r="U553" s="696"/>
      <c r="V553" s="696"/>
      <c r="W553" s="696"/>
      <c r="X553" s="696"/>
      <c r="Y553" s="699"/>
      <c r="Z553" s="468"/>
      <c r="AA553" s="468"/>
      <c r="AB553" s="468"/>
      <c r="AC553" s="468"/>
      <c r="AD553" s="468"/>
      <c r="AE553" s="468"/>
      <c r="AF553" s="468"/>
      <c r="AG553" s="468"/>
      <c r="AH553" s="468"/>
      <c r="AI553" s="468"/>
      <c r="AJ553" s="468"/>
      <c r="AK553" s="5"/>
      <c r="AL553" s="5"/>
      <c r="AM553" s="5"/>
      <c r="AN553" s="5"/>
      <c r="AO553" s="5"/>
      <c r="AP553" s="5"/>
      <c r="AQ553" s="5"/>
      <c r="AR553" s="5"/>
      <c r="AS553" s="5"/>
      <c r="AT553" s="5"/>
      <c r="AU553" s="5"/>
      <c r="AV553" s="5"/>
      <c r="AW553" s="5"/>
      <c r="AX553" s="5"/>
      <c r="AY553" s="5"/>
      <c r="AZ553" s="5"/>
      <c r="BA553" s="5"/>
      <c r="BB553" s="5"/>
      <c r="BC553" s="5"/>
    </row>
    <row r="554" spans="1:55" ht="22.5" x14ac:dyDescent="0.25">
      <c r="A554" s="713"/>
      <c r="B554" s="696"/>
      <c r="C554" s="696"/>
      <c r="D554" s="386" t="s">
        <v>370</v>
      </c>
      <c r="E554" s="407">
        <f t="shared" ref="E554:H554" si="53">E474</f>
        <v>61495493</v>
      </c>
      <c r="F554" s="407">
        <f t="shared" si="53"/>
        <v>61495493</v>
      </c>
      <c r="G554" s="407">
        <f t="shared" si="53"/>
        <v>61495493</v>
      </c>
      <c r="H554" s="407">
        <f t="shared" si="53"/>
        <v>61495493</v>
      </c>
      <c r="I554" s="390"/>
      <c r="J554" s="407">
        <f t="shared" ref="J554:L554" si="54">J474</f>
        <v>53105859</v>
      </c>
      <c r="K554" s="407">
        <f t="shared" si="54"/>
        <v>61495493</v>
      </c>
      <c r="L554" s="407">
        <f t="shared" si="54"/>
        <v>61495493</v>
      </c>
      <c r="M554" s="438"/>
      <c r="N554" s="696"/>
      <c r="O554" s="696"/>
      <c r="P554" s="696"/>
      <c r="Q554" s="696"/>
      <c r="R554" s="696"/>
      <c r="S554" s="696"/>
      <c r="T554" s="696"/>
      <c r="U554" s="696"/>
      <c r="V554" s="696"/>
      <c r="W554" s="696"/>
      <c r="X554" s="696"/>
      <c r="Y554" s="699"/>
      <c r="Z554" s="468"/>
      <c r="AA554" s="468"/>
      <c r="AB554" s="468"/>
      <c r="AC554" s="468"/>
      <c r="AD554" s="468"/>
      <c r="AE554" s="468"/>
      <c r="AF554" s="468"/>
      <c r="AG554" s="468"/>
      <c r="AH554" s="468"/>
      <c r="AI554" s="468"/>
      <c r="AJ554" s="468"/>
      <c r="AK554" s="5"/>
      <c r="AL554" s="5"/>
      <c r="AM554" s="5"/>
      <c r="AN554" s="5"/>
      <c r="AO554" s="5"/>
      <c r="AP554" s="5"/>
      <c r="AQ554" s="5"/>
      <c r="AR554" s="5"/>
      <c r="AS554" s="5"/>
      <c r="AT554" s="5"/>
      <c r="AU554" s="5"/>
      <c r="AV554" s="5"/>
      <c r="AW554" s="5"/>
      <c r="AX554" s="5"/>
      <c r="AY554" s="5"/>
      <c r="AZ554" s="5"/>
      <c r="BA554" s="5"/>
      <c r="BB554" s="5"/>
      <c r="BC554" s="5"/>
    </row>
    <row r="555" spans="1:55" x14ac:dyDescent="0.25">
      <c r="A555" s="713"/>
      <c r="B555" s="696"/>
      <c r="C555" s="701" t="s">
        <v>417</v>
      </c>
      <c r="D555" s="391" t="s">
        <v>348</v>
      </c>
      <c r="E555" s="392">
        <f t="shared" ref="E555:F558" si="55">SUM(E475+E479+E487+E511+E515+E519+E523+E527+E531+E535+E539+E543+E547+E551+E483)</f>
        <v>7333</v>
      </c>
      <c r="F555" s="392">
        <f>SUM(F475+F479+F487+F511+F515+F519+F523+F527+F531+F535+F539+F543+G547+F551+F483)</f>
        <v>7357.59</v>
      </c>
      <c r="G555" s="392">
        <f t="shared" ref="G555:H555" si="56">SUM(G475+G479+G487+G511+G515+G519+G523+G527+G531+G535+G539+G543+G547+G551+G483+G491+G495+G499+G503+G507)</f>
        <v>7333.0000000000009</v>
      </c>
      <c r="H555" s="472">
        <f t="shared" si="56"/>
        <v>7333.0000000000009</v>
      </c>
      <c r="I555" s="392">
        <f t="shared" ref="I555:J556" si="57">SUM(I475+I479+I487+I511+I515+I519+I523+I527+I531+I535+I539+I543+I547+I551+I483)</f>
        <v>0</v>
      </c>
      <c r="J555" s="392">
        <f t="shared" si="57"/>
        <v>1625</v>
      </c>
      <c r="K555" s="392">
        <f t="shared" ref="K555:L555" si="58">SUM(K475+K479+K487+K511+K515+K519+K523+K527+K531+K535+K539+K543+K547+K551+K483+K491+K495+K499+K503+K507)</f>
        <v>5208.0000000000009</v>
      </c>
      <c r="L555" s="392">
        <f t="shared" si="58"/>
        <v>5396</v>
      </c>
      <c r="M555" s="393"/>
      <c r="N555" s="718"/>
      <c r="O555" s="696"/>
      <c r="P555" s="696"/>
      <c r="Q555" s="696"/>
      <c r="R555" s="696"/>
      <c r="S555" s="696"/>
      <c r="T555" s="696"/>
      <c r="U555" s="696"/>
      <c r="V555" s="696"/>
      <c r="W555" s="696"/>
      <c r="X555" s="696"/>
      <c r="Y555" s="699"/>
      <c r="Z555" s="394"/>
      <c r="AA555" s="395"/>
      <c r="AB555" s="395"/>
      <c r="AC555" s="395"/>
      <c r="AD555" s="395"/>
      <c r="AE555" s="395"/>
      <c r="AF555" s="395"/>
      <c r="AG555" s="395"/>
      <c r="AH555" s="395"/>
      <c r="AI555" s="395"/>
      <c r="AJ555" s="396"/>
      <c r="AK555" s="397"/>
      <c r="AL555" s="397"/>
      <c r="AM555" s="398"/>
      <c r="AN555" s="398"/>
      <c r="AO555" s="398"/>
      <c r="AP555" s="398"/>
      <c r="AQ555" s="398"/>
      <c r="AR555" s="398"/>
      <c r="AS555" s="398"/>
      <c r="AT555" s="398"/>
      <c r="AU555" s="398"/>
      <c r="AV555" s="398"/>
      <c r="AW555" s="398"/>
      <c r="AX555" s="398"/>
      <c r="AY555" s="398"/>
      <c r="AZ555" s="398"/>
      <c r="BA555" s="398"/>
      <c r="BB555" s="398"/>
      <c r="BC555" s="398"/>
    </row>
    <row r="556" spans="1:55" x14ac:dyDescent="0.25">
      <c r="A556" s="713"/>
      <c r="B556" s="696"/>
      <c r="C556" s="696"/>
      <c r="D556" s="399" t="s">
        <v>360</v>
      </c>
      <c r="E556" s="400">
        <f t="shared" si="55"/>
        <v>525237755</v>
      </c>
      <c r="F556" s="400">
        <f t="shared" si="55"/>
        <v>525237755</v>
      </c>
      <c r="G556" s="400">
        <f t="shared" ref="G556:H556" si="59">G476+G480+G484+G488+G492+G496+G500+G504+G508+G512+G516+G520+G524+G528+G532+G536+G540+G544+G548+G552</f>
        <v>525237755.00000012</v>
      </c>
      <c r="H556" s="400">
        <f t="shared" si="59"/>
        <v>525237755</v>
      </c>
      <c r="I556" s="400">
        <f t="shared" si="57"/>
        <v>0</v>
      </c>
      <c r="J556" s="400">
        <f t="shared" si="57"/>
        <v>373920240.99999994</v>
      </c>
      <c r="K556" s="400">
        <f>K476+K480+K484+K488+K492+K496+K500+K504+K508+K516+K520+K524+K528+K532+K536+K540+K544+K548+K512</f>
        <v>452755331.00000006</v>
      </c>
      <c r="L556" s="400">
        <f>L476+L480+L484+L488+L492+L496+L500+L504+L508+L512+L516+L520+L524+L528+L532+L536+L540+L544+L548+L552</f>
        <v>454397291.00432062</v>
      </c>
      <c r="M556" s="393"/>
      <c r="N556" s="696"/>
      <c r="O556" s="719"/>
      <c r="P556" s="719"/>
      <c r="Q556" s="719"/>
      <c r="R556" s="719"/>
      <c r="S556" s="719"/>
      <c r="T556" s="719"/>
      <c r="U556" s="719"/>
      <c r="V556" s="719"/>
      <c r="W556" s="719"/>
      <c r="X556" s="719"/>
      <c r="Y556" s="699"/>
      <c r="Z556" s="394"/>
      <c r="AA556" s="395"/>
      <c r="AB556" s="395"/>
      <c r="AC556" s="395"/>
      <c r="AD556" s="395"/>
      <c r="AE556" s="395"/>
      <c r="AF556" s="395"/>
      <c r="AG556" s="395"/>
      <c r="AH556" s="395"/>
      <c r="AI556" s="395"/>
      <c r="AJ556" s="396"/>
      <c r="AK556" s="397"/>
      <c r="AL556" s="397"/>
      <c r="AM556" s="398"/>
      <c r="AN556" s="398"/>
      <c r="AO556" s="398"/>
      <c r="AP556" s="398"/>
      <c r="AQ556" s="398"/>
      <c r="AR556" s="398"/>
      <c r="AS556" s="398"/>
      <c r="AT556" s="398"/>
      <c r="AU556" s="398"/>
      <c r="AV556" s="398"/>
      <c r="AW556" s="398"/>
      <c r="AX556" s="398"/>
      <c r="AY556" s="398"/>
      <c r="AZ556" s="398"/>
      <c r="BA556" s="398"/>
      <c r="BB556" s="398"/>
      <c r="BC556" s="398"/>
    </row>
    <row r="557" spans="1:55" ht="22.5" x14ac:dyDescent="0.25">
      <c r="A557" s="713"/>
      <c r="B557" s="696"/>
      <c r="C557" s="696"/>
      <c r="D557" s="399" t="s">
        <v>365</v>
      </c>
      <c r="E557" s="392">
        <f t="shared" si="55"/>
        <v>0</v>
      </c>
      <c r="F557" s="392">
        <f t="shared" si="55"/>
        <v>0</v>
      </c>
      <c r="G557" s="392" t="s">
        <v>530</v>
      </c>
      <c r="H557" s="392" t="s">
        <v>530</v>
      </c>
      <c r="I557" s="392">
        <f t="shared" ref="I557:L557" si="60">SUM(I477+I481+I489+I513+I517+I521+I525+I529+I533+I537+I541+I545+I549+I553+I485)</f>
        <v>0</v>
      </c>
      <c r="J557" s="392">
        <f t="shared" si="60"/>
        <v>0</v>
      </c>
      <c r="K557" s="392">
        <f t="shared" si="60"/>
        <v>0</v>
      </c>
      <c r="L557" s="392">
        <f t="shared" si="60"/>
        <v>0</v>
      </c>
      <c r="M557" s="393"/>
      <c r="N557" s="696"/>
      <c r="O557" s="719"/>
      <c r="P557" s="719"/>
      <c r="Q557" s="719"/>
      <c r="R557" s="719"/>
      <c r="S557" s="719"/>
      <c r="T557" s="719"/>
      <c r="U557" s="719"/>
      <c r="V557" s="719"/>
      <c r="W557" s="719"/>
      <c r="X557" s="719"/>
      <c r="Y557" s="699"/>
      <c r="Z557" s="394"/>
      <c r="AA557" s="395"/>
      <c r="AB557" s="395"/>
      <c r="AC557" s="395"/>
      <c r="AD557" s="395"/>
      <c r="AE557" s="395"/>
      <c r="AF557" s="395"/>
      <c r="AG557" s="395"/>
      <c r="AH557" s="395"/>
      <c r="AI557" s="395"/>
      <c r="AJ557" s="396"/>
      <c r="AK557" s="397"/>
      <c r="AL557" s="397"/>
      <c r="AM557" s="398"/>
      <c r="AN557" s="398"/>
      <c r="AO557" s="398"/>
      <c r="AP557" s="398"/>
      <c r="AQ557" s="398"/>
      <c r="AR557" s="398"/>
      <c r="AS557" s="398"/>
      <c r="AT557" s="398"/>
      <c r="AU557" s="398"/>
      <c r="AV557" s="398"/>
      <c r="AW557" s="398"/>
      <c r="AX557" s="398"/>
      <c r="AY557" s="398"/>
      <c r="AZ557" s="398"/>
      <c r="BA557" s="398"/>
      <c r="BB557" s="398"/>
      <c r="BC557" s="398"/>
    </row>
    <row r="558" spans="1:55" ht="23.25" thickBot="1" x14ac:dyDescent="0.3">
      <c r="A558" s="714"/>
      <c r="B558" s="697"/>
      <c r="C558" s="697"/>
      <c r="D558" s="402" t="s">
        <v>370</v>
      </c>
      <c r="E558" s="403">
        <f t="shared" si="55"/>
        <v>61495493</v>
      </c>
      <c r="F558" s="403">
        <f t="shared" si="55"/>
        <v>61495493</v>
      </c>
      <c r="G558" s="403">
        <f t="shared" ref="G558:L558" si="61">SUM(G478+G482+G490+G514+G518+G522+G526+G530+G534+G538+G542+G546+G550+G554+G486)</f>
        <v>61495493</v>
      </c>
      <c r="H558" s="403">
        <f t="shared" si="61"/>
        <v>61495493</v>
      </c>
      <c r="I558" s="403">
        <f t="shared" si="61"/>
        <v>0</v>
      </c>
      <c r="J558" s="403">
        <f t="shared" si="61"/>
        <v>53105859</v>
      </c>
      <c r="K558" s="403">
        <f t="shared" si="61"/>
        <v>61495493</v>
      </c>
      <c r="L558" s="403">
        <f t="shared" si="61"/>
        <v>61495493</v>
      </c>
      <c r="M558" s="404"/>
      <c r="N558" s="697"/>
      <c r="O558" s="697"/>
      <c r="P558" s="697"/>
      <c r="Q558" s="697"/>
      <c r="R558" s="697"/>
      <c r="S558" s="697"/>
      <c r="T558" s="697"/>
      <c r="U558" s="697"/>
      <c r="V558" s="697"/>
      <c r="W558" s="697"/>
      <c r="X558" s="697"/>
      <c r="Y558" s="700"/>
      <c r="Z558" s="394"/>
      <c r="AA558" s="395"/>
      <c r="AB558" s="395"/>
      <c r="AC558" s="395"/>
      <c r="AD558" s="395"/>
      <c r="AE558" s="395"/>
      <c r="AF558" s="395"/>
      <c r="AG558" s="395"/>
      <c r="AH558" s="395"/>
      <c r="AI558" s="395"/>
      <c r="AJ558" s="396"/>
      <c r="AK558" s="397"/>
      <c r="AL558" s="397"/>
      <c r="AM558" s="398"/>
      <c r="AN558" s="398"/>
      <c r="AO558" s="398"/>
      <c r="AP558" s="398"/>
      <c r="AQ558" s="398"/>
      <c r="AR558" s="398"/>
      <c r="AS558" s="398"/>
      <c r="AT558" s="398"/>
      <c r="AU558" s="398"/>
      <c r="AV558" s="398"/>
      <c r="AW558" s="398"/>
      <c r="AX558" s="398"/>
      <c r="AY558" s="398"/>
      <c r="AZ558" s="398"/>
      <c r="BA558" s="398"/>
      <c r="BB558" s="398"/>
      <c r="BC558" s="398"/>
    </row>
    <row r="559" spans="1:55" ht="22.5" x14ac:dyDescent="0.25">
      <c r="A559" s="712">
        <v>17</v>
      </c>
      <c r="B559" s="710" t="s">
        <v>264</v>
      </c>
      <c r="C559" s="710" t="s">
        <v>531</v>
      </c>
      <c r="D559" s="405" t="s">
        <v>348</v>
      </c>
      <c r="E559" s="454">
        <v>0.6</v>
      </c>
      <c r="F559" s="454">
        <v>0.6</v>
      </c>
      <c r="G559" s="454">
        <v>0.6</v>
      </c>
      <c r="H559" s="454">
        <f>[1]INVERSIÓN!V105</f>
        <v>0.6</v>
      </c>
      <c r="I559" s="455"/>
      <c r="J559" s="454">
        <v>0.33750000000000002</v>
      </c>
      <c r="K559" s="454">
        <v>0.4</v>
      </c>
      <c r="L559" s="454">
        <f>[1]INVERSIÓN!AL105</f>
        <v>0.4</v>
      </c>
      <c r="M559" s="455"/>
      <c r="N559" s="710" t="s">
        <v>349</v>
      </c>
      <c r="O559" s="710" t="s">
        <v>104</v>
      </c>
      <c r="P559" s="710" t="s">
        <v>104</v>
      </c>
      <c r="Q559" s="710" t="s">
        <v>104</v>
      </c>
      <c r="R559" s="716" t="s">
        <v>353</v>
      </c>
      <c r="S559" s="695">
        <v>8185614</v>
      </c>
      <c r="T559" s="711"/>
      <c r="U559" s="695" t="s">
        <v>354</v>
      </c>
      <c r="V559" s="695" t="s">
        <v>355</v>
      </c>
      <c r="W559" s="695" t="s">
        <v>356</v>
      </c>
      <c r="X559" s="695" t="s">
        <v>357</v>
      </c>
      <c r="Y559" s="698">
        <v>8185614</v>
      </c>
      <c r="Z559" s="381"/>
      <c r="AA559" s="382">
        <v>12</v>
      </c>
      <c r="AB559" s="382" t="s">
        <v>358</v>
      </c>
      <c r="AC559" s="382"/>
      <c r="AD559" s="382"/>
      <c r="AE559" s="382"/>
      <c r="AF559" s="382" t="s">
        <v>359</v>
      </c>
      <c r="AG559" s="382"/>
      <c r="AH559" s="382"/>
      <c r="AI559" s="382"/>
      <c r="AJ559" s="383"/>
      <c r="AK559" s="171"/>
      <c r="AL559" s="171"/>
      <c r="AM559" s="19"/>
      <c r="AN559" s="19"/>
      <c r="AO559" s="19"/>
      <c r="AP559" s="19"/>
      <c r="AQ559" s="19"/>
      <c r="AR559" s="19"/>
      <c r="AS559" s="19"/>
      <c r="AT559" s="5"/>
      <c r="AU559" s="5"/>
      <c r="AV559" s="5"/>
      <c r="AW559" s="5"/>
      <c r="AX559" s="5"/>
      <c r="AY559" s="5"/>
      <c r="AZ559" s="5"/>
      <c r="BA559" s="5"/>
      <c r="BB559" s="5"/>
      <c r="BC559" s="5"/>
    </row>
    <row r="560" spans="1:55" ht="45" x14ac:dyDescent="0.25">
      <c r="A560" s="713"/>
      <c r="B560" s="696"/>
      <c r="C560" s="696"/>
      <c r="D560" s="384" t="s">
        <v>360</v>
      </c>
      <c r="E560" s="427">
        <v>200000000</v>
      </c>
      <c r="F560" s="427">
        <v>200000000</v>
      </c>
      <c r="G560" s="427">
        <v>200000000</v>
      </c>
      <c r="H560" s="427">
        <f>[1]INVERSIÓN!V106</f>
        <v>200000000</v>
      </c>
      <c r="I560" s="441"/>
      <c r="J560" s="427">
        <v>0</v>
      </c>
      <c r="K560" s="427">
        <v>0</v>
      </c>
      <c r="L560" s="427">
        <f>[1]INVERSIÓN!AL106</f>
        <v>0</v>
      </c>
      <c r="M560" s="441"/>
      <c r="N560" s="696"/>
      <c r="O560" s="696"/>
      <c r="P560" s="696"/>
      <c r="Q560" s="696"/>
      <c r="R560" s="696"/>
      <c r="S560" s="696"/>
      <c r="T560" s="696"/>
      <c r="U560" s="696"/>
      <c r="V560" s="696"/>
      <c r="W560" s="696"/>
      <c r="X560" s="696"/>
      <c r="Y560" s="699"/>
      <c r="Z560" s="381"/>
      <c r="AA560" s="382">
        <v>13</v>
      </c>
      <c r="AB560" s="382" t="s">
        <v>363</v>
      </c>
      <c r="AC560" s="382"/>
      <c r="AD560" s="382"/>
      <c r="AE560" s="382"/>
      <c r="AF560" s="382" t="s">
        <v>364</v>
      </c>
      <c r="AG560" s="382"/>
      <c r="AH560" s="382"/>
      <c r="AI560" s="382"/>
      <c r="AJ560" s="383"/>
      <c r="AK560" s="171"/>
      <c r="AL560" s="171"/>
      <c r="AM560" s="19"/>
      <c r="AN560" s="19"/>
      <c r="AO560" s="19"/>
      <c r="AP560" s="19"/>
      <c r="AQ560" s="19"/>
      <c r="AR560" s="19"/>
      <c r="AS560" s="19"/>
      <c r="AT560" s="5"/>
      <c r="AU560" s="5"/>
      <c r="AV560" s="5"/>
      <c r="AW560" s="5"/>
      <c r="AX560" s="5"/>
      <c r="AY560" s="5"/>
      <c r="AZ560" s="5"/>
      <c r="BA560" s="5"/>
      <c r="BB560" s="5"/>
      <c r="BC560" s="5"/>
    </row>
    <row r="561" spans="1:55" ht="78.75" x14ac:dyDescent="0.25">
      <c r="A561" s="713"/>
      <c r="B561" s="696"/>
      <c r="C561" s="696"/>
      <c r="D561" s="384" t="s">
        <v>365</v>
      </c>
      <c r="E561" s="473">
        <v>0</v>
      </c>
      <c r="F561" s="473">
        <v>0</v>
      </c>
      <c r="G561" s="473">
        <v>0</v>
      </c>
      <c r="H561" s="473">
        <f>[1]INVERSIÓN!V107</f>
        <v>0</v>
      </c>
      <c r="I561" s="467"/>
      <c r="J561" s="473">
        <v>0</v>
      </c>
      <c r="K561" s="473">
        <v>0</v>
      </c>
      <c r="L561" s="473">
        <f>[1]INVERSIÓN!AL107</f>
        <v>0</v>
      </c>
      <c r="M561" s="467"/>
      <c r="N561" s="696"/>
      <c r="O561" s="696"/>
      <c r="P561" s="696"/>
      <c r="Q561" s="696"/>
      <c r="R561" s="696"/>
      <c r="S561" s="696"/>
      <c r="T561" s="696"/>
      <c r="U561" s="696"/>
      <c r="V561" s="696"/>
      <c r="W561" s="696"/>
      <c r="X561" s="696"/>
      <c r="Y561" s="699"/>
      <c r="Z561" s="381"/>
      <c r="AA561" s="382">
        <v>14</v>
      </c>
      <c r="AB561" s="382" t="s">
        <v>367</v>
      </c>
      <c r="AC561" s="382"/>
      <c r="AD561" s="382"/>
      <c r="AE561" s="382"/>
      <c r="AF561" s="382" t="s">
        <v>369</v>
      </c>
      <c r="AG561" s="382"/>
      <c r="AH561" s="382"/>
      <c r="AI561" s="382"/>
      <c r="AJ561" s="383"/>
      <c r="AK561" s="171"/>
      <c r="AL561" s="171"/>
      <c r="AM561" s="19"/>
      <c r="AN561" s="19"/>
      <c r="AO561" s="19"/>
      <c r="AP561" s="19"/>
      <c r="AQ561" s="19"/>
      <c r="AR561" s="19"/>
      <c r="AS561" s="19"/>
      <c r="AT561" s="5"/>
      <c r="AU561" s="5"/>
      <c r="AV561" s="5"/>
      <c r="AW561" s="5"/>
      <c r="AX561" s="5"/>
      <c r="AY561" s="5"/>
      <c r="AZ561" s="5"/>
      <c r="BA561" s="5"/>
      <c r="BB561" s="5"/>
      <c r="BC561" s="5"/>
    </row>
    <row r="562" spans="1:55" ht="22.5" x14ac:dyDescent="0.25">
      <c r="A562" s="713"/>
      <c r="B562" s="696"/>
      <c r="C562" s="696"/>
      <c r="D562" s="384" t="s">
        <v>370</v>
      </c>
      <c r="E562" s="407">
        <v>187800001</v>
      </c>
      <c r="F562" s="407">
        <v>187800001</v>
      </c>
      <c r="G562" s="407">
        <v>187800001</v>
      </c>
      <c r="H562" s="407">
        <f>[1]INVERSIÓN!V108</f>
        <v>187800001</v>
      </c>
      <c r="I562" s="390"/>
      <c r="J562" s="407">
        <v>0</v>
      </c>
      <c r="K562" s="407">
        <v>150240000</v>
      </c>
      <c r="L562" s="407">
        <f>[1]INVERSIÓN!AL108</f>
        <v>150240000</v>
      </c>
      <c r="M562" s="390"/>
      <c r="N562" s="696"/>
      <c r="O562" s="696"/>
      <c r="P562" s="696"/>
      <c r="Q562" s="696"/>
      <c r="R562" s="696"/>
      <c r="S562" s="696"/>
      <c r="T562" s="696"/>
      <c r="U562" s="696"/>
      <c r="V562" s="696"/>
      <c r="W562" s="696"/>
      <c r="X562" s="696"/>
      <c r="Y562" s="699"/>
      <c r="Z562" s="381"/>
      <c r="AA562" s="382"/>
      <c r="AB562" s="382"/>
      <c r="AC562" s="382"/>
      <c r="AD562" s="382"/>
      <c r="AE562" s="382"/>
      <c r="AF562" s="382"/>
      <c r="AG562" s="382"/>
      <c r="AH562" s="382"/>
      <c r="AI562" s="382"/>
      <c r="AJ562" s="383"/>
      <c r="AK562" s="171"/>
      <c r="AL562" s="171"/>
      <c r="AM562" s="19"/>
      <c r="AN562" s="19"/>
      <c r="AO562" s="19"/>
      <c r="AP562" s="19"/>
      <c r="AQ562" s="19"/>
      <c r="AR562" s="19"/>
      <c r="AS562" s="19"/>
      <c r="AT562" s="5"/>
      <c r="AU562" s="5"/>
      <c r="AV562" s="5"/>
      <c r="AW562" s="5"/>
      <c r="AX562" s="5"/>
      <c r="AY562" s="5"/>
      <c r="AZ562" s="5"/>
      <c r="BA562" s="5"/>
      <c r="BB562" s="5"/>
      <c r="BC562" s="5"/>
    </row>
    <row r="563" spans="1:55" x14ac:dyDescent="0.25">
      <c r="A563" s="713"/>
      <c r="B563" s="696"/>
      <c r="C563" s="701" t="s">
        <v>417</v>
      </c>
      <c r="D563" s="391" t="s">
        <v>348</v>
      </c>
      <c r="E563" s="457">
        <v>0.6</v>
      </c>
      <c r="F563" s="458">
        <f t="shared" ref="F563:H566" si="62">F559</f>
        <v>0.6</v>
      </c>
      <c r="G563" s="458">
        <f t="shared" si="62"/>
        <v>0.6</v>
      </c>
      <c r="H563" s="458">
        <f t="shared" si="62"/>
        <v>0.6</v>
      </c>
      <c r="I563" s="408"/>
      <c r="J563" s="458">
        <v>0.192</v>
      </c>
      <c r="K563" s="458">
        <v>0.192</v>
      </c>
      <c r="L563" s="458">
        <f t="shared" ref="L563:L565" si="63">L559</f>
        <v>0.4</v>
      </c>
      <c r="M563" s="393"/>
      <c r="N563" s="696"/>
      <c r="O563" s="696"/>
      <c r="P563" s="696"/>
      <c r="Q563" s="696"/>
      <c r="R563" s="696"/>
      <c r="S563" s="696"/>
      <c r="T563" s="696"/>
      <c r="U563" s="696"/>
      <c r="V563" s="696"/>
      <c r="W563" s="696"/>
      <c r="X563" s="696"/>
      <c r="Y563" s="699"/>
      <c r="Z563" s="394"/>
      <c r="AA563" s="395"/>
      <c r="AB563" s="395"/>
      <c r="AC563" s="395"/>
      <c r="AD563" s="395"/>
      <c r="AE563" s="395"/>
      <c r="AF563" s="395"/>
      <c r="AG563" s="395"/>
      <c r="AH563" s="395"/>
      <c r="AI563" s="395"/>
      <c r="AJ563" s="396"/>
      <c r="AK563" s="397"/>
      <c r="AL563" s="397"/>
      <c r="AM563" s="398"/>
      <c r="AN563" s="398"/>
      <c r="AO563" s="398"/>
      <c r="AP563" s="398"/>
      <c r="AQ563" s="398"/>
      <c r="AR563" s="398"/>
      <c r="AS563" s="398"/>
      <c r="AT563" s="398"/>
      <c r="AU563" s="398"/>
      <c r="AV563" s="398"/>
      <c r="AW563" s="398"/>
      <c r="AX563" s="398"/>
      <c r="AY563" s="398"/>
      <c r="AZ563" s="398"/>
      <c r="BA563" s="398"/>
      <c r="BB563" s="398"/>
      <c r="BC563" s="398"/>
    </row>
    <row r="564" spans="1:55" x14ac:dyDescent="0.25">
      <c r="A564" s="713"/>
      <c r="B564" s="696"/>
      <c r="C564" s="696"/>
      <c r="D564" s="399" t="s">
        <v>360</v>
      </c>
      <c r="E564" s="400">
        <v>200000000</v>
      </c>
      <c r="F564" s="423">
        <f t="shared" si="62"/>
        <v>200000000</v>
      </c>
      <c r="G564" s="423">
        <f t="shared" si="62"/>
        <v>200000000</v>
      </c>
      <c r="H564" s="423">
        <f t="shared" si="62"/>
        <v>200000000</v>
      </c>
      <c r="I564" s="423"/>
      <c r="J564" s="423">
        <v>0</v>
      </c>
      <c r="K564" s="423">
        <v>0</v>
      </c>
      <c r="L564" s="423">
        <f t="shared" si="63"/>
        <v>0</v>
      </c>
      <c r="M564" s="393"/>
      <c r="N564" s="696"/>
      <c r="O564" s="696"/>
      <c r="P564" s="696"/>
      <c r="Q564" s="696"/>
      <c r="R564" s="696"/>
      <c r="S564" s="696"/>
      <c r="T564" s="696"/>
      <c r="U564" s="696"/>
      <c r="V564" s="696"/>
      <c r="W564" s="696"/>
      <c r="X564" s="696"/>
      <c r="Y564" s="699"/>
      <c r="Z564" s="394"/>
      <c r="AA564" s="395"/>
      <c r="AB564" s="395"/>
      <c r="AC564" s="395"/>
      <c r="AD564" s="395"/>
      <c r="AE564" s="395"/>
      <c r="AF564" s="395"/>
      <c r="AG564" s="395"/>
      <c r="AH564" s="395"/>
      <c r="AI564" s="395"/>
      <c r="AJ564" s="396"/>
      <c r="AK564" s="397"/>
      <c r="AL564" s="397"/>
      <c r="AM564" s="398"/>
      <c r="AN564" s="398"/>
      <c r="AO564" s="398"/>
      <c r="AP564" s="398"/>
      <c r="AQ564" s="398"/>
      <c r="AR564" s="398"/>
      <c r="AS564" s="398"/>
      <c r="AT564" s="398"/>
      <c r="AU564" s="398"/>
      <c r="AV564" s="398"/>
      <c r="AW564" s="398"/>
      <c r="AX564" s="398"/>
      <c r="AY564" s="398"/>
      <c r="AZ564" s="398"/>
      <c r="BA564" s="398"/>
      <c r="BB564" s="398"/>
      <c r="BC564" s="398"/>
    </row>
    <row r="565" spans="1:55" ht="22.5" x14ac:dyDescent="0.25">
      <c r="A565" s="713"/>
      <c r="B565" s="696"/>
      <c r="C565" s="696"/>
      <c r="D565" s="399" t="s">
        <v>365</v>
      </c>
      <c r="E565" s="457">
        <v>0</v>
      </c>
      <c r="F565" s="458">
        <f t="shared" si="62"/>
        <v>0</v>
      </c>
      <c r="G565" s="458">
        <f t="shared" si="62"/>
        <v>0</v>
      </c>
      <c r="H565" s="458">
        <f t="shared" si="62"/>
        <v>0</v>
      </c>
      <c r="I565" s="458"/>
      <c r="J565" s="458">
        <v>0</v>
      </c>
      <c r="K565" s="458">
        <v>0</v>
      </c>
      <c r="L565" s="458">
        <f t="shared" si="63"/>
        <v>0</v>
      </c>
      <c r="M565" s="393"/>
      <c r="N565" s="696"/>
      <c r="O565" s="696"/>
      <c r="P565" s="696"/>
      <c r="Q565" s="696"/>
      <c r="R565" s="696"/>
      <c r="S565" s="696"/>
      <c r="T565" s="696"/>
      <c r="U565" s="696"/>
      <c r="V565" s="696"/>
      <c r="W565" s="696"/>
      <c r="X565" s="696"/>
      <c r="Y565" s="699"/>
      <c r="Z565" s="394"/>
      <c r="AA565" s="395"/>
      <c r="AB565" s="395"/>
      <c r="AC565" s="395"/>
      <c r="AD565" s="395"/>
      <c r="AE565" s="395"/>
      <c r="AF565" s="395"/>
      <c r="AG565" s="395"/>
      <c r="AH565" s="395"/>
      <c r="AI565" s="395"/>
      <c r="AJ565" s="396"/>
      <c r="AK565" s="397"/>
      <c r="AL565" s="397"/>
      <c r="AM565" s="398"/>
      <c r="AN565" s="398"/>
      <c r="AO565" s="398"/>
      <c r="AP565" s="398"/>
      <c r="AQ565" s="398"/>
      <c r="AR565" s="398"/>
      <c r="AS565" s="398"/>
      <c r="AT565" s="398"/>
      <c r="AU565" s="398"/>
      <c r="AV565" s="398"/>
      <c r="AW565" s="398"/>
      <c r="AX565" s="398"/>
      <c r="AY565" s="398"/>
      <c r="AZ565" s="398"/>
      <c r="BA565" s="398"/>
      <c r="BB565" s="398"/>
      <c r="BC565" s="398"/>
    </row>
    <row r="566" spans="1:55" ht="23.25" thickBot="1" x14ac:dyDescent="0.3">
      <c r="A566" s="714"/>
      <c r="B566" s="697"/>
      <c r="C566" s="697"/>
      <c r="D566" s="402" t="s">
        <v>370</v>
      </c>
      <c r="E566" s="403">
        <v>187800001</v>
      </c>
      <c r="F566" s="425">
        <f t="shared" si="62"/>
        <v>187800001</v>
      </c>
      <c r="G566" s="425">
        <f t="shared" si="62"/>
        <v>187800001</v>
      </c>
      <c r="H566" s="425">
        <f t="shared" si="62"/>
        <v>187800001</v>
      </c>
      <c r="I566" s="425"/>
      <c r="J566" s="425">
        <v>0</v>
      </c>
      <c r="K566" s="425">
        <f t="shared" ref="K566:L566" si="64">K562</f>
        <v>150240000</v>
      </c>
      <c r="L566" s="425">
        <f t="shared" si="64"/>
        <v>150240000</v>
      </c>
      <c r="M566" s="404"/>
      <c r="N566" s="697"/>
      <c r="O566" s="697"/>
      <c r="P566" s="697"/>
      <c r="Q566" s="697"/>
      <c r="R566" s="697"/>
      <c r="S566" s="697"/>
      <c r="T566" s="697"/>
      <c r="U566" s="697"/>
      <c r="V566" s="697"/>
      <c r="W566" s="697"/>
      <c r="X566" s="697"/>
      <c r="Y566" s="700"/>
      <c r="Z566" s="394"/>
      <c r="AA566" s="395"/>
      <c r="AB566" s="395"/>
      <c r="AC566" s="395"/>
      <c r="AD566" s="395"/>
      <c r="AE566" s="395"/>
      <c r="AF566" s="395"/>
      <c r="AG566" s="395"/>
      <c r="AH566" s="395"/>
      <c r="AI566" s="395"/>
      <c r="AJ566" s="396"/>
      <c r="AK566" s="397"/>
      <c r="AL566" s="397"/>
      <c r="AM566" s="398"/>
      <c r="AN566" s="398"/>
      <c r="AO566" s="398"/>
      <c r="AP566" s="398"/>
      <c r="AQ566" s="398"/>
      <c r="AR566" s="398"/>
      <c r="AS566" s="398"/>
      <c r="AT566" s="398"/>
      <c r="AU566" s="398"/>
      <c r="AV566" s="398"/>
      <c r="AW566" s="398"/>
      <c r="AX566" s="398"/>
      <c r="AY566" s="398"/>
      <c r="AZ566" s="398"/>
      <c r="BA566" s="398"/>
      <c r="BB566" s="398"/>
      <c r="BC566" s="398"/>
    </row>
    <row r="567" spans="1:55" ht="22.5" x14ac:dyDescent="0.25">
      <c r="A567" s="712">
        <v>18</v>
      </c>
      <c r="B567" s="710" t="s">
        <v>275</v>
      </c>
      <c r="C567" s="710" t="s">
        <v>532</v>
      </c>
      <c r="D567" s="405" t="s">
        <v>348</v>
      </c>
      <c r="E567" s="454">
        <v>1</v>
      </c>
      <c r="F567" s="454">
        <v>1</v>
      </c>
      <c r="G567" s="454">
        <v>1</v>
      </c>
      <c r="H567" s="454">
        <f>[1]INVERSIÓN!V111</f>
        <v>1</v>
      </c>
      <c r="I567" s="455"/>
      <c r="J567" s="454">
        <v>0.1298</v>
      </c>
      <c r="K567" s="454">
        <v>0.55840000000000001</v>
      </c>
      <c r="L567" s="454">
        <f>[1]INVERSIÓN!AL111</f>
        <v>0.8831</v>
      </c>
      <c r="M567" s="455"/>
      <c r="N567" s="710" t="s">
        <v>349</v>
      </c>
      <c r="O567" s="710" t="s">
        <v>104</v>
      </c>
      <c r="P567" s="710" t="s">
        <v>104</v>
      </c>
      <c r="Q567" s="710" t="s">
        <v>104</v>
      </c>
      <c r="R567" s="716" t="s">
        <v>353</v>
      </c>
      <c r="S567" s="695">
        <v>8185614</v>
      </c>
      <c r="T567" s="711"/>
      <c r="U567" s="695" t="s">
        <v>354</v>
      </c>
      <c r="V567" s="695" t="s">
        <v>355</v>
      </c>
      <c r="W567" s="695" t="s">
        <v>356</v>
      </c>
      <c r="X567" s="695" t="s">
        <v>357</v>
      </c>
      <c r="Y567" s="698">
        <v>8185614</v>
      </c>
      <c r="Z567" s="381"/>
      <c r="AA567" s="382">
        <v>12</v>
      </c>
      <c r="AB567" s="382" t="s">
        <v>358</v>
      </c>
      <c r="AC567" s="382"/>
      <c r="AD567" s="382"/>
      <c r="AE567" s="382"/>
      <c r="AF567" s="382" t="s">
        <v>359</v>
      </c>
      <c r="AG567" s="382"/>
      <c r="AH567" s="382"/>
      <c r="AI567" s="382"/>
      <c r="AJ567" s="383"/>
      <c r="AK567" s="171"/>
      <c r="AL567" s="171"/>
      <c r="AM567" s="19"/>
      <c r="AN567" s="19"/>
      <c r="AO567" s="19"/>
      <c r="AP567" s="19"/>
      <c r="AQ567" s="19"/>
      <c r="AR567" s="19"/>
      <c r="AS567" s="19"/>
      <c r="AT567" s="5"/>
      <c r="AU567" s="5"/>
      <c r="AV567" s="5"/>
      <c r="AW567" s="5"/>
      <c r="AX567" s="5"/>
      <c r="AY567" s="5"/>
      <c r="AZ567" s="5"/>
      <c r="BA567" s="5"/>
      <c r="BB567" s="5"/>
      <c r="BC567" s="5"/>
    </row>
    <row r="568" spans="1:55" ht="45" x14ac:dyDescent="0.25">
      <c r="A568" s="713"/>
      <c r="B568" s="696"/>
      <c r="C568" s="696"/>
      <c r="D568" s="384" t="s">
        <v>360</v>
      </c>
      <c r="E568" s="427">
        <v>258611885</v>
      </c>
      <c r="F568" s="427">
        <v>258611885</v>
      </c>
      <c r="G568" s="427">
        <v>258611885</v>
      </c>
      <c r="H568" s="427">
        <f>[1]INVERSIÓN!V112</f>
        <v>258611885</v>
      </c>
      <c r="I568" s="441"/>
      <c r="J568" s="427">
        <v>206069500</v>
      </c>
      <c r="K568" s="427">
        <v>206069500</v>
      </c>
      <c r="L568" s="427">
        <f>[1]INVERSIÓN!AL112</f>
        <v>257727500</v>
      </c>
      <c r="M568" s="441"/>
      <c r="N568" s="696"/>
      <c r="O568" s="696"/>
      <c r="P568" s="696"/>
      <c r="Q568" s="696"/>
      <c r="R568" s="696"/>
      <c r="S568" s="696"/>
      <c r="T568" s="696"/>
      <c r="U568" s="696"/>
      <c r="V568" s="696"/>
      <c r="W568" s="696"/>
      <c r="X568" s="696"/>
      <c r="Y568" s="699"/>
      <c r="Z568" s="381"/>
      <c r="AA568" s="382">
        <v>13</v>
      </c>
      <c r="AB568" s="382" t="s">
        <v>363</v>
      </c>
      <c r="AC568" s="382"/>
      <c r="AD568" s="382"/>
      <c r="AE568" s="382"/>
      <c r="AF568" s="382" t="s">
        <v>364</v>
      </c>
      <c r="AG568" s="382"/>
      <c r="AH568" s="382"/>
      <c r="AI568" s="382"/>
      <c r="AJ568" s="383"/>
      <c r="AK568" s="171"/>
      <c r="AL568" s="171"/>
      <c r="AM568" s="19"/>
      <c r="AN568" s="19"/>
      <c r="AO568" s="19"/>
      <c r="AP568" s="19"/>
      <c r="AQ568" s="19"/>
      <c r="AR568" s="19"/>
      <c r="AS568" s="19"/>
      <c r="AT568" s="5"/>
      <c r="AU568" s="5"/>
      <c r="AV568" s="5"/>
      <c r="AW568" s="5"/>
      <c r="AX568" s="5"/>
      <c r="AY568" s="5"/>
      <c r="AZ568" s="5"/>
      <c r="BA568" s="5"/>
      <c r="BB568" s="5"/>
      <c r="BC568" s="5"/>
    </row>
    <row r="569" spans="1:55" ht="78.75" x14ac:dyDescent="0.25">
      <c r="A569" s="713"/>
      <c r="B569" s="696"/>
      <c r="C569" s="696"/>
      <c r="D569" s="384" t="s">
        <v>365</v>
      </c>
      <c r="E569" s="456">
        <v>0</v>
      </c>
      <c r="F569" s="456">
        <v>0</v>
      </c>
      <c r="G569" s="456">
        <v>0</v>
      </c>
      <c r="H569" s="456">
        <f>[1]INVERSIÓN!V113</f>
        <v>0</v>
      </c>
      <c r="I569" s="467"/>
      <c r="J569" s="456">
        <v>0</v>
      </c>
      <c r="K569" s="456">
        <v>0</v>
      </c>
      <c r="L569" s="456">
        <f>[1]INVERSIÓN!AL113</f>
        <v>0</v>
      </c>
      <c r="M569" s="467"/>
      <c r="N569" s="696"/>
      <c r="O569" s="696"/>
      <c r="P569" s="696"/>
      <c r="Q569" s="696"/>
      <c r="R569" s="696"/>
      <c r="S569" s="696"/>
      <c r="T569" s="696"/>
      <c r="U569" s="696"/>
      <c r="V569" s="696"/>
      <c r="W569" s="696"/>
      <c r="X569" s="696"/>
      <c r="Y569" s="699"/>
      <c r="Z569" s="381"/>
      <c r="AA569" s="382">
        <v>14</v>
      </c>
      <c r="AB569" s="382" t="s">
        <v>367</v>
      </c>
      <c r="AC569" s="382"/>
      <c r="AD569" s="382"/>
      <c r="AE569" s="382"/>
      <c r="AF569" s="382" t="s">
        <v>369</v>
      </c>
      <c r="AG569" s="382"/>
      <c r="AH569" s="382"/>
      <c r="AI569" s="382"/>
      <c r="AJ569" s="383"/>
      <c r="AK569" s="171"/>
      <c r="AL569" s="171"/>
      <c r="AM569" s="19"/>
      <c r="AN569" s="19"/>
      <c r="AO569" s="19"/>
      <c r="AP569" s="19"/>
      <c r="AQ569" s="19"/>
      <c r="AR569" s="19"/>
      <c r="AS569" s="19"/>
      <c r="AT569" s="5"/>
      <c r="AU569" s="5"/>
      <c r="AV569" s="5"/>
      <c r="AW569" s="5"/>
      <c r="AX569" s="5"/>
      <c r="AY569" s="5"/>
      <c r="AZ569" s="5"/>
      <c r="BA569" s="5"/>
      <c r="BB569" s="5"/>
      <c r="BC569" s="5"/>
    </row>
    <row r="570" spans="1:55" ht="22.5" x14ac:dyDescent="0.25">
      <c r="A570" s="713"/>
      <c r="B570" s="696"/>
      <c r="C570" s="696"/>
      <c r="D570" s="384" t="s">
        <v>370</v>
      </c>
      <c r="E570" s="407">
        <v>49563271</v>
      </c>
      <c r="F570" s="407">
        <v>49563271</v>
      </c>
      <c r="G570" s="407">
        <v>49563271</v>
      </c>
      <c r="H570" s="407">
        <f>[1]INVERSIÓN!V114</f>
        <v>49563271</v>
      </c>
      <c r="I570" s="390"/>
      <c r="J570" s="407">
        <v>24284267</v>
      </c>
      <c r="K570" s="407">
        <v>40581267</v>
      </c>
      <c r="L570" s="407">
        <f>[1]INVERSIÓN!AL114</f>
        <v>47114134</v>
      </c>
      <c r="M570" s="390"/>
      <c r="N570" s="696"/>
      <c r="O570" s="696"/>
      <c r="P570" s="696"/>
      <c r="Q570" s="696"/>
      <c r="R570" s="696"/>
      <c r="S570" s="696"/>
      <c r="T570" s="696"/>
      <c r="U570" s="696"/>
      <c r="V570" s="696"/>
      <c r="W570" s="696"/>
      <c r="X570" s="696"/>
      <c r="Y570" s="699"/>
      <c r="Z570" s="381"/>
      <c r="AA570" s="382"/>
      <c r="AB570" s="382"/>
      <c r="AC570" s="382"/>
      <c r="AD570" s="382"/>
      <c r="AE570" s="382"/>
      <c r="AF570" s="382"/>
      <c r="AG570" s="382"/>
      <c r="AH570" s="382"/>
      <c r="AI570" s="382"/>
      <c r="AJ570" s="383"/>
      <c r="AK570" s="171"/>
      <c r="AL570" s="171"/>
      <c r="AM570" s="19"/>
      <c r="AN570" s="19"/>
      <c r="AO570" s="19"/>
      <c r="AP570" s="19"/>
      <c r="AQ570" s="19"/>
      <c r="AR570" s="19"/>
      <c r="AS570" s="19"/>
      <c r="AT570" s="5"/>
      <c r="AU570" s="5"/>
      <c r="AV570" s="5"/>
      <c r="AW570" s="5"/>
      <c r="AX570" s="5"/>
      <c r="AY570" s="5"/>
      <c r="AZ570" s="5"/>
      <c r="BA570" s="5"/>
      <c r="BB570" s="5"/>
      <c r="BC570" s="5"/>
    </row>
    <row r="571" spans="1:55" x14ac:dyDescent="0.25">
      <c r="A571" s="713"/>
      <c r="B571" s="696"/>
      <c r="C571" s="701" t="s">
        <v>417</v>
      </c>
      <c r="D571" s="391" t="s">
        <v>348</v>
      </c>
      <c r="E571" s="457">
        <v>1</v>
      </c>
      <c r="F571" s="458">
        <v>1</v>
      </c>
      <c r="G571" s="458">
        <v>1</v>
      </c>
      <c r="H571" s="458">
        <f t="shared" ref="H571:H574" si="65">H567</f>
        <v>1</v>
      </c>
      <c r="I571" s="408"/>
      <c r="J571" s="458">
        <f t="shared" ref="J571:L574" si="66">J567</f>
        <v>0.1298</v>
      </c>
      <c r="K571" s="458">
        <f t="shared" si="66"/>
        <v>0.55840000000000001</v>
      </c>
      <c r="L571" s="458">
        <f t="shared" si="66"/>
        <v>0.8831</v>
      </c>
      <c r="M571" s="393"/>
      <c r="N571" s="696"/>
      <c r="O571" s="696"/>
      <c r="P571" s="696"/>
      <c r="Q571" s="696"/>
      <c r="R571" s="696"/>
      <c r="S571" s="696"/>
      <c r="T571" s="696"/>
      <c r="U571" s="696"/>
      <c r="V571" s="696"/>
      <c r="W571" s="696"/>
      <c r="X571" s="696"/>
      <c r="Y571" s="699"/>
      <c r="Z571" s="394"/>
      <c r="AA571" s="395"/>
      <c r="AB571" s="395"/>
      <c r="AC571" s="395"/>
      <c r="AD571" s="395"/>
      <c r="AE571" s="395"/>
      <c r="AF571" s="395"/>
      <c r="AG571" s="395"/>
      <c r="AH571" s="395"/>
      <c r="AI571" s="395"/>
      <c r="AJ571" s="396"/>
      <c r="AK571" s="397"/>
      <c r="AL571" s="397"/>
      <c r="AM571" s="398"/>
      <c r="AN571" s="398"/>
      <c r="AO571" s="398"/>
      <c r="AP571" s="398"/>
      <c r="AQ571" s="398"/>
      <c r="AR571" s="398"/>
      <c r="AS571" s="398"/>
      <c r="AT571" s="398"/>
      <c r="AU571" s="398"/>
      <c r="AV571" s="398"/>
      <c r="AW571" s="398"/>
      <c r="AX571" s="398"/>
      <c r="AY571" s="398"/>
      <c r="AZ571" s="398"/>
      <c r="BA571" s="398"/>
      <c r="BB571" s="398"/>
      <c r="BC571" s="398"/>
    </row>
    <row r="572" spans="1:55" x14ac:dyDescent="0.25">
      <c r="A572" s="713"/>
      <c r="B572" s="696"/>
      <c r="C572" s="696"/>
      <c r="D572" s="399" t="s">
        <v>360</v>
      </c>
      <c r="E572" s="400">
        <v>258611885</v>
      </c>
      <c r="F572" s="423">
        <v>258611885</v>
      </c>
      <c r="G572" s="423">
        <v>258611885</v>
      </c>
      <c r="H572" s="423">
        <f t="shared" si="65"/>
        <v>258611885</v>
      </c>
      <c r="I572" s="423"/>
      <c r="J572" s="423">
        <f t="shared" si="66"/>
        <v>206069500</v>
      </c>
      <c r="K572" s="423">
        <f t="shared" si="66"/>
        <v>206069500</v>
      </c>
      <c r="L572" s="423">
        <f t="shared" si="66"/>
        <v>257727500</v>
      </c>
      <c r="M572" s="393"/>
      <c r="N572" s="696"/>
      <c r="O572" s="696"/>
      <c r="P572" s="696"/>
      <c r="Q572" s="696"/>
      <c r="R572" s="696"/>
      <c r="S572" s="696"/>
      <c r="T572" s="696"/>
      <c r="U572" s="696"/>
      <c r="V572" s="696"/>
      <c r="W572" s="696"/>
      <c r="X572" s="696"/>
      <c r="Y572" s="699"/>
      <c r="Z572" s="394"/>
      <c r="AA572" s="395"/>
      <c r="AB572" s="395"/>
      <c r="AC572" s="395"/>
      <c r="AD572" s="395"/>
      <c r="AE572" s="395"/>
      <c r="AF572" s="395"/>
      <c r="AG572" s="395"/>
      <c r="AH572" s="395"/>
      <c r="AI572" s="395"/>
      <c r="AJ572" s="396"/>
      <c r="AK572" s="397"/>
      <c r="AL572" s="397"/>
      <c r="AM572" s="398"/>
      <c r="AN572" s="398"/>
      <c r="AO572" s="398"/>
      <c r="AP572" s="398"/>
      <c r="AQ572" s="398"/>
      <c r="AR572" s="398"/>
      <c r="AS572" s="398"/>
      <c r="AT572" s="398"/>
      <c r="AU572" s="398"/>
      <c r="AV572" s="398"/>
      <c r="AW572" s="398"/>
      <c r="AX572" s="398"/>
      <c r="AY572" s="398"/>
      <c r="AZ572" s="398"/>
      <c r="BA572" s="398"/>
      <c r="BB572" s="398"/>
      <c r="BC572" s="398"/>
    </row>
    <row r="573" spans="1:55" ht="22.5" x14ac:dyDescent="0.25">
      <c r="A573" s="713"/>
      <c r="B573" s="696"/>
      <c r="C573" s="696"/>
      <c r="D573" s="399" t="s">
        <v>365</v>
      </c>
      <c r="E573" s="457">
        <v>0</v>
      </c>
      <c r="F573" s="458">
        <v>0</v>
      </c>
      <c r="G573" s="458">
        <v>0</v>
      </c>
      <c r="H573" s="458">
        <f t="shared" si="65"/>
        <v>0</v>
      </c>
      <c r="I573" s="458"/>
      <c r="J573" s="458">
        <f t="shared" si="66"/>
        <v>0</v>
      </c>
      <c r="K573" s="458">
        <f t="shared" si="66"/>
        <v>0</v>
      </c>
      <c r="L573" s="458">
        <f t="shared" si="66"/>
        <v>0</v>
      </c>
      <c r="M573" s="393"/>
      <c r="N573" s="696"/>
      <c r="O573" s="696"/>
      <c r="P573" s="696"/>
      <c r="Q573" s="696"/>
      <c r="R573" s="696"/>
      <c r="S573" s="696"/>
      <c r="T573" s="696"/>
      <c r="U573" s="696"/>
      <c r="V573" s="696"/>
      <c r="W573" s="696"/>
      <c r="X573" s="696"/>
      <c r="Y573" s="699"/>
      <c r="Z573" s="394"/>
      <c r="AA573" s="395"/>
      <c r="AB573" s="395"/>
      <c r="AC573" s="395"/>
      <c r="AD573" s="395"/>
      <c r="AE573" s="395"/>
      <c r="AF573" s="395"/>
      <c r="AG573" s="395"/>
      <c r="AH573" s="395"/>
      <c r="AI573" s="395"/>
      <c r="AJ573" s="396"/>
      <c r="AK573" s="397"/>
      <c r="AL573" s="397"/>
      <c r="AM573" s="398"/>
      <c r="AN573" s="398"/>
      <c r="AO573" s="398"/>
      <c r="AP573" s="398"/>
      <c r="AQ573" s="398"/>
      <c r="AR573" s="398"/>
      <c r="AS573" s="398"/>
      <c r="AT573" s="398"/>
      <c r="AU573" s="398"/>
      <c r="AV573" s="398"/>
      <c r="AW573" s="398"/>
      <c r="AX573" s="398"/>
      <c r="AY573" s="398"/>
      <c r="AZ573" s="398"/>
      <c r="BA573" s="398"/>
      <c r="BB573" s="398"/>
      <c r="BC573" s="398"/>
    </row>
    <row r="574" spans="1:55" ht="23.25" thickBot="1" x14ac:dyDescent="0.3">
      <c r="A574" s="714"/>
      <c r="B574" s="697"/>
      <c r="C574" s="697"/>
      <c r="D574" s="402" t="s">
        <v>370</v>
      </c>
      <c r="E574" s="403">
        <v>49563271</v>
      </c>
      <c r="F574" s="425">
        <v>49563271</v>
      </c>
      <c r="G574" s="425">
        <v>49563271</v>
      </c>
      <c r="H574" s="425">
        <f t="shared" si="65"/>
        <v>49563271</v>
      </c>
      <c r="I574" s="425"/>
      <c r="J574" s="425">
        <f t="shared" si="66"/>
        <v>24284267</v>
      </c>
      <c r="K574" s="425">
        <f t="shared" si="66"/>
        <v>40581267</v>
      </c>
      <c r="L574" s="425">
        <f t="shared" si="66"/>
        <v>47114134</v>
      </c>
      <c r="M574" s="404"/>
      <c r="N574" s="697"/>
      <c r="O574" s="697"/>
      <c r="P574" s="697"/>
      <c r="Q574" s="697"/>
      <c r="R574" s="697"/>
      <c r="S574" s="697"/>
      <c r="T574" s="697"/>
      <c r="U574" s="697"/>
      <c r="V574" s="697"/>
      <c r="W574" s="697"/>
      <c r="X574" s="697"/>
      <c r="Y574" s="700"/>
      <c r="Z574" s="394"/>
      <c r="AA574" s="395"/>
      <c r="AB574" s="395"/>
      <c r="AC574" s="395"/>
      <c r="AD574" s="395"/>
      <c r="AE574" s="395"/>
      <c r="AF574" s="395"/>
      <c r="AG574" s="395"/>
      <c r="AH574" s="395"/>
      <c r="AI574" s="395"/>
      <c r="AJ574" s="396"/>
      <c r="AK574" s="397"/>
      <c r="AL574" s="397"/>
      <c r="AM574" s="398"/>
      <c r="AN574" s="398"/>
      <c r="AO574" s="398"/>
      <c r="AP574" s="398"/>
      <c r="AQ574" s="398"/>
      <c r="AR574" s="398"/>
      <c r="AS574" s="398"/>
      <c r="AT574" s="398"/>
      <c r="AU574" s="398"/>
      <c r="AV574" s="398"/>
      <c r="AW574" s="398"/>
      <c r="AX574" s="398"/>
      <c r="AY574" s="398"/>
      <c r="AZ574" s="398"/>
      <c r="BA574" s="398"/>
      <c r="BB574" s="398"/>
      <c r="BC574" s="398"/>
    </row>
    <row r="575" spans="1:55" ht="22.5" x14ac:dyDescent="0.25">
      <c r="A575" s="712">
        <v>19</v>
      </c>
      <c r="B575" s="710" t="s">
        <v>533</v>
      </c>
      <c r="C575" s="710" t="s">
        <v>534</v>
      </c>
      <c r="D575" s="405" t="s">
        <v>348</v>
      </c>
      <c r="E575" s="474">
        <v>120000</v>
      </c>
      <c r="F575" s="474">
        <v>120000</v>
      </c>
      <c r="G575" s="474">
        <v>120000</v>
      </c>
      <c r="H575" s="474">
        <f>[1]INVERSIÓN!V117</f>
        <v>150000</v>
      </c>
      <c r="I575" s="380"/>
      <c r="J575" s="475">
        <v>57895.67</v>
      </c>
      <c r="K575" s="475">
        <v>100955.68</v>
      </c>
      <c r="L575" s="474">
        <f>[1]INVERSIÓN!AL117</f>
        <v>145760.18</v>
      </c>
      <c r="M575" s="476"/>
      <c r="N575" s="710" t="s">
        <v>349</v>
      </c>
      <c r="O575" s="710" t="s">
        <v>104</v>
      </c>
      <c r="P575" s="710" t="s">
        <v>104</v>
      </c>
      <c r="Q575" s="710" t="s">
        <v>104</v>
      </c>
      <c r="R575" s="716" t="s">
        <v>353</v>
      </c>
      <c r="S575" s="695">
        <v>8185614</v>
      </c>
      <c r="T575" s="711"/>
      <c r="U575" s="695" t="s">
        <v>354</v>
      </c>
      <c r="V575" s="695" t="s">
        <v>355</v>
      </c>
      <c r="W575" s="695" t="s">
        <v>356</v>
      </c>
      <c r="X575" s="695" t="s">
        <v>357</v>
      </c>
      <c r="Y575" s="698">
        <v>8185614</v>
      </c>
      <c r="Z575" s="381"/>
      <c r="AA575" s="382">
        <v>12</v>
      </c>
      <c r="AB575" s="382" t="s">
        <v>358</v>
      </c>
      <c r="AC575" s="382"/>
      <c r="AD575" s="382"/>
      <c r="AE575" s="382"/>
      <c r="AF575" s="382" t="s">
        <v>359</v>
      </c>
      <c r="AG575" s="382"/>
      <c r="AH575" s="382"/>
      <c r="AI575" s="382"/>
      <c r="AJ575" s="383"/>
      <c r="AK575" s="171"/>
      <c r="AL575" s="171"/>
      <c r="AM575" s="19"/>
      <c r="AN575" s="19"/>
      <c r="AO575" s="19"/>
      <c r="AP575" s="19"/>
      <c r="AQ575" s="19"/>
      <c r="AR575" s="19"/>
      <c r="AS575" s="19"/>
      <c r="AT575" s="5"/>
      <c r="AU575" s="5"/>
      <c r="AV575" s="5"/>
      <c r="AW575" s="5"/>
      <c r="AX575" s="5"/>
      <c r="AY575" s="5"/>
      <c r="AZ575" s="5"/>
      <c r="BA575" s="5"/>
      <c r="BB575" s="5"/>
      <c r="BC575" s="5"/>
    </row>
    <row r="576" spans="1:55" ht="45" x14ac:dyDescent="0.25">
      <c r="A576" s="713"/>
      <c r="B576" s="696"/>
      <c r="C576" s="696"/>
      <c r="D576" s="384" t="s">
        <v>360</v>
      </c>
      <c r="E576" s="427">
        <v>165000000</v>
      </c>
      <c r="F576" s="427">
        <v>165000000</v>
      </c>
      <c r="G576" s="427">
        <v>165000000</v>
      </c>
      <c r="H576" s="427">
        <f>[1]INVERSIÓN!V118</f>
        <v>165000000</v>
      </c>
      <c r="I576" s="390"/>
      <c r="J576" s="427">
        <v>114433000</v>
      </c>
      <c r="K576" s="427">
        <v>114433000</v>
      </c>
      <c r="L576" s="427">
        <f>[1]INVERSIÓN!AL118</f>
        <v>114433000</v>
      </c>
      <c r="M576" s="443"/>
      <c r="N576" s="696"/>
      <c r="O576" s="696"/>
      <c r="P576" s="696"/>
      <c r="Q576" s="696"/>
      <c r="R576" s="696"/>
      <c r="S576" s="696"/>
      <c r="T576" s="696"/>
      <c r="U576" s="696"/>
      <c r="V576" s="696"/>
      <c r="W576" s="696"/>
      <c r="X576" s="696"/>
      <c r="Y576" s="699"/>
      <c r="Z576" s="381"/>
      <c r="AA576" s="382">
        <v>13</v>
      </c>
      <c r="AB576" s="382" t="s">
        <v>363</v>
      </c>
      <c r="AC576" s="382"/>
      <c r="AD576" s="382"/>
      <c r="AE576" s="382"/>
      <c r="AF576" s="382" t="s">
        <v>364</v>
      </c>
      <c r="AG576" s="382"/>
      <c r="AH576" s="382"/>
      <c r="AI576" s="382"/>
      <c r="AJ576" s="383"/>
      <c r="AK576" s="171"/>
      <c r="AL576" s="171"/>
      <c r="AM576" s="19"/>
      <c r="AN576" s="19"/>
      <c r="AO576" s="19"/>
      <c r="AP576" s="19"/>
      <c r="AQ576" s="19"/>
      <c r="AR576" s="19"/>
      <c r="AS576" s="19"/>
      <c r="AT576" s="5"/>
      <c r="AU576" s="5"/>
      <c r="AV576" s="5"/>
      <c r="AW576" s="5"/>
      <c r="AX576" s="5"/>
      <c r="AY576" s="5"/>
      <c r="AZ576" s="5"/>
      <c r="BA576" s="5"/>
      <c r="BB576" s="5"/>
      <c r="BC576" s="5"/>
    </row>
    <row r="577" spans="1:55" ht="78.75" x14ac:dyDescent="0.25">
      <c r="A577" s="713"/>
      <c r="B577" s="696"/>
      <c r="C577" s="696"/>
      <c r="D577" s="384" t="s">
        <v>365</v>
      </c>
      <c r="E577" s="477">
        <v>0</v>
      </c>
      <c r="F577" s="477">
        <v>0</v>
      </c>
      <c r="G577" s="477">
        <v>0</v>
      </c>
      <c r="H577" s="477">
        <f>[1]INVERSIÓN!V119</f>
        <v>0</v>
      </c>
      <c r="I577" s="390"/>
      <c r="J577" s="477">
        <v>0</v>
      </c>
      <c r="K577" s="477">
        <v>0</v>
      </c>
      <c r="L577" s="477">
        <f>[1]INVERSIÓN!AL119</f>
        <v>0</v>
      </c>
      <c r="M577" s="386"/>
      <c r="N577" s="696"/>
      <c r="O577" s="696"/>
      <c r="P577" s="696"/>
      <c r="Q577" s="696"/>
      <c r="R577" s="696"/>
      <c r="S577" s="696"/>
      <c r="T577" s="696"/>
      <c r="U577" s="696"/>
      <c r="V577" s="696"/>
      <c r="W577" s="696"/>
      <c r="X577" s="696"/>
      <c r="Y577" s="699"/>
      <c r="Z577" s="381"/>
      <c r="AA577" s="382">
        <v>14</v>
      </c>
      <c r="AB577" s="382" t="s">
        <v>367</v>
      </c>
      <c r="AC577" s="382"/>
      <c r="AD577" s="382"/>
      <c r="AE577" s="382"/>
      <c r="AF577" s="382" t="s">
        <v>369</v>
      </c>
      <c r="AG577" s="382"/>
      <c r="AH577" s="382"/>
      <c r="AI577" s="382"/>
      <c r="AJ577" s="383"/>
      <c r="AK577" s="171"/>
      <c r="AL577" s="171"/>
      <c r="AM577" s="19"/>
      <c r="AN577" s="19"/>
      <c r="AO577" s="19"/>
      <c r="AP577" s="19"/>
      <c r="AQ577" s="19"/>
      <c r="AR577" s="19"/>
      <c r="AS577" s="19"/>
      <c r="AT577" s="5"/>
      <c r="AU577" s="5"/>
      <c r="AV577" s="5"/>
      <c r="AW577" s="5"/>
      <c r="AX577" s="5"/>
      <c r="AY577" s="5"/>
      <c r="AZ577" s="5"/>
      <c r="BA577" s="5"/>
      <c r="BB577" s="5"/>
      <c r="BC577" s="5"/>
    </row>
    <row r="578" spans="1:55" ht="22.5" x14ac:dyDescent="0.25">
      <c r="A578" s="713"/>
      <c r="B578" s="696"/>
      <c r="C578" s="696"/>
      <c r="D578" s="384" t="s">
        <v>370</v>
      </c>
      <c r="E578" s="407">
        <v>19124500</v>
      </c>
      <c r="F578" s="407">
        <v>19124500</v>
      </c>
      <c r="G578" s="407">
        <v>19124500</v>
      </c>
      <c r="H578" s="407">
        <f>[1]INVERSIÓN!V120</f>
        <v>10070000</v>
      </c>
      <c r="I578" s="390"/>
      <c r="J578" s="407">
        <v>7085000</v>
      </c>
      <c r="K578" s="407">
        <v>10070000</v>
      </c>
      <c r="L578" s="407">
        <f>[1]INVERSIÓN!AL120</f>
        <v>10070000</v>
      </c>
      <c r="M578" s="390"/>
      <c r="N578" s="696"/>
      <c r="O578" s="696"/>
      <c r="P578" s="696"/>
      <c r="Q578" s="696"/>
      <c r="R578" s="696"/>
      <c r="S578" s="696"/>
      <c r="T578" s="696"/>
      <c r="U578" s="696"/>
      <c r="V578" s="696"/>
      <c r="W578" s="696"/>
      <c r="X578" s="696"/>
      <c r="Y578" s="699"/>
      <c r="Z578" s="381"/>
      <c r="AA578" s="382"/>
      <c r="AB578" s="382"/>
      <c r="AC578" s="382"/>
      <c r="AD578" s="382"/>
      <c r="AE578" s="382"/>
      <c r="AF578" s="382"/>
      <c r="AG578" s="382"/>
      <c r="AH578" s="382"/>
      <c r="AI578" s="382"/>
      <c r="AJ578" s="383"/>
      <c r="AK578" s="171"/>
      <c r="AL578" s="171"/>
      <c r="AM578" s="19"/>
      <c r="AN578" s="19"/>
      <c r="AO578" s="19"/>
      <c r="AP578" s="19"/>
      <c r="AQ578" s="19"/>
      <c r="AR578" s="19"/>
      <c r="AS578" s="19"/>
      <c r="AT578" s="5"/>
      <c r="AU578" s="5"/>
      <c r="AV578" s="5"/>
      <c r="AW578" s="5"/>
      <c r="AX578" s="5"/>
      <c r="AY578" s="5"/>
      <c r="AZ578" s="5"/>
      <c r="BA578" s="5"/>
      <c r="BB578" s="5"/>
      <c r="BC578" s="5"/>
    </row>
    <row r="579" spans="1:55" x14ac:dyDescent="0.25">
      <c r="A579" s="713"/>
      <c r="B579" s="696"/>
      <c r="C579" s="701" t="s">
        <v>417</v>
      </c>
      <c r="D579" s="391" t="s">
        <v>348</v>
      </c>
      <c r="E579" s="392">
        <v>120000</v>
      </c>
      <c r="F579" s="392">
        <f t="shared" ref="F579:H582" si="67">F575</f>
        <v>120000</v>
      </c>
      <c r="G579" s="392">
        <f t="shared" si="67"/>
        <v>120000</v>
      </c>
      <c r="H579" s="392">
        <f t="shared" si="67"/>
        <v>150000</v>
      </c>
      <c r="I579" s="408"/>
      <c r="J579" s="392">
        <f t="shared" ref="J579:L582" si="68">J575</f>
        <v>57895.67</v>
      </c>
      <c r="K579" s="392">
        <f t="shared" si="68"/>
        <v>100955.68</v>
      </c>
      <c r="L579" s="392">
        <f t="shared" si="68"/>
        <v>145760.18</v>
      </c>
      <c r="M579" s="393"/>
      <c r="N579" s="696"/>
      <c r="O579" s="696"/>
      <c r="P579" s="696"/>
      <c r="Q579" s="696"/>
      <c r="R579" s="696"/>
      <c r="S579" s="696"/>
      <c r="T579" s="696"/>
      <c r="U579" s="696"/>
      <c r="V579" s="696"/>
      <c r="W579" s="696"/>
      <c r="X579" s="696"/>
      <c r="Y579" s="699"/>
      <c r="Z579" s="394"/>
      <c r="AA579" s="395"/>
      <c r="AB579" s="395"/>
      <c r="AC579" s="395"/>
      <c r="AD579" s="395"/>
      <c r="AE579" s="395"/>
      <c r="AF579" s="395"/>
      <c r="AG579" s="395"/>
      <c r="AH579" s="395"/>
      <c r="AI579" s="395"/>
      <c r="AJ579" s="396"/>
      <c r="AK579" s="397"/>
      <c r="AL579" s="397"/>
      <c r="AM579" s="398"/>
      <c r="AN579" s="398"/>
      <c r="AO579" s="398"/>
      <c r="AP579" s="398"/>
      <c r="AQ579" s="398"/>
      <c r="AR579" s="398"/>
      <c r="AS579" s="398"/>
      <c r="AT579" s="398"/>
      <c r="AU579" s="398"/>
      <c r="AV579" s="398"/>
      <c r="AW579" s="398"/>
      <c r="AX579" s="398"/>
      <c r="AY579" s="398"/>
      <c r="AZ579" s="398"/>
      <c r="BA579" s="398"/>
      <c r="BB579" s="398"/>
      <c r="BC579" s="398"/>
    </row>
    <row r="580" spans="1:55" x14ac:dyDescent="0.25">
      <c r="A580" s="713"/>
      <c r="B580" s="696"/>
      <c r="C580" s="696"/>
      <c r="D580" s="399" t="s">
        <v>360</v>
      </c>
      <c r="E580" s="400">
        <v>165000000</v>
      </c>
      <c r="F580" s="400">
        <f t="shared" si="67"/>
        <v>165000000</v>
      </c>
      <c r="G580" s="400">
        <f t="shared" si="67"/>
        <v>165000000</v>
      </c>
      <c r="H580" s="400">
        <f t="shared" si="67"/>
        <v>165000000</v>
      </c>
      <c r="I580" s="408"/>
      <c r="J580" s="400">
        <f t="shared" si="68"/>
        <v>114433000</v>
      </c>
      <c r="K580" s="400">
        <f t="shared" si="68"/>
        <v>114433000</v>
      </c>
      <c r="L580" s="400">
        <f t="shared" si="68"/>
        <v>114433000</v>
      </c>
      <c r="M580" s="393"/>
      <c r="N580" s="696"/>
      <c r="O580" s="696"/>
      <c r="P580" s="696"/>
      <c r="Q580" s="696"/>
      <c r="R580" s="696"/>
      <c r="S580" s="696"/>
      <c r="T580" s="696"/>
      <c r="U580" s="696"/>
      <c r="V580" s="696"/>
      <c r="W580" s="696"/>
      <c r="X580" s="696"/>
      <c r="Y580" s="699"/>
      <c r="Z580" s="394"/>
      <c r="AA580" s="395"/>
      <c r="AB580" s="395"/>
      <c r="AC580" s="395"/>
      <c r="AD580" s="395"/>
      <c r="AE580" s="395"/>
      <c r="AF580" s="395"/>
      <c r="AG580" s="395"/>
      <c r="AH580" s="395"/>
      <c r="AI580" s="395"/>
      <c r="AJ580" s="396"/>
      <c r="AK580" s="397"/>
      <c r="AL580" s="397"/>
      <c r="AM580" s="398"/>
      <c r="AN580" s="398"/>
      <c r="AO580" s="398"/>
      <c r="AP580" s="398"/>
      <c r="AQ580" s="398"/>
      <c r="AR580" s="398"/>
      <c r="AS580" s="398"/>
      <c r="AT580" s="398"/>
      <c r="AU580" s="398"/>
      <c r="AV580" s="398"/>
      <c r="AW580" s="398"/>
      <c r="AX580" s="398"/>
      <c r="AY580" s="398"/>
      <c r="AZ580" s="398"/>
      <c r="BA580" s="398"/>
      <c r="BB580" s="398"/>
      <c r="BC580" s="398"/>
    </row>
    <row r="581" spans="1:55" ht="22.5" x14ac:dyDescent="0.25">
      <c r="A581" s="713"/>
      <c r="B581" s="696"/>
      <c r="C581" s="696"/>
      <c r="D581" s="399" t="s">
        <v>365</v>
      </c>
      <c r="E581" s="392">
        <v>0</v>
      </c>
      <c r="F581" s="392">
        <f t="shared" si="67"/>
        <v>0</v>
      </c>
      <c r="G581" s="392">
        <f t="shared" si="67"/>
        <v>0</v>
      </c>
      <c r="H581" s="392">
        <f t="shared" si="67"/>
        <v>0</v>
      </c>
      <c r="I581" s="409"/>
      <c r="J581" s="392">
        <f t="shared" si="68"/>
        <v>0</v>
      </c>
      <c r="K581" s="392">
        <f t="shared" si="68"/>
        <v>0</v>
      </c>
      <c r="L581" s="392">
        <f t="shared" si="68"/>
        <v>0</v>
      </c>
      <c r="M581" s="393"/>
      <c r="N581" s="696"/>
      <c r="O581" s="696"/>
      <c r="P581" s="696"/>
      <c r="Q581" s="696"/>
      <c r="R581" s="696"/>
      <c r="S581" s="696"/>
      <c r="T581" s="696"/>
      <c r="U581" s="696"/>
      <c r="V581" s="696"/>
      <c r="W581" s="696"/>
      <c r="X581" s="696"/>
      <c r="Y581" s="699"/>
      <c r="Z581" s="394"/>
      <c r="AA581" s="395"/>
      <c r="AB581" s="395"/>
      <c r="AC581" s="395"/>
      <c r="AD581" s="395"/>
      <c r="AE581" s="395"/>
      <c r="AF581" s="395"/>
      <c r="AG581" s="395"/>
      <c r="AH581" s="395"/>
      <c r="AI581" s="395"/>
      <c r="AJ581" s="396"/>
      <c r="AK581" s="397"/>
      <c r="AL581" s="397"/>
      <c r="AM581" s="398"/>
      <c r="AN581" s="398"/>
      <c r="AO581" s="398"/>
      <c r="AP581" s="398"/>
      <c r="AQ581" s="398"/>
      <c r="AR581" s="398"/>
      <c r="AS581" s="398"/>
      <c r="AT581" s="398"/>
      <c r="AU581" s="398"/>
      <c r="AV581" s="398"/>
      <c r="AW581" s="398"/>
      <c r="AX581" s="398"/>
      <c r="AY581" s="398"/>
      <c r="AZ581" s="398"/>
      <c r="BA581" s="398"/>
      <c r="BB581" s="398"/>
      <c r="BC581" s="398"/>
    </row>
    <row r="582" spans="1:55" ht="23.25" thickBot="1" x14ac:dyDescent="0.3">
      <c r="A582" s="714"/>
      <c r="B582" s="697"/>
      <c r="C582" s="697"/>
      <c r="D582" s="402" t="s">
        <v>370</v>
      </c>
      <c r="E582" s="403">
        <v>19124500</v>
      </c>
      <c r="F582" s="403">
        <f t="shared" si="67"/>
        <v>19124500</v>
      </c>
      <c r="G582" s="403">
        <f t="shared" si="67"/>
        <v>19124500</v>
      </c>
      <c r="H582" s="403">
        <f t="shared" si="67"/>
        <v>10070000</v>
      </c>
      <c r="I582" s="410"/>
      <c r="J582" s="403">
        <f t="shared" si="68"/>
        <v>7085000</v>
      </c>
      <c r="K582" s="403">
        <f t="shared" si="68"/>
        <v>10070000</v>
      </c>
      <c r="L582" s="403">
        <f t="shared" si="68"/>
        <v>10070000</v>
      </c>
      <c r="M582" s="404"/>
      <c r="N582" s="697"/>
      <c r="O582" s="697"/>
      <c r="P582" s="697"/>
      <c r="Q582" s="697"/>
      <c r="R582" s="697"/>
      <c r="S582" s="697"/>
      <c r="T582" s="697"/>
      <c r="U582" s="697"/>
      <c r="V582" s="697"/>
      <c r="W582" s="697"/>
      <c r="X582" s="697"/>
      <c r="Y582" s="700"/>
      <c r="Z582" s="394"/>
      <c r="AA582" s="395"/>
      <c r="AB582" s="395"/>
      <c r="AC582" s="395"/>
      <c r="AD582" s="395"/>
      <c r="AE582" s="395"/>
      <c r="AF582" s="395"/>
      <c r="AG582" s="395"/>
      <c r="AH582" s="395"/>
      <c r="AI582" s="395"/>
      <c r="AJ582" s="396"/>
      <c r="AK582" s="397"/>
      <c r="AL582" s="397"/>
      <c r="AM582" s="398"/>
      <c r="AN582" s="398"/>
      <c r="AO582" s="398"/>
      <c r="AP582" s="398"/>
      <c r="AQ582" s="398"/>
      <c r="AR582" s="398"/>
      <c r="AS582" s="398"/>
      <c r="AT582" s="398"/>
      <c r="AU582" s="398"/>
      <c r="AV582" s="398"/>
      <c r="AW582" s="398"/>
      <c r="AX582" s="398"/>
      <c r="AY582" s="398"/>
      <c r="AZ582" s="398"/>
      <c r="BA582" s="398"/>
      <c r="BB582" s="398"/>
      <c r="BC582" s="398"/>
    </row>
    <row r="583" spans="1:55" ht="22.5" x14ac:dyDescent="0.25">
      <c r="A583" s="712">
        <v>20</v>
      </c>
      <c r="B583" s="715" t="s">
        <v>535</v>
      </c>
      <c r="C583" s="710" t="s">
        <v>536</v>
      </c>
      <c r="D583" s="405" t="s">
        <v>348</v>
      </c>
      <c r="E583" s="379">
        <v>50</v>
      </c>
      <c r="F583" s="463">
        <v>0.5</v>
      </c>
      <c r="G583" s="463">
        <v>0.5</v>
      </c>
      <c r="H583" s="463">
        <f>[1]INVERSIÓN!V123</f>
        <v>0.5</v>
      </c>
      <c r="I583" s="455"/>
      <c r="J583" s="454">
        <v>0.3125</v>
      </c>
      <c r="K583" s="454">
        <v>0.375</v>
      </c>
      <c r="L583" s="463">
        <f>[1]INVERSIÓN!AL123</f>
        <v>0.4375</v>
      </c>
      <c r="M583" s="380"/>
      <c r="N583" s="710" t="s">
        <v>349</v>
      </c>
      <c r="O583" s="710" t="s">
        <v>104</v>
      </c>
      <c r="P583" s="710" t="s">
        <v>104</v>
      </c>
      <c r="Q583" s="710" t="s">
        <v>104</v>
      </c>
      <c r="R583" s="695" t="s">
        <v>353</v>
      </c>
      <c r="S583" s="695">
        <v>8185614</v>
      </c>
      <c r="T583" s="711"/>
      <c r="U583" s="695" t="s">
        <v>354</v>
      </c>
      <c r="V583" s="695" t="s">
        <v>355</v>
      </c>
      <c r="W583" s="695" t="s">
        <v>356</v>
      </c>
      <c r="X583" s="695" t="s">
        <v>357</v>
      </c>
      <c r="Y583" s="698">
        <v>8185614</v>
      </c>
      <c r="Z583" s="394"/>
      <c r="AA583" s="395">
        <v>12</v>
      </c>
      <c r="AB583" s="395" t="s">
        <v>358</v>
      </c>
      <c r="AC583" s="395"/>
      <c r="AD583" s="395"/>
      <c r="AE583" s="395"/>
      <c r="AF583" s="395" t="s">
        <v>359</v>
      </c>
      <c r="AG583" s="395"/>
      <c r="AH583" s="395"/>
      <c r="AI583" s="395"/>
      <c r="AJ583" s="396"/>
      <c r="AK583" s="397"/>
      <c r="AL583" s="397"/>
      <c r="AM583" s="398"/>
      <c r="AN583" s="398"/>
      <c r="AO583" s="398"/>
      <c r="AP583" s="398"/>
      <c r="AQ583" s="398"/>
      <c r="AR583" s="398"/>
      <c r="AS583" s="398"/>
      <c r="AT583" s="5"/>
      <c r="AU583" s="5"/>
      <c r="AV583" s="5"/>
      <c r="AW583" s="5"/>
      <c r="AX583" s="5"/>
      <c r="AY583" s="5"/>
      <c r="AZ583" s="5"/>
      <c r="BA583" s="5"/>
      <c r="BB583" s="5"/>
      <c r="BC583" s="5"/>
    </row>
    <row r="584" spans="1:55" ht="45" x14ac:dyDescent="0.25">
      <c r="A584" s="713"/>
      <c r="B584" s="696"/>
      <c r="C584" s="696"/>
      <c r="D584" s="384" t="s">
        <v>360</v>
      </c>
      <c r="E584" s="388">
        <v>39455695</v>
      </c>
      <c r="F584" s="388">
        <v>39455695</v>
      </c>
      <c r="G584" s="388">
        <v>34407190</v>
      </c>
      <c r="H584" s="388">
        <f>[1]INVERSIÓN!V124</f>
        <v>30597600</v>
      </c>
      <c r="I584" s="416"/>
      <c r="J584" s="388">
        <v>0</v>
      </c>
      <c r="K584" s="388">
        <v>0</v>
      </c>
      <c r="L584" s="388">
        <f>[1]INVERSIÓN!AL124</f>
        <v>17320000</v>
      </c>
      <c r="M584" s="441"/>
      <c r="N584" s="696"/>
      <c r="O584" s="696"/>
      <c r="P584" s="696"/>
      <c r="Q584" s="696"/>
      <c r="R584" s="696"/>
      <c r="S584" s="696"/>
      <c r="T584" s="696"/>
      <c r="U584" s="696"/>
      <c r="V584" s="696"/>
      <c r="W584" s="696"/>
      <c r="X584" s="696"/>
      <c r="Y584" s="699"/>
      <c r="Z584" s="394"/>
      <c r="AA584" s="395">
        <v>13</v>
      </c>
      <c r="AB584" s="395" t="s">
        <v>363</v>
      </c>
      <c r="AC584" s="395"/>
      <c r="AD584" s="395"/>
      <c r="AE584" s="395"/>
      <c r="AF584" s="395" t="s">
        <v>364</v>
      </c>
      <c r="AG584" s="395"/>
      <c r="AH584" s="395"/>
      <c r="AI584" s="395"/>
      <c r="AJ584" s="396"/>
      <c r="AK584" s="397"/>
      <c r="AL584" s="397"/>
      <c r="AM584" s="398"/>
      <c r="AN584" s="398"/>
      <c r="AO584" s="398"/>
      <c r="AP584" s="398"/>
      <c r="AQ584" s="398"/>
      <c r="AR584" s="398"/>
      <c r="AS584" s="398"/>
      <c r="AT584" s="5"/>
      <c r="AU584" s="5"/>
      <c r="AV584" s="5"/>
      <c r="AW584" s="5"/>
      <c r="AX584" s="5"/>
      <c r="AY584" s="5"/>
      <c r="AZ584" s="5"/>
      <c r="BA584" s="5"/>
      <c r="BB584" s="5"/>
      <c r="BC584" s="5"/>
    </row>
    <row r="585" spans="1:55" ht="78.75" x14ac:dyDescent="0.25">
      <c r="A585" s="713"/>
      <c r="B585" s="696"/>
      <c r="C585" s="696"/>
      <c r="D585" s="384" t="s">
        <v>365</v>
      </c>
      <c r="E585" s="387">
        <v>0</v>
      </c>
      <c r="F585" s="387">
        <v>0</v>
      </c>
      <c r="G585" s="387">
        <v>0</v>
      </c>
      <c r="H585" s="387">
        <f>[1]INVERSIÓN!V125</f>
        <v>0</v>
      </c>
      <c r="I585" s="390"/>
      <c r="J585" s="387">
        <v>0</v>
      </c>
      <c r="K585" s="387">
        <v>0</v>
      </c>
      <c r="L585" s="387">
        <f>[1]INVERSIÓN!AL125</f>
        <v>0</v>
      </c>
      <c r="M585" s="390"/>
      <c r="N585" s="696"/>
      <c r="O585" s="696"/>
      <c r="P585" s="696"/>
      <c r="Q585" s="696"/>
      <c r="R585" s="696"/>
      <c r="S585" s="696"/>
      <c r="T585" s="696"/>
      <c r="U585" s="696"/>
      <c r="V585" s="696"/>
      <c r="W585" s="696"/>
      <c r="X585" s="696"/>
      <c r="Y585" s="699"/>
      <c r="Z585" s="394"/>
      <c r="AA585" s="395">
        <v>14</v>
      </c>
      <c r="AB585" s="395" t="s">
        <v>367</v>
      </c>
      <c r="AC585" s="395"/>
      <c r="AD585" s="395"/>
      <c r="AE585" s="395"/>
      <c r="AF585" s="395" t="s">
        <v>369</v>
      </c>
      <c r="AG585" s="395"/>
      <c r="AH585" s="395"/>
      <c r="AI585" s="395"/>
      <c r="AJ585" s="396"/>
      <c r="AK585" s="397"/>
      <c r="AL585" s="397"/>
      <c r="AM585" s="398"/>
      <c r="AN585" s="398"/>
      <c r="AO585" s="398"/>
      <c r="AP585" s="398"/>
      <c r="AQ585" s="398"/>
      <c r="AR585" s="398"/>
      <c r="AS585" s="398"/>
      <c r="AT585" s="5"/>
      <c r="AU585" s="5"/>
      <c r="AV585" s="5"/>
      <c r="AW585" s="5"/>
      <c r="AX585" s="5"/>
      <c r="AY585" s="5"/>
      <c r="AZ585" s="5"/>
      <c r="BA585" s="5"/>
      <c r="BB585" s="5"/>
      <c r="BC585" s="5"/>
    </row>
    <row r="586" spans="1:55" ht="22.5" x14ac:dyDescent="0.25">
      <c r="A586" s="713"/>
      <c r="B586" s="696"/>
      <c r="C586" s="696"/>
      <c r="D586" s="384" t="s">
        <v>370</v>
      </c>
      <c r="E586" s="388">
        <v>21762533</v>
      </c>
      <c r="F586" s="388">
        <v>21762533</v>
      </c>
      <c r="G586" s="388">
        <v>21762533</v>
      </c>
      <c r="H586" s="388">
        <f>[1]INVERSIÓN!V126</f>
        <v>21762533</v>
      </c>
      <c r="I586" s="390"/>
      <c r="J586" s="388">
        <v>6662000</v>
      </c>
      <c r="K586" s="388">
        <v>16655000</v>
      </c>
      <c r="L586" s="388">
        <f>[1]INVERSIÓN!AL126</f>
        <v>21762533</v>
      </c>
      <c r="M586" s="386"/>
      <c r="N586" s="696"/>
      <c r="O586" s="696"/>
      <c r="P586" s="696"/>
      <c r="Q586" s="696"/>
      <c r="R586" s="696"/>
      <c r="S586" s="696"/>
      <c r="T586" s="696"/>
      <c r="U586" s="696"/>
      <c r="V586" s="696"/>
      <c r="W586" s="696"/>
      <c r="X586" s="696"/>
      <c r="Y586" s="699"/>
      <c r="Z586" s="394"/>
      <c r="AA586" s="395"/>
      <c r="AB586" s="395"/>
      <c r="AC586" s="395"/>
      <c r="AD586" s="395"/>
      <c r="AE586" s="395"/>
      <c r="AF586" s="395"/>
      <c r="AG586" s="395"/>
      <c r="AH586" s="395"/>
      <c r="AI586" s="395"/>
      <c r="AJ586" s="396"/>
      <c r="AK586" s="397"/>
      <c r="AL586" s="397"/>
      <c r="AM586" s="398"/>
      <c r="AN586" s="398"/>
      <c r="AO586" s="398"/>
      <c r="AP586" s="398"/>
      <c r="AQ586" s="398"/>
      <c r="AR586" s="398"/>
      <c r="AS586" s="398"/>
      <c r="AT586" s="5"/>
      <c r="AU586" s="5"/>
      <c r="AV586" s="5"/>
      <c r="AW586" s="5"/>
      <c r="AX586" s="5"/>
      <c r="AY586" s="5"/>
      <c r="AZ586" s="5"/>
      <c r="BA586" s="5"/>
      <c r="BB586" s="5"/>
      <c r="BC586" s="5"/>
    </row>
    <row r="587" spans="1:55" x14ac:dyDescent="0.25">
      <c r="A587" s="713"/>
      <c r="B587" s="696"/>
      <c r="C587" s="701" t="s">
        <v>417</v>
      </c>
      <c r="D587" s="391" t="s">
        <v>348</v>
      </c>
      <c r="E587" s="392">
        <v>50</v>
      </c>
      <c r="F587" s="457">
        <f t="shared" ref="F587:H590" si="69">F583</f>
        <v>0.5</v>
      </c>
      <c r="G587" s="457">
        <f t="shared" si="69"/>
        <v>0.5</v>
      </c>
      <c r="H587" s="457">
        <f t="shared" si="69"/>
        <v>0.5</v>
      </c>
      <c r="I587" s="458"/>
      <c r="J587" s="457">
        <f t="shared" ref="J587:L590" si="70">J583</f>
        <v>0.3125</v>
      </c>
      <c r="K587" s="457">
        <f t="shared" si="70"/>
        <v>0.375</v>
      </c>
      <c r="L587" s="457">
        <f t="shared" si="70"/>
        <v>0.4375</v>
      </c>
      <c r="M587" s="393"/>
      <c r="N587" s="696"/>
      <c r="O587" s="696"/>
      <c r="P587" s="696"/>
      <c r="Q587" s="696"/>
      <c r="R587" s="696"/>
      <c r="S587" s="696"/>
      <c r="T587" s="696"/>
      <c r="U587" s="696"/>
      <c r="V587" s="696"/>
      <c r="W587" s="696"/>
      <c r="X587" s="696"/>
      <c r="Y587" s="699"/>
      <c r="Z587" s="394"/>
      <c r="AA587" s="395"/>
      <c r="AB587" s="395"/>
      <c r="AC587" s="395"/>
      <c r="AD587" s="395"/>
      <c r="AE587" s="395"/>
      <c r="AF587" s="395"/>
      <c r="AG587" s="395"/>
      <c r="AH587" s="395"/>
      <c r="AI587" s="395"/>
      <c r="AJ587" s="396"/>
      <c r="AK587" s="397"/>
      <c r="AL587" s="397"/>
      <c r="AM587" s="398"/>
      <c r="AN587" s="398"/>
      <c r="AO587" s="398"/>
      <c r="AP587" s="398"/>
      <c r="AQ587" s="398"/>
      <c r="AR587" s="398"/>
      <c r="AS587" s="398"/>
      <c r="AT587" s="398"/>
      <c r="AU587" s="398"/>
      <c r="AV587" s="398"/>
      <c r="AW587" s="398"/>
      <c r="AX587" s="398"/>
      <c r="AY587" s="398"/>
      <c r="AZ587" s="398"/>
      <c r="BA587" s="398"/>
      <c r="BB587" s="398"/>
      <c r="BC587" s="398"/>
    </row>
    <row r="588" spans="1:55" x14ac:dyDescent="0.25">
      <c r="A588" s="713"/>
      <c r="B588" s="696"/>
      <c r="C588" s="696"/>
      <c r="D588" s="399" t="s">
        <v>360</v>
      </c>
      <c r="E588" s="400">
        <v>39455695</v>
      </c>
      <c r="F588" s="400">
        <f t="shared" si="69"/>
        <v>39455695</v>
      </c>
      <c r="G588" s="400">
        <f t="shared" si="69"/>
        <v>34407190</v>
      </c>
      <c r="H588" s="400">
        <f t="shared" si="69"/>
        <v>30597600</v>
      </c>
      <c r="I588" s="408"/>
      <c r="J588" s="400">
        <f t="shared" si="70"/>
        <v>0</v>
      </c>
      <c r="K588" s="400">
        <f t="shared" si="70"/>
        <v>0</v>
      </c>
      <c r="L588" s="400">
        <f t="shared" si="70"/>
        <v>17320000</v>
      </c>
      <c r="M588" s="393"/>
      <c r="N588" s="696"/>
      <c r="O588" s="696"/>
      <c r="P588" s="696"/>
      <c r="Q588" s="696"/>
      <c r="R588" s="696"/>
      <c r="S588" s="696"/>
      <c r="T588" s="696"/>
      <c r="U588" s="696"/>
      <c r="V588" s="696"/>
      <c r="W588" s="696"/>
      <c r="X588" s="696"/>
      <c r="Y588" s="699"/>
      <c r="Z588" s="394"/>
      <c r="AA588" s="395"/>
      <c r="AB588" s="395"/>
      <c r="AC588" s="395"/>
      <c r="AD588" s="395"/>
      <c r="AE588" s="395"/>
      <c r="AF588" s="395"/>
      <c r="AG588" s="395"/>
      <c r="AH588" s="395"/>
      <c r="AI588" s="395"/>
      <c r="AJ588" s="396"/>
      <c r="AK588" s="397"/>
      <c r="AL588" s="397"/>
      <c r="AM588" s="398"/>
      <c r="AN588" s="398"/>
      <c r="AO588" s="398"/>
      <c r="AP588" s="398"/>
      <c r="AQ588" s="398"/>
      <c r="AR588" s="398"/>
      <c r="AS588" s="398"/>
      <c r="AT588" s="398"/>
      <c r="AU588" s="398"/>
      <c r="AV588" s="398"/>
      <c r="AW588" s="398"/>
      <c r="AX588" s="398"/>
      <c r="AY588" s="398"/>
      <c r="AZ588" s="398"/>
      <c r="BA588" s="398"/>
      <c r="BB588" s="398"/>
      <c r="BC588" s="398"/>
    </row>
    <row r="589" spans="1:55" ht="22.5" x14ac:dyDescent="0.25">
      <c r="A589" s="713"/>
      <c r="B589" s="696"/>
      <c r="C589" s="696"/>
      <c r="D589" s="399" t="s">
        <v>365</v>
      </c>
      <c r="E589" s="392">
        <v>0</v>
      </c>
      <c r="F589" s="392">
        <f t="shared" si="69"/>
        <v>0</v>
      </c>
      <c r="G589" s="392">
        <f t="shared" si="69"/>
        <v>0</v>
      </c>
      <c r="H589" s="392">
        <f t="shared" si="69"/>
        <v>0</v>
      </c>
      <c r="I589" s="409"/>
      <c r="J589" s="392">
        <f t="shared" si="70"/>
        <v>0</v>
      </c>
      <c r="K589" s="392">
        <f t="shared" si="70"/>
        <v>0</v>
      </c>
      <c r="L589" s="392">
        <f t="shared" si="70"/>
        <v>0</v>
      </c>
      <c r="M589" s="393"/>
      <c r="N589" s="696"/>
      <c r="O589" s="696"/>
      <c r="P589" s="696"/>
      <c r="Q589" s="696"/>
      <c r="R589" s="696"/>
      <c r="S589" s="696"/>
      <c r="T589" s="696"/>
      <c r="U589" s="696"/>
      <c r="V589" s="696"/>
      <c r="W589" s="696"/>
      <c r="X589" s="696"/>
      <c r="Y589" s="699"/>
      <c r="Z589" s="394"/>
      <c r="AA589" s="395"/>
      <c r="AB589" s="395"/>
      <c r="AC589" s="395"/>
      <c r="AD589" s="395"/>
      <c r="AE589" s="395"/>
      <c r="AF589" s="395"/>
      <c r="AG589" s="395"/>
      <c r="AH589" s="395"/>
      <c r="AI589" s="395"/>
      <c r="AJ589" s="396"/>
      <c r="AK589" s="397"/>
      <c r="AL589" s="397"/>
      <c r="AM589" s="398"/>
      <c r="AN589" s="398"/>
      <c r="AO589" s="398"/>
      <c r="AP589" s="398"/>
      <c r="AQ589" s="398"/>
      <c r="AR589" s="398"/>
      <c r="AS589" s="398"/>
      <c r="AT589" s="398"/>
      <c r="AU589" s="398"/>
      <c r="AV589" s="398"/>
      <c r="AW589" s="398"/>
      <c r="AX589" s="398"/>
      <c r="AY589" s="398"/>
      <c r="AZ589" s="398"/>
      <c r="BA589" s="398"/>
      <c r="BB589" s="398"/>
      <c r="BC589" s="398"/>
    </row>
    <row r="590" spans="1:55" ht="23.25" thickBot="1" x14ac:dyDescent="0.3">
      <c r="A590" s="714"/>
      <c r="B590" s="697"/>
      <c r="C590" s="697"/>
      <c r="D590" s="402" t="s">
        <v>370</v>
      </c>
      <c r="E590" s="403">
        <v>21762533</v>
      </c>
      <c r="F590" s="403">
        <f t="shared" si="69"/>
        <v>21762533</v>
      </c>
      <c r="G590" s="403">
        <f t="shared" si="69"/>
        <v>21762533</v>
      </c>
      <c r="H590" s="403">
        <f t="shared" si="69"/>
        <v>21762533</v>
      </c>
      <c r="I590" s="410"/>
      <c r="J590" s="403">
        <f t="shared" si="70"/>
        <v>6662000</v>
      </c>
      <c r="K590" s="403">
        <f t="shared" si="70"/>
        <v>16655000</v>
      </c>
      <c r="L590" s="403">
        <f t="shared" si="70"/>
        <v>21762533</v>
      </c>
      <c r="M590" s="404"/>
      <c r="N590" s="697"/>
      <c r="O590" s="697"/>
      <c r="P590" s="697"/>
      <c r="Q590" s="697"/>
      <c r="R590" s="697"/>
      <c r="S590" s="697"/>
      <c r="T590" s="697"/>
      <c r="U590" s="697"/>
      <c r="V590" s="697"/>
      <c r="W590" s="697"/>
      <c r="X590" s="697"/>
      <c r="Y590" s="700"/>
      <c r="Z590" s="394"/>
      <c r="AA590" s="395"/>
      <c r="AB590" s="395"/>
      <c r="AC590" s="395"/>
      <c r="AD590" s="395"/>
      <c r="AE590" s="395"/>
      <c r="AF590" s="395"/>
      <c r="AG590" s="395"/>
      <c r="AH590" s="395"/>
      <c r="AI590" s="395"/>
      <c r="AJ590" s="396"/>
      <c r="AK590" s="397"/>
      <c r="AL590" s="397"/>
      <c r="AM590" s="398"/>
      <c r="AN590" s="398"/>
      <c r="AO590" s="398"/>
      <c r="AP590" s="398"/>
      <c r="AQ590" s="398"/>
      <c r="AR590" s="398"/>
      <c r="AS590" s="398"/>
      <c r="AT590" s="398"/>
      <c r="AU590" s="398"/>
      <c r="AV590" s="398"/>
      <c r="AW590" s="398"/>
      <c r="AX590" s="398"/>
      <c r="AY590" s="398"/>
      <c r="AZ590" s="398"/>
      <c r="BA590" s="398"/>
      <c r="BB590" s="398"/>
      <c r="BC590" s="398"/>
    </row>
    <row r="591" spans="1:55" ht="22.5" x14ac:dyDescent="0.25">
      <c r="A591" s="702" t="s">
        <v>537</v>
      </c>
      <c r="B591" s="703"/>
      <c r="C591" s="703"/>
      <c r="D591" s="478" t="s">
        <v>538</v>
      </c>
      <c r="E591" s="479">
        <f t="shared" ref="E591:L591" si="71">E88+E96+E152+E160+E168+E176+E272+E332+E340+E348+E436+E444+E452+E460+E468+E556+E564+E572+E580+E588</f>
        <v>8755709000</v>
      </c>
      <c r="F591" s="479">
        <f t="shared" si="71"/>
        <v>8755709000</v>
      </c>
      <c r="G591" s="479">
        <f t="shared" si="71"/>
        <v>8755708999.9971199</v>
      </c>
      <c r="H591" s="479">
        <f t="shared" si="71"/>
        <v>8601591183.2581005</v>
      </c>
      <c r="I591" s="479">
        <f t="shared" si="71"/>
        <v>811131042</v>
      </c>
      <c r="J591" s="479">
        <f t="shared" si="71"/>
        <v>4579876624.9041071</v>
      </c>
      <c r="K591" s="479">
        <f t="shared" si="71"/>
        <v>5339603124.1467819</v>
      </c>
      <c r="L591" s="479" t="e">
        <f t="shared" si="71"/>
        <v>#VALUE!</v>
      </c>
      <c r="M591" s="479" t="e">
        <f>M156+M584+M8+M92+M100+M164+M576+M172+M276+M180+M336+M344+M352+M448+M456+M464+M472+M560+#REF!+M440</f>
        <v>#REF!</v>
      </c>
      <c r="N591" s="480"/>
      <c r="O591" s="480"/>
      <c r="P591" s="480"/>
      <c r="Q591" s="480"/>
      <c r="R591" s="481"/>
      <c r="S591" s="481"/>
      <c r="T591" s="481"/>
      <c r="U591" s="481"/>
      <c r="V591" s="481"/>
      <c r="W591" s="481"/>
      <c r="X591" s="481"/>
      <c r="Y591" s="482"/>
      <c r="Z591" s="398"/>
      <c r="AA591" s="483"/>
      <c r="AB591" s="483"/>
      <c r="AC591" s="483"/>
      <c r="AD591" s="483"/>
      <c r="AE591" s="483"/>
      <c r="AF591" s="483"/>
      <c r="AG591" s="483"/>
      <c r="AH591" s="483"/>
      <c r="AI591" s="483"/>
      <c r="AJ591" s="397"/>
      <c r="AK591" s="397"/>
      <c r="AL591" s="397"/>
      <c r="AM591" s="398"/>
      <c r="AN591" s="398"/>
      <c r="AO591" s="398"/>
      <c r="AP591" s="398"/>
      <c r="AQ591" s="398"/>
      <c r="AR591" s="398"/>
      <c r="AS591" s="398"/>
      <c r="AT591" s="5"/>
      <c r="AU591" s="5"/>
      <c r="AV591" s="5"/>
      <c r="AW591" s="5"/>
      <c r="AX591" s="5"/>
      <c r="AY591" s="5"/>
      <c r="AZ591" s="5"/>
      <c r="BA591" s="5"/>
      <c r="BB591" s="5"/>
      <c r="BC591" s="5"/>
    </row>
    <row r="592" spans="1:55" ht="22.5" x14ac:dyDescent="0.25">
      <c r="A592" s="704"/>
      <c r="B592" s="705"/>
      <c r="C592" s="703"/>
      <c r="D592" s="484" t="s">
        <v>539</v>
      </c>
      <c r="E592" s="485">
        <f t="shared" ref="E592:L592" si="72">E90+E98+E154+E162+E170+E178+E274+E334+E342+E350+E438+E446+E454+E462+E470+E558+E566+E574+E582+E590</f>
        <v>2969610298</v>
      </c>
      <c r="F592" s="485">
        <f t="shared" si="72"/>
        <v>2967884564</v>
      </c>
      <c r="G592" s="485">
        <f t="shared" si="72"/>
        <v>2949961197</v>
      </c>
      <c r="H592" s="485">
        <f t="shared" si="72"/>
        <v>2921143430</v>
      </c>
      <c r="I592" s="485">
        <f t="shared" si="72"/>
        <v>100922174</v>
      </c>
      <c r="J592" s="485">
        <f t="shared" si="72"/>
        <v>1751257829</v>
      </c>
      <c r="K592" s="485">
        <f t="shared" si="72"/>
        <v>2228272435</v>
      </c>
      <c r="L592" s="485">
        <f t="shared" si="72"/>
        <v>2918530810.151515</v>
      </c>
      <c r="M592" s="485"/>
      <c r="N592" s="480"/>
      <c r="O592" s="480"/>
      <c r="P592" s="480"/>
      <c r="Q592" s="480"/>
      <c r="R592" s="481"/>
      <c r="S592" s="481"/>
      <c r="T592" s="481"/>
      <c r="U592" s="481"/>
      <c r="V592" s="481"/>
      <c r="W592" s="481"/>
      <c r="X592" s="481"/>
      <c r="Y592" s="482"/>
      <c r="Z592" s="398"/>
      <c r="AA592" s="483"/>
      <c r="AB592" s="483"/>
      <c r="AC592" s="483"/>
      <c r="AD592" s="483"/>
      <c r="AE592" s="483"/>
      <c r="AF592" s="483"/>
      <c r="AG592" s="483"/>
      <c r="AH592" s="483"/>
      <c r="AI592" s="483"/>
      <c r="AJ592" s="397"/>
      <c r="AK592" s="397"/>
      <c r="AL592" s="397"/>
      <c r="AM592" s="398"/>
      <c r="AN592" s="398"/>
      <c r="AO592" s="398"/>
      <c r="AP592" s="398"/>
      <c r="AQ592" s="398"/>
      <c r="AR592" s="398"/>
      <c r="AS592" s="398"/>
      <c r="AT592" s="5"/>
      <c r="AU592" s="5"/>
      <c r="AV592" s="5"/>
      <c r="AW592" s="5"/>
      <c r="AX592" s="5"/>
      <c r="AY592" s="5"/>
      <c r="AZ592" s="5"/>
      <c r="BA592" s="5"/>
      <c r="BB592" s="5"/>
      <c r="BC592" s="5"/>
    </row>
    <row r="593" spans="1:55" ht="15.75" thickBot="1" x14ac:dyDescent="0.3">
      <c r="A593" s="706"/>
      <c r="B593" s="707"/>
      <c r="C593" s="707"/>
      <c r="D593" s="486" t="s">
        <v>540</v>
      </c>
      <c r="E593" s="487">
        <f t="shared" ref="E593:M593" si="73">E591+E592</f>
        <v>11725319298</v>
      </c>
      <c r="F593" s="487">
        <f t="shared" si="73"/>
        <v>11723593564</v>
      </c>
      <c r="G593" s="487">
        <f t="shared" si="73"/>
        <v>11705670196.99712</v>
      </c>
      <c r="H593" s="487">
        <f t="shared" si="73"/>
        <v>11522734613.258101</v>
      </c>
      <c r="I593" s="487">
        <f t="shared" si="73"/>
        <v>912053216</v>
      </c>
      <c r="J593" s="487">
        <f t="shared" si="73"/>
        <v>6331134453.9041071</v>
      </c>
      <c r="K593" s="487">
        <f t="shared" si="73"/>
        <v>7567875559.1467819</v>
      </c>
      <c r="L593" s="487" t="e">
        <f t="shared" si="73"/>
        <v>#VALUE!</v>
      </c>
      <c r="M593" s="487" t="e">
        <f t="shared" si="73"/>
        <v>#REF!</v>
      </c>
      <c r="N593" s="488"/>
      <c r="O593" s="488"/>
      <c r="P593" s="488"/>
      <c r="Q593" s="488"/>
      <c r="R593" s="488"/>
      <c r="S593" s="488"/>
      <c r="T593" s="488"/>
      <c r="U593" s="488"/>
      <c r="V593" s="708"/>
      <c r="W593" s="707"/>
      <c r="X593" s="707"/>
      <c r="Y593" s="709"/>
      <c r="Z593" s="398"/>
      <c r="AA593" s="483"/>
      <c r="AB593" s="483"/>
      <c r="AC593" s="483"/>
      <c r="AD593" s="483"/>
      <c r="AE593" s="483"/>
      <c r="AF593" s="483"/>
      <c r="AG593" s="483"/>
      <c r="AH593" s="483"/>
      <c r="AI593" s="483"/>
      <c r="AJ593" s="397"/>
      <c r="AK593" s="397"/>
      <c r="AL593" s="397"/>
      <c r="AM593" s="398"/>
      <c r="AN593" s="398"/>
      <c r="AO593" s="398"/>
      <c r="AP593" s="398"/>
      <c r="AQ593" s="398"/>
      <c r="AR593" s="398"/>
      <c r="AS593" s="398"/>
      <c r="AT593" s="5"/>
      <c r="AU593" s="5"/>
      <c r="AV593" s="5"/>
      <c r="AW593" s="5"/>
      <c r="AX593" s="5"/>
      <c r="AY593" s="5"/>
      <c r="AZ593" s="5"/>
      <c r="BA593" s="5"/>
      <c r="BB593" s="5"/>
      <c r="BC593" s="5"/>
    </row>
    <row r="594" spans="1:55" ht="18.75" x14ac:dyDescent="0.3">
      <c r="W594" s="767" t="s">
        <v>290</v>
      </c>
      <c r="X594" s="767"/>
      <c r="Y594" s="767"/>
    </row>
    <row r="595" spans="1:55" x14ac:dyDescent="0.25">
      <c r="H595" s="285"/>
      <c r="L595" s="285"/>
    </row>
  </sheetData>
  <mergeCells count="1626">
    <mergeCell ref="X583:X590"/>
    <mergeCell ref="Y583:Y590"/>
    <mergeCell ref="C587:C590"/>
    <mergeCell ref="A591:C593"/>
    <mergeCell ref="V593:Y593"/>
    <mergeCell ref="W594:Y594"/>
    <mergeCell ref="Q583:Q590"/>
    <mergeCell ref="R583:R590"/>
    <mergeCell ref="S583:T590"/>
    <mergeCell ref="U583:U590"/>
    <mergeCell ref="V583:V590"/>
    <mergeCell ref="W583:W590"/>
    <mergeCell ref="W575:W582"/>
    <mergeCell ref="X575:X582"/>
    <mergeCell ref="Y575:Y582"/>
    <mergeCell ref="C579:C582"/>
    <mergeCell ref="A583:A590"/>
    <mergeCell ref="B583:B590"/>
    <mergeCell ref="C583:C586"/>
    <mergeCell ref="N583:N590"/>
    <mergeCell ref="O583:O590"/>
    <mergeCell ref="P583:P590"/>
    <mergeCell ref="P575:P582"/>
    <mergeCell ref="Q575:Q582"/>
    <mergeCell ref="R575:R582"/>
    <mergeCell ref="S575:T582"/>
    <mergeCell ref="U575:U582"/>
    <mergeCell ref="V575:V582"/>
    <mergeCell ref="C571:C574"/>
    <mergeCell ref="A575:A582"/>
    <mergeCell ref="B575:B582"/>
    <mergeCell ref="C575:C578"/>
    <mergeCell ref="N575:N582"/>
    <mergeCell ref="O575:O582"/>
    <mergeCell ref="S567:T574"/>
    <mergeCell ref="U567:U574"/>
    <mergeCell ref="V567:V574"/>
    <mergeCell ref="W567:W574"/>
    <mergeCell ref="X567:X574"/>
    <mergeCell ref="Y567:Y574"/>
    <mergeCell ref="Y559:Y566"/>
    <mergeCell ref="C563:C566"/>
    <mergeCell ref="A567:A574"/>
    <mergeCell ref="B567:B574"/>
    <mergeCell ref="C567:C570"/>
    <mergeCell ref="N567:N574"/>
    <mergeCell ref="O567:O574"/>
    <mergeCell ref="P567:P574"/>
    <mergeCell ref="Q567:Q574"/>
    <mergeCell ref="R567:R574"/>
    <mergeCell ref="R559:R566"/>
    <mergeCell ref="S559:T566"/>
    <mergeCell ref="U559:U566"/>
    <mergeCell ref="V559:V566"/>
    <mergeCell ref="W559:W566"/>
    <mergeCell ref="X559:X566"/>
    <mergeCell ref="Y551:Y554"/>
    <mergeCell ref="C555:C558"/>
    <mergeCell ref="N555:Y558"/>
    <mergeCell ref="A559:A566"/>
    <mergeCell ref="B559:B566"/>
    <mergeCell ref="C559:C562"/>
    <mergeCell ref="N559:N566"/>
    <mergeCell ref="O559:O566"/>
    <mergeCell ref="P559:P566"/>
    <mergeCell ref="Q559:Q566"/>
    <mergeCell ref="S551:S554"/>
    <mergeCell ref="T551:T554"/>
    <mergeCell ref="U551:U554"/>
    <mergeCell ref="V551:V554"/>
    <mergeCell ref="W551:W554"/>
    <mergeCell ref="X551:X554"/>
    <mergeCell ref="V547:V550"/>
    <mergeCell ref="W547:W550"/>
    <mergeCell ref="X547:X550"/>
    <mergeCell ref="Y547:Y550"/>
    <mergeCell ref="C551:C554"/>
    <mergeCell ref="N551:N554"/>
    <mergeCell ref="O551:O554"/>
    <mergeCell ref="P551:P554"/>
    <mergeCell ref="Q551:Q554"/>
    <mergeCell ref="R551:R554"/>
    <mergeCell ref="Y543:Y546"/>
    <mergeCell ref="C547:C550"/>
    <mergeCell ref="N547:N550"/>
    <mergeCell ref="O547:O550"/>
    <mergeCell ref="P547:P550"/>
    <mergeCell ref="Q547:Q550"/>
    <mergeCell ref="R547:R550"/>
    <mergeCell ref="S547:S550"/>
    <mergeCell ref="T547:T550"/>
    <mergeCell ref="U547:U550"/>
    <mergeCell ref="S543:S546"/>
    <mergeCell ref="T543:T546"/>
    <mergeCell ref="U543:U546"/>
    <mergeCell ref="V543:V546"/>
    <mergeCell ref="W543:W546"/>
    <mergeCell ref="X543:X546"/>
    <mergeCell ref="V539:V542"/>
    <mergeCell ref="W539:W542"/>
    <mergeCell ref="X539:X542"/>
    <mergeCell ref="Y539:Y542"/>
    <mergeCell ref="C543:C546"/>
    <mergeCell ref="N543:N546"/>
    <mergeCell ref="O543:O546"/>
    <mergeCell ref="P543:P546"/>
    <mergeCell ref="Q543:Q546"/>
    <mergeCell ref="R543:R546"/>
    <mergeCell ref="Y535:Y538"/>
    <mergeCell ref="C539:C542"/>
    <mergeCell ref="N539:N542"/>
    <mergeCell ref="O539:O542"/>
    <mergeCell ref="P539:P542"/>
    <mergeCell ref="Q539:Q542"/>
    <mergeCell ref="R539:R542"/>
    <mergeCell ref="S539:S542"/>
    <mergeCell ref="T539:T542"/>
    <mergeCell ref="U539:U542"/>
    <mergeCell ref="S535:S538"/>
    <mergeCell ref="T535:T538"/>
    <mergeCell ref="U535:U538"/>
    <mergeCell ref="V535:V538"/>
    <mergeCell ref="W535:W538"/>
    <mergeCell ref="X535:X538"/>
    <mergeCell ref="V531:V534"/>
    <mergeCell ref="W531:W534"/>
    <mergeCell ref="X531:X534"/>
    <mergeCell ref="Y531:Y534"/>
    <mergeCell ref="C535:C538"/>
    <mergeCell ref="N535:N538"/>
    <mergeCell ref="O535:O538"/>
    <mergeCell ref="P535:P538"/>
    <mergeCell ref="Q535:Q538"/>
    <mergeCell ref="R535:R538"/>
    <mergeCell ref="Y527:Y530"/>
    <mergeCell ref="C531:C534"/>
    <mergeCell ref="N531:N534"/>
    <mergeCell ref="O531:O534"/>
    <mergeCell ref="P531:P534"/>
    <mergeCell ref="Q531:Q534"/>
    <mergeCell ref="R531:R534"/>
    <mergeCell ref="S531:S534"/>
    <mergeCell ref="T531:T534"/>
    <mergeCell ref="U531:U534"/>
    <mergeCell ref="S527:S530"/>
    <mergeCell ref="T527:T530"/>
    <mergeCell ref="U527:U530"/>
    <mergeCell ref="V527:V530"/>
    <mergeCell ref="W527:W530"/>
    <mergeCell ref="X527:X530"/>
    <mergeCell ref="V523:V526"/>
    <mergeCell ref="W523:W526"/>
    <mergeCell ref="X523:X526"/>
    <mergeCell ref="Y523:Y526"/>
    <mergeCell ref="C527:C530"/>
    <mergeCell ref="N527:N530"/>
    <mergeCell ref="O527:O530"/>
    <mergeCell ref="P527:P530"/>
    <mergeCell ref="Q527:Q530"/>
    <mergeCell ref="R527:R530"/>
    <mergeCell ref="Y519:Y522"/>
    <mergeCell ref="C523:C526"/>
    <mergeCell ref="N523:N526"/>
    <mergeCell ref="O523:O526"/>
    <mergeCell ref="P523:P526"/>
    <mergeCell ref="Q523:Q526"/>
    <mergeCell ref="R523:R526"/>
    <mergeCell ref="S523:S526"/>
    <mergeCell ref="T523:T526"/>
    <mergeCell ref="U523:U526"/>
    <mergeCell ref="S519:S522"/>
    <mergeCell ref="T519:T522"/>
    <mergeCell ref="U519:U522"/>
    <mergeCell ref="V519:V522"/>
    <mergeCell ref="W519:W522"/>
    <mergeCell ref="X519:X522"/>
    <mergeCell ref="V515:V518"/>
    <mergeCell ref="W515:W518"/>
    <mergeCell ref="X515:X518"/>
    <mergeCell ref="Y515:Y518"/>
    <mergeCell ref="C519:C522"/>
    <mergeCell ref="N519:N522"/>
    <mergeCell ref="O519:O522"/>
    <mergeCell ref="P519:P522"/>
    <mergeCell ref="Q519:Q522"/>
    <mergeCell ref="R519:R522"/>
    <mergeCell ref="Y511:Y514"/>
    <mergeCell ref="C515:C518"/>
    <mergeCell ref="N515:N518"/>
    <mergeCell ref="O515:O518"/>
    <mergeCell ref="P515:P518"/>
    <mergeCell ref="Q515:Q518"/>
    <mergeCell ref="R515:R518"/>
    <mergeCell ref="S515:S518"/>
    <mergeCell ref="T515:T518"/>
    <mergeCell ref="U515:U518"/>
    <mergeCell ref="S511:S514"/>
    <mergeCell ref="T511:T514"/>
    <mergeCell ref="U511:U514"/>
    <mergeCell ref="V511:V514"/>
    <mergeCell ref="W511:W514"/>
    <mergeCell ref="X511:X514"/>
    <mergeCell ref="V507:V510"/>
    <mergeCell ref="W507:W510"/>
    <mergeCell ref="X507:X510"/>
    <mergeCell ref="Y507:Y510"/>
    <mergeCell ref="C511:C514"/>
    <mergeCell ref="N511:N514"/>
    <mergeCell ref="O511:O514"/>
    <mergeCell ref="P511:P514"/>
    <mergeCell ref="Q511:Q514"/>
    <mergeCell ref="R511:R514"/>
    <mergeCell ref="Y503:Y506"/>
    <mergeCell ref="C507:C510"/>
    <mergeCell ref="N507:N510"/>
    <mergeCell ref="O507:O510"/>
    <mergeCell ref="P507:P510"/>
    <mergeCell ref="Q507:Q510"/>
    <mergeCell ref="R507:R510"/>
    <mergeCell ref="S507:S510"/>
    <mergeCell ref="T507:T510"/>
    <mergeCell ref="U507:U510"/>
    <mergeCell ref="S503:S506"/>
    <mergeCell ref="T503:T506"/>
    <mergeCell ref="U503:U506"/>
    <mergeCell ref="V503:V506"/>
    <mergeCell ref="W503:W506"/>
    <mergeCell ref="X503:X506"/>
    <mergeCell ref="V499:V502"/>
    <mergeCell ref="W499:W502"/>
    <mergeCell ref="X499:X502"/>
    <mergeCell ref="Y499:Y502"/>
    <mergeCell ref="C503:C506"/>
    <mergeCell ref="N503:N506"/>
    <mergeCell ref="O503:O506"/>
    <mergeCell ref="P503:P506"/>
    <mergeCell ref="Q503:Q506"/>
    <mergeCell ref="R503:R506"/>
    <mergeCell ref="Y495:Y498"/>
    <mergeCell ref="C499:C502"/>
    <mergeCell ref="N499:N502"/>
    <mergeCell ref="O499:O502"/>
    <mergeCell ref="P499:P502"/>
    <mergeCell ref="Q499:Q502"/>
    <mergeCell ref="R499:R502"/>
    <mergeCell ref="S499:S502"/>
    <mergeCell ref="T499:T502"/>
    <mergeCell ref="U499:U502"/>
    <mergeCell ref="S495:S498"/>
    <mergeCell ref="T495:T498"/>
    <mergeCell ref="U495:U498"/>
    <mergeCell ref="V495:V498"/>
    <mergeCell ref="W495:W498"/>
    <mergeCell ref="X495:X498"/>
    <mergeCell ref="V491:V494"/>
    <mergeCell ref="W491:W494"/>
    <mergeCell ref="X491:X494"/>
    <mergeCell ref="Y491:Y494"/>
    <mergeCell ref="C495:C498"/>
    <mergeCell ref="N495:N498"/>
    <mergeCell ref="O495:O498"/>
    <mergeCell ref="P495:P498"/>
    <mergeCell ref="Q495:Q498"/>
    <mergeCell ref="R495:R498"/>
    <mergeCell ref="Y487:Y490"/>
    <mergeCell ref="C491:C494"/>
    <mergeCell ref="N491:N494"/>
    <mergeCell ref="O491:O494"/>
    <mergeCell ref="P491:P494"/>
    <mergeCell ref="Q491:Q494"/>
    <mergeCell ref="R491:R494"/>
    <mergeCell ref="S491:S494"/>
    <mergeCell ref="T491:T494"/>
    <mergeCell ref="U491:U494"/>
    <mergeCell ref="S487:S490"/>
    <mergeCell ref="T487:T490"/>
    <mergeCell ref="U487:U490"/>
    <mergeCell ref="V487:V490"/>
    <mergeCell ref="W487:W490"/>
    <mergeCell ref="X487:X490"/>
    <mergeCell ref="V483:V486"/>
    <mergeCell ref="W483:W486"/>
    <mergeCell ref="X483:X486"/>
    <mergeCell ref="Y483:Y486"/>
    <mergeCell ref="C487:C490"/>
    <mergeCell ref="N487:N490"/>
    <mergeCell ref="O487:O490"/>
    <mergeCell ref="P487:P490"/>
    <mergeCell ref="Q487:Q490"/>
    <mergeCell ref="R487:R490"/>
    <mergeCell ref="Y479:Y482"/>
    <mergeCell ref="C483:C486"/>
    <mergeCell ref="N483:N486"/>
    <mergeCell ref="O483:O486"/>
    <mergeCell ref="P483:P486"/>
    <mergeCell ref="Q483:Q486"/>
    <mergeCell ref="R483:R486"/>
    <mergeCell ref="S483:S486"/>
    <mergeCell ref="T483:T486"/>
    <mergeCell ref="U483:U486"/>
    <mergeCell ref="S479:S482"/>
    <mergeCell ref="T479:T482"/>
    <mergeCell ref="U479:U482"/>
    <mergeCell ref="V479:V482"/>
    <mergeCell ref="W479:W482"/>
    <mergeCell ref="X479:X482"/>
    <mergeCell ref="V475:V478"/>
    <mergeCell ref="W475:W478"/>
    <mergeCell ref="X475:X478"/>
    <mergeCell ref="Y475:Y478"/>
    <mergeCell ref="C479:C482"/>
    <mergeCell ref="N479:N482"/>
    <mergeCell ref="O479:O482"/>
    <mergeCell ref="P479:P482"/>
    <mergeCell ref="Q479:Q482"/>
    <mergeCell ref="R479:R482"/>
    <mergeCell ref="Y471:Y474"/>
    <mergeCell ref="C475:C478"/>
    <mergeCell ref="N475:N478"/>
    <mergeCell ref="O475:O478"/>
    <mergeCell ref="P475:P478"/>
    <mergeCell ref="Q475:Q478"/>
    <mergeCell ref="R475:R478"/>
    <mergeCell ref="S475:S478"/>
    <mergeCell ref="T475:T478"/>
    <mergeCell ref="U475:U478"/>
    <mergeCell ref="R471:R474"/>
    <mergeCell ref="S471:T474"/>
    <mergeCell ref="U471:U474"/>
    <mergeCell ref="V471:V474"/>
    <mergeCell ref="W471:W474"/>
    <mergeCell ref="X471:X474"/>
    <mergeCell ref="X463:X470"/>
    <mergeCell ref="Y463:Y470"/>
    <mergeCell ref="C467:C470"/>
    <mergeCell ref="A471:A558"/>
    <mergeCell ref="B471:B558"/>
    <mergeCell ref="C471:C474"/>
    <mergeCell ref="N471:N474"/>
    <mergeCell ref="O471:O474"/>
    <mergeCell ref="P471:P474"/>
    <mergeCell ref="Q471:Q474"/>
    <mergeCell ref="Q463:Q470"/>
    <mergeCell ref="R463:R470"/>
    <mergeCell ref="S463:T470"/>
    <mergeCell ref="U463:U470"/>
    <mergeCell ref="V463:V470"/>
    <mergeCell ref="W463:W470"/>
    <mergeCell ref="W455:W462"/>
    <mergeCell ref="X455:X462"/>
    <mergeCell ref="Y455:Y462"/>
    <mergeCell ref="C459:C462"/>
    <mergeCell ref="A463:A470"/>
    <mergeCell ref="B463:B470"/>
    <mergeCell ref="C463:C466"/>
    <mergeCell ref="N463:N470"/>
    <mergeCell ref="O463:O470"/>
    <mergeCell ref="P463:P470"/>
    <mergeCell ref="P455:P462"/>
    <mergeCell ref="Q455:Q462"/>
    <mergeCell ref="R455:R462"/>
    <mergeCell ref="S455:T462"/>
    <mergeCell ref="U455:U462"/>
    <mergeCell ref="V455:V462"/>
    <mergeCell ref="C451:C454"/>
    <mergeCell ref="A455:A462"/>
    <mergeCell ref="B455:B462"/>
    <mergeCell ref="C455:C458"/>
    <mergeCell ref="N455:N462"/>
    <mergeCell ref="O455:O462"/>
    <mergeCell ref="S447:T454"/>
    <mergeCell ref="U447:U454"/>
    <mergeCell ref="V447:V454"/>
    <mergeCell ref="W447:W454"/>
    <mergeCell ref="X447:X454"/>
    <mergeCell ref="Y447:Y454"/>
    <mergeCell ref="Y439:Y446"/>
    <mergeCell ref="C443:C446"/>
    <mergeCell ref="A447:A454"/>
    <mergeCell ref="B447:B454"/>
    <mergeCell ref="C447:C450"/>
    <mergeCell ref="N447:N454"/>
    <mergeCell ref="O447:O454"/>
    <mergeCell ref="P447:P454"/>
    <mergeCell ref="Q447:Q454"/>
    <mergeCell ref="R447:R454"/>
    <mergeCell ref="R439:R446"/>
    <mergeCell ref="S439:T446"/>
    <mergeCell ref="U439:U446"/>
    <mergeCell ref="V439:V446"/>
    <mergeCell ref="W439:W446"/>
    <mergeCell ref="X439:X446"/>
    <mergeCell ref="Y431:Y434"/>
    <mergeCell ref="C435:C438"/>
    <mergeCell ref="N435:Y438"/>
    <mergeCell ref="A439:A446"/>
    <mergeCell ref="B439:B446"/>
    <mergeCell ref="C439:C442"/>
    <mergeCell ref="N439:N446"/>
    <mergeCell ref="O439:O446"/>
    <mergeCell ref="P439:P446"/>
    <mergeCell ref="Q439:Q446"/>
    <mergeCell ref="S431:S434"/>
    <mergeCell ref="T431:T434"/>
    <mergeCell ref="U431:U434"/>
    <mergeCell ref="V431:V434"/>
    <mergeCell ref="W431:W434"/>
    <mergeCell ref="X431:X434"/>
    <mergeCell ref="V427:V430"/>
    <mergeCell ref="W427:W430"/>
    <mergeCell ref="X427:X430"/>
    <mergeCell ref="Y427:Y430"/>
    <mergeCell ref="C431:C434"/>
    <mergeCell ref="N431:N434"/>
    <mergeCell ref="O431:O434"/>
    <mergeCell ref="P431:P434"/>
    <mergeCell ref="Q431:Q434"/>
    <mergeCell ref="R431:R434"/>
    <mergeCell ref="Y423:Y426"/>
    <mergeCell ref="C427:C430"/>
    <mergeCell ref="N427:N430"/>
    <mergeCell ref="O427:O430"/>
    <mergeCell ref="P427:P430"/>
    <mergeCell ref="Q427:Q430"/>
    <mergeCell ref="R427:R430"/>
    <mergeCell ref="S427:S430"/>
    <mergeCell ref="T427:T430"/>
    <mergeCell ref="U427:U430"/>
    <mergeCell ref="S423:S426"/>
    <mergeCell ref="T423:T426"/>
    <mergeCell ref="U423:U426"/>
    <mergeCell ref="V423:V426"/>
    <mergeCell ref="W423:W426"/>
    <mergeCell ref="X423:X426"/>
    <mergeCell ref="V419:V422"/>
    <mergeCell ref="W419:W422"/>
    <mergeCell ref="X419:X422"/>
    <mergeCell ref="Y419:Y422"/>
    <mergeCell ref="C423:C426"/>
    <mergeCell ref="N423:N426"/>
    <mergeCell ref="O423:O426"/>
    <mergeCell ref="P423:P426"/>
    <mergeCell ref="Q423:Q426"/>
    <mergeCell ref="R423:R426"/>
    <mergeCell ref="Y415:Y418"/>
    <mergeCell ref="C419:C422"/>
    <mergeCell ref="N419:N422"/>
    <mergeCell ref="O419:O422"/>
    <mergeCell ref="P419:P422"/>
    <mergeCell ref="Q419:Q422"/>
    <mergeCell ref="R419:R422"/>
    <mergeCell ref="S419:S422"/>
    <mergeCell ref="T419:T422"/>
    <mergeCell ref="U419:U422"/>
    <mergeCell ref="S415:S418"/>
    <mergeCell ref="T415:T418"/>
    <mergeCell ref="U415:U418"/>
    <mergeCell ref="V415:V418"/>
    <mergeCell ref="W415:W418"/>
    <mergeCell ref="X415:X418"/>
    <mergeCell ref="V411:V414"/>
    <mergeCell ref="W411:W414"/>
    <mergeCell ref="X411:X414"/>
    <mergeCell ref="Y411:Y414"/>
    <mergeCell ref="C415:C418"/>
    <mergeCell ref="N415:N418"/>
    <mergeCell ref="O415:O418"/>
    <mergeCell ref="P415:P418"/>
    <mergeCell ref="Q415:Q418"/>
    <mergeCell ref="R415:R418"/>
    <mergeCell ref="Y407:Y410"/>
    <mergeCell ref="C411:C414"/>
    <mergeCell ref="N411:N414"/>
    <mergeCell ref="O411:O414"/>
    <mergeCell ref="P411:P414"/>
    <mergeCell ref="Q411:Q414"/>
    <mergeCell ref="R411:R414"/>
    <mergeCell ref="S411:S414"/>
    <mergeCell ref="T411:T414"/>
    <mergeCell ref="U411:U414"/>
    <mergeCell ref="S407:S410"/>
    <mergeCell ref="T407:T410"/>
    <mergeCell ref="U407:U410"/>
    <mergeCell ref="V407:V410"/>
    <mergeCell ref="W407:W410"/>
    <mergeCell ref="X407:X410"/>
    <mergeCell ref="V403:V406"/>
    <mergeCell ref="W403:W406"/>
    <mergeCell ref="X403:X406"/>
    <mergeCell ref="Y403:Y406"/>
    <mergeCell ref="C407:C410"/>
    <mergeCell ref="N407:N410"/>
    <mergeCell ref="O407:O410"/>
    <mergeCell ref="P407:P410"/>
    <mergeCell ref="Q407:Q410"/>
    <mergeCell ref="R407:R410"/>
    <mergeCell ref="Y399:Y402"/>
    <mergeCell ref="C403:C406"/>
    <mergeCell ref="N403:N406"/>
    <mergeCell ref="O403:O406"/>
    <mergeCell ref="P403:P406"/>
    <mergeCell ref="Q403:Q406"/>
    <mergeCell ref="R403:R406"/>
    <mergeCell ref="S403:S406"/>
    <mergeCell ref="T403:T406"/>
    <mergeCell ref="U403:U406"/>
    <mergeCell ref="S399:S402"/>
    <mergeCell ref="T399:T402"/>
    <mergeCell ref="U399:U402"/>
    <mergeCell ref="V399:V402"/>
    <mergeCell ref="W399:W402"/>
    <mergeCell ref="X399:X402"/>
    <mergeCell ref="V395:V398"/>
    <mergeCell ref="W395:W398"/>
    <mergeCell ref="X395:X398"/>
    <mergeCell ref="Y395:Y398"/>
    <mergeCell ref="C399:C402"/>
    <mergeCell ref="N399:N402"/>
    <mergeCell ref="O399:O402"/>
    <mergeCell ref="P399:P402"/>
    <mergeCell ref="Q399:Q402"/>
    <mergeCell ref="R399:R402"/>
    <mergeCell ref="Y391:Y394"/>
    <mergeCell ref="C395:C398"/>
    <mergeCell ref="N395:N398"/>
    <mergeCell ref="O395:O398"/>
    <mergeCell ref="P395:P398"/>
    <mergeCell ref="Q395:Q398"/>
    <mergeCell ref="R395:R398"/>
    <mergeCell ref="S395:S398"/>
    <mergeCell ref="T395:T398"/>
    <mergeCell ref="U395:U398"/>
    <mergeCell ref="S391:S394"/>
    <mergeCell ref="T391:T394"/>
    <mergeCell ref="U391:U394"/>
    <mergeCell ref="V391:V394"/>
    <mergeCell ref="W391:W394"/>
    <mergeCell ref="X391:X394"/>
    <mergeCell ref="V387:V390"/>
    <mergeCell ref="W387:W390"/>
    <mergeCell ref="X387:X390"/>
    <mergeCell ref="Y387:Y390"/>
    <mergeCell ref="C391:C394"/>
    <mergeCell ref="N391:N394"/>
    <mergeCell ref="O391:O394"/>
    <mergeCell ref="P391:P394"/>
    <mergeCell ref="Q391:Q394"/>
    <mergeCell ref="R391:R394"/>
    <mergeCell ref="Y383:Y386"/>
    <mergeCell ref="C387:C390"/>
    <mergeCell ref="N387:N390"/>
    <mergeCell ref="O387:O390"/>
    <mergeCell ref="P387:P390"/>
    <mergeCell ref="Q387:Q390"/>
    <mergeCell ref="R387:R390"/>
    <mergeCell ref="S387:S390"/>
    <mergeCell ref="T387:T390"/>
    <mergeCell ref="U387:U390"/>
    <mergeCell ref="S383:S386"/>
    <mergeCell ref="T383:T386"/>
    <mergeCell ref="U383:U386"/>
    <mergeCell ref="V383:V386"/>
    <mergeCell ref="W383:W386"/>
    <mergeCell ref="X383:X386"/>
    <mergeCell ref="V379:V382"/>
    <mergeCell ref="W379:W382"/>
    <mergeCell ref="X379:X382"/>
    <mergeCell ref="Y379:Y382"/>
    <mergeCell ref="C383:C386"/>
    <mergeCell ref="N383:N386"/>
    <mergeCell ref="O383:O386"/>
    <mergeCell ref="P383:P386"/>
    <mergeCell ref="Q383:Q386"/>
    <mergeCell ref="R383:R386"/>
    <mergeCell ref="Y375:Y378"/>
    <mergeCell ref="C379:C382"/>
    <mergeCell ref="N379:N382"/>
    <mergeCell ref="O379:O382"/>
    <mergeCell ref="P379:P382"/>
    <mergeCell ref="Q379:Q382"/>
    <mergeCell ref="R379:R382"/>
    <mergeCell ref="S379:S382"/>
    <mergeCell ref="T379:T382"/>
    <mergeCell ref="U379:U382"/>
    <mergeCell ref="S375:S378"/>
    <mergeCell ref="T375:T378"/>
    <mergeCell ref="U375:U378"/>
    <mergeCell ref="V375:V378"/>
    <mergeCell ref="W375:W378"/>
    <mergeCell ref="X375:X378"/>
    <mergeCell ref="V371:V374"/>
    <mergeCell ref="W371:W374"/>
    <mergeCell ref="X371:X374"/>
    <mergeCell ref="Y371:Y374"/>
    <mergeCell ref="C375:C378"/>
    <mergeCell ref="N375:N378"/>
    <mergeCell ref="O375:O378"/>
    <mergeCell ref="P375:P378"/>
    <mergeCell ref="Q375:Q378"/>
    <mergeCell ref="R375:R378"/>
    <mergeCell ref="Y367:Y370"/>
    <mergeCell ref="C371:C374"/>
    <mergeCell ref="N371:N374"/>
    <mergeCell ref="O371:O374"/>
    <mergeCell ref="P371:P374"/>
    <mergeCell ref="Q371:Q374"/>
    <mergeCell ref="R371:R374"/>
    <mergeCell ref="S371:S374"/>
    <mergeCell ref="T371:T374"/>
    <mergeCell ref="U371:U374"/>
    <mergeCell ref="S367:S370"/>
    <mergeCell ref="T367:T370"/>
    <mergeCell ref="U367:U370"/>
    <mergeCell ref="V367:V370"/>
    <mergeCell ref="W367:W370"/>
    <mergeCell ref="X367:X370"/>
    <mergeCell ref="V363:V366"/>
    <mergeCell ref="W363:W366"/>
    <mergeCell ref="X363:X366"/>
    <mergeCell ref="Y363:Y366"/>
    <mergeCell ref="C367:C370"/>
    <mergeCell ref="N367:N370"/>
    <mergeCell ref="O367:O370"/>
    <mergeCell ref="P367:P370"/>
    <mergeCell ref="Q367:Q370"/>
    <mergeCell ref="R367:R370"/>
    <mergeCell ref="Y359:Y362"/>
    <mergeCell ref="C363:C366"/>
    <mergeCell ref="N363:N366"/>
    <mergeCell ref="O363:O366"/>
    <mergeCell ref="P363:P366"/>
    <mergeCell ref="Q363:Q366"/>
    <mergeCell ref="R363:R366"/>
    <mergeCell ref="S363:S366"/>
    <mergeCell ref="T363:T366"/>
    <mergeCell ref="U363:U366"/>
    <mergeCell ref="S359:S362"/>
    <mergeCell ref="T359:T362"/>
    <mergeCell ref="U359:U362"/>
    <mergeCell ref="V359:V362"/>
    <mergeCell ref="W359:W362"/>
    <mergeCell ref="X359:X362"/>
    <mergeCell ref="C359:C362"/>
    <mergeCell ref="N359:N362"/>
    <mergeCell ref="O359:O362"/>
    <mergeCell ref="P359:P362"/>
    <mergeCell ref="Q359:Q362"/>
    <mergeCell ref="R359:R362"/>
    <mergeCell ref="T355:T358"/>
    <mergeCell ref="U355:U358"/>
    <mergeCell ref="V355:V358"/>
    <mergeCell ref="W355:W358"/>
    <mergeCell ref="X355:X358"/>
    <mergeCell ref="Y355:Y358"/>
    <mergeCell ref="W351:W354"/>
    <mergeCell ref="X351:X354"/>
    <mergeCell ref="Y351:Y354"/>
    <mergeCell ref="C355:C358"/>
    <mergeCell ref="N355:N358"/>
    <mergeCell ref="O355:O358"/>
    <mergeCell ref="P355:P358"/>
    <mergeCell ref="Q355:Q358"/>
    <mergeCell ref="R355:R358"/>
    <mergeCell ref="S355:S358"/>
    <mergeCell ref="Q351:Q354"/>
    <mergeCell ref="R351:R354"/>
    <mergeCell ref="S351:S354"/>
    <mergeCell ref="T351:T354"/>
    <mergeCell ref="U351:U354"/>
    <mergeCell ref="V351:V354"/>
    <mergeCell ref="W343:W350"/>
    <mergeCell ref="X343:X350"/>
    <mergeCell ref="Y343:Y350"/>
    <mergeCell ref="C347:C350"/>
    <mergeCell ref="A351:A438"/>
    <mergeCell ref="B351:B438"/>
    <mergeCell ref="C351:C354"/>
    <mergeCell ref="N351:N354"/>
    <mergeCell ref="O351:O354"/>
    <mergeCell ref="P351:P354"/>
    <mergeCell ref="P343:P350"/>
    <mergeCell ref="Q343:Q350"/>
    <mergeCell ref="R343:R350"/>
    <mergeCell ref="S343:T350"/>
    <mergeCell ref="U343:U350"/>
    <mergeCell ref="V343:V350"/>
    <mergeCell ref="C339:C342"/>
    <mergeCell ref="A343:A350"/>
    <mergeCell ref="B343:B350"/>
    <mergeCell ref="C343:C346"/>
    <mergeCell ref="N343:N350"/>
    <mergeCell ref="O343:O350"/>
    <mergeCell ref="S335:T342"/>
    <mergeCell ref="U335:U342"/>
    <mergeCell ref="V335:V342"/>
    <mergeCell ref="W335:W342"/>
    <mergeCell ref="X335:X342"/>
    <mergeCell ref="Y335:Y342"/>
    <mergeCell ref="C331:C334"/>
    <mergeCell ref="N331:Y334"/>
    <mergeCell ref="A335:A342"/>
    <mergeCell ref="B335:B342"/>
    <mergeCell ref="C335:C338"/>
    <mergeCell ref="N335:N342"/>
    <mergeCell ref="O335:O342"/>
    <mergeCell ref="P335:P342"/>
    <mergeCell ref="Q335:Q342"/>
    <mergeCell ref="R335:R342"/>
    <mergeCell ref="S327:T330"/>
    <mergeCell ref="U327:U330"/>
    <mergeCell ref="V327:V330"/>
    <mergeCell ref="W327:W330"/>
    <mergeCell ref="X327:X330"/>
    <mergeCell ref="Y327:Y330"/>
    <mergeCell ref="C327:C330"/>
    <mergeCell ref="N327:N330"/>
    <mergeCell ref="O327:O330"/>
    <mergeCell ref="P327:P330"/>
    <mergeCell ref="Q327:Q330"/>
    <mergeCell ref="R327:R330"/>
    <mergeCell ref="S323:T326"/>
    <mergeCell ref="U323:U326"/>
    <mergeCell ref="V323:V326"/>
    <mergeCell ref="W323:W326"/>
    <mergeCell ref="X323:X326"/>
    <mergeCell ref="Y323:Y326"/>
    <mergeCell ref="C323:C326"/>
    <mergeCell ref="N323:N326"/>
    <mergeCell ref="O323:O326"/>
    <mergeCell ref="P323:P326"/>
    <mergeCell ref="Q323:Q326"/>
    <mergeCell ref="R323:R326"/>
    <mergeCell ref="S319:T322"/>
    <mergeCell ref="U319:U322"/>
    <mergeCell ref="V319:V322"/>
    <mergeCell ref="W319:W322"/>
    <mergeCell ref="X319:X322"/>
    <mergeCell ref="Y319:Y322"/>
    <mergeCell ref="C319:C322"/>
    <mergeCell ref="N319:N322"/>
    <mergeCell ref="O319:O322"/>
    <mergeCell ref="P319:P322"/>
    <mergeCell ref="Q319:Q322"/>
    <mergeCell ref="R319:R322"/>
    <mergeCell ref="S315:T318"/>
    <mergeCell ref="U315:U318"/>
    <mergeCell ref="V315:V318"/>
    <mergeCell ref="W315:W318"/>
    <mergeCell ref="X315:X318"/>
    <mergeCell ref="Y315:Y318"/>
    <mergeCell ref="C315:C318"/>
    <mergeCell ref="N315:N318"/>
    <mergeCell ref="O315:O318"/>
    <mergeCell ref="P315:P318"/>
    <mergeCell ref="Q315:Q318"/>
    <mergeCell ref="R315:R318"/>
    <mergeCell ref="S311:T314"/>
    <mergeCell ref="U311:U314"/>
    <mergeCell ref="V311:V314"/>
    <mergeCell ref="W311:W314"/>
    <mergeCell ref="X311:X314"/>
    <mergeCell ref="Y311:Y314"/>
    <mergeCell ref="C311:C314"/>
    <mergeCell ref="N311:N314"/>
    <mergeCell ref="O311:O314"/>
    <mergeCell ref="P311:P314"/>
    <mergeCell ref="Q311:Q314"/>
    <mergeCell ref="R311:R314"/>
    <mergeCell ref="S307:T310"/>
    <mergeCell ref="U307:U310"/>
    <mergeCell ref="V307:V310"/>
    <mergeCell ref="W307:W310"/>
    <mergeCell ref="X307:X310"/>
    <mergeCell ref="Y307:Y310"/>
    <mergeCell ref="C307:C310"/>
    <mergeCell ref="N307:N310"/>
    <mergeCell ref="O307:O310"/>
    <mergeCell ref="P307:P310"/>
    <mergeCell ref="Q307:Q310"/>
    <mergeCell ref="R307:R310"/>
    <mergeCell ref="S303:T306"/>
    <mergeCell ref="U303:U306"/>
    <mergeCell ref="V303:V306"/>
    <mergeCell ref="W303:W306"/>
    <mergeCell ref="X303:X306"/>
    <mergeCell ref="Y303:Y306"/>
    <mergeCell ref="C303:C306"/>
    <mergeCell ref="N303:N306"/>
    <mergeCell ref="O303:O306"/>
    <mergeCell ref="P303:P306"/>
    <mergeCell ref="Q303:Q306"/>
    <mergeCell ref="R303:R306"/>
    <mergeCell ref="S299:T302"/>
    <mergeCell ref="U299:U302"/>
    <mergeCell ref="V299:V302"/>
    <mergeCell ref="W299:W302"/>
    <mergeCell ref="X299:X302"/>
    <mergeCell ref="Y299:Y302"/>
    <mergeCell ref="C299:C302"/>
    <mergeCell ref="N299:N302"/>
    <mergeCell ref="O299:O302"/>
    <mergeCell ref="P299:P302"/>
    <mergeCell ref="Q299:Q302"/>
    <mergeCell ref="R299:R302"/>
    <mergeCell ref="S295:T298"/>
    <mergeCell ref="U295:U298"/>
    <mergeCell ref="V295:V298"/>
    <mergeCell ref="W295:W298"/>
    <mergeCell ref="X295:X298"/>
    <mergeCell ref="Y295:Y298"/>
    <mergeCell ref="C295:C298"/>
    <mergeCell ref="N295:N298"/>
    <mergeCell ref="O295:O298"/>
    <mergeCell ref="P295:P298"/>
    <mergeCell ref="Q295:Q298"/>
    <mergeCell ref="R295:R298"/>
    <mergeCell ref="S291:T294"/>
    <mergeCell ref="U291:U294"/>
    <mergeCell ref="V291:V294"/>
    <mergeCell ref="W291:W294"/>
    <mergeCell ref="X291:X294"/>
    <mergeCell ref="Y291:Y294"/>
    <mergeCell ref="C291:C294"/>
    <mergeCell ref="N291:N294"/>
    <mergeCell ref="O291:O294"/>
    <mergeCell ref="P291:P294"/>
    <mergeCell ref="Q291:Q294"/>
    <mergeCell ref="R291:R294"/>
    <mergeCell ref="S287:T290"/>
    <mergeCell ref="U287:U290"/>
    <mergeCell ref="V287:V290"/>
    <mergeCell ref="W287:W290"/>
    <mergeCell ref="X287:X290"/>
    <mergeCell ref="Y287:Y290"/>
    <mergeCell ref="C287:C290"/>
    <mergeCell ref="N287:N290"/>
    <mergeCell ref="O287:O290"/>
    <mergeCell ref="P287:P290"/>
    <mergeCell ref="Q287:Q290"/>
    <mergeCell ref="R287:R290"/>
    <mergeCell ref="S283:T286"/>
    <mergeCell ref="U283:U286"/>
    <mergeCell ref="V283:V286"/>
    <mergeCell ref="W283:W286"/>
    <mergeCell ref="X283:X286"/>
    <mergeCell ref="Y283:Y286"/>
    <mergeCell ref="C283:C286"/>
    <mergeCell ref="N283:N286"/>
    <mergeCell ref="O283:O286"/>
    <mergeCell ref="P283:P286"/>
    <mergeCell ref="Q283:Q286"/>
    <mergeCell ref="R283:R286"/>
    <mergeCell ref="S279:T282"/>
    <mergeCell ref="U279:U282"/>
    <mergeCell ref="V279:V282"/>
    <mergeCell ref="W279:W282"/>
    <mergeCell ref="X279:X282"/>
    <mergeCell ref="Y279:Y282"/>
    <mergeCell ref="C279:C282"/>
    <mergeCell ref="N279:N282"/>
    <mergeCell ref="O279:O282"/>
    <mergeCell ref="P279:P282"/>
    <mergeCell ref="Q279:Q282"/>
    <mergeCell ref="R279:R282"/>
    <mergeCell ref="S275:T278"/>
    <mergeCell ref="U275:U278"/>
    <mergeCell ref="V275:V278"/>
    <mergeCell ref="W275:W278"/>
    <mergeCell ref="X275:X278"/>
    <mergeCell ref="Y275:Y278"/>
    <mergeCell ref="C271:C274"/>
    <mergeCell ref="N271:Y274"/>
    <mergeCell ref="A275:A334"/>
    <mergeCell ref="B275:B334"/>
    <mergeCell ref="C275:C278"/>
    <mergeCell ref="N275:N278"/>
    <mergeCell ref="O275:O278"/>
    <mergeCell ref="P275:P278"/>
    <mergeCell ref="Q275:Q278"/>
    <mergeCell ref="R275:R278"/>
    <mergeCell ref="S267:T270"/>
    <mergeCell ref="U267:U270"/>
    <mergeCell ref="V267:V270"/>
    <mergeCell ref="W267:W270"/>
    <mergeCell ref="X267:X270"/>
    <mergeCell ref="Y267:Y270"/>
    <mergeCell ref="V263:V266"/>
    <mergeCell ref="W263:W266"/>
    <mergeCell ref="X263:X266"/>
    <mergeCell ref="Y263:Y266"/>
    <mergeCell ref="C267:C270"/>
    <mergeCell ref="N267:N270"/>
    <mergeCell ref="O267:O270"/>
    <mergeCell ref="P267:P270"/>
    <mergeCell ref="Q267:Q270"/>
    <mergeCell ref="R267:R270"/>
    <mergeCell ref="Y259:Y262"/>
    <mergeCell ref="C263:C266"/>
    <mergeCell ref="N263:N266"/>
    <mergeCell ref="O263:O266"/>
    <mergeCell ref="P263:P266"/>
    <mergeCell ref="Q263:Q266"/>
    <mergeCell ref="R263:R266"/>
    <mergeCell ref="S263:S266"/>
    <mergeCell ref="T263:T266"/>
    <mergeCell ref="U263:U266"/>
    <mergeCell ref="S259:S262"/>
    <mergeCell ref="T259:T262"/>
    <mergeCell ref="U259:U262"/>
    <mergeCell ref="V259:V262"/>
    <mergeCell ref="W259:W262"/>
    <mergeCell ref="X259:X262"/>
    <mergeCell ref="C259:C262"/>
    <mergeCell ref="N259:N262"/>
    <mergeCell ref="O259:O262"/>
    <mergeCell ref="P259:P262"/>
    <mergeCell ref="Q259:Q262"/>
    <mergeCell ref="R259:R262"/>
    <mergeCell ref="S255:T258"/>
    <mergeCell ref="U255:U258"/>
    <mergeCell ref="V255:V258"/>
    <mergeCell ref="W255:W258"/>
    <mergeCell ref="X255:X258"/>
    <mergeCell ref="Y255:Y258"/>
    <mergeCell ref="C255:C258"/>
    <mergeCell ref="N255:N258"/>
    <mergeCell ref="O255:O258"/>
    <mergeCell ref="P255:P258"/>
    <mergeCell ref="Q255:Q258"/>
    <mergeCell ref="R255:R258"/>
    <mergeCell ref="S251:T254"/>
    <mergeCell ref="U251:U254"/>
    <mergeCell ref="V251:V254"/>
    <mergeCell ref="W251:W254"/>
    <mergeCell ref="X251:X254"/>
    <mergeCell ref="Y251:Y254"/>
    <mergeCell ref="C251:C254"/>
    <mergeCell ref="N251:N254"/>
    <mergeCell ref="O251:O254"/>
    <mergeCell ref="P251:P254"/>
    <mergeCell ref="Q251:Q254"/>
    <mergeCell ref="R251:R254"/>
    <mergeCell ref="S247:T250"/>
    <mergeCell ref="U247:U250"/>
    <mergeCell ref="V247:V250"/>
    <mergeCell ref="W247:W250"/>
    <mergeCell ref="X247:X250"/>
    <mergeCell ref="Y247:Y250"/>
    <mergeCell ref="C247:C250"/>
    <mergeCell ref="N247:N250"/>
    <mergeCell ref="O247:O250"/>
    <mergeCell ref="P247:P250"/>
    <mergeCell ref="Q247:Q250"/>
    <mergeCell ref="R247:R250"/>
    <mergeCell ref="S243:T246"/>
    <mergeCell ref="U243:U246"/>
    <mergeCell ref="V243:V246"/>
    <mergeCell ref="W243:W246"/>
    <mergeCell ref="X243:X246"/>
    <mergeCell ref="Y243:Y246"/>
    <mergeCell ref="C243:C246"/>
    <mergeCell ref="N243:N246"/>
    <mergeCell ref="O243:O246"/>
    <mergeCell ref="P243:P246"/>
    <mergeCell ref="Q243:Q246"/>
    <mergeCell ref="R243:R246"/>
    <mergeCell ref="S239:T242"/>
    <mergeCell ref="U239:U242"/>
    <mergeCell ref="V239:V242"/>
    <mergeCell ref="W239:W242"/>
    <mergeCell ref="X239:X242"/>
    <mergeCell ref="Y239:Y242"/>
    <mergeCell ref="C239:C242"/>
    <mergeCell ref="N239:N242"/>
    <mergeCell ref="O239:O242"/>
    <mergeCell ref="P239:P242"/>
    <mergeCell ref="Q239:Q242"/>
    <mergeCell ref="R239:R242"/>
    <mergeCell ref="S235:T238"/>
    <mergeCell ref="U235:U238"/>
    <mergeCell ref="V235:V238"/>
    <mergeCell ref="W235:W238"/>
    <mergeCell ref="X235:X238"/>
    <mergeCell ref="Y235:Y238"/>
    <mergeCell ref="C235:C238"/>
    <mergeCell ref="N235:N238"/>
    <mergeCell ref="O235:O238"/>
    <mergeCell ref="P235:P238"/>
    <mergeCell ref="Q235:Q238"/>
    <mergeCell ref="R235:R238"/>
    <mergeCell ref="S231:T234"/>
    <mergeCell ref="U231:U234"/>
    <mergeCell ref="V231:V234"/>
    <mergeCell ref="W231:W234"/>
    <mergeCell ref="X231:X234"/>
    <mergeCell ref="Y231:Y234"/>
    <mergeCell ref="C231:C234"/>
    <mergeCell ref="N231:N234"/>
    <mergeCell ref="O231:O234"/>
    <mergeCell ref="P231:P234"/>
    <mergeCell ref="Q231:Q234"/>
    <mergeCell ref="R231:R234"/>
    <mergeCell ref="S227:T230"/>
    <mergeCell ref="U227:U230"/>
    <mergeCell ref="V227:V230"/>
    <mergeCell ref="W227:W230"/>
    <mergeCell ref="X227:X230"/>
    <mergeCell ref="Y227:Y230"/>
    <mergeCell ref="C227:C230"/>
    <mergeCell ref="N227:N230"/>
    <mergeCell ref="O227:O230"/>
    <mergeCell ref="P227:P230"/>
    <mergeCell ref="Q227:Q230"/>
    <mergeCell ref="R227:R230"/>
    <mergeCell ref="S223:T226"/>
    <mergeCell ref="U223:U226"/>
    <mergeCell ref="V223:V226"/>
    <mergeCell ref="W223:W226"/>
    <mergeCell ref="X223:X226"/>
    <mergeCell ref="Y223:Y226"/>
    <mergeCell ref="C223:C226"/>
    <mergeCell ref="N223:N226"/>
    <mergeCell ref="O223:O226"/>
    <mergeCell ref="P223:P226"/>
    <mergeCell ref="Q223:Q226"/>
    <mergeCell ref="R223:R226"/>
    <mergeCell ref="S219:T222"/>
    <mergeCell ref="U219:U222"/>
    <mergeCell ref="V219:V222"/>
    <mergeCell ref="W219:W222"/>
    <mergeCell ref="X219:X222"/>
    <mergeCell ref="Y219:Y222"/>
    <mergeCell ref="C219:C222"/>
    <mergeCell ref="N219:N222"/>
    <mergeCell ref="O219:O222"/>
    <mergeCell ref="P219:P222"/>
    <mergeCell ref="Q219:Q222"/>
    <mergeCell ref="R219:R222"/>
    <mergeCell ref="S215:T218"/>
    <mergeCell ref="U215:U218"/>
    <mergeCell ref="V215:V218"/>
    <mergeCell ref="W215:W218"/>
    <mergeCell ref="X215:X218"/>
    <mergeCell ref="Y215:Y218"/>
    <mergeCell ref="C215:C218"/>
    <mergeCell ref="N215:N218"/>
    <mergeCell ref="O215:O218"/>
    <mergeCell ref="P215:P218"/>
    <mergeCell ref="Q215:Q218"/>
    <mergeCell ref="R215:R218"/>
    <mergeCell ref="S211:T214"/>
    <mergeCell ref="U211:U214"/>
    <mergeCell ref="V211:V214"/>
    <mergeCell ref="W211:W214"/>
    <mergeCell ref="X211:X214"/>
    <mergeCell ref="Y211:Y214"/>
    <mergeCell ref="C211:C214"/>
    <mergeCell ref="N211:N214"/>
    <mergeCell ref="O211:O214"/>
    <mergeCell ref="P211:P214"/>
    <mergeCell ref="Q211:Q214"/>
    <mergeCell ref="R211:R214"/>
    <mergeCell ref="S207:T210"/>
    <mergeCell ref="U207:U210"/>
    <mergeCell ref="V207:V210"/>
    <mergeCell ref="W207:W210"/>
    <mergeCell ref="X207:X210"/>
    <mergeCell ref="Y207:Y210"/>
    <mergeCell ref="C207:C210"/>
    <mergeCell ref="N207:N210"/>
    <mergeCell ref="O207:O210"/>
    <mergeCell ref="P207:P210"/>
    <mergeCell ref="Q207:Q210"/>
    <mergeCell ref="R207:R210"/>
    <mergeCell ref="S203:T206"/>
    <mergeCell ref="U203:U206"/>
    <mergeCell ref="V203:V206"/>
    <mergeCell ref="W203:W206"/>
    <mergeCell ref="X203:X206"/>
    <mergeCell ref="Y203:Y206"/>
    <mergeCell ref="C203:C206"/>
    <mergeCell ref="N203:N206"/>
    <mergeCell ref="O203:O206"/>
    <mergeCell ref="P203:P206"/>
    <mergeCell ref="Q203:Q206"/>
    <mergeCell ref="R203:R206"/>
    <mergeCell ref="S199:T202"/>
    <mergeCell ref="U199:U202"/>
    <mergeCell ref="V199:V202"/>
    <mergeCell ref="W199:W202"/>
    <mergeCell ref="X199:X202"/>
    <mergeCell ref="Y199:Y202"/>
    <mergeCell ref="C199:C202"/>
    <mergeCell ref="N199:N202"/>
    <mergeCell ref="O199:O202"/>
    <mergeCell ref="P199:P202"/>
    <mergeCell ref="Q199:Q202"/>
    <mergeCell ref="R199:R202"/>
    <mergeCell ref="S195:T198"/>
    <mergeCell ref="U195:U198"/>
    <mergeCell ref="V195:V198"/>
    <mergeCell ref="W195:W198"/>
    <mergeCell ref="X195:X198"/>
    <mergeCell ref="Y195:Y198"/>
    <mergeCell ref="C195:C198"/>
    <mergeCell ref="N195:N198"/>
    <mergeCell ref="O195:O198"/>
    <mergeCell ref="P195:P198"/>
    <mergeCell ref="Q195:Q198"/>
    <mergeCell ref="R195:R198"/>
    <mergeCell ref="S191:T194"/>
    <mergeCell ref="U191:U194"/>
    <mergeCell ref="V191:V194"/>
    <mergeCell ref="W191:W194"/>
    <mergeCell ref="X191:X194"/>
    <mergeCell ref="Y191:Y194"/>
    <mergeCell ref="C191:C194"/>
    <mergeCell ref="N191:N194"/>
    <mergeCell ref="O191:O194"/>
    <mergeCell ref="P191:P194"/>
    <mergeCell ref="Q191:Q194"/>
    <mergeCell ref="R191:R194"/>
    <mergeCell ref="S187:T190"/>
    <mergeCell ref="U187:U190"/>
    <mergeCell ref="V187:V190"/>
    <mergeCell ref="W187:W190"/>
    <mergeCell ref="X187:X190"/>
    <mergeCell ref="Y187:Y190"/>
    <mergeCell ref="V183:V186"/>
    <mergeCell ref="W183:W186"/>
    <mergeCell ref="X183:X186"/>
    <mergeCell ref="Y183:Y186"/>
    <mergeCell ref="C187:C190"/>
    <mergeCell ref="N187:N190"/>
    <mergeCell ref="O187:O190"/>
    <mergeCell ref="P187:P190"/>
    <mergeCell ref="Q187:Q190"/>
    <mergeCell ref="R187:R190"/>
    <mergeCell ref="X179:X182"/>
    <mergeCell ref="Y179:Y182"/>
    <mergeCell ref="C183:C186"/>
    <mergeCell ref="N183:N186"/>
    <mergeCell ref="O183:O186"/>
    <mergeCell ref="P183:P186"/>
    <mergeCell ref="Q183:Q186"/>
    <mergeCell ref="R183:R186"/>
    <mergeCell ref="S183:T186"/>
    <mergeCell ref="U183:U186"/>
    <mergeCell ref="Q179:Q182"/>
    <mergeCell ref="R179:R182"/>
    <mergeCell ref="S179:T182"/>
    <mergeCell ref="U179:U182"/>
    <mergeCell ref="V179:V182"/>
    <mergeCell ref="W179:W182"/>
    <mergeCell ref="W171:W178"/>
    <mergeCell ref="X171:X178"/>
    <mergeCell ref="Y171:Y178"/>
    <mergeCell ref="C175:C178"/>
    <mergeCell ref="A179:A274"/>
    <mergeCell ref="B179:B274"/>
    <mergeCell ref="C179:C182"/>
    <mergeCell ref="N179:N182"/>
    <mergeCell ref="O179:O182"/>
    <mergeCell ref="P179:P182"/>
    <mergeCell ref="P171:P178"/>
    <mergeCell ref="Q171:Q178"/>
    <mergeCell ref="R171:R178"/>
    <mergeCell ref="S171:T178"/>
    <mergeCell ref="U171:U178"/>
    <mergeCell ref="V171:V178"/>
    <mergeCell ref="C167:C170"/>
    <mergeCell ref="A171:A178"/>
    <mergeCell ref="B171:B178"/>
    <mergeCell ref="C171:C174"/>
    <mergeCell ref="N171:N178"/>
    <mergeCell ref="O171:O178"/>
    <mergeCell ref="S163:T170"/>
    <mergeCell ref="U163:U170"/>
    <mergeCell ref="V163:V170"/>
    <mergeCell ref="W163:W170"/>
    <mergeCell ref="X163:X170"/>
    <mergeCell ref="Y163:Y170"/>
    <mergeCell ref="Y155:Y162"/>
    <mergeCell ref="C159:C162"/>
    <mergeCell ref="A163:A170"/>
    <mergeCell ref="B163:B170"/>
    <mergeCell ref="C163:C166"/>
    <mergeCell ref="N163:N170"/>
    <mergeCell ref="O163:O170"/>
    <mergeCell ref="P163:P170"/>
    <mergeCell ref="Q163:Q170"/>
    <mergeCell ref="R163:R170"/>
    <mergeCell ref="R155:R162"/>
    <mergeCell ref="S155:T162"/>
    <mergeCell ref="U155:U162"/>
    <mergeCell ref="V155:V162"/>
    <mergeCell ref="W155:W162"/>
    <mergeCell ref="X155:X162"/>
    <mergeCell ref="Y147:Y150"/>
    <mergeCell ref="C151:C154"/>
    <mergeCell ref="N151:Y154"/>
    <mergeCell ref="A155:A162"/>
    <mergeCell ref="B155:B162"/>
    <mergeCell ref="C155:C158"/>
    <mergeCell ref="N155:N162"/>
    <mergeCell ref="O155:O162"/>
    <mergeCell ref="P155:P162"/>
    <mergeCell ref="Q155:Q162"/>
    <mergeCell ref="C147:C150"/>
    <mergeCell ref="N147:N150"/>
    <mergeCell ref="O147:O150"/>
    <mergeCell ref="P147:P150"/>
    <mergeCell ref="Q147:Q150"/>
    <mergeCell ref="R147:R150"/>
    <mergeCell ref="S143:T146"/>
    <mergeCell ref="U143:U150"/>
    <mergeCell ref="V143:V146"/>
    <mergeCell ref="W143:W146"/>
    <mergeCell ref="X143:X146"/>
    <mergeCell ref="Y143:Y146"/>
    <mergeCell ref="S147:T150"/>
    <mergeCell ref="V147:V150"/>
    <mergeCell ref="W147:W150"/>
    <mergeCell ref="X147:X150"/>
    <mergeCell ref="C143:C146"/>
    <mergeCell ref="N143:N146"/>
    <mergeCell ref="O143:O146"/>
    <mergeCell ref="P143:P146"/>
    <mergeCell ref="Q143:Q146"/>
    <mergeCell ref="R143:R146"/>
    <mergeCell ref="S139:T142"/>
    <mergeCell ref="U139:U142"/>
    <mergeCell ref="V139:V142"/>
    <mergeCell ref="W139:W142"/>
    <mergeCell ref="X139:X142"/>
    <mergeCell ref="Y139:Y142"/>
    <mergeCell ref="C139:C142"/>
    <mergeCell ref="N139:N142"/>
    <mergeCell ref="O139:O142"/>
    <mergeCell ref="P139:P142"/>
    <mergeCell ref="Q139:Q142"/>
    <mergeCell ref="R139:R142"/>
    <mergeCell ref="S135:T138"/>
    <mergeCell ref="U135:U138"/>
    <mergeCell ref="V135:V138"/>
    <mergeCell ref="W135:W138"/>
    <mergeCell ref="X135:X138"/>
    <mergeCell ref="Y135:Y138"/>
    <mergeCell ref="C135:C138"/>
    <mergeCell ref="N135:N138"/>
    <mergeCell ref="O135:O138"/>
    <mergeCell ref="P135:P138"/>
    <mergeCell ref="Q135:Q138"/>
    <mergeCell ref="R135:R138"/>
    <mergeCell ref="S131:T134"/>
    <mergeCell ref="U131:U134"/>
    <mergeCell ref="V131:V134"/>
    <mergeCell ref="W131:W134"/>
    <mergeCell ref="X131:X134"/>
    <mergeCell ref="Y131:Y134"/>
    <mergeCell ref="C131:C134"/>
    <mergeCell ref="N131:N134"/>
    <mergeCell ref="O131:O134"/>
    <mergeCell ref="P131:P134"/>
    <mergeCell ref="Q131:Q134"/>
    <mergeCell ref="R131:R134"/>
    <mergeCell ref="S127:T130"/>
    <mergeCell ref="U127:U130"/>
    <mergeCell ref="V127:V130"/>
    <mergeCell ref="W127:W130"/>
    <mergeCell ref="X127:X130"/>
    <mergeCell ref="Y127:Y130"/>
    <mergeCell ref="V123:V126"/>
    <mergeCell ref="W123:W126"/>
    <mergeCell ref="X123:X126"/>
    <mergeCell ref="Y123:Y126"/>
    <mergeCell ref="C127:C130"/>
    <mergeCell ref="N127:N130"/>
    <mergeCell ref="O127:O130"/>
    <mergeCell ref="P127:P130"/>
    <mergeCell ref="Q127:Q130"/>
    <mergeCell ref="R127:R130"/>
    <mergeCell ref="W119:W122"/>
    <mergeCell ref="X119:X122"/>
    <mergeCell ref="Y119:Y122"/>
    <mergeCell ref="C123:C126"/>
    <mergeCell ref="N123:N126"/>
    <mergeCell ref="O123:O126"/>
    <mergeCell ref="P123:P126"/>
    <mergeCell ref="Q123:Q126"/>
    <mergeCell ref="R123:R126"/>
    <mergeCell ref="S123:T126"/>
    <mergeCell ref="Y115:Y118"/>
    <mergeCell ref="C119:C122"/>
    <mergeCell ref="N119:N122"/>
    <mergeCell ref="O119:O122"/>
    <mergeCell ref="P119:P122"/>
    <mergeCell ref="Q119:Q122"/>
    <mergeCell ref="R119:R122"/>
    <mergeCell ref="S119:T122"/>
    <mergeCell ref="U119:U126"/>
    <mergeCell ref="V119:V122"/>
    <mergeCell ref="C115:C118"/>
    <mergeCell ref="N115:N118"/>
    <mergeCell ref="O115:O118"/>
    <mergeCell ref="P115:P118"/>
    <mergeCell ref="Q115:Q118"/>
    <mergeCell ref="R115:R118"/>
    <mergeCell ref="S111:T114"/>
    <mergeCell ref="U111:U118"/>
    <mergeCell ref="V111:V114"/>
    <mergeCell ref="W111:W114"/>
    <mergeCell ref="X111:X114"/>
    <mergeCell ref="Y111:Y114"/>
    <mergeCell ref="S115:T118"/>
    <mergeCell ref="V115:V118"/>
    <mergeCell ref="W115:W118"/>
    <mergeCell ref="X115:X118"/>
    <mergeCell ref="W103:W106"/>
    <mergeCell ref="X103:X106"/>
    <mergeCell ref="Y103:Y106"/>
    <mergeCell ref="C107:C110"/>
    <mergeCell ref="C111:C114"/>
    <mergeCell ref="N111:N114"/>
    <mergeCell ref="O111:O114"/>
    <mergeCell ref="P111:P114"/>
    <mergeCell ref="Q111:Q114"/>
    <mergeCell ref="R111:R114"/>
    <mergeCell ref="W99:W102"/>
    <mergeCell ref="X99:X102"/>
    <mergeCell ref="Y99:Y102"/>
    <mergeCell ref="C103:C106"/>
    <mergeCell ref="N103:N106"/>
    <mergeCell ref="O103:O106"/>
    <mergeCell ref="P103:P106"/>
    <mergeCell ref="Q103:Q106"/>
    <mergeCell ref="R103:R106"/>
    <mergeCell ref="S103:T106"/>
    <mergeCell ref="P99:P102"/>
    <mergeCell ref="Q99:Q102"/>
    <mergeCell ref="R99:R102"/>
    <mergeCell ref="S99:T102"/>
    <mergeCell ref="U99:U106"/>
    <mergeCell ref="V99:V102"/>
    <mergeCell ref="V103:V106"/>
    <mergeCell ref="V91:V98"/>
    <mergeCell ref="W91:W98"/>
    <mergeCell ref="X91:X98"/>
    <mergeCell ref="Y91:Y98"/>
    <mergeCell ref="C95:C98"/>
    <mergeCell ref="A99:A154"/>
    <mergeCell ref="B99:B154"/>
    <mergeCell ref="C99:C102"/>
    <mergeCell ref="N99:N102"/>
    <mergeCell ref="O99:O102"/>
    <mergeCell ref="P91:P98"/>
    <mergeCell ref="Q91:Q98"/>
    <mergeCell ref="R91:R98"/>
    <mergeCell ref="S91:S98"/>
    <mergeCell ref="T91:T98"/>
    <mergeCell ref="U91:U98"/>
    <mergeCell ref="W83:W86"/>
    <mergeCell ref="X83:X86"/>
    <mergeCell ref="Y83:Y86"/>
    <mergeCell ref="C87:C90"/>
    <mergeCell ref="N87:Y90"/>
    <mergeCell ref="A91:A98"/>
    <mergeCell ref="B91:B98"/>
    <mergeCell ref="C91:C94"/>
    <mergeCell ref="N91:N98"/>
    <mergeCell ref="O91:O98"/>
    <mergeCell ref="Y79:Y82"/>
    <mergeCell ref="C83:C86"/>
    <mergeCell ref="N83:N86"/>
    <mergeCell ref="O83:O86"/>
    <mergeCell ref="P83:P86"/>
    <mergeCell ref="Q83:Q86"/>
    <mergeCell ref="R83:R86"/>
    <mergeCell ref="S83:T86"/>
    <mergeCell ref="U83:U86"/>
    <mergeCell ref="V83:V86"/>
    <mergeCell ref="R79:R82"/>
    <mergeCell ref="S79:T82"/>
    <mergeCell ref="U79:U82"/>
    <mergeCell ref="V79:V82"/>
    <mergeCell ref="W79:W82"/>
    <mergeCell ref="X79:X82"/>
    <mergeCell ref="U75:U78"/>
    <mergeCell ref="V75:V78"/>
    <mergeCell ref="W75:W78"/>
    <mergeCell ref="X75:X78"/>
    <mergeCell ref="Y75:Y78"/>
    <mergeCell ref="C79:C82"/>
    <mergeCell ref="N79:N82"/>
    <mergeCell ref="O79:O82"/>
    <mergeCell ref="P79:P82"/>
    <mergeCell ref="Q79:Q82"/>
    <mergeCell ref="W71:W74"/>
    <mergeCell ref="X71:X74"/>
    <mergeCell ref="Y71:Y74"/>
    <mergeCell ref="C75:C78"/>
    <mergeCell ref="N75:N78"/>
    <mergeCell ref="O75:O78"/>
    <mergeCell ref="P75:P78"/>
    <mergeCell ref="Q75:Q78"/>
    <mergeCell ref="R75:R78"/>
    <mergeCell ref="S75:T78"/>
    <mergeCell ref="Y67:Y70"/>
    <mergeCell ref="C71:C74"/>
    <mergeCell ref="N71:N74"/>
    <mergeCell ref="O71:O74"/>
    <mergeCell ref="P71:P74"/>
    <mergeCell ref="Q71:Q74"/>
    <mergeCell ref="R71:R74"/>
    <mergeCell ref="S71:T74"/>
    <mergeCell ref="U71:U74"/>
    <mergeCell ref="V71:V74"/>
    <mergeCell ref="R67:R70"/>
    <mergeCell ref="S67:T70"/>
    <mergeCell ref="U67:U70"/>
    <mergeCell ref="V67:V70"/>
    <mergeCell ref="W67:W70"/>
    <mergeCell ref="X67:X70"/>
    <mergeCell ref="U63:U66"/>
    <mergeCell ref="V63:V66"/>
    <mergeCell ref="W63:W66"/>
    <mergeCell ref="X63:X66"/>
    <mergeCell ref="Y63:Y66"/>
    <mergeCell ref="C67:C70"/>
    <mergeCell ref="N67:N70"/>
    <mergeCell ref="O67:O70"/>
    <mergeCell ref="P67:P70"/>
    <mergeCell ref="Q67:Q70"/>
    <mergeCell ref="W59:W62"/>
    <mergeCell ref="X59:X62"/>
    <mergeCell ref="Y59:Y62"/>
    <mergeCell ref="C63:C66"/>
    <mergeCell ref="N63:N66"/>
    <mergeCell ref="O63:O66"/>
    <mergeCell ref="P63:P66"/>
    <mergeCell ref="Q63:Q66"/>
    <mergeCell ref="R63:R66"/>
    <mergeCell ref="S63:T66"/>
    <mergeCell ref="Y55:Y58"/>
    <mergeCell ref="C59:C62"/>
    <mergeCell ref="N59:N62"/>
    <mergeCell ref="O59:O62"/>
    <mergeCell ref="P59:P62"/>
    <mergeCell ref="Q59:Q62"/>
    <mergeCell ref="R59:R62"/>
    <mergeCell ref="S59:T62"/>
    <mergeCell ref="U59:U62"/>
    <mergeCell ref="V59:V62"/>
    <mergeCell ref="R55:R58"/>
    <mergeCell ref="S55:T58"/>
    <mergeCell ref="U55:U58"/>
    <mergeCell ref="V55:V58"/>
    <mergeCell ref="W55:W58"/>
    <mergeCell ref="X55:X58"/>
    <mergeCell ref="U51:U54"/>
    <mergeCell ref="V51:V54"/>
    <mergeCell ref="W51:W54"/>
    <mergeCell ref="X51:X54"/>
    <mergeCell ref="Y51:Y54"/>
    <mergeCell ref="C55:C58"/>
    <mergeCell ref="N55:N58"/>
    <mergeCell ref="O55:O58"/>
    <mergeCell ref="P55:P58"/>
    <mergeCell ref="Q55:Q58"/>
    <mergeCell ref="W47:W50"/>
    <mergeCell ref="X47:X50"/>
    <mergeCell ref="Y47:Y50"/>
    <mergeCell ref="C51:C54"/>
    <mergeCell ref="N51:N54"/>
    <mergeCell ref="O51:O54"/>
    <mergeCell ref="P51:P54"/>
    <mergeCell ref="Q51:Q54"/>
    <mergeCell ref="R51:R54"/>
    <mergeCell ref="S51:T54"/>
    <mergeCell ref="Y43:Y46"/>
    <mergeCell ref="C47:C50"/>
    <mergeCell ref="N47:N50"/>
    <mergeCell ref="O47:O50"/>
    <mergeCell ref="P47:P50"/>
    <mergeCell ref="Q47:Q50"/>
    <mergeCell ref="R47:R50"/>
    <mergeCell ref="S47:T50"/>
    <mergeCell ref="U47:U50"/>
    <mergeCell ref="V47:V50"/>
    <mergeCell ref="R43:R46"/>
    <mergeCell ref="S43:T46"/>
    <mergeCell ref="U43:U46"/>
    <mergeCell ref="V43:V46"/>
    <mergeCell ref="W43:W46"/>
    <mergeCell ref="X43:X46"/>
    <mergeCell ref="U39:U42"/>
    <mergeCell ref="V39:V42"/>
    <mergeCell ref="W39:W42"/>
    <mergeCell ref="X39:X42"/>
    <mergeCell ref="Y39:Y42"/>
    <mergeCell ref="C43:C46"/>
    <mergeCell ref="N43:N46"/>
    <mergeCell ref="O43:O46"/>
    <mergeCell ref="P43:P46"/>
    <mergeCell ref="Q43:Q46"/>
    <mergeCell ref="W35:W38"/>
    <mergeCell ref="X35:X38"/>
    <mergeCell ref="Y35:Y38"/>
    <mergeCell ref="C39:C42"/>
    <mergeCell ref="N39:N42"/>
    <mergeCell ref="O39:O42"/>
    <mergeCell ref="P39:P42"/>
    <mergeCell ref="Q39:Q42"/>
    <mergeCell ref="R39:R42"/>
    <mergeCell ref="S39:T42"/>
    <mergeCell ref="Y31:Y34"/>
    <mergeCell ref="C35:C38"/>
    <mergeCell ref="N35:N38"/>
    <mergeCell ref="O35:O38"/>
    <mergeCell ref="P35:P38"/>
    <mergeCell ref="Q35:Q38"/>
    <mergeCell ref="R35:R38"/>
    <mergeCell ref="S35:T38"/>
    <mergeCell ref="U35:U38"/>
    <mergeCell ref="V35:V38"/>
    <mergeCell ref="R31:R34"/>
    <mergeCell ref="S31:T34"/>
    <mergeCell ref="U31:U34"/>
    <mergeCell ref="V31:V34"/>
    <mergeCell ref="W31:W34"/>
    <mergeCell ref="X31:X34"/>
    <mergeCell ref="U27:U30"/>
    <mergeCell ref="V27:V30"/>
    <mergeCell ref="W27:W30"/>
    <mergeCell ref="X27:X30"/>
    <mergeCell ref="Y27:Y30"/>
    <mergeCell ref="C31:C34"/>
    <mergeCell ref="N31:N34"/>
    <mergeCell ref="O31:O34"/>
    <mergeCell ref="P31:P34"/>
    <mergeCell ref="Q31:Q34"/>
    <mergeCell ref="W23:W26"/>
    <mergeCell ref="X23:X26"/>
    <mergeCell ref="Y23:Y26"/>
    <mergeCell ref="C27:C30"/>
    <mergeCell ref="N27:N30"/>
    <mergeCell ref="O27:O30"/>
    <mergeCell ref="P27:P30"/>
    <mergeCell ref="Q27:Q30"/>
    <mergeCell ref="R27:R30"/>
    <mergeCell ref="S27:T30"/>
    <mergeCell ref="Y19:Y22"/>
    <mergeCell ref="C23:C26"/>
    <mergeCell ref="N23:N26"/>
    <mergeCell ref="O23:O26"/>
    <mergeCell ref="P23:P26"/>
    <mergeCell ref="Q23:Q26"/>
    <mergeCell ref="R23:R26"/>
    <mergeCell ref="S23:T26"/>
    <mergeCell ref="U23:U26"/>
    <mergeCell ref="V23:V26"/>
    <mergeCell ref="R19:R22"/>
    <mergeCell ref="S19:T22"/>
    <mergeCell ref="U19:U22"/>
    <mergeCell ref="V19:V22"/>
    <mergeCell ref="W19:W22"/>
    <mergeCell ref="X19:X22"/>
    <mergeCell ref="U15:U18"/>
    <mergeCell ref="V15:V18"/>
    <mergeCell ref="W15:W18"/>
    <mergeCell ref="X15:X18"/>
    <mergeCell ref="Y15:Y18"/>
    <mergeCell ref="C19:C22"/>
    <mergeCell ref="N19:N22"/>
    <mergeCell ref="O19:O22"/>
    <mergeCell ref="P19:P22"/>
    <mergeCell ref="Q19:Q22"/>
    <mergeCell ref="W11:W14"/>
    <mergeCell ref="X11:X14"/>
    <mergeCell ref="Y11:Y14"/>
    <mergeCell ref="C15:C18"/>
    <mergeCell ref="N15:N18"/>
    <mergeCell ref="O15:O18"/>
    <mergeCell ref="P15:P18"/>
    <mergeCell ref="Q15:Q18"/>
    <mergeCell ref="R15:R18"/>
    <mergeCell ref="S15:T18"/>
    <mergeCell ref="Y7:Y10"/>
    <mergeCell ref="C11:C14"/>
    <mergeCell ref="N11:N14"/>
    <mergeCell ref="O11:O14"/>
    <mergeCell ref="P11:P14"/>
    <mergeCell ref="Q11:Q14"/>
    <mergeCell ref="R11:R14"/>
    <mergeCell ref="S11:T14"/>
    <mergeCell ref="U11:U14"/>
    <mergeCell ref="V11:V14"/>
    <mergeCell ref="R7:R10"/>
    <mergeCell ref="S7:T10"/>
    <mergeCell ref="U7:U10"/>
    <mergeCell ref="V7:V10"/>
    <mergeCell ref="W7:W10"/>
    <mergeCell ref="X7:X10"/>
    <mergeCell ref="J5:M5"/>
    <mergeCell ref="N5:R5"/>
    <mergeCell ref="S5:Y5"/>
    <mergeCell ref="A7:A90"/>
    <mergeCell ref="B7:B90"/>
    <mergeCell ref="C7:C10"/>
    <mergeCell ref="N7:N10"/>
    <mergeCell ref="O7:O10"/>
    <mergeCell ref="P7:P10"/>
    <mergeCell ref="Q7:Q10"/>
    <mergeCell ref="A5:A6"/>
    <mergeCell ref="B5:B6"/>
    <mergeCell ref="C5:C6"/>
    <mergeCell ref="D5:D6"/>
    <mergeCell ref="E5:E6"/>
    <mergeCell ref="F5:I5"/>
    <mergeCell ref="A1:D4"/>
    <mergeCell ref="E1:Y1"/>
    <mergeCell ref="E2:Y2"/>
    <mergeCell ref="E3:F3"/>
    <mergeCell ref="G3:Y3"/>
    <mergeCell ref="E4:F4"/>
    <mergeCell ref="G4:Y4"/>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GESTIÓN</vt:lpstr>
      <vt:lpstr>INVERSIÓN</vt:lpstr>
      <vt:lpstr>ACTIVIDADES</vt:lpstr>
      <vt:lpstr>TERRITORIALIZACIÓN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CAMILO.GUTIERREZ</dc:creator>
  <cp:lastModifiedBy>YULIED.PENARANDA</cp:lastModifiedBy>
  <cp:lastPrinted>2018-10-14T14:27:29Z</cp:lastPrinted>
  <dcterms:created xsi:type="dcterms:W3CDTF">2018-10-10T13:25:40Z</dcterms:created>
  <dcterms:modified xsi:type="dcterms:W3CDTF">2018-11-16T15:28:06Z</dcterms:modified>
</cp:coreProperties>
</file>