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905"/>
  </bookViews>
  <sheets>
    <sheet name="GESTIÓN" sheetId="1" r:id="rId1"/>
    <sheet name="INVERSIÓN" sheetId="2" r:id="rId2"/>
    <sheet name="ACTIVIDADES " sheetId="8" r:id="rId3"/>
    <sheet name="TERRITORIALIZACIÓN" sheetId="14" r:id="rId4"/>
  </sheets>
  <externalReferences>
    <externalReference r:id="rId5"/>
    <externalReference r:id="rId6"/>
    <externalReference r:id="rId7"/>
    <externalReference r:id="rId8"/>
  </externalReferences>
  <definedNames>
    <definedName name="_xlnm._FilterDatabase" localSheetId="2" hidden="1">'ACTIVIDADES '!$A$6:$V$89</definedName>
    <definedName name="_xlnm.Print_Area" localSheetId="2">'ACTIVIDADES '!$A$1:$V$89</definedName>
    <definedName name="_xlnm.Print_Area" localSheetId="0">GESTIÓN!$A$1:$AW$32</definedName>
    <definedName name="_xlnm.Print_Area" localSheetId="1">INVERSIÓN!$A$3:$AT$131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 name="terri">#REF!</definedName>
  </definedNames>
  <calcPr calcId="144525" concurrentCalc="0"/>
</workbook>
</file>

<file path=xl/calcChain.xml><?xml version="1.0" encoding="utf-8"?>
<calcChain xmlns="http://schemas.openxmlformats.org/spreadsheetml/2006/main">
  <c r="O30" i="1" l="1"/>
  <c r="K21" i="1"/>
  <c r="AP28" i="1"/>
  <c r="M1091" i="14"/>
  <c r="M1092" i="14"/>
  <c r="M1093" i="14"/>
  <c r="L1085" i="14"/>
  <c r="L1078" i="14"/>
  <c r="L1071" i="14"/>
  <c r="L1064" i="14"/>
  <c r="L1057" i="14"/>
  <c r="L1050" i="14"/>
  <c r="L1043" i="14"/>
  <c r="L1036" i="14"/>
  <c r="L753" i="14"/>
  <c r="L746" i="14"/>
  <c r="L594" i="14"/>
  <c r="L321" i="14"/>
  <c r="L314" i="14"/>
  <c r="L277" i="14"/>
  <c r="L274" i="14"/>
  <c r="L154" i="14"/>
  <c r="L151" i="14"/>
  <c r="L1033" i="14"/>
  <c r="L1091" i="14"/>
  <c r="L1087" i="14"/>
  <c r="L1080" i="14"/>
  <c r="L1073" i="14"/>
  <c r="L1066" i="14"/>
  <c r="L1059" i="14"/>
  <c r="L1052" i="14"/>
  <c r="L1045" i="14"/>
  <c r="L1038" i="14"/>
  <c r="L1034" i="14"/>
  <c r="L755" i="14"/>
  <c r="L748" i="14"/>
  <c r="L596" i="14"/>
  <c r="L323" i="14"/>
  <c r="L316" i="14"/>
  <c r="L279" i="14"/>
  <c r="L275" i="14"/>
  <c r="L156" i="14"/>
  <c r="L152" i="14"/>
  <c r="L1092" i="14"/>
  <c r="L1093" i="14"/>
  <c r="K1085" i="14"/>
  <c r="K1078" i="14"/>
  <c r="K1071" i="14"/>
  <c r="K1064" i="14"/>
  <c r="K1057" i="14"/>
  <c r="K1050" i="14"/>
  <c r="K1043" i="14"/>
  <c r="K1036" i="14"/>
  <c r="K753" i="14"/>
  <c r="K746" i="14"/>
  <c r="K594" i="14"/>
  <c r="K321" i="14"/>
  <c r="K314" i="14"/>
  <c r="K277" i="14"/>
  <c r="K274" i="14"/>
  <c r="K154" i="14"/>
  <c r="K151" i="14"/>
  <c r="K1033" i="14"/>
  <c r="K8" i="14"/>
  <c r="K1091" i="14"/>
  <c r="K1080" i="14"/>
  <c r="K1073" i="14"/>
  <c r="K1066" i="14"/>
  <c r="K1059" i="14"/>
  <c r="K1045" i="14"/>
  <c r="K1038" i="14"/>
  <c r="K1034" i="14"/>
  <c r="K755" i="14"/>
  <c r="K748" i="14"/>
  <c r="K596" i="14"/>
  <c r="K323" i="14"/>
  <c r="K316" i="14"/>
  <c r="K279" i="14"/>
  <c r="K275" i="14"/>
  <c r="K156" i="14"/>
  <c r="K152" i="14"/>
  <c r="K1092" i="14"/>
  <c r="K1093" i="14"/>
  <c r="J1085" i="14"/>
  <c r="J1078" i="14"/>
  <c r="J1071" i="14"/>
  <c r="J1064" i="14"/>
  <c r="J1057" i="14"/>
  <c r="J1050" i="14"/>
  <c r="J1043" i="14"/>
  <c r="J1036" i="14"/>
  <c r="J753" i="14"/>
  <c r="J746" i="14"/>
  <c r="J599" i="14"/>
  <c r="J474" i="14"/>
  <c r="J328" i="14"/>
  <c r="J327" i="14"/>
  <c r="J475" i="14"/>
  <c r="J468" i="14"/>
  <c r="J461" i="14"/>
  <c r="J454" i="14"/>
  <c r="J447" i="14"/>
  <c r="J440" i="14"/>
  <c r="J433" i="14"/>
  <c r="J426" i="14"/>
  <c r="J419" i="14"/>
  <c r="J412" i="14"/>
  <c r="J405" i="14"/>
  <c r="J398" i="14"/>
  <c r="J391" i="14"/>
  <c r="J384" i="14"/>
  <c r="J377" i="14"/>
  <c r="J370" i="14"/>
  <c r="J363" i="14"/>
  <c r="J356" i="14"/>
  <c r="J349" i="14"/>
  <c r="J342" i="14"/>
  <c r="J334" i="14"/>
  <c r="J335" i="14"/>
  <c r="J594" i="14"/>
  <c r="J321" i="14"/>
  <c r="J314" i="14"/>
  <c r="J277" i="14"/>
  <c r="J274" i="14"/>
  <c r="J154" i="14"/>
  <c r="J151" i="14"/>
  <c r="J1033" i="14"/>
  <c r="J8" i="14"/>
  <c r="J1091" i="14"/>
  <c r="J1087" i="14"/>
  <c r="J1080" i="14"/>
  <c r="J1073" i="14"/>
  <c r="J1066" i="14"/>
  <c r="J1059" i="14"/>
  <c r="J1052" i="14"/>
  <c r="J1045" i="14"/>
  <c r="J1038" i="14"/>
  <c r="J1034" i="14"/>
  <c r="J755" i="14"/>
  <c r="J748" i="14"/>
  <c r="J330" i="14"/>
  <c r="J596" i="14"/>
  <c r="J323" i="14"/>
  <c r="J316" i="14"/>
  <c r="J279" i="14"/>
  <c r="J156" i="14"/>
  <c r="J152" i="14"/>
  <c r="J1092" i="14"/>
  <c r="J1093" i="14"/>
  <c r="J1084" i="14"/>
  <c r="J1079" i="14"/>
  <c r="J1077" i="14"/>
  <c r="J1072" i="14"/>
  <c r="J1070" i="14"/>
  <c r="H1070" i="14"/>
  <c r="J1065" i="14"/>
  <c r="J1063" i="14"/>
  <c r="J1058" i="14"/>
  <c r="J1056" i="14"/>
  <c r="J1049" i="14"/>
  <c r="J1042" i="14"/>
  <c r="J1035" i="14"/>
  <c r="N1033" i="14"/>
  <c r="G1033" i="14"/>
  <c r="N1032" i="14"/>
  <c r="M1025" i="14"/>
  <c r="M1018" i="14"/>
  <c r="M1011" i="14"/>
  <c r="M1004" i="14"/>
  <c r="M997" i="14"/>
  <c r="M990" i="14"/>
  <c r="M983" i="14"/>
  <c r="M976" i="14"/>
  <c r="M969" i="14"/>
  <c r="M962" i="14"/>
  <c r="M955" i="14"/>
  <c r="M948" i="14"/>
  <c r="M941" i="14"/>
  <c r="M934" i="14"/>
  <c r="M927" i="14"/>
  <c r="M920" i="14"/>
  <c r="M913" i="14"/>
  <c r="M906" i="14"/>
  <c r="M899" i="14"/>
  <c r="M892" i="14"/>
  <c r="M1032" i="14"/>
  <c r="L1032" i="14"/>
  <c r="K1032" i="14"/>
  <c r="J1032" i="14"/>
  <c r="G1032" i="14"/>
  <c r="J1026" i="14"/>
  <c r="J1019" i="14"/>
  <c r="J1012" i="14"/>
  <c r="J1005" i="14"/>
  <c r="J998" i="14"/>
  <c r="J991" i="14"/>
  <c r="J984" i="14"/>
  <c r="J977" i="14"/>
  <c r="J970" i="14"/>
  <c r="J963" i="14"/>
  <c r="J956" i="14"/>
  <c r="J949" i="14"/>
  <c r="J942" i="14"/>
  <c r="M935" i="14"/>
  <c r="J935" i="14"/>
  <c r="M928" i="14"/>
  <c r="J928" i="14"/>
  <c r="M921" i="14"/>
  <c r="J921" i="14"/>
  <c r="M914" i="14"/>
  <c r="J914" i="14"/>
  <c r="M907" i="14"/>
  <c r="J907" i="14"/>
  <c r="M900" i="14"/>
  <c r="J900" i="14"/>
  <c r="J893" i="14"/>
  <c r="O892" i="14"/>
  <c r="J752" i="14"/>
  <c r="J745" i="14"/>
  <c r="J598" i="14"/>
  <c r="J739" i="14"/>
  <c r="J732" i="14"/>
  <c r="K724" i="14"/>
  <c r="K599" i="14"/>
  <c r="K612" i="14"/>
  <c r="K619" i="14"/>
  <c r="K626" i="14"/>
  <c r="K633" i="14"/>
  <c r="K640" i="14"/>
  <c r="K647" i="14"/>
  <c r="K654" i="14"/>
  <c r="K661" i="14"/>
  <c r="K668" i="14"/>
  <c r="K675" i="14"/>
  <c r="K682" i="14"/>
  <c r="K689" i="14"/>
  <c r="K696" i="14"/>
  <c r="K703" i="14"/>
  <c r="K710" i="14"/>
  <c r="K717" i="14"/>
  <c r="K598" i="14"/>
  <c r="K725" i="14"/>
  <c r="J725" i="14"/>
  <c r="K718" i="14"/>
  <c r="J718" i="14"/>
  <c r="K711" i="14"/>
  <c r="J711" i="14"/>
  <c r="K704" i="14"/>
  <c r="J704" i="14"/>
  <c r="K697" i="14"/>
  <c r="J697" i="14"/>
  <c r="K690" i="14"/>
  <c r="J690" i="14"/>
  <c r="K683" i="14"/>
  <c r="J683" i="14"/>
  <c r="K676" i="14"/>
  <c r="J676" i="14"/>
  <c r="K669" i="14"/>
  <c r="J669" i="14"/>
  <c r="K662" i="14"/>
  <c r="J662" i="14"/>
  <c r="K655" i="14"/>
  <c r="J655" i="14"/>
  <c r="K648" i="14"/>
  <c r="J648" i="14"/>
  <c r="K641" i="14"/>
  <c r="J641" i="14"/>
  <c r="K634" i="14"/>
  <c r="J634" i="14"/>
  <c r="K627" i="14"/>
  <c r="J627" i="14"/>
  <c r="K620" i="14"/>
  <c r="J620" i="14"/>
  <c r="K613" i="14"/>
  <c r="J613" i="14"/>
  <c r="J606" i="14"/>
  <c r="M601" i="14"/>
  <c r="K601" i="14"/>
  <c r="J601" i="14"/>
  <c r="E599" i="14"/>
  <c r="G598" i="14"/>
  <c r="F598" i="14"/>
  <c r="E598" i="14"/>
  <c r="O596" i="14"/>
  <c r="M595" i="14"/>
  <c r="L595" i="14"/>
  <c r="K328" i="14"/>
  <c r="K595" i="14"/>
  <c r="N594" i="14"/>
  <c r="G594" i="14"/>
  <c r="F594" i="14"/>
  <c r="E594" i="14"/>
  <c r="N593" i="14"/>
  <c r="L593" i="14"/>
  <c r="K474" i="14"/>
  <c r="K467" i="14"/>
  <c r="K460" i="14"/>
  <c r="K453" i="14"/>
  <c r="K439" i="14"/>
  <c r="K425" i="14"/>
  <c r="K418" i="14"/>
  <c r="K411" i="14"/>
  <c r="K404" i="14"/>
  <c r="K397" i="14"/>
  <c r="K390" i="14"/>
  <c r="K383" i="14"/>
  <c r="K376" i="14"/>
  <c r="K369" i="14"/>
  <c r="K362" i="14"/>
  <c r="K355" i="14"/>
  <c r="K348" i="14"/>
  <c r="K341" i="14"/>
  <c r="K593" i="14"/>
  <c r="J593" i="14"/>
  <c r="G593" i="14"/>
  <c r="F593" i="14"/>
  <c r="E593" i="14"/>
  <c r="L558" i="14"/>
  <c r="K327" i="14"/>
  <c r="K475" i="14"/>
  <c r="K468" i="14"/>
  <c r="K461" i="14"/>
  <c r="K454" i="14"/>
  <c r="K447" i="14"/>
  <c r="K440" i="14"/>
  <c r="K433" i="14"/>
  <c r="K426" i="14"/>
  <c r="K419" i="14"/>
  <c r="K412" i="14"/>
  <c r="K405" i="14"/>
  <c r="K398" i="14"/>
  <c r="K391" i="14"/>
  <c r="K384" i="14"/>
  <c r="K377" i="14"/>
  <c r="K370" i="14"/>
  <c r="K363" i="14"/>
  <c r="K356" i="14"/>
  <c r="K349" i="14"/>
  <c r="K342" i="14"/>
  <c r="K334" i="14"/>
  <c r="K330" i="14"/>
  <c r="M327" i="14"/>
  <c r="J278" i="14"/>
  <c r="J276" i="14"/>
  <c r="N275" i="14"/>
  <c r="N274" i="14"/>
  <c r="E274" i="14"/>
  <c r="N273" i="14"/>
  <c r="M266" i="14"/>
  <c r="M273" i="14"/>
  <c r="K273" i="14"/>
  <c r="J273" i="14"/>
  <c r="I273" i="14"/>
  <c r="G273" i="14"/>
  <c r="F273" i="14"/>
  <c r="E273" i="14"/>
  <c r="I268" i="14"/>
  <c r="Z257" i="14"/>
  <c r="Z250" i="14"/>
  <c r="Z243" i="14"/>
  <c r="Z236" i="14"/>
  <c r="Z229" i="14"/>
  <c r="Z222" i="14"/>
  <c r="Z215" i="14"/>
  <c r="I214" i="14"/>
  <c r="Z208" i="14"/>
  <c r="Z201" i="14"/>
  <c r="Z194" i="14"/>
  <c r="Z187" i="14"/>
  <c r="Z181" i="14"/>
  <c r="Z174" i="14"/>
  <c r="Z167" i="14"/>
  <c r="Z160" i="14"/>
  <c r="Z153" i="14"/>
  <c r="J153" i="14"/>
  <c r="O152" i="14"/>
  <c r="E151" i="14"/>
  <c r="M150" i="14"/>
  <c r="L150" i="14"/>
  <c r="K150" i="14"/>
  <c r="G150" i="14"/>
  <c r="F150" i="14"/>
  <c r="E150" i="14"/>
  <c r="K127" i="14"/>
  <c r="Z126" i="14"/>
  <c r="K120" i="14"/>
  <c r="Z119" i="14"/>
  <c r="Z112" i="14"/>
  <c r="K106" i="14"/>
  <c r="Z105" i="14"/>
  <c r="K99" i="14"/>
  <c r="Z98" i="14"/>
  <c r="K92" i="14"/>
  <c r="Z91" i="14"/>
  <c r="K85" i="14"/>
  <c r="Z84" i="14"/>
  <c r="Z77" i="14"/>
  <c r="K71" i="14"/>
  <c r="Z70" i="14"/>
  <c r="K64" i="14"/>
  <c r="Z63" i="14"/>
  <c r="K57" i="14"/>
  <c r="Z56" i="14"/>
  <c r="K50" i="14"/>
  <c r="Z49" i="14"/>
  <c r="K43" i="14"/>
  <c r="Z42" i="14"/>
  <c r="K36" i="14"/>
  <c r="Z35" i="14"/>
  <c r="K29" i="14"/>
  <c r="Z28" i="14"/>
  <c r="Z21" i="14"/>
  <c r="Z14" i="14"/>
  <c r="J7" i="14"/>
  <c r="V32" i="8"/>
  <c r="R29" i="8"/>
  <c r="S23" i="8"/>
  <c r="V29" i="1"/>
  <c r="J28" i="1"/>
  <c r="AS21" i="1"/>
  <c r="V18" i="8"/>
  <c r="V16" i="8"/>
  <c r="V14" i="8"/>
  <c r="V12" i="8"/>
  <c r="AS14" i="1"/>
  <c r="AS30" i="1"/>
  <c r="AS27" i="1"/>
  <c r="AP27" i="1"/>
  <c r="AM83" i="2"/>
  <c r="AS26" i="1"/>
  <c r="AP14" i="1"/>
  <c r="AT19" i="1"/>
  <c r="AS18" i="1"/>
  <c r="AT17" i="1"/>
  <c r="AS17" i="1"/>
  <c r="AS15" i="1"/>
  <c r="Q83" i="2"/>
  <c r="L83" i="2"/>
  <c r="T104" i="2"/>
  <c r="R28" i="2"/>
  <c r="J31" i="1"/>
  <c r="AB23" i="1"/>
  <c r="T23" i="1"/>
  <c r="N23" i="1"/>
  <c r="T31" i="2"/>
  <c r="H27" i="2"/>
  <c r="AB30" i="1"/>
  <c r="V30" i="1"/>
  <c r="N30" i="1"/>
  <c r="AF99" i="2"/>
  <c r="AH23" i="1"/>
  <c r="R105" i="2"/>
  <c r="AM105" i="2"/>
  <c r="AM93" i="2"/>
  <c r="R93" i="2"/>
  <c r="T27" i="1"/>
  <c r="R63" i="2"/>
  <c r="AM63" i="2"/>
  <c r="Z57" i="2"/>
  <c r="AP31" i="1"/>
  <c r="AF117" i="2"/>
  <c r="AH30" i="1"/>
  <c r="Z45" i="2"/>
  <c r="T49" i="2"/>
  <c r="Q45" i="2"/>
  <c r="R31" i="2"/>
  <c r="AM27" i="2"/>
  <c r="AM31" i="2"/>
  <c r="T19" i="1"/>
  <c r="H45" i="2"/>
  <c r="T130" i="2"/>
  <c r="S130" i="2"/>
  <c r="R37" i="2"/>
  <c r="Z69" i="2"/>
  <c r="H69" i="2"/>
  <c r="N26" i="1"/>
  <c r="AB26" i="1"/>
  <c r="V26" i="1"/>
  <c r="AH29" i="1"/>
  <c r="AH21" i="1"/>
  <c r="AB21" i="1"/>
  <c r="T53" i="2"/>
  <c r="AB29" i="1"/>
  <c r="AM45" i="2"/>
  <c r="AN27" i="2"/>
  <c r="AH19" i="1"/>
  <c r="AO27" i="2"/>
  <c r="T18" i="1"/>
  <c r="AV16" i="1"/>
  <c r="AB15" i="1"/>
  <c r="V15" i="1"/>
  <c r="AF9" i="2"/>
  <c r="AH15" i="1"/>
  <c r="R117" i="2"/>
  <c r="H117" i="2"/>
  <c r="R94" i="2"/>
  <c r="AE129" i="2"/>
  <c r="H9" i="2"/>
  <c r="T129" i="2"/>
  <c r="Q130" i="2"/>
  <c r="Q129" i="2"/>
  <c r="P129" i="2"/>
  <c r="Q131" i="2"/>
  <c r="AM130" i="2"/>
  <c r="AN9" i="2"/>
  <c r="AP17" i="1"/>
  <c r="AR31" i="1"/>
  <c r="AQ31" i="1"/>
  <c r="AQ25" i="1"/>
  <c r="AQ24" i="1"/>
  <c r="AQ22" i="1"/>
  <c r="AQ20" i="1"/>
  <c r="AH26" i="1"/>
  <c r="AN87" i="2"/>
  <c r="AN105" i="2"/>
  <c r="AO109" i="2"/>
  <c r="AN109" i="2"/>
  <c r="AO115" i="2"/>
  <c r="AN115" i="2"/>
  <c r="AM121" i="2"/>
  <c r="AN121" i="2"/>
  <c r="AN117" i="2"/>
  <c r="R124" i="2"/>
  <c r="R118" i="2"/>
  <c r="R112" i="2"/>
  <c r="R106" i="2"/>
  <c r="R100" i="2"/>
  <c r="R88" i="2"/>
  <c r="R82" i="2"/>
  <c r="R76" i="2"/>
  <c r="R70" i="2"/>
  <c r="R64" i="2"/>
  <c r="R58" i="2"/>
  <c r="R52" i="2"/>
  <c r="R46" i="2"/>
  <c r="R40" i="2"/>
  <c r="R34" i="2"/>
  <c r="R22" i="2"/>
  <c r="R16" i="2"/>
  <c r="R10" i="2"/>
  <c r="Q128" i="2"/>
  <c r="Q116" i="2"/>
  <c r="Q110" i="2"/>
  <c r="Q104" i="2"/>
  <c r="Q98" i="2"/>
  <c r="Q92" i="2"/>
  <c r="Q86" i="2"/>
  <c r="Q80" i="2"/>
  <c r="Q74" i="2"/>
  <c r="Q68" i="2"/>
  <c r="Q62" i="2"/>
  <c r="Q56" i="2"/>
  <c r="Q50" i="2"/>
  <c r="Q44" i="2"/>
  <c r="Q38" i="2"/>
  <c r="Q32" i="2"/>
  <c r="Q14" i="2"/>
  <c r="Q26" i="2"/>
  <c r="R104" i="2"/>
  <c r="R44" i="2"/>
  <c r="R26" i="2"/>
  <c r="R129" i="2"/>
  <c r="AQ28" i="1"/>
  <c r="R130" i="2"/>
  <c r="R131" i="2"/>
  <c r="S129" i="2"/>
  <c r="U129" i="2"/>
  <c r="V129" i="2"/>
  <c r="W129" i="2"/>
  <c r="X129" i="2"/>
  <c r="Y129" i="2"/>
  <c r="AA129" i="2"/>
  <c r="AB129" i="2"/>
  <c r="AC129" i="2"/>
  <c r="AD129" i="2"/>
  <c r="AG129" i="2"/>
  <c r="AH129" i="2"/>
  <c r="AI129" i="2"/>
  <c r="R128" i="2"/>
  <c r="R122" i="2"/>
  <c r="R116" i="2"/>
  <c r="R110" i="2"/>
  <c r="R98" i="2"/>
  <c r="R92" i="2"/>
  <c r="R86" i="2"/>
  <c r="R80" i="2"/>
  <c r="R74" i="2"/>
  <c r="R68" i="2"/>
  <c r="R62" i="2"/>
  <c r="R56" i="2"/>
  <c r="R50" i="2"/>
  <c r="R38" i="2"/>
  <c r="R32" i="2"/>
  <c r="R20" i="2"/>
  <c r="R14" i="2"/>
  <c r="AM128" i="2"/>
  <c r="AM122" i="2"/>
  <c r="AM116" i="2"/>
  <c r="AM110" i="2"/>
  <c r="AM104" i="2"/>
  <c r="AM98" i="2"/>
  <c r="AM92" i="2"/>
  <c r="AM86" i="2"/>
  <c r="AM80" i="2"/>
  <c r="AM74" i="2"/>
  <c r="AM68" i="2"/>
  <c r="AM62" i="2"/>
  <c r="AM56" i="2"/>
  <c r="AM50" i="2"/>
  <c r="AM44" i="2"/>
  <c r="AM38" i="2"/>
  <c r="AM32" i="2"/>
  <c r="AM26" i="2"/>
  <c r="AM20" i="2"/>
  <c r="AM129" i="2"/>
  <c r="AM131" i="2"/>
  <c r="AM51" i="2"/>
  <c r="AN110" i="2"/>
  <c r="AN116" i="2"/>
  <c r="AN122" i="2"/>
  <c r="S65" i="8"/>
  <c r="S33" i="8"/>
  <c r="AN56" i="2"/>
  <c r="AN55" i="2"/>
  <c r="AN50" i="2"/>
  <c r="AN49" i="2"/>
  <c r="V8" i="8"/>
  <c r="V10" i="8"/>
  <c r="S13" i="8"/>
  <c r="AN128" i="2"/>
  <c r="AO127" i="2"/>
  <c r="AN127" i="2"/>
  <c r="AN26" i="2"/>
  <c r="AN25" i="2"/>
  <c r="AN20" i="2"/>
  <c r="AO19" i="2"/>
  <c r="AN19" i="2"/>
  <c r="AM14" i="2"/>
  <c r="AN14" i="2"/>
  <c r="AM13" i="2"/>
  <c r="AO13" i="2"/>
  <c r="AN13" i="2"/>
  <c r="AN31" i="2"/>
  <c r="AO31" i="2"/>
  <c r="AN32" i="2"/>
  <c r="AN28" i="2"/>
  <c r="AS19" i="1"/>
  <c r="AU30" i="1"/>
  <c r="AV30" i="1"/>
  <c r="AW30" i="1"/>
  <c r="AP30" i="1"/>
  <c r="T30" i="1"/>
  <c r="S30" i="1"/>
  <c r="AT29" i="1"/>
  <c r="AU29" i="1"/>
  <c r="AV29" i="1"/>
  <c r="AW29" i="1"/>
  <c r="AP29" i="1"/>
  <c r="T29" i="1"/>
  <c r="S29" i="1"/>
  <c r="J29" i="1"/>
  <c r="AT27" i="1"/>
  <c r="AU27" i="1"/>
  <c r="AV27" i="1"/>
  <c r="AW27" i="1"/>
  <c r="S27" i="1"/>
  <c r="AT26" i="1"/>
  <c r="AU26" i="1"/>
  <c r="AV26" i="1"/>
  <c r="AW26" i="1"/>
  <c r="AP26" i="1"/>
  <c r="T26" i="1"/>
  <c r="J26" i="1"/>
  <c r="S26" i="1"/>
  <c r="AT23" i="1"/>
  <c r="AU23" i="1"/>
  <c r="AV23" i="1"/>
  <c r="AW23" i="1"/>
  <c r="AS23" i="1"/>
  <c r="AP23" i="1"/>
  <c r="S23" i="1"/>
  <c r="AT21" i="1"/>
  <c r="AU21" i="1"/>
  <c r="AV21" i="1"/>
  <c r="AW21" i="1"/>
  <c r="AP21" i="1"/>
  <c r="T21" i="1"/>
  <c r="S21" i="1"/>
  <c r="AP19" i="1"/>
  <c r="S19" i="1"/>
  <c r="AU19" i="1"/>
  <c r="AV19" i="1"/>
  <c r="AW19" i="1"/>
  <c r="U19" i="1"/>
  <c r="W19" i="1"/>
  <c r="X19" i="1"/>
  <c r="Y19" i="1"/>
  <c r="Z19" i="1"/>
  <c r="AA19" i="1"/>
  <c r="AB19" i="1"/>
  <c r="AC19" i="1"/>
  <c r="AD19" i="1"/>
  <c r="AE19" i="1"/>
  <c r="AF19" i="1"/>
  <c r="AG19" i="1"/>
  <c r="AI19" i="1"/>
  <c r="AJ19" i="1"/>
  <c r="AK19" i="1"/>
  <c r="AL19" i="1"/>
  <c r="AT18" i="1"/>
  <c r="AU18" i="1"/>
  <c r="AV18" i="1"/>
  <c r="AW18" i="1"/>
  <c r="AP18" i="1"/>
  <c r="S18" i="1"/>
  <c r="AU17" i="1"/>
  <c r="AV17" i="1"/>
  <c r="AW17" i="1"/>
  <c r="T17" i="1"/>
  <c r="S17" i="1"/>
  <c r="AQ17" i="1"/>
  <c r="AW16" i="1"/>
  <c r="AT15" i="1"/>
  <c r="AU15" i="1"/>
  <c r="AV15" i="1"/>
  <c r="AW15" i="1"/>
  <c r="AP15" i="1"/>
  <c r="T15" i="1"/>
  <c r="J15" i="1"/>
  <c r="S15" i="1"/>
  <c r="AW14" i="1"/>
  <c r="AT14" i="1"/>
  <c r="AU14" i="1"/>
  <c r="AV14" i="1"/>
  <c r="T14" i="1"/>
  <c r="AQ19" i="1"/>
  <c r="AQ21" i="1"/>
  <c r="AQ23" i="1"/>
  <c r="AQ26" i="1"/>
  <c r="AQ27" i="1"/>
  <c r="AQ29" i="1"/>
  <c r="AQ14" i="1"/>
  <c r="AQ15" i="1"/>
  <c r="AQ18" i="1"/>
  <c r="AQ30" i="1"/>
  <c r="AR30" i="1"/>
  <c r="AN124" i="2"/>
  <c r="AO123" i="2"/>
  <c r="AN123" i="2"/>
  <c r="AN118" i="2"/>
  <c r="AO117" i="2"/>
  <c r="AN112" i="2"/>
  <c r="AO111" i="2"/>
  <c r="AN111" i="2"/>
  <c r="AN106" i="2"/>
  <c r="AO105" i="2"/>
  <c r="AN100" i="2"/>
  <c r="AN99" i="2"/>
  <c r="AN94" i="2"/>
  <c r="AO93" i="2"/>
  <c r="AN93" i="2"/>
  <c r="AN88" i="2"/>
  <c r="AO87" i="2"/>
  <c r="AN82" i="2"/>
  <c r="AO81" i="2"/>
  <c r="AN81" i="2"/>
  <c r="AN76" i="2"/>
  <c r="AO75" i="2"/>
  <c r="AN75" i="2"/>
  <c r="AN70" i="2"/>
  <c r="AO69" i="2"/>
  <c r="AN69" i="2"/>
  <c r="AN64" i="2"/>
  <c r="AO63" i="2"/>
  <c r="AN63" i="2"/>
  <c r="AN58" i="2"/>
  <c r="AN57" i="2"/>
  <c r="AN52" i="2"/>
  <c r="AN51" i="2"/>
  <c r="AN46" i="2"/>
  <c r="AO45" i="2"/>
  <c r="AN45" i="2"/>
  <c r="AN40" i="2"/>
  <c r="AO39" i="2"/>
  <c r="AN39" i="2"/>
  <c r="AN34" i="2"/>
  <c r="AO33" i="2"/>
  <c r="AN33" i="2"/>
  <c r="AN22" i="2"/>
  <c r="AO21" i="2"/>
  <c r="AN21" i="2"/>
  <c r="AN16" i="2"/>
  <c r="AO15" i="2"/>
  <c r="AN15" i="2"/>
  <c r="AN10" i="2"/>
  <c r="N128" i="2"/>
  <c r="O128" i="2"/>
  <c r="P128" i="2"/>
  <c r="N127" i="2"/>
  <c r="O127" i="2"/>
  <c r="P127" i="2"/>
  <c r="N122" i="2"/>
  <c r="O122" i="2"/>
  <c r="N121" i="2"/>
  <c r="O121" i="2"/>
  <c r="P122" i="2"/>
  <c r="P121" i="2"/>
  <c r="N116" i="2"/>
  <c r="O116" i="2"/>
  <c r="N115" i="2"/>
  <c r="O115" i="2"/>
  <c r="P116" i="2"/>
  <c r="P115" i="2"/>
  <c r="N110" i="2"/>
  <c r="O110" i="2"/>
  <c r="N109" i="2"/>
  <c r="O109" i="2"/>
  <c r="P110" i="2"/>
  <c r="P109" i="2"/>
  <c r="N104" i="2"/>
  <c r="O104" i="2"/>
  <c r="P104" i="2"/>
  <c r="N103" i="2"/>
  <c r="O103" i="2"/>
  <c r="P103" i="2"/>
  <c r="N98" i="2"/>
  <c r="O98" i="2"/>
  <c r="P98" i="2"/>
  <c r="N97" i="2"/>
  <c r="O97" i="2"/>
  <c r="P97" i="2"/>
  <c r="N92" i="2"/>
  <c r="O92" i="2"/>
  <c r="N91" i="2"/>
  <c r="O91" i="2"/>
  <c r="P92" i="2"/>
  <c r="P91" i="2"/>
  <c r="N86" i="2"/>
  <c r="O86" i="2"/>
  <c r="N85" i="2"/>
  <c r="O85" i="2"/>
  <c r="P86" i="2"/>
  <c r="P85" i="2"/>
  <c r="N80" i="2"/>
  <c r="O80" i="2"/>
  <c r="N79" i="2"/>
  <c r="O79" i="2"/>
  <c r="P80" i="2"/>
  <c r="P79" i="2"/>
  <c r="N74" i="2"/>
  <c r="O74" i="2"/>
  <c r="P74" i="2"/>
  <c r="N73" i="2"/>
  <c r="O73" i="2"/>
  <c r="P73" i="2"/>
  <c r="N67" i="2"/>
  <c r="O67" i="2"/>
  <c r="N68" i="2"/>
  <c r="O68" i="2"/>
  <c r="P68" i="2"/>
  <c r="P67" i="2"/>
  <c r="N62" i="2"/>
  <c r="O62" i="2"/>
  <c r="P62" i="2"/>
  <c r="N61" i="2"/>
  <c r="O61" i="2"/>
  <c r="P61" i="2"/>
  <c r="N55" i="2"/>
  <c r="O55" i="2"/>
  <c r="N56" i="2"/>
  <c r="O56" i="2"/>
  <c r="P56" i="2"/>
  <c r="P55" i="2"/>
  <c r="N50" i="2"/>
  <c r="O50" i="2"/>
  <c r="N49" i="2"/>
  <c r="O49" i="2"/>
  <c r="P50" i="2"/>
  <c r="P49" i="2"/>
  <c r="N44" i="2"/>
  <c r="O44" i="2"/>
  <c r="N43" i="2"/>
  <c r="O43" i="2"/>
  <c r="P44" i="2"/>
  <c r="P43" i="2"/>
  <c r="N37" i="2"/>
  <c r="O37" i="2"/>
  <c r="N38" i="2"/>
  <c r="O38" i="2"/>
  <c r="P38" i="2"/>
  <c r="P37" i="2"/>
  <c r="N32" i="2"/>
  <c r="O32" i="2"/>
  <c r="N31" i="2"/>
  <c r="O31" i="2"/>
  <c r="P32" i="2"/>
  <c r="P31" i="2"/>
  <c r="N25" i="2"/>
  <c r="O25" i="2"/>
  <c r="N26" i="2"/>
  <c r="O26" i="2"/>
  <c r="P26" i="2"/>
  <c r="P25" i="2"/>
  <c r="N20" i="2"/>
  <c r="O20" i="2"/>
  <c r="N19" i="2"/>
  <c r="O19" i="2"/>
  <c r="P20" i="2"/>
  <c r="P19" i="2"/>
  <c r="N14" i="2"/>
  <c r="O14" i="2"/>
  <c r="N13" i="2"/>
  <c r="O13" i="2"/>
  <c r="P14" i="2"/>
  <c r="P13" i="2"/>
  <c r="AR15" i="1"/>
  <c r="AR16" i="1"/>
  <c r="AR22" i="1"/>
  <c r="AR24" i="1"/>
  <c r="AR25" i="1"/>
  <c r="AR26" i="1"/>
  <c r="AR27" i="1"/>
  <c r="AR14" i="1"/>
  <c r="P130" i="2"/>
  <c r="P131" i="2"/>
  <c r="AL130" i="2"/>
  <c r="AL129" i="2"/>
  <c r="AL131" i="2"/>
  <c r="AK130" i="2"/>
  <c r="AK129" i="2"/>
  <c r="O130" i="2"/>
  <c r="O129" i="2"/>
  <c r="O131" i="2"/>
  <c r="AK131" i="2"/>
  <c r="S8" i="8"/>
  <c r="T8" i="8"/>
  <c r="S9" i="8"/>
  <c r="S10" i="8"/>
  <c r="T10" i="8"/>
  <c r="S11" i="8"/>
  <c r="S12" i="8"/>
  <c r="T12" i="8"/>
  <c r="S14" i="8"/>
  <c r="T14" i="8"/>
  <c r="S15" i="8"/>
  <c r="S16" i="8"/>
  <c r="T16" i="8"/>
  <c r="S17" i="8"/>
  <c r="S18" i="8"/>
  <c r="T18" i="8"/>
  <c r="S19" i="8"/>
  <c r="S20" i="8"/>
  <c r="T20" i="8"/>
  <c r="S21" i="8"/>
  <c r="S22" i="8"/>
  <c r="T22" i="8"/>
  <c r="S24" i="8"/>
  <c r="S25" i="8"/>
  <c r="S26" i="8"/>
  <c r="S27" i="8"/>
  <c r="S28" i="8"/>
  <c r="T28" i="8"/>
  <c r="S30" i="8"/>
  <c r="S31" i="8"/>
  <c r="S32" i="8"/>
  <c r="T32" i="8"/>
  <c r="S34" i="8"/>
  <c r="T34" i="8"/>
  <c r="S35" i="8"/>
  <c r="S36" i="8"/>
  <c r="S37" i="8"/>
  <c r="S38" i="8"/>
  <c r="T38" i="8"/>
  <c r="S39" i="8"/>
  <c r="S40" i="8"/>
  <c r="S41" i="8"/>
  <c r="S42" i="8"/>
  <c r="S43" i="8"/>
  <c r="S44" i="8"/>
  <c r="S45" i="8"/>
  <c r="S46" i="8"/>
  <c r="S47" i="8"/>
  <c r="S48" i="8"/>
  <c r="T48" i="8"/>
  <c r="S49" i="8"/>
  <c r="S50" i="8"/>
  <c r="S51" i="8"/>
  <c r="S52" i="8"/>
  <c r="T52" i="8"/>
  <c r="S53" i="8"/>
  <c r="S54" i="8"/>
  <c r="S55" i="8"/>
  <c r="S56" i="8"/>
  <c r="T56" i="8"/>
  <c r="S57" i="8"/>
  <c r="S58" i="8"/>
  <c r="S59" i="8"/>
  <c r="S60" i="8"/>
  <c r="S61" i="8"/>
  <c r="S62" i="8"/>
  <c r="S63" i="8"/>
  <c r="S64" i="8"/>
  <c r="T64" i="8"/>
  <c r="S66" i="8"/>
  <c r="S67" i="8"/>
  <c r="S68" i="8"/>
  <c r="T68" i="8"/>
  <c r="S69" i="8"/>
  <c r="S70" i="8"/>
  <c r="S71" i="8"/>
  <c r="S72" i="8"/>
  <c r="S73" i="8"/>
  <c r="S74" i="8"/>
  <c r="S75" i="8"/>
  <c r="S76" i="8"/>
  <c r="S77" i="8"/>
  <c r="S78" i="8"/>
  <c r="T78" i="8"/>
  <c r="S79" i="8"/>
  <c r="S80" i="8"/>
  <c r="S81" i="8"/>
  <c r="S82" i="8"/>
  <c r="T82" i="8"/>
  <c r="S83" i="8"/>
  <c r="S84" i="8"/>
  <c r="S85" i="8"/>
  <c r="S86" i="8"/>
  <c r="T86" i="8"/>
  <c r="S87" i="8"/>
  <c r="U88" i="8"/>
  <c r="H124" i="2"/>
  <c r="H118" i="2"/>
  <c r="AO118" i="2"/>
  <c r="H112" i="2"/>
  <c r="AO112" i="2"/>
  <c r="H106" i="2"/>
  <c r="AO106" i="2"/>
  <c r="H100" i="2"/>
  <c r="AO100" i="2"/>
  <c r="H94" i="2"/>
  <c r="AO94" i="2"/>
  <c r="H88" i="2"/>
  <c r="AO88" i="2"/>
  <c r="H82" i="2"/>
  <c r="AO82" i="2"/>
  <c r="H76" i="2"/>
  <c r="AO76" i="2"/>
  <c r="H70" i="2"/>
  <c r="AO70" i="2"/>
  <c r="H64" i="2"/>
  <c r="AO64" i="2"/>
  <c r="H58" i="2"/>
  <c r="AO58" i="2"/>
  <c r="H46" i="2"/>
  <c r="H40" i="2"/>
  <c r="H28" i="2"/>
  <c r="H22" i="2"/>
  <c r="H16" i="2"/>
  <c r="AO16" i="2"/>
  <c r="AJ43" i="2"/>
  <c r="H34" i="2"/>
  <c r="AO34" i="2"/>
  <c r="H50" i="2"/>
  <c r="AO50" i="2"/>
  <c r="AO46" i="2"/>
  <c r="H128" i="2"/>
  <c r="AO128" i="2"/>
  <c r="AO124" i="2"/>
  <c r="T88" i="8"/>
  <c r="H26" i="2"/>
  <c r="AO26" i="2"/>
  <c r="AO22" i="2"/>
  <c r="H32" i="2"/>
  <c r="AO32" i="2"/>
  <c r="AO28" i="2"/>
  <c r="H44" i="2"/>
  <c r="AO40" i="2"/>
  <c r="H116" i="2"/>
  <c r="AO116" i="2"/>
  <c r="H38" i="2"/>
  <c r="H92" i="2"/>
  <c r="H10" i="2"/>
  <c r="AO10" i="2"/>
  <c r="AO9" i="2"/>
  <c r="AJ130" i="2"/>
  <c r="AJ129" i="2"/>
  <c r="N130" i="2"/>
  <c r="N129" i="2"/>
  <c r="AR29" i="1"/>
  <c r="N131" i="2"/>
  <c r="AJ131" i="2"/>
  <c r="H14" i="2"/>
  <c r="AO14" i="2"/>
  <c r="J18" i="1"/>
  <c r="AR18" i="1"/>
  <c r="AR28" i="1"/>
  <c r="J20" i="1"/>
  <c r="AR20" i="1"/>
  <c r="T57" i="2"/>
  <c r="T99" i="2"/>
  <c r="T21" i="2"/>
  <c r="H99" i="2"/>
  <c r="AO99" i="2"/>
  <c r="V23" i="1"/>
  <c r="J23" i="1"/>
  <c r="AR23" i="1"/>
  <c r="H57" i="2"/>
  <c r="AO57" i="2"/>
  <c r="H25" i="2"/>
  <c r="AO25" i="2"/>
  <c r="K83" i="2"/>
  <c r="T51" i="2"/>
  <c r="V21" i="1"/>
  <c r="J21" i="1"/>
  <c r="AR21" i="1"/>
  <c r="H51" i="2"/>
  <c r="AO51" i="2"/>
  <c r="K121" i="2"/>
  <c r="H121" i="2"/>
  <c r="AO121" i="2"/>
  <c r="AI131" i="2"/>
  <c r="AH131" i="2"/>
  <c r="AG131" i="2"/>
  <c r="AD131" i="2"/>
  <c r="AC131" i="2"/>
  <c r="AB131" i="2"/>
  <c r="AA131" i="2"/>
  <c r="X131" i="2"/>
  <c r="W131" i="2"/>
  <c r="V131" i="2"/>
  <c r="U131" i="2"/>
  <c r="AF122" i="2"/>
  <c r="Z122" i="2"/>
  <c r="T122" i="2"/>
  <c r="K118" i="2"/>
  <c r="J118" i="2"/>
  <c r="AF116" i="2"/>
  <c r="Z116" i="2"/>
  <c r="T116" i="2"/>
  <c r="K116" i="2"/>
  <c r="J116" i="2"/>
  <c r="AF115" i="2"/>
  <c r="Z115" i="2"/>
  <c r="T115" i="2"/>
  <c r="AF110" i="2"/>
  <c r="Z110" i="2"/>
  <c r="T110" i="2"/>
  <c r="K110" i="2"/>
  <c r="J110" i="2"/>
  <c r="AF109" i="2"/>
  <c r="Z109" i="2"/>
  <c r="T109" i="2"/>
  <c r="H110" i="2"/>
  <c r="AO110" i="2"/>
  <c r="AF104" i="2"/>
  <c r="Z104" i="2"/>
  <c r="K104" i="2"/>
  <c r="J104" i="2"/>
  <c r="AF103" i="2"/>
  <c r="Z103" i="2"/>
  <c r="T103" i="2"/>
  <c r="AF98" i="2"/>
  <c r="Z98" i="2"/>
  <c r="T98" i="2"/>
  <c r="K98" i="2"/>
  <c r="J98" i="2"/>
  <c r="AF97" i="2"/>
  <c r="Z97" i="2"/>
  <c r="T97" i="2"/>
  <c r="H98" i="2"/>
  <c r="AF92" i="2"/>
  <c r="Z92" i="2"/>
  <c r="T92" i="2"/>
  <c r="K92" i="2"/>
  <c r="J92" i="2"/>
  <c r="AF86" i="2"/>
  <c r="Z86" i="2"/>
  <c r="T86" i="2"/>
  <c r="K86" i="2"/>
  <c r="J86" i="2"/>
  <c r="AF85" i="2"/>
  <c r="Z85" i="2"/>
  <c r="T85" i="2"/>
  <c r="J83" i="2"/>
  <c r="AF80" i="2"/>
  <c r="Z80" i="2"/>
  <c r="T80" i="2"/>
  <c r="K80" i="2"/>
  <c r="J80" i="2"/>
  <c r="AF79" i="2"/>
  <c r="Z79" i="2"/>
  <c r="T79" i="2"/>
  <c r="K79" i="2"/>
  <c r="J79" i="2"/>
  <c r="H80" i="2"/>
  <c r="AF74" i="2"/>
  <c r="Z74" i="2"/>
  <c r="T74" i="2"/>
  <c r="K74" i="2"/>
  <c r="J74" i="2"/>
  <c r="AF73" i="2"/>
  <c r="Z73" i="2"/>
  <c r="T73" i="2"/>
  <c r="K73" i="2"/>
  <c r="H74" i="2"/>
  <c r="AF68" i="2"/>
  <c r="Z68" i="2"/>
  <c r="T68" i="2"/>
  <c r="K68" i="2"/>
  <c r="J68" i="2"/>
  <c r="AF67" i="2"/>
  <c r="Z67" i="2"/>
  <c r="T67" i="2"/>
  <c r="K67" i="2"/>
  <c r="J67" i="2"/>
  <c r="H68" i="2"/>
  <c r="AF62" i="2"/>
  <c r="Z62" i="2"/>
  <c r="T62" i="2"/>
  <c r="K62" i="2"/>
  <c r="J62" i="2"/>
  <c r="AF61" i="2"/>
  <c r="Z61" i="2"/>
  <c r="T61" i="2"/>
  <c r="K61" i="2"/>
  <c r="J61" i="2"/>
  <c r="H61" i="2"/>
  <c r="K56" i="2"/>
  <c r="J56" i="2"/>
  <c r="K55" i="2"/>
  <c r="J55" i="2"/>
  <c r="H55" i="2"/>
  <c r="AO55" i="2"/>
  <c r="AF52" i="2"/>
  <c r="Z52" i="2"/>
  <c r="AF50" i="2"/>
  <c r="Z50" i="2"/>
  <c r="T50" i="2"/>
  <c r="K50" i="2"/>
  <c r="J50" i="2"/>
  <c r="AF49" i="2"/>
  <c r="Z49" i="2"/>
  <c r="K49" i="2"/>
  <c r="J49" i="2"/>
  <c r="H49" i="2"/>
  <c r="AO49" i="2"/>
  <c r="AF44" i="2"/>
  <c r="Z44" i="2"/>
  <c r="T44" i="2"/>
  <c r="K44" i="2"/>
  <c r="J44" i="2"/>
  <c r="AF43" i="2"/>
  <c r="Z43" i="2"/>
  <c r="T43" i="2"/>
  <c r="K43" i="2"/>
  <c r="AF38" i="2"/>
  <c r="Z38" i="2"/>
  <c r="T38" i="2"/>
  <c r="K38" i="2"/>
  <c r="J38" i="2"/>
  <c r="AF37" i="2"/>
  <c r="Z37" i="2"/>
  <c r="T37" i="2"/>
  <c r="K37" i="2"/>
  <c r="AF32" i="2"/>
  <c r="Z32" i="2"/>
  <c r="T32" i="2"/>
  <c r="K32" i="2"/>
  <c r="J32" i="2"/>
  <c r="AF31" i="2"/>
  <c r="Z31" i="2"/>
  <c r="K31" i="2"/>
  <c r="J31" i="2"/>
  <c r="AF26" i="2"/>
  <c r="Z26" i="2"/>
  <c r="T26" i="2"/>
  <c r="K26" i="2"/>
  <c r="J26" i="2"/>
  <c r="AF25" i="2"/>
  <c r="Z25" i="2"/>
  <c r="T25" i="2"/>
  <c r="K25" i="2"/>
  <c r="AF20" i="2"/>
  <c r="Z20" i="2"/>
  <c r="T20" i="2"/>
  <c r="J14" i="2"/>
  <c r="K10" i="2"/>
  <c r="AF128" i="2"/>
  <c r="Z128" i="2"/>
  <c r="T128" i="2"/>
  <c r="L128" i="2"/>
  <c r="K128" i="2"/>
  <c r="J128" i="2"/>
  <c r="J19" i="1"/>
  <c r="AR19" i="1"/>
  <c r="J17" i="1"/>
  <c r="AF129" i="2"/>
  <c r="AF131" i="2"/>
  <c r="Z129" i="2"/>
  <c r="Z131" i="2"/>
  <c r="AE131" i="2"/>
  <c r="H52" i="2"/>
  <c r="AO52" i="2"/>
  <c r="H62" i="2"/>
  <c r="H20" i="2"/>
  <c r="AO20" i="2"/>
  <c r="K122" i="2"/>
  <c r="K129" i="2"/>
  <c r="K131" i="2"/>
  <c r="K14" i="2"/>
  <c r="H86" i="2"/>
  <c r="H83" i="2"/>
  <c r="H104" i="2"/>
  <c r="L129" i="2"/>
  <c r="L131" i="2"/>
  <c r="T131" i="2"/>
  <c r="T56" i="2"/>
  <c r="AF56" i="2"/>
  <c r="J122" i="2"/>
  <c r="J129" i="2"/>
  <c r="Z56" i="2"/>
  <c r="H122" i="2"/>
  <c r="AO122" i="2"/>
  <c r="H56" i="2"/>
  <c r="AO56" i="2"/>
  <c r="J131" i="2"/>
  <c r="H131" i="2"/>
  <c r="H129" i="2"/>
</calcChain>
</file>

<file path=xl/comments1.xml><?xml version="1.0" encoding="utf-8"?>
<comments xmlns="http://schemas.openxmlformats.org/spreadsheetml/2006/main">
  <authors>
    <author>YULIED.PENARANDA</author>
  </authors>
  <commentList>
    <comment ref="AM27" authorId="0">
      <text>
        <r>
          <rPr>
            <b/>
            <sz val="9"/>
            <color indexed="81"/>
            <rFont val="Tahoma"/>
            <family val="2"/>
          </rPr>
          <t>YULIED.PENARANDA:</t>
        </r>
        <r>
          <rPr>
            <sz val="9"/>
            <color indexed="81"/>
            <rFont val="Tahoma"/>
            <family val="2"/>
          </rPr>
          <t xml:space="preserve">
15,13 según segplan</t>
        </r>
      </text>
    </comment>
    <comment ref="S28" authorId="0">
      <text>
        <r>
          <rPr>
            <b/>
            <sz val="9"/>
            <color indexed="81"/>
            <rFont val="Tahoma"/>
            <family val="2"/>
          </rPr>
          <t>YULIED.PENARANDA:</t>
        </r>
        <r>
          <rPr>
            <sz val="9"/>
            <color indexed="81"/>
            <rFont val="Tahoma"/>
            <family val="2"/>
          </rPr>
          <t xml:space="preserve">
No cuadra esé indicador, segplan registra 340, el cual lo ajuste a 421 2017 y 174 en el 2020
</t>
        </r>
      </text>
    </comment>
    <comment ref="AH28" authorId="0">
      <text>
        <r>
          <rPr>
            <b/>
            <sz val="9"/>
            <color indexed="81"/>
            <rFont val="Tahoma"/>
            <family val="2"/>
          </rPr>
          <t>YULIED.PENARANDA:</t>
        </r>
        <r>
          <rPr>
            <sz val="9"/>
            <color indexed="81"/>
            <rFont val="Tahoma"/>
            <family val="2"/>
          </rPr>
          <t xml:space="preserve">
segplan registré 174</t>
        </r>
      </text>
    </comment>
  </commentList>
</comments>
</file>

<file path=xl/comments2.xml><?xml version="1.0" encoding="utf-8"?>
<comments xmlns="http://schemas.openxmlformats.org/spreadsheetml/2006/main">
  <authors>
    <author>YULIED.PENARANDA</author>
  </authors>
  <commentList>
    <comment ref="AM33" authorId="0">
      <text>
        <r>
          <rPr>
            <b/>
            <sz val="9"/>
            <color indexed="81"/>
            <rFont val="Tahoma"/>
            <family val="2"/>
          </rPr>
          <t>YULIED.PENARANDA:</t>
        </r>
        <r>
          <rPr>
            <sz val="9"/>
            <color indexed="81"/>
            <rFont val="Tahoma"/>
            <family val="2"/>
          </rPr>
          <t xml:space="preserve">
NO se puede registrar una magnitud inferior en segplan, registre la misma de 24</t>
        </r>
      </text>
    </comment>
    <comment ref="AM34" authorId="0">
      <text>
        <r>
          <rPr>
            <b/>
            <sz val="9"/>
            <color indexed="81"/>
            <rFont val="Tahoma"/>
            <family val="2"/>
          </rPr>
          <t>YULIED.PENARANDA:
No se puede registrar un menor valor que el registrado el trimestre pasado, si se presentó una liberación, favor informar los datos del contrato para solicitar a la SDP, para que ellos realicen el ajuste.</t>
        </r>
      </text>
    </comment>
    <comment ref="AM40" authorId="0">
      <text>
        <r>
          <rPr>
            <b/>
            <sz val="9"/>
            <color indexed="81"/>
            <rFont val="Tahoma"/>
            <family val="2"/>
          </rPr>
          <t>YULIED.PENARANDA:</t>
        </r>
        <r>
          <rPr>
            <sz val="9"/>
            <color indexed="81"/>
            <rFont val="Tahoma"/>
            <family val="2"/>
          </rPr>
          <t xml:space="preserve">
No se puede registrar un menor valor que el registrado el trimestre pasado, si se presentó una liberación, favor informar los datos del contrato para solicitar a la SDP, para que ellos realicen el ajuste.</t>
        </r>
      </text>
    </comment>
    <comment ref="AM76" authorId="0">
      <text>
        <r>
          <rPr>
            <b/>
            <sz val="9"/>
            <color indexed="81"/>
            <rFont val="Tahoma"/>
            <family val="2"/>
          </rPr>
          <t>YULIED.PENARANDA:</t>
        </r>
        <r>
          <rPr>
            <sz val="9"/>
            <color indexed="81"/>
            <rFont val="Tahoma"/>
            <family val="2"/>
          </rPr>
          <t xml:space="preserve">
Justificar la liberación</t>
        </r>
      </text>
    </comment>
    <comment ref="AM82" authorId="0">
      <text>
        <r>
          <rPr>
            <b/>
            <sz val="9"/>
            <color indexed="81"/>
            <rFont val="Tahoma"/>
            <family val="2"/>
          </rPr>
          <t>YULIED.PENARANDA:</t>
        </r>
        <r>
          <rPr>
            <sz val="9"/>
            <color indexed="81"/>
            <rFont val="Tahoma"/>
            <family val="2"/>
          </rPr>
          <t xml:space="preserve">
Está meta apunta a 2 MPDD, toca dividirla, (para recordar yulied)pero se requiere la justificación de la liberación
</t>
        </r>
      </text>
    </comment>
  </commentList>
</comments>
</file>

<file path=xl/comments3.xml><?xml version="1.0" encoding="utf-8"?>
<comments xmlns="http://schemas.openxmlformats.org/spreadsheetml/2006/main">
  <authors>
    <author>PAOLA.RODRIGUEZ</author>
  </authors>
  <commentList>
    <comment ref="M22" authorId="0">
      <text>
        <r>
          <rPr>
            <b/>
            <sz val="9"/>
            <color indexed="81"/>
            <rFont val="Tahoma"/>
            <family val="2"/>
          </rPr>
          <t>PAOLA.RODRIGUEZ:</t>
        </r>
        <r>
          <rPr>
            <sz val="9"/>
            <color indexed="81"/>
            <rFont val="Tahoma"/>
            <family val="2"/>
          </rPr>
          <t xml:space="preserve">
Se ajustó para total seglan quedó
12025284</t>
        </r>
      </text>
    </comment>
    <comment ref="K266" authorId="0">
      <text>
        <r>
          <rPr>
            <b/>
            <sz val="9"/>
            <color indexed="81"/>
            <rFont val="Tahoma"/>
            <family val="2"/>
          </rPr>
          <t>PAOLA.RODRIGUEZ:</t>
        </r>
        <r>
          <rPr>
            <sz val="9"/>
            <color indexed="81"/>
            <rFont val="Tahoma"/>
            <family val="2"/>
          </rPr>
          <t xml:space="preserve">
Ajustado para lograr 5000 en segplan</t>
        </r>
      </text>
    </comment>
  </commentList>
</comments>
</file>

<file path=xl/sharedStrings.xml><?xml version="1.0" encoding="utf-8"?>
<sst xmlns="http://schemas.openxmlformats.org/spreadsheetml/2006/main" count="3232" uniqueCount="566">
  <si>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</si>
  <si>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</si>
  <si>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</si>
  <si>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</si>
  <si>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</si>
  <si>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</si>
  <si>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</si>
  <si>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</si>
  <si>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</si>
  <si>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</si>
  <si>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</si>
  <si>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</si>
  <si>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</si>
  <si>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</si>
  <si>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</si>
  <si>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</si>
  <si>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</si>
  <si>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 2, META PLAN DE DESARROLLO</t>
  </si>
  <si>
    <t>3, INDICADOR ASOCIADO A LA META PLAN DE DESARROLLO</t>
  </si>
  <si>
    <t>2,  META DE PROYECTO</t>
  </si>
  <si>
    <t>4, % CUMPLIMIENTO ACUMULADO
(Vigencia)</t>
  </si>
  <si>
    <t xml:space="preserve">6,PONDERACIÓN VERTICAL </t>
  </si>
  <si>
    <t>3, COD. META PDD A QUE SE ASOCIA META PROY</t>
  </si>
  <si>
    <t>5, % DE AVANCE CUATRIENIO</t>
  </si>
  <si>
    <t>6, DESCRIPCIÓN DE LOS AVANCES Y LOGROS ALCANZADOS</t>
  </si>
  <si>
    <t>7, RETRASOS</t>
  </si>
  <si>
    <t>8, SOLUCIONES PLANTEADAS</t>
  </si>
  <si>
    <t>9, BENEFICIOS</t>
  </si>
  <si>
    <t>10, FUENTE DE EVIDENCIAS</t>
  </si>
  <si>
    <t>1,1 COD.</t>
  </si>
  <si>
    <t>4, COD. META PROYECTO PRIORITARIO</t>
  </si>
  <si>
    <t>5, VARIABLE REQUERIDA</t>
  </si>
  <si>
    <t>6, MAGNITUD PD</t>
  </si>
  <si>
    <t>7, PROGRAMACIÓN - ACTUALIZACIÓN</t>
  </si>
  <si>
    <t>8, EJECUCIÓN</t>
  </si>
  <si>
    <t>2,1 COD.</t>
  </si>
  <si>
    <t>2,2  META PLAN DE DESARROLLO</t>
  </si>
  <si>
    <t>3,1 COD.</t>
  </si>
  <si>
    <t>9, % CUMPLIMIENTO ACUMULADO (Vigencia)</t>
  </si>
  <si>
    <t>10 ,% DE AVANCE CUATRIENIO</t>
  </si>
  <si>
    <t>11, DESCRIPCIÓN DE LOS AVANCES Y LOGROS ALCANZADOS</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</si>
  <si>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</si>
  <si>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</si>
  <si>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</si>
  <si>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</si>
  <si>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</si>
  <si>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</si>
  <si>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</si>
  <si>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</si>
  <si>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</si>
  <si>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</si>
  <si>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</si>
  <si>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</si>
  <si>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</si>
  <si>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</si>
  <si>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</si>
  <si>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</si>
  <si>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</si>
  <si>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</si>
  <si>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</si>
  <si>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</si>
  <si>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</si>
  <si>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</si>
  <si>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</si>
  <si>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</si>
  <si>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</si>
  <si>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</si>
  <si>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</si>
  <si>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</si>
  <si>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</si>
  <si>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</si>
  <si>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</si>
  <si>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</si>
  <si>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</si>
  <si>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</si>
  <si>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REALIZAR EL ACOMPAÑAMIENTO PARA EL AJUSTE DEL PLAN DE ACCIÓN DE LA POLÍTICA PÚBLICA DE ECOURBANISMO Y CONSTRUCCIÓN SOSTENIBLE</t>
  </si>
  <si>
    <t>EJECUTADO</t>
  </si>
  <si>
    <t>X</t>
  </si>
  <si>
    <t>2,2 META</t>
  </si>
  <si>
    <t>2,3 TIPOLOGÍA</t>
  </si>
  <si>
    <t>Implementar la política de ecourbanismo y construcción sostenible</t>
  </si>
  <si>
    <t xml:space="preserve">Porcentaje  de avance en la implementacion de acciones de  la política de ecourbanismo y construcción sostenible programadas </t>
  </si>
  <si>
    <t>Programado</t>
  </si>
  <si>
    <t>%</t>
  </si>
  <si>
    <t>SUMA</t>
  </si>
  <si>
    <t>Ejecutado</t>
  </si>
  <si>
    <t>N/A</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</si>
  <si>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</si>
  <si>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 xml:space="preserve">Incorporar criterios de sostenibilidad en 800 proyectos  en la etapa de diseño u operación </t>
  </si>
  <si>
    <t>Número de proyectos en etapa de diseño u operación con criterios de sostenibilidad</t>
  </si>
  <si>
    <t>Proyectos</t>
  </si>
  <si>
    <t>INCLUIR EN 800 PROYECTOS CRITERIOS DE SOSTENIBILIDAD AMBIENTAL</t>
  </si>
  <si>
    <t>Oficios FOREST, Actas, Archivo de Gestión SEGAE.</t>
  </si>
  <si>
    <t>EMITIR LINEAMIENTOS Y DETERMINANTES AMBIENTALES PARA LA INCORPORACIÓN DE CRITERIOS DE ECOURBANISMO Y CONSTRUCCIÓN SOSTENIBLE EN PROYECTOS URBANOS Y ARQUITECTÓNICOS DE DIFERENTES ESCALAS.</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</si>
  <si>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</si>
  <si>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</si>
  <si>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</si>
  <si>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</si>
  <si>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REALIZAR EL ACOMPAÑAMIENTO PARA EL DISEÑO Y CONSTRUCCIÓN DE UN PROYECTO DE SISTEMA URBANO DE DRENAJE SOSTENIBLE – SUDS, ASOCIADO AL MANEJO SOSTENIBLE DEL AGUA LLUVIA PARA MINIMIZAR LOS IMPACTOS DEL ENDURECIMIENTO PRODUCIDO POR LOS DESARROLLOS URBANÍSTICOS.</t>
  </si>
  <si>
    <t>PROMOVER LA IMPLEMENTACIÓN DE 20000 M2 DE TECHOS VERDES Y JARDINES VERTICALES, EN ESPACIO PUBLICO Y PRIVADO.</t>
  </si>
  <si>
    <t>PROMOVER TANTO EN ESPACIO PÚBLICO Y PRIVADO, EN ESTRUCTURAS NUEVAS Y/O EXISTENTES LA IMPLEMENTACIÓN DE TECHOS VERDES Y JARDINES VERTICALES, MEDIANTE PROCESOS DE DIVULGACIÓN, CAPACITACIÓN DE ESTA TECNOLOGÍA, ACOMPAÑAMIENTO TÉCNICO Y GENERACIÓN DE INCENTIVOS.</t>
  </si>
  <si>
    <t>Archivo de Gestión SEGAE</t>
  </si>
  <si>
    <t>Formular un (1) proyecto de sistema urbano de drenaje sostenible para manejo de aguas y escorrentías</t>
  </si>
  <si>
    <t>Proyecto formulado e implementado del sistema urbano de drenaje sostenible-SUDS</t>
  </si>
  <si>
    <t>Linea 2. Gestión Ambiental Empresarial</t>
  </si>
  <si>
    <t>Techos verdes y jardines verticales implementados</t>
  </si>
  <si>
    <t>M2 de techos verdes implementados en espacio público y privado</t>
  </si>
  <si>
    <t>M2</t>
  </si>
  <si>
    <t>Lograr 500 Empresas con un índice de desempeño ambiental empresarial  - IDAE entre muy bueno y superior</t>
  </si>
  <si>
    <t>Construcción, validación y aplicación del índice de desempeño ambiental empresarial</t>
  </si>
  <si>
    <t>Matriz de reporte, archivo de gestión SEGAE.</t>
  </si>
  <si>
    <t>MAGNITUD META</t>
  </si>
  <si>
    <t xml:space="preserve">Lograr  en 500 empresas un índice de desempeño ambiental empresarial -IDEA - entre muy bueno y excelente. </t>
  </si>
  <si>
    <t>Número de empresas con índice de desempeño ambiental empresarial -IDEA - entre muy bueno y excelente.</t>
  </si>
  <si>
    <t>Número empresas</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</si>
  <si>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</si>
  <si>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</si>
  <si>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</si>
  <si>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</si>
  <si>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Actualizar y poner en marcha la Política de Producción y Consumo Sostenible del Distrito Capital</t>
  </si>
  <si>
    <t>Aprovechar 25.000 toneladas de llantas usadas</t>
  </si>
  <si>
    <t>Promover el  aprovechamiento de 25000 toneladas de llantas usadas</t>
  </si>
  <si>
    <t>Toneladas</t>
  </si>
  <si>
    <t>PRESUPUESTO VIGENCIA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</si>
  <si>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</si>
  <si>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</si>
  <si>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</si>
  <si>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</si>
  <si>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</si>
  <si>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1. Fortalecer la adecuada gestión de residuos peligrosos y especiales en el Distrito Capital, mediante la promoción de los esquemas de gestión existentes (Planes posconsumo, Sistemas de Recolección Selectiva y Gestión Ambiental, Sistemas voluntarios), la articulación de los actores, así como la realización de acciones de promoción y divulgación del aprovechamiento de residuos y subproductos.</t>
  </si>
  <si>
    <t>MAGNITUD META DE RESERVAS</t>
  </si>
  <si>
    <t>2. Fortalecer y promover la estrategia orientada al manejo ambientalmente responsable de los Residuos de Aparatos Eléctricos y Electrónicos- Ecolecta</t>
  </si>
  <si>
    <t>3. Implementar y hacerle seguimiento al instrumento normativo existente que regula la gestión de Aceites Usados Vegetales, durante todo el ciclo de vida de este residuo.</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</si>
  <si>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</si>
  <si>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</si>
  <si>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</si>
  <si>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</si>
  <si>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</si>
  <si>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1. Promover la adecuada gestión de llantas usadas y sus subproductos en el Distrito Capital, a través de la articulación y fortalecimiento de los actores que intervienen en el Ciclo de vida de este residuo.</t>
  </si>
  <si>
    <t>Expedientes SRHS - SCASP
Archivo Hospitalarios
Informes Técnicos 
Bases de Datos</t>
  </si>
  <si>
    <t>Generar acciones de control para los residuos hospitalarios y de riesgo biológico</t>
  </si>
  <si>
    <t>% de cumplimiento de acciones  de control y seguimiento de los residuos hospitalarios y de riesgo biológico</t>
  </si>
  <si>
    <t>Porcentaje</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</si>
  <si>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</si>
  <si>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</si>
  <si>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</si>
  <si>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</si>
  <si>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 xml:space="preserve">Realizar seguimiento y control a las instalaciones que realicen almacenamiento de llantas
usadas o material derivado del tratamiento de llantas usadas en Bogotá D.C, </t>
  </si>
  <si>
    <t>Desarrollar  e implementar  100% Un instrumento de control y seguimiento por medio de innovación tecnológica para el acopio, transporte, tratamiento y aprovechamiento de llantas usadas en la ciudad.</t>
  </si>
  <si>
    <t>Aprovechar el 25% de los residuos de construcción y demolición que controla la SDA</t>
  </si>
  <si>
    <t>Aprovechamiento de Residuos de Construcción y demolición</t>
  </si>
  <si>
    <t>% de cumplimiento de acciones  de control y seguimiento  a los medianos y grandes generadores de Residuos Peligrosos</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</si>
  <si>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</si>
  <si>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</si>
  <si>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Realizar visitas de evaluación control y seguimiento a obras mayores a 5000 m2 o que generen más de 1000 m3 de RCD en Bogotá.</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</si>
  <si>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</si>
  <si>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</si>
  <si>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</si>
  <si>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Verificar el cumplimiento al plan de gestión de RCD, generar las respectivas respuestas tanto a oficios radicados como a las revisiones hechas al aplicativo WEB.</t>
  </si>
  <si>
    <t xml:space="preserve">Reducir 800.000 toneladas de las emisiones de CO2eq </t>
  </si>
  <si>
    <t>Proyectar Informes técnicos y/o Conceptos Técnicos y/o oficios de requerimiento</t>
  </si>
  <si>
    <t>Atender a través del desarrollo de actuaciones técnicas  los procesos relacionados con el  manejo de correspondencia de la Entidad referentes al control integral a la generación de Residuos de Construcción y demolición- RCD</t>
  </si>
  <si>
    <t>Adelantar los actos administrativos que correspondan para la la evaluación, control y seguimiento sobre el manejo y disposición adecuada de RCD y otros residuos generados en Bogotá.</t>
  </si>
  <si>
    <t>Controlar y hacer seguimiento a 100%  De los sitios autorizados para disposición final de RDC en Bogotá jurisdicción SDA</t>
  </si>
  <si>
    <t>Realizar control y seguimiento mensual a los sitios autorizados para la disposición final de Escombros y a  otros que durante la ejecución del contrato sean implementados bajo la autorización de las entidades ambientales competentes en el Distrito Capital.</t>
  </si>
  <si>
    <t>Diseñar e implementar un plan de acción encaminado a la reducción de GEI</t>
  </si>
  <si>
    <t>Proyectar Informes técnicos de las visitas realizadas</t>
  </si>
  <si>
    <t>Realizar evaluación control y seguimiento  100% De los proyectos especiales de infraestructura que se desarrollen  en la Ciudad de Bogotá.</t>
  </si>
  <si>
    <t>Realizar acciones de evaluación, control y seguimiento de los rcd ,  endurecimiento de espacios blandos y trámites ambientales generados en los proyectos especiales de infraestructura en desarrollo en el distrito capital.</t>
  </si>
  <si>
    <t>Porcentaje de implementación del plan de acción encaminado a la reducción de GEI</t>
  </si>
  <si>
    <t>Controlar que 25%  De RCD sean  reutilizados o aprovechados en obra</t>
  </si>
  <si>
    <t>Realizar control y seguimiento al aprovechamiento generado en las obras, de acuerdo a los proyectos en ejecución y cumplimiento de las Resoluciones 01115 de 2012 y 932 de 2015, a través de reportes mensuales de la información reportada en el aplicativo Web de la Entidad, para  el control de la generación de escombros y demás residuos generados en Bogotá.</t>
  </si>
  <si>
    <t>Desarrollar e implementar 100% Un instrumento de control a partir de procesos de innovación tecnológica e investigación para la gestión integral de RCD en Bogotá.</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</si>
  <si>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</si>
  <si>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</si>
  <si>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Realizar visitas de seguimiento y control a generadores de residuos hospitalarios y similares</t>
  </si>
  <si>
    <t>Realizar el seguimiento a los informes presentados por el gestor externo ECOCAPITAL S.A ESP. en el marco del cumplimiento a la resolución 1164 del 2002 a través de la entidad responsable del contrato de concesión.</t>
  </si>
  <si>
    <t>Atender trámites de correspondencia (Informes de gestión de residuos Hospitalarios, Registros y permisos de vertimientos, Registro como acopiador primario de aceites usados y registro como acopiador de residuos peligrosos)</t>
  </si>
  <si>
    <t>Diseñar  e implementar 100% Una estrategia de control de residuos peligrosos generados  en establecimientos de salud humana y afines en la Ciudad de Bogotá</t>
  </si>
  <si>
    <t>Realizar evaluación control y seguimiento al 100% en la implementación del Plan Institucional de Gestión Ambiental – PIGA</t>
  </si>
  <si>
    <t>Realizar visitas de evaluación, control y seguimiento a la implementación del PIGA de las entidades Distritales</t>
  </si>
  <si>
    <t>Línea 2. Gestión Ambiental Empresarial</t>
  </si>
  <si>
    <t>Lograr un índice de desempeño ambiental empresarial –IDAE entre muy bueno y superior en 500 empresas.</t>
  </si>
  <si>
    <t>Proyectar los oficios de requerimiento como resultado de las visitas realizadas</t>
  </si>
  <si>
    <t>Linea 7. Seguimiento a la reducción de emisiones de GEI – Cambio Climático</t>
  </si>
  <si>
    <t>Realizar el seguimiento a la reducción de 800.000 toneladas de Gases Efecto Invernadero-GEI en el Distrito Capital</t>
  </si>
  <si>
    <t>TOTAL PONDERACIÓN</t>
  </si>
  <si>
    <t>126PG01-PR02-F-A5-V9.0</t>
  </si>
  <si>
    <t>Actualizar la Política Distrital de Producción y Consumo Sostenible y  ponerla en marcha</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</si>
  <si>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</si>
  <si>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</si>
  <si>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</si>
  <si>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</si>
  <si>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Constante</t>
  </si>
  <si>
    <t>480 y 481</t>
  </si>
  <si>
    <t>100%%</t>
  </si>
  <si>
    <t>TOTAL PROYECTO</t>
  </si>
  <si>
    <t>Numero de toneladas de emisiones de CO2 reducidas sobre año</t>
  </si>
  <si>
    <t>Constancias y Certificados de aprovechamiento provenientes de programas postconsumo y gestores.</t>
  </si>
  <si>
    <t xml:space="preserve">Generar acciones de control a los medianos y grandes generadores de Residuos Peligrosos -RESPEL-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</si>
  <si>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</si>
  <si>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 xml:space="preserve">
Archivo SCASP
Informes Técnicos 
Bases de Datos</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</si>
  <si>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</si>
  <si>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</si>
  <si>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</si>
  <si>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</si>
  <si>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</si>
  <si>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Apoyar en el desarrollo del  Parque Industrial Ecoeficiente de San Benito-PIESB en los componentes a cargo de la SDA.</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</si>
  <si>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</si>
  <si>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UN ESQUEMA</t>
  </si>
  <si>
    <t>Utilizar gradualmente el 20%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</si>
  <si>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</si>
  <si>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</si>
  <si>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Archivos SCASP
Informes Técnicos 
Bases de Datos SCASP</t>
  </si>
  <si>
    <t>NINGUNO</t>
  </si>
  <si>
    <t>Ver expedientes asociados a cada trámite o radicado atendido</t>
  </si>
  <si>
    <t>Fichas de Proyectos y de Seguimiento por módulos de ASUS, Energía y Residuos</t>
  </si>
  <si>
    <t>Suma</t>
  </si>
  <si>
    <t>Territorio Sostenible</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</si>
  <si>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</si>
  <si>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</si>
  <si>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</si>
  <si>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</si>
  <si>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Los productos reposan en los archivos de la SCASP</t>
  </si>
  <si>
    <t>Avanzar en la implementación del plan de acción encaminado a la reducción de GEI y reportar la reducción  de emisiones generadas por los proyectos objeto de seguimiento</t>
  </si>
  <si>
    <t>Seguimiento a  la elaboración  del  documento técnico de soporte que sirva a la Secretaría Distrital de Ambiente para reglamentar los valores máximos permisibles de las sustancias de interés sanitario y ambiental que se generan en los servicios veterinarios</t>
  </si>
  <si>
    <t>Formular y desarrollar  una investigación base que permita efectuar eficientemente acciones de evaluación control y seguimiento a la gestión externa en el marco de la gestión integral de los residuos peligrosos generados en las actividades de salud y otras actividades afines como parte de las estratégias de control  de residuos peligrosos generados  en establecimientos de salud humana y afines en la Ciudad de Bogotá</t>
  </si>
  <si>
    <t>x</t>
  </si>
  <si>
    <t>Formular y desarrollar  una investigación base para el  aprovechamiento,  tratamiento y/o disposición final de los residuos de construcción y demolición en el Distrito Capital,  como  parte de la estrategias para la evaluación, control y seguimiento a  la gestión integral de RCD en Bogotá.</t>
  </si>
  <si>
    <t>Realizar seguimiento a la elaboración del diagnóstico y factibilidad del uso de innovaciones tecnológicas que permitan fortalecer los instrumentos de control aplicados por la SDA, con el fin de formular estrategias para la evaluación, control y seguimiento a residuos de construcción y demolición RCD y otros residuos, generados en el Distrito Capital</t>
  </si>
  <si>
    <t>Realizar seguimiento a la elaboración del diagnóstico y factibilidad del uso de innovaciones tecnológicas que permitan fortalecer los instrumentos de control aplicados por la SDA, con el fin de formular estrategias para la evaluación, control y seguimiento a llantas usadas generadas en el Distrito Capital</t>
  </si>
  <si>
    <t>Formular y desarrollar  una investigación base para el  acopio, transporte, tratamiento y aprovechamiento de llantas usadas en la ciudad,  como insumo   del instrumento de control y seguimiento  al  aprovechamiento de llantas usadas en la Ciudad de Bogotá</t>
  </si>
  <si>
    <t>5, PONDERACIÓN HORIZONTAL AÑO: _2017__</t>
  </si>
  <si>
    <t>-</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</si>
  <si>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</si>
  <si>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Sinergias entre diferentes gremios, organizaciones y academia, para fortalecer la autogestión ambiental.</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</si>
  <si>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</si>
  <si>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Bases de Datos  de los establecimientos, fecha de visita, nombre del establecimiento, dirección, localidad y contratistas que realizaron la visita.</t>
  </si>
  <si>
    <t>Actas de seguimiento ambiental en obras y/u otros informes de sitios de disposición final y/o aprovechamiento autorizados, reportes de los generadores, bases de datos.</t>
  </si>
  <si>
    <t>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</si>
  <si>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Base de datos, constancias y certificados de disposición final.</t>
  </si>
  <si>
    <t>La implementación del Plan de Acción permite identificar el aporte de los proyectos distritales a la reducción de emisiones de GEI y efectuar el seguimiento continuo del avance de mitigación de emisiones de GEI durante la vigencia 2016-2020.</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</si>
  <si>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</si>
  <si>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</si>
  <si>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El beneficio que percibe la cuidad a través del proyecto es contribuir a la descontaminación del Rio Bogotá. Dado que las curtiembres de San Benito generan vertimientos con altas cargas contaminantes que son descargados por la red de alcantarillado al Río Tunjuelo que es uno de los afluentes del Río Bogotá.
Adicionalmente todas las actuaciones desarrolladas se realizan el marco de cumplimiento de la sentencia del Río Bogotá en atención a la orden 4.63, por lo tanto contribuyen al cumplimiento de dicho fallo y al cumplimiento de la medida cautelar proferida el 18 de octubre de 2016 en San Benito.</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</si>
  <si>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</si>
  <si>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</si>
  <si>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</si>
  <si>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</si>
  <si>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En el marco de las actividades realizadas por el grupo de Residuos Hospitalarios y en cumplimiento de la Resolución 1164 de 2002 “Por la cual se adopta el Manual de Procedimientos para la Gestión Integral de los residuos hospitalarios y similares” numeral 8.1.10: Elaborar informes a las autoridades ambientales y sanitarias; Acorde con lo anterior, desde el grupo de Residuos Hospitalarios de la SCASP  se realizó seguimiento a las cantidades reportadas por ECOCAPITAL S.A ESP de los residuos hospitalarios de tipo infeccioso recolectados, tratados y dispuestos  en los cuales se reportan cantidades por categoría de generador, localidad y tipo de residuo gestionado (Biosanitarios, Cortopunzantes, Anatomopatológicos y Animales).</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</si>
  <si>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</si>
  <si>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</si>
  <si>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</si>
  <si>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</si>
  <si>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</si>
  <si>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</si>
  <si>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</si>
  <si>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</si>
  <si>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</si>
  <si>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</si>
  <si>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</si>
  <si>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</si>
  <si>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</si>
  <si>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</si>
  <si>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</si>
  <si>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</si>
  <si>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</si>
  <si>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</si>
  <si>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</si>
  <si>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</si>
  <si>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</si>
  <si>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</si>
  <si>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</si>
  <si>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</si>
  <si>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</si>
  <si>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</si>
  <si>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</si>
  <si>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</si>
  <si>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</si>
  <si>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</si>
  <si>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</si>
  <si>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</si>
  <si>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</si>
  <si>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</si>
  <si>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</si>
  <si>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</si>
  <si>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 xml:space="preserve">IMPLEMENTAR LA POLITICA DE ECOURBANISMO Y CONSTRUCCIÓN SOSTENIBLE </t>
  </si>
  <si>
    <t>Distrital</t>
  </si>
  <si>
    <t>Magnitud Vigencia</t>
  </si>
  <si>
    <t>Distrial</t>
  </si>
  <si>
    <t>DISTRITO CAPITAL</t>
  </si>
  <si>
    <t>GRUPO ETARIO SIN DEFINIR</t>
  </si>
  <si>
    <t>TODOS LOS GRUPOS</t>
  </si>
  <si>
    <t>NO IDENTIFICA GRUPOS ETNICOS</t>
  </si>
  <si>
    <t>Barrios Unidos</t>
  </si>
  <si>
    <t>Niños y niñas de primera infancia</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</si>
  <si>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</si>
  <si>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</si>
  <si>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</si>
  <si>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</si>
  <si>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</si>
  <si>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</si>
  <si>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</si>
  <si>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Bosa</t>
  </si>
  <si>
    <t>Tintal Sur, Bosa Occidental</t>
  </si>
  <si>
    <t>Poligono</t>
  </si>
  <si>
    <t>Usaquen</t>
  </si>
  <si>
    <t>Rafael Uribe</t>
  </si>
  <si>
    <t>Santa Fe</t>
  </si>
  <si>
    <t>Chapinero</t>
  </si>
  <si>
    <t>Engativa</t>
  </si>
  <si>
    <t>Usme</t>
  </si>
  <si>
    <t>Puente Aranda</t>
  </si>
  <si>
    <t>Fontibon</t>
  </si>
  <si>
    <t>Martires</t>
  </si>
  <si>
    <t>Suba</t>
  </si>
  <si>
    <t>San Cristobal</t>
  </si>
  <si>
    <t>Poligoo</t>
  </si>
  <si>
    <t>Tunjuelito</t>
  </si>
  <si>
    <t xml:space="preserve">CIUDAD BOLIVAR </t>
  </si>
  <si>
    <t>CIUDAD BOLIVAR</t>
  </si>
  <si>
    <t>Kennedy</t>
  </si>
  <si>
    <t>Bavaria, Castilla, Corabastos</t>
  </si>
  <si>
    <t>Recursos Reservas</t>
  </si>
  <si>
    <t>Total meta</t>
  </si>
  <si>
    <t>Total Vigencia</t>
  </si>
  <si>
    <t>Total reservas</t>
  </si>
  <si>
    <t>PROMOVER LA IMPLEMENTACIÓN DE 20000 M2 DE TECHOS VERDES Y JARDINES VERTICALES EN ESPACIO PUBLICO Y PRIVADO.</t>
  </si>
  <si>
    <t>Punto</t>
  </si>
  <si>
    <t>Santa Barbara, Los Cedros</t>
  </si>
  <si>
    <t>Santa Bibiana, Los Cedros</t>
  </si>
  <si>
    <t>Chico Lago, Chapinero, El Refugio</t>
  </si>
  <si>
    <t>Chico Norte, Espartillal, Chapinero Central, La Cabrera, Bella vista</t>
  </si>
  <si>
    <t>Los Alcazares</t>
  </si>
  <si>
    <t>La Esperanza, La Merced Norte</t>
  </si>
  <si>
    <t>Fontibón</t>
  </si>
  <si>
    <t>Fontib{on, Aeropuerto El Dorado</t>
  </si>
  <si>
    <t>Centro Fontibón, El Dorado</t>
  </si>
  <si>
    <t>Casa Blanca Suba</t>
  </si>
  <si>
    <t>Santa Helena</t>
  </si>
  <si>
    <t xml:space="preserve">Localidad </t>
  </si>
  <si>
    <t>Teusaquillo Galerias Cuidad Salitre Oriental.</t>
  </si>
  <si>
    <t>La Soledad Alfonso Lopez Belalcazar Ciudad Salitre Nor-oriental.</t>
  </si>
  <si>
    <t>Santa Barbara</t>
  </si>
  <si>
    <t>Molinos Norte</t>
  </si>
  <si>
    <t>Chapinero Chico Lago</t>
  </si>
  <si>
    <t>El Chico Chapinero Central Sucre Chico Norte Porcuncula Chico Norte III sector.</t>
  </si>
  <si>
    <t>Carvajal</t>
  </si>
  <si>
    <t>Timiza</t>
  </si>
  <si>
    <t>Niza</t>
  </si>
  <si>
    <t>Niza Norte</t>
  </si>
  <si>
    <t>Gran Britalia</t>
  </si>
  <si>
    <t>La Paz Bosa</t>
  </si>
  <si>
    <t>#ERROR!</t>
  </si>
  <si>
    <t>Distrtial</t>
  </si>
  <si>
    <t>Total recursos vigencia</t>
  </si>
  <si>
    <t>Total recursos reservas</t>
  </si>
  <si>
    <t>BOSA</t>
  </si>
  <si>
    <t>FONTIBON</t>
  </si>
  <si>
    <t>BARRIOS UNIDOS</t>
  </si>
  <si>
    <t>PUENTE ARANDA</t>
  </si>
  <si>
    <t>Distrital, debido a que las acciones que se plasman en el documento abarcan todas las localidades de la ciudad. Adicionalmente, cabe anotar que dichas acciones no han sido aprobadas, hasta que surja el acto administrativo que las soporta, por lo que es muy adelantado describir alguna localidad.</t>
  </si>
  <si>
    <t xml:space="preserve">
Total meta</t>
  </si>
  <si>
    <t>Localidad</t>
  </si>
  <si>
    <t>ENGATIVA</t>
  </si>
  <si>
    <t>SUBA</t>
  </si>
  <si>
    <t>TEUSAQUILLO</t>
  </si>
  <si>
    <t>LOS MARTIRES</t>
  </si>
  <si>
    <t>ANTONIO NARIÑO</t>
  </si>
  <si>
    <t>CANDELARIA</t>
  </si>
  <si>
    <t>RAFAEL URIBE URIBE</t>
  </si>
  <si>
    <t>CHAPINERO</t>
  </si>
  <si>
    <t>SUMAPAZ</t>
  </si>
  <si>
    <t>SANTA FE</t>
  </si>
  <si>
    <t>SAN CRISTOBAL</t>
  </si>
  <si>
    <t>USME</t>
  </si>
  <si>
    <t>TUNJUELITO</t>
  </si>
  <si>
    <t>KENNEDY</t>
  </si>
  <si>
    <t>USAQUEN</t>
  </si>
  <si>
    <t>TCO</t>
  </si>
  <si>
    <t>20 DE JULIO</t>
  </si>
  <si>
    <t>CENTRO</t>
  </si>
  <si>
    <t>CERROS NORORIENTALES</t>
  </si>
  <si>
    <t>KENNEDY - METRO</t>
  </si>
  <si>
    <t>USME TUNJUELO</t>
  </si>
  <si>
    <t>IIBM</t>
  </si>
  <si>
    <t>EL RINCÓN</t>
  </si>
  <si>
    <t>CL 127B 89 58 (40kg AVU), CL128B 89 76 (20kg AVU)</t>
  </si>
  <si>
    <t>BOSA - PIAMONTE</t>
  </si>
  <si>
    <t>KR 80C 65 24 SUR (20kg AVU)</t>
  </si>
  <si>
    <t>CIUDAD BOLIVAR - BORDE RURAL</t>
  </si>
  <si>
    <t xml:space="preserve">KR 27L 71G 14 SUR (5kg AVU)   </t>
  </si>
  <si>
    <t>SANTA CECILIA</t>
  </si>
  <si>
    <t xml:space="preserve">CL 162A 6 21 (10kg AVU)   </t>
  </si>
  <si>
    <t xml:space="preserve">DISTRITO CAPITAL (Datos que no se pudieron georeferenciar ) </t>
  </si>
  <si>
    <t>Desarrollar  e implementar  100% Un instrumento de control y seguimiento por medio de innovación tecnológica para el acopio transporte tratamiento y aprovechamiento de llantas usadas en la ciudad.</t>
  </si>
  <si>
    <t>USAQUÉN</t>
  </si>
  <si>
    <t>MARTIRES</t>
  </si>
  <si>
    <t>CHJAPINERO</t>
  </si>
  <si>
    <t xml:space="preserve">ENGATIVA </t>
  </si>
  <si>
    <t>Total Magnitud</t>
  </si>
  <si>
    <t>Total recursos reserva</t>
  </si>
  <si>
    <t>Realizar el seguimiento a la reducción de 8000 toneladas de Gases Efecto Invernadero-GEI en el Distrito Capital</t>
  </si>
  <si>
    <t>TOTALES - PROYECTO</t>
  </si>
  <si>
    <t>TOTAL RE CUR SOS VIGENCIA</t>
  </si>
  <si>
    <t>TOTAL RECUR SOS RESERVA</t>
  </si>
  <si>
    <t>TOTAL RECURSOS</t>
  </si>
  <si>
    <t>PROGRAMACIÓN INICIAL CUATRIENIO</t>
  </si>
  <si>
    <t>PROGR. ANUAL CORTE  SEPT</t>
  </si>
  <si>
    <t>PROGR. ANUAL CORTE DIC</t>
  </si>
  <si>
    <t>REPROGRAMACIÓN VIGENCIA</t>
  </si>
  <si>
    <t>PROGR. ANUAL CORTE  MAR</t>
  </si>
  <si>
    <t>PROGR. ANUAL CORTE  JUN</t>
  </si>
  <si>
    <t>1, PRIMERA CATEGORIA</t>
  </si>
  <si>
    <t>PROGRAMA</t>
  </si>
  <si>
    <t>1.2 PROYECTO</t>
  </si>
  <si>
    <t>Documento de formulación de plan de acción y control de llantas usadas</t>
  </si>
  <si>
    <t>Comunicaciones oficiales Externas e Internas, FOREST y matriz de seguimiento al plan de accion en el archivo de gestión de la SEGAE</t>
  </si>
  <si>
    <t>Matriz de seguimiento y reporte del indice en el Archivo de Gestión SEGAE</t>
  </si>
  <si>
    <t>La ciudad tendrá una ruta de acción para lograr cambios en los patrones de producción y consumo sostenible que se reflejen en la disminución de impactos ambientales en el territorio.</t>
  </si>
  <si>
    <r>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r>
    <r>
      <rPr>
        <sz val="10"/>
        <rFont val="Calibri"/>
        <family val="2"/>
      </rPr>
      <t xml:space="preserve">
</t>
    </r>
  </si>
  <si>
    <t>Documento soporte de Diseño de la propuesta de la tecnología diseñada, el cul contiene:
- Diagramación de la solución
- Definición de árbol de navegación
- Documento técnico soporte del diseño
- Wireframes estructural de la solución
- Prototipo aplicado de la herramienta</t>
  </si>
  <si>
    <t>126PG01-PR02-F-2-V10.0</t>
  </si>
  <si>
    <t xml:space="preserve">Se avanzó en el  trámite sobre los actos administrativos  permisivos y Sancionatorios correspondientes  a la temática de evaluación, control y seguimiento sobre el manejo y disposición adecuada de RCD y otros residuos generados en Bogotá. Distribuidos así:
97 Permisivos  de los cuales 97 fueron firmados y 62  Sancionatorios proyectados </t>
  </si>
  <si>
    <t xml:space="preserve">Dirección:  Toneladas de Gases Efecto Invernadero-GEI en el Distrito Capital.
Descripción:  Proyectos distritales relacionados a la reducción de emisiones de GEI en D.C. </t>
  </si>
  <si>
    <t>Direcicón:  PIGA entidades distritales.
DESCRIPCIÓN:   Sedes de las entidades distritales de Bogota con evaluacion, control y seguimiento al PIGA. MPI18.</t>
  </si>
  <si>
    <t xml:space="preserve">Dirección:  Localizaciones definidas para la disposicion adecuada de RCD.
Descripción:  Toneladas de residuos de construcción y demolición con disposición adecuada.  </t>
  </si>
  <si>
    <t>Dirección:  Establecimientos de salud humana de Bogotá.
Descripción:  Residuos peligrosos generados por establecimientos de salud humana (hospitales y similares) objeto de control y seguimiento por la SDA.</t>
  </si>
  <si>
    <t xml:space="preserve">Direción:  Residuos de Construccion y Demolicion en Bogotá.
Descripción:  Linea base para el tratamiento y/o disposición final de los residuos de construccion y demolicion en el Distrito Capital. </t>
  </si>
  <si>
    <t xml:space="preserve">Dirección: Obras de construcción y demolición que generan residuos en Bogota.
Descripicón:  Obras  generadoras de escombros y demas residuos de Construccion y Demolicion en Bogota. </t>
  </si>
  <si>
    <t xml:space="preserve">Direción: Distrital. Proyectos especiales de infraestructura en desarrollo en el D.C.
Descripción:  Control de endurecimiento de espacios blandos, la generación y  aprovechamiento de RCD y otros residuos de Construcción y demolición en los proyectos espaciales de infraestructura en Bogotá. </t>
  </si>
  <si>
    <t>Dirección: Distrital.  Sitios autorizados para disposición final de RDC.
Descripción:  Sitios autorizados en el territorio Distrital para disposición final de RDC jurisdicción SDA. MPI12</t>
  </si>
  <si>
    <t xml:space="preserve">Dirección: USAQUEN.
Descripción:  Obras mayores a 5000 m2 o que generen más de 1000 m3 de residuos de construcción y demolición en Bogotá. </t>
  </si>
  <si>
    <t xml:space="preserve">Dirección:  Distrital. Localizaciones de acopio, tratamiento y aprovechamiento de llantas usadas en el D.C.
Descripción:  Investigacion base para la localización de áreas para el acopio, transporte, tratamiento y aprovechamiento de llantas usadas. </t>
  </si>
  <si>
    <t>Dirección:   Distrital. Establecimientos de acopio de llantas usadas en el D.C.
Descripción:  Establecimientos de acopio de llantas usadas o material derivado del tratamiento de llantas usadas en Bogotá D.C. MPI9.</t>
  </si>
  <si>
    <t>ni identifica</t>
  </si>
  <si>
    <t>Dirección: Localidad.  Establecimientos y actores de la localidad asociados al ciclo de vida de llantas en la localdiad.</t>
  </si>
  <si>
    <t>TUNJUELITO CENTRAL</t>
  </si>
  <si>
    <t>CIUDAD BOLIVAR-SOACHA</t>
  </si>
  <si>
    <t>CIUDAD BOLIVAR -CABLE</t>
  </si>
  <si>
    <t>CERROS SURORIENTALES</t>
  </si>
  <si>
    <t xml:space="preserve">Dirección: Distrital,  Actores relacionados en la localidad con el aprovechamiento de residuos peligrosos y especiales.
Descripción:  Espacios para gestion de residuos peligrosos y especiales con Sistemas de Recolección Selectiva, Gestión Ambiental y Sistemas voluntario.  
</t>
  </si>
  <si>
    <t xml:space="preserve"> Barrio San Benito</t>
  </si>
  <si>
    <t xml:space="preserve"> Tunjuelito</t>
  </si>
  <si>
    <t xml:space="preserve">Dirección: Barrio San Benito, proyecto Parque Industrial Ecoeficiente de San Benito-PIESB.
 Descripción: Parque Industrial Ecoeficiente de San Benito-PIESB en los componentes a cargo de la SDA. </t>
  </si>
  <si>
    <t xml:space="preserve">Dirección: Distrital. Empresas con índice de desempenio ambiental. 
Descripción:  Empresas en el Distrito Capital con aplicacion del indice de desempenio ambiental empresarial  entre muy bueno y superior.
</t>
  </si>
  <si>
    <t>Adjuntar SHP poligonos</t>
  </si>
  <si>
    <t>Galerias, Ciudad Salitre Nororiental</t>
  </si>
  <si>
    <t>Galerias, Ciudada Salitre Oriental</t>
  </si>
  <si>
    <t>Los ejidos, Salazar Gomez</t>
  </si>
  <si>
    <t>Zona Industrial, Puente Aranda</t>
  </si>
  <si>
    <t>El Cortijo, Santa Monica</t>
  </si>
  <si>
    <t>Bolivia, Garces Navas</t>
  </si>
  <si>
    <t>Sagrado Corazón, Las Nieves, Samper</t>
  </si>
  <si>
    <t>Sagrado Corazón, Las Nieves, Sagrado Corazón</t>
  </si>
  <si>
    <t>Santa Fe
Dirección: . Techos verdes y jardines verticales en localdiad.
Descripicón:  Numero de techos verdes y jardines verticales, en espacio público y privado implemetados con acompañamiento técnico o de incentivos. MPI3.</t>
  </si>
  <si>
    <t>Muzu, Arborizadora Baja, El Chircal Sur</t>
  </si>
  <si>
    <t>Venecia</t>
  </si>
  <si>
    <t>Tunjuelito
Dirección: Tunjuelito, proyecto de sistema urbano de drenaje sostenible - SUDS.
Descripción:  Proyecto para el manejo sostenible del agua lluvia y minimizar los impactos del endurecimiento producido por los desarrollos urbanísticos. MPI2.</t>
  </si>
  <si>
    <t>Ciudad Jardín Sur</t>
  </si>
  <si>
    <t>Ciudad Jardín</t>
  </si>
  <si>
    <t>Antonio Nariño</t>
  </si>
  <si>
    <t>Centro Administrativo</t>
  </si>
  <si>
    <t>La Candelaria</t>
  </si>
  <si>
    <t>Candelaria</t>
  </si>
  <si>
    <t>TO: (KENNEDY - METRO) Villa Alsacia, Lusitania, Ciudad Kennedy Norte, Corabastos.</t>
  </si>
  <si>
    <t>TO: (CIUDAD BOLIVAR SOACHA, CIUDAD BOLIVAR CABLE) Rincon de Valverana, El Ensueño, Caracoli, Las Manas, El Mirador, Brisas del Volador, Sierra Morena, Rafael Escamilla</t>
  </si>
  <si>
    <t>Ismael Perdomo, Jerusalem, El Lucero, Arborizadora</t>
  </si>
  <si>
    <t>Popular Modelo, 12 de Octubre, Polo Club, Santa Sofia, La Aurora, La Esperanza, La Castellana</t>
  </si>
  <si>
    <t>12 de Octubre, Los Alcazares, Los Andes</t>
  </si>
  <si>
    <t>TO: (TUNJUELO CENTRAL) Venecia Occidental</t>
  </si>
  <si>
    <t>TO : (CERROS SURORIENTALES) Juan Rey La Paz, El Pinar, Los Libertadores, Santa Rita Sur Oriental, San Cristobal Sur, San Blas II, La arboleda Santa Teresita.</t>
  </si>
  <si>
    <t>Los Libertadores, San Blas</t>
  </si>
  <si>
    <t>TO: (SUBA) Tibabuyes II, La Chucua, Salitre Suba, San Jose de Bavaria, Santa Elena Villa, Maria, Sta Cecilia, Ciudadela Colsubsidio, San Carlos de Suba, Bilbao, La Poa, El Pino, Las Flores, Casa Blanca Suba, Casa Blanca Suba I, Niza Suba, Vereda Suba Naranjos, Iberia, Ciudad Jardin Norte, Casa Blanca Suba Urbano, Portales del Norte, Puente Largo.</t>
  </si>
  <si>
    <t>Tibabuyes, Suba, El Rincon, Casa Blanca Suba, La Academia, Britalia, Niza.</t>
  </si>
  <si>
    <t>El Progreso</t>
  </si>
  <si>
    <t>Santa Isabel</t>
  </si>
  <si>
    <t>El Chanco I, Ferrocaja Fontibon, Sabana Grande, El Tintal II, Centro Fontibon, Tintal Central, Montevideo</t>
  </si>
  <si>
    <t>Granjas de Techo, Zona Franca, Fontibon</t>
  </si>
  <si>
    <t>Ciudad Salitre Nor-Oriental, Centro Administrativo OCC, Florida</t>
  </si>
  <si>
    <t>Ciudad Salitre Oriental, Ciudad Salitre Occidental, Teusaquillo</t>
  </si>
  <si>
    <t>Pensilvania, Tibana, Ejido, Indistria centenario, Corredor Ferreo Sur.</t>
  </si>
  <si>
    <t>Zona Industrial, Ciudad Montes Zona Idustrial</t>
  </si>
  <si>
    <t>TO: (USME TUNJUELO, CERROS SUR ORIENTALES) Puerta al Llano de Usme, Desarrollo Brazuelos I</t>
  </si>
  <si>
    <t>Alfonso Lopez, Engativá, Comuneros</t>
  </si>
  <si>
    <t xml:space="preserve">TO: (Engativá) Autopista Medellin, El Gaco, Villas de Alcala, Luis Carlos Galan, Los Cerezos, Ciudad Bachue, Villa Gladis </t>
  </si>
  <si>
    <t>Garces Nava, Minuto de Dios, Engativá</t>
  </si>
  <si>
    <t>Sucre, Los Rosales, La Cabrera, Chico Norte II Sector, Chico Norte III Sector, Antiguo Country, El Refugio, El Nogal, Maria Cristina</t>
  </si>
  <si>
    <t>Chico Lago, El Refujio, Chapinero, Pardo Rubio</t>
  </si>
  <si>
    <t>Las Nieves, San Martín, San Bernardino, VeraCruz, Bosque Izquierdo, La Macarena, La Perseverancia, Samper, Sagrado Corazon.</t>
  </si>
  <si>
    <t>Las Nieves, Las Cruces, Sagrado Corazon, La Macarena</t>
  </si>
  <si>
    <t>TO: (TUNJUELO CENTRAL) La picota Oriental</t>
  </si>
  <si>
    <t>Diana Turbay</t>
  </si>
  <si>
    <t>San Jose de Usaquén, Lisboa, La Calleja, La Pradera Norte, Santa Teresa, Santa Barbara Occidental, Santa Barbara Central, Santa Viviana</t>
  </si>
  <si>
    <t>Country Club, Toberin, La Uribe, Santa Barbara</t>
  </si>
  <si>
    <t xml:space="preserve">Usaquen. Descripción: 
 Incorporación de criterios ambientales a proyectos urbanos y arquitectónicos en diferentes escalas urbanas (espacio publico y privado: áreas de uso residencial, parques, zonas verdes y tramos de proyectos viales). </t>
  </si>
  <si>
    <t>TO: (BOSA) Campo Verde, La independencia, Danubio azul, Las Margaritas, La VegaSan Bernardino, San Bernardino XVIII, El Remanso, Remanso Urbano, VillaEma.</t>
  </si>
  <si>
    <t xml:space="preserve">NUMERO INTERSEXUAL </t>
  </si>
  <si>
    <t>Revisión terri</t>
  </si>
  <si>
    <t>AÑO 2017</t>
  </si>
  <si>
    <t>Se realizó el curso de manejo basico de tratamiento de aguas residuales con el apoyo del SENA. y  se realizó una practica de laboratorio para medición de parametros in situ con el apoyo de la Empresa de Acueducto de Bogotá, los empresarios se graduaron en un evento de reconocimiento en el que ademas se realizó una jornada de capacitación en producción más limpia. Adicionalmente se continuo con la inscripción y atención de usuarios con dudas sobre sus permisos de vertimientos. 
En el marco de la mesa Distrital de Curtiembres se realizaron 6 reuniones para definir acciones de apoyo al sector curtidor, en su estrategia para solicitar el levantamiento de la medida cautelar. De otra parte se participó y rindió informe de cumplimiento ante la magistrada respecto a la orden 4.63 de San Benito, en audiciencia realizada el 10 de noviembre de 2017 y resultado de la cual se obtuvo el Auto del incidente Nº 22 de la orden 4.63, que otorga plazos al sector curtidor para la construcción de la planta de tratamiento conjunta.</t>
  </si>
  <si>
    <t xml:space="preserve">Se llevó a cabo la Semana Ecoempresarial como el escenario para fortalecer el esquema voluntario de autogestión ambiental del 23 al 27 de octubre, en donde, se logró la asistencia de 220 representantes de empresas, entidades del Distrito y universidades al I Foro Distrital en Responsabilidad Empresarial y Sostenibilidad, más de 3000 colaboradores de 100 organizaciones, entidades del distrito y universidades hicieron parte de la campaña Elijo Ser Sostenible, con el fin de fortalecer los estilos de Vida Sostenible, 43 toneladas de residuos especiales, eléctricos y electrónicos, así como pilas y bombillas, se recibieron en la jornada de la Eco-Reciclatón, y se desarrollo del Primer Festival Ambiente al Parque, escenario que brindó actividades de esparcimiento recreativo, cultural y fortalecimiento de la gestión ambiental empresarial.
</t>
  </si>
  <si>
    <t>Se incorporaron criterios de sostenibilidad ambiental a doscientos once (211) proyectos de diferentes escalas, tanto en espacio público como en privado, promoviendo la construcción sostenible y el ecourbanismo en la ciudad. Los proyectos a los cuales se les incorporó criterios de sostenibilidad corresponden a: Once (11) Planes Parciales de Desarrollo, tres (3) planes parciales de renovación urbana, un (1) plan parcial de regularización y manejo, siete (7) Planes de Implantación, doce (12) proyectos de compatibilidad de usos de vivienda en suelo restringido, un (1) proyecto de regularización de barrio, ciento treinta y dos (132) proyectos de diseño paisajístico de parques y zonas verdes, cinco (5) proyectos pre - reconocidos como ecoeficientes por el Programa Bogotá Construcción Sostenible y treinta y nueve (39) tramos de proyectos viales de la caja de vivienda popular.</t>
  </si>
  <si>
    <t xml:space="preserve">Realizada la coordinación entre la Secretaría Distrital de Ambiente (SDA) y La Empresa de Acueducto de Bogotá (EAB ESP) y seleccionado el sitio en donde se implantará el proyecto, La EAB ESP envió viabilidad para el convenio interadministrativo de Cooperación el día 4/07/2017 bajo radicado 2017ER125902, y el primer semestre de 2017 se elaboró el DTS y los estudios previos cuyo objeto es: “Aunar recursos físicos, técnicos, financieros y humanos entre la Secretaría Distrital de Ambiente y la EAB-ESP para elaborar los diseños paisajísticos e ingeniería de detalle y primera fase de las obras para conformar un sistema urbano de drenaje sostenible en la zona de meandros del Rio Tunjuelo que supla permanentemente las necesidades hídricas del mismo”, para poder contratar los diseños del SUDS. Lo que corresponde a un 0,12% de ejecución.
Pese a lo anterior, la suscripción del convenio No. 1353 en mención fue realizado el 24/11/2017 y para la firma de acta de inicio la SDA se está a la espera de que EAB-ESP realice la apertura de la cuenta bancaria para la consignación de los recursos por parte de la SDA.
</t>
  </si>
  <si>
    <t>En el último trimestre, no se logró un avance en la elaboraron de los diseños del proyecto, generando retrasos en lo programado en la meta para la presente vigencia.</t>
  </si>
  <si>
    <t xml:space="preserve">Se priorizaron las acciones competencia de la SEGAE 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y/o lineamientos ambientales emitidos a 79 proyectos e instrumentos de planeamiento urbano y 7 proyectos inscritos en el programa Bogotá Construcción Sostenible (12Planes Parciales de Desarrollo, 7 Planes Parciales de Renovación Urbana, 23 Planes de Implantación, 2 Planes de Regularización y Manejo, 13 Compatibilidad de Usos de Vivienda, 22Diseños Paisajísticos de Parques y Zonas Verdes, 7 proyectos de Bogotá Construcción Sostenible); estos criterios de sostenibilidad ambiental aportan directamente al cumplimiento de las estrategias del Plan de Acción así: Movilidad Sostenible 14 proyectos, Consumo Responsable de Agua Potable 48 proyectos, Permeabilidad y Drenajes Sostenibles 26 proyectos, Calidad de Aire y Salud Ambiental 34 proyectos, Gestión de Infraestructuras Verdes y Servicios Ecosistémicos 83 proyectos, Gestión de Residuos Sólidos 41 proyectos, Residuos de la Construcción y la Demolición (RCD) 38 proyectos, Eficiencia Energética y Energía Renovable 46 proyectos, Edificaciones y Viviendas Urbanas y Rurales Sostenible 31 proyectos. Por otra parte, en revisión realizada por la SEGAE, SRHS, SCAAV, SSFFS, SER y SCASP,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las metas del Plan de Acción - Resol 1319 de 2015(Consumo responsable de agua potable (m2), permeabilidad y drenajes sostenibles (m3), gestión de infraestructuras verdes y servicios ecosistémicos).
</t>
  </si>
  <si>
    <t>Durante el periodo comprendido entre enero a diciembre de 2017 , se realizaron  visitas de control  a 1328 establecimientos y702 visitas de seguimiento del registro de los establecimientos, generadores y gestores de llantas usadas, ubicados en el perímetro urbano del Distrito Capital, verificando el cumplimiento de la normatividad ambiental a  establecimientos  de acopio de llantas usadas, para un total de 2030 visitas.</t>
  </si>
  <si>
    <t>En el periodo comprendido entre enero y diciembre de  2017, se realizó 1 visita técnica mensual de control y seguimiento a los 3 sitios de disposición final vigentes:
Sitio de Disposición Final "Las Manas":Se identifican en el área de influencia y a lo largo del proyecto diversas estructuras hidráulicas como son cunetas y canales perimetrales (naturales y/o antrópicos) con relevancia de la presencia del canal trompeta,  las cuales se encuentran ubicadas estratégicamente para el manejo de las aguas de escorrentía, garantizando el control de los sedimentos y material de arrastre, se evidencian en buen estado, libres de elementos y/o materiales de interfieran con el normal flujo de sus aguas, no se identificaron captaciones, vertimientos, o aportes de Residuos de Construcción y Demolición – RCD u otros tipo de materiales provenientes de las actividades.
Sitio de Disposición Final "San António": En el recorrido realizado no se identificaron captaciones, vertimientos o aportes de Residuos de Construcción y Demolición –RCD u otro tipo de materiales provenientes de las actividades que se desarrollan dentro del predio San Antonio. Sobre el cuerpo de agua reconocido dentro del área de influencia del proyecto, las estructuras hidráulicas existentes, como los canales perimetrales, cunetas, canales naturales o antrópicos, se encuentran libres de elementos o materiales que interfieran con el normal flujo de sus aguas. No se evidencia afectación de Estructura Ecológica Principal – EEP por lavado de maquinaria y vehículos.
Sitio de Disposición Final "CEMEX":El Río Tunjuelo no tiene ninguna intervención por las actividades de disposición final de escombros, y no se encuentra dentro del perímetro del sitio, por lo tanto, no se evidenció aportes de residuos de construcción y demolición -RCD- o de otro tipo de residuos . En cuanto a la Quebrada Santa Librada, la cual atraviesa  el predio, no se identificaron captaciones o vertimientos en ninguno de los cuerpos de agua mencionados.</t>
  </si>
  <si>
    <t>A la fecha el Grupo PEI se encuentra tramitando 56 procesos relacionados con Permisos de Ocupación de Cauce, dichos procesos se encuentran distribuidos de la siguiente manera:
35 Corresponden a solicitudes realizadas por Entidades Públicas
21 Corresponden a solicitudes realizadas por Entidades Privadas.
El estado actual de estos trámites es el siguiente:
8 se encuentran en evaluación técnica y proyección de conceptos técnicos por parte del grupo PEI de la SDA
18 Se encuentran en proyección de Autos de inicio y Resolución por parte del grupo jurídico de la SDA
9 se encuentran pendientes del suministro de información adicional por parte del solicitante.
5 trámites con desistimiento del trámite de POC
16 Trámites de POC han sido aprobados
Con respecto al proyecto especial de Infraestructura del sistema de transporte de pasajeros por cable aéreo tipo monocable desenganchable localizadas dentro del corredor ecológico de ronda del río Tunjuelo, se realizó  visita  de control y seguimiento el 28 de noviembre a la estación Tunal  a la altura de la Avenida Villavicencio, se evidencio lo siguiente: Se evidenció que la obra cuenta con cerramiento adecuado y aviso informativo en el frente de obra.</t>
  </si>
  <si>
    <t>En el período de enero a diciembre de 2017 la SDA controló un total acumulado de 8028,1 toneladas de Residuos Peligrosos (infecciosos, químicos y administrativos) en el sector salud y afines generadas en el Distrito Capital, donde se realizaron en total acumulado de 333 visitas de Seguimiento y Control a establecimientos generadores de residuos hospitalarios y similares con su respectiva actuación técnica, generando 567 oficios de requerimiento, y 25 Concepto técnico y 30 Informes Técnicos, 82 oficios de requerimientos por análisis  caracterización con RESOL 631 de 2015 y 32 caracterizaciones fueron vinculadas a permiso de vertimientos.
Por último, se analizaron 169 Informes de gestión con su respectiva actuación</t>
  </si>
  <si>
    <t xml:space="preserve">Considerando que el decreto 442 de 2015 y 265 de 2016 reglamenta el reporte semestral a la Secretaría Distrital de Ambiente, por parte de las entidades competentes en cuanto la aprovechamiento de Granulo de Caucho (GCR) en Obras viales y de Parques , durante la vigencia 2017 e a SCASP  requirió a los fondos de Desarrollo Local IDU, IDRD, UMV,  los informes de cumplimiento del aprovechamiento de GCR.
Como acciones de gestión la SDA realizó 23 visitas de control a las obras viales y de parques que se encontran en ejecución .
De un total de mezcla asfaltica utilizada 3162,15  m3 el  % de aprovechamiento de GCR en mezcla asfáltica  de las entidades que reportaron (Alcaldía Local de CANDELARIA-  Alcaldía Local de USAQUÉN   - Instituto de Desarrollo Urbano -  Unidad de Mantenimiento Vial   Alcaldía Local de TUNJUELITO)  fue el 23,28% que corresponde a 736,03m3.
</t>
  </si>
  <si>
    <t xml:space="preserve">Se formuló el documento Plan de acción y control para la gestión de las llantas usadas,  que detalla  las acciones a desarrollar por parte de la SDA para la evaluación,  control,  seguimiento y gestión  integral de las llantas usadas para promover su aprovechamiento en el D.C. 
</t>
  </si>
  <si>
    <t>A diciembre de 2017 se elaboró el documento que describe las acciones de control para los residuos hospitalarios y de riesgo biológico, las cuales  definen las estrategias  que permitan optimizar o innovar acciones de control existentes.   
Como parte de la implementación del documento en mención la SDA realizó  1884 acciones de control a los generadores de Residuos Peligrosos hospitalarios y similares (infeccioso, químico y administrativo) en el sector salud y afines generadas en el Distrito Capital,</t>
  </si>
  <si>
    <t>Se encuentra en revisión la Fase 2 de la investigación para realizar el análisis, desarrollo, adecuación técnica e implementación de la solución tecnológica requerida por la Secretaría Distrital de Ambiente para fortalecer la evaluación, control y seguimiento  al  aprovechamiento de llantas usadas en la Ciudad de Bogotá.
Respecto al avance de la ejecución de la reserva es del caso mencionar que si bien es cierto el contrato se ejecuto a satisfacción, el último pago por cuestiones administrativas se realizó en el transcurso del primer semestre de la vigencia 2017, motivo por el cual solo se evidencia avance desde el punto de vista financiero.</t>
  </si>
  <si>
    <t xml:space="preserve">Para el año 2017 se realizaron 885 visitas de seguimiento y control a  obras de infraestructura en el perímetro urbano del Distrito Capital que permitieron controlar la disposición adecuada de 11,375,079,61  toneladas de RCD 
</t>
  </si>
  <si>
    <t>Para el año 2017 se realizó la revisión de 689 Plan de Gestión-RCD y se dio la aprobación a 184 planes presentados por obras mayores a 5.000 m2 que causan impactos ambientales en la ciudad, mediante el desarrollo del aplicativo web de la entidad donde reposan dichos documentos.</t>
  </si>
  <si>
    <t xml:space="preserve">Para el año 2017, se respondió 3612 oficios, se continuará efectuando el reparto de los oficios de entrada (radicados), con el fin de dar respuesta a la totalidad de los asignados a la Subdirección. 
Se continuará efectuando el reparto de los oficios de entrada (radicados), con el fin de dar respuesta a la totalidad de los asignados a la Subdirección. </t>
  </si>
  <si>
    <t xml:space="preserve">Para el año 2017 se generaron 109 Informes técnicos (Sitios de disposición final, Clasificación de impacto ambiental) y/o Conceptos técnicos por incumplimiento en obras en las diferentes obligaciones estipuladas en la Resolución 01115 de 2012, 0932 de 2015 y Resolución 1138 de 2013. </t>
  </si>
  <si>
    <t xml:space="preserve">En el periodo comprendido entre enero y diciembre de  2017, se realizó 1 visita técnica mensual de control y seguimiento a los 3 sitios de disposición final vigentes en el distrito capital (Las Manas, San Antonio y Cemex - La Fiscala), aprobados por los autoridades ambientales correspondientes. </t>
  </si>
  <si>
    <t xml:space="preserve">En el año 2017  se controló la aplicación de técnicas de aprovechamiento y tratamiento de RCD para un total 2.339.085,99 Ton equivalente al 58,48 % del 20% establecido para la meta estipulada que es de 1.541.574 Ton. Por lo anterior se evidencia que las constructoras han realizado un adecuado manejo al material aprovechado de las obras. 
Estos valores se obtienen con base en los reportes generados por el seguimiento realizado a las obras y al aplicativo Web de la Entidad y teniendo en cuenta las siguientes variables: de un universo establecido de 4.000.000 Ton que es el 50% del material aprovechable de las obras, calculado según las toneladas dispuestas de RCD se obtiene una base del 30% de materiales de obra requerido para el cumplimiento de la meta establecida para el año 2017.
Considerando lo anterior el valor total de RCD reutilizados o aprovechados a controlar en las obras es de 1.541.574 que equivale a un 20% el cual corresponde a la meta establecida para la vigencia 2017 acorde con la norma.
</t>
  </si>
  <si>
    <t>Para el año 2017 se realizó la revisión de 689 Planes de Gestión-RCD y se dio la aprobación a 184 planes presentados por obras mayores a 5.000 m2 que causan impactos ambientales en la ciudad, mediante el desarrollo del aplicativo web de la entidad donde reposan dichos documentos.</t>
  </si>
  <si>
    <t xml:space="preserve">Para el año  2017 el grupo de RCD respondió 3612 oficios por el sistema FOREST. Se continuará efectuando el reparto de los oficios de entrada (radicados), con el fin de dar respuesta a la totalidad de los   asignados a la Subdirección. 
 </t>
  </si>
  <si>
    <t xml:space="preserve">Se avanzó en el  trámite sobre los actos administrativos  permisivos y Sancionatorios correspondientes  a la temática de evaluación, control y seguimiento sobre el manejo y disposición adecuada de RCD y otros residuos generados en Bogotá. Distribuidos así:
97 Permisivos  de los cuales 97 fueron firmados y 62  Sancionatorios proyectados </t>
  </si>
  <si>
    <t>Se realizó la revisión y firma de los requerimientos proyectados por los profesionales de las visitas de la vigencia 2016.
Enero: 9 Febrero: 24 Marzo: 19 Abril:2 Mayo: 8 Junio: 2
Considerando que las visitas de la vigencia, iniciaron en mayo de 2017, se proyectaron los siguientes requerimientos mes a mes:
Mayo: 16 Junio: 16 Julio: 14 Agosto: 15 Sep: 18 Oct: 16
En noviembre y diciembre se realizó la revisión de los requerimientos, los cuales se encuentran en proceso de corrección.</t>
  </si>
  <si>
    <t>Con base en la información suministrada por los programas posconsumo de cada una de las corrientes de resisuos peligrosos se consolidaron las cantidades de residuos gestionados en el Distrito Capital, logrando cumplir con la meta establecida para el  año, de la siguiente manera:   Medicamentos Humanos 60 Ton Equivalente a 2,5 % , Luminarias 261 Ton Equivalente a 10,8 %, Pilas 139 Ton Equivalente a 5,7% Para un total de 460 Ton Equivalente a 19%. Con respecto a el acumulado total de 2427 Ton</t>
  </si>
  <si>
    <t>Por medio de las campañas realizadas en el marco del programa Ecolecta de la SDA y con colaboración del programa posconsumo EcoComputo  se logro la recolección de RAEES de 1341 Ton Equivalente a 55,3 % con respecto a la meta del año. Con respecto a el acumulado total de 2427 Ton</t>
  </si>
  <si>
    <t>Con los resultados obtenidos del registro en la plataforma de AVU de la SDA se ha logrado recopilar la  información gradualmente de acuerdo con las fechas iniciales de registro durante el año  se cuenta con mas reportes de actores registrados logrando consolidar un volumen mayor y un funcionamiento adecuado de la plataforma de registro de AVU de la SDA. de los cuales se reportan 626 Ton Equivalente a 25,80% con respecto a la meta del año. Con respecto a el acumulado total de 2427 Ton</t>
  </si>
  <si>
    <t xml:space="preserve">De los 1.300 usuarios dentro del Distrito Capital a los cuales se les realiza seguimiento y control, durante los meses comprendidos entre enero a Noviembre del 2017 se ha realizado seguimiento, control y vigilancia a un total de 2988 usuarios, para el cumplimeinto d ela meta, solo se tienen en cuenta los medianos y grandes generadoes, dichas acciones están distribuidas así: 
COMPONENTE RESIDUOS PELIGROSOS
 Requerimientos de control y vigilancia en Respel: 
       Medianos generadores: 24.
       Grandes generadores: 10.
        Otros generadores: 203
</t>
  </si>
  <si>
    <t xml:space="preserve">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t>
  </si>
  <si>
    <t xml:space="preserve">Se diligenció la ficha de seguimiento de reducción de emisiones de GEI para el proyecto quema de biogás en el RSDJ, del proyecto Plazas de mercado y el proyecto de operación PTAR Salitre.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enero-octubre de 2017, se estimó una reducción de  300.440 tCO2eq (toneladas de Dióxido de Carbono Equivalente) por el tratamiento de metano en la planta de biogás. al igual, con la ejecución del proyecto "Ruta selectiva de residuos orgánicos en las Plazas de Mercado Distritales", según la información suministrada por el IPES  se estimó una reducción de 154  tCO2eq por el tratamiento de 724 toneladas de residuos orgánicos; y finalmente el proyecto "Operación de la planta de tratamiento de aguas esiduales" tiene un aporte de reducción de 54.804 tCO2eq por el vólumen del biogas tratado en los biodigestores de la planta. Por lo anterior, se logró en total la reducción de 355.398 tCO2eq con los proyectos mencionados.
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t>
  </si>
  <si>
    <t>7, OBSERVACIONES AVANCE TRIMESTRE__4__  DE _2017__</t>
  </si>
  <si>
    <t>MARZO</t>
  </si>
  <si>
    <t>Se dará inicio a los diseños paisajísticos e ingeniería de detalle en el primer trimestre del 2018, ajustando el cronograma de entrega de los diseños , lo anterior con el fin de garantizar el inicio de  la primera fase de las obras para conformar un sistema urbano de drenaje sostenible en el último trimestre de 2018.</t>
  </si>
  <si>
    <t>Durante la vigencia 2017 se ha realizado el acompañamiento a 5002 m2 de infraestructura vegetada,  correspondientes a 3931 m2 de jardín vertical y 1071 m2 en techo verde, en proyectos existentes en espacio público y privado de las localidades de Candelaria (425 m2), Santa Fé (627.15 m2), Chapinero (888 m2), Barrios unidos (126 m2), Engativá (398 m2), Puente Aranda (102 m2), Usaquén (1100 m2), Fontibón (363 m2), Suba (445 m2) y Teusaquillo (526 m2) de la Ciudad de Bogotá.</t>
  </si>
  <si>
    <t>A través de IDAE, se podrá visualizar de forma gráfica, a través de Sistemas de Información Geográfica, el mejoramiento ambiental de las organizaciones, las cuales a partir de estrategias de autogestión y autorregulación, desarrollan actividades en torno al cumplimiento de los trámites ambientales aplicables, la implementación de Sistemas de Gestión Ambiental y la formulación e implementación de proyectos que permitan la mejora en la eficiencia en el uso de los recursos, medida a través de eco indicadores, lo cual permitirá a la ciudad contar con información para la toma de decisiones que sigan promoviendo el mejoramiento ambiental de las organizaciones y los sectores productivos.</t>
  </si>
  <si>
    <t xml:space="preserve"> La Subdirección de  Políticas y Planes Ambientales como responsable de enviar mediante el sistema de información oficial de la SDA a la Dirección Legal Ambiental –DLA, el documento formulado o ajustado de la Política para realizar el acto administrativo, no  logró llevar a cabo dicha acción, debido a que las entidades externas remitieron sus comentarios hasta  el mes de noviembre y se requirió ajustar el procedimiento:  126PM02-PR13 "Formulación y/o ajustes de Políticas y/o Instrumentos de planeación ambiental" en el mes de diciembre.</t>
  </si>
  <si>
    <t>Enviar una comunicación oficial interna en donde se solicité a la Subdirección de  Políticas y Planes Ambientales, conforme al procedimiento:  126PM02-PR13 "Formulación y/o ajustes de Políticas y/o Instrumentos de planeación ambiental", realice la solicitud a la Dirección Legal Ambiental sobre el acto administrativo que adopte la Poliítica.</t>
  </si>
  <si>
    <t xml:space="preserve">Se diligenció la ficha de seguimiento de reducción de emisiones de GEI para el proyecto quema de biogás en el RSDJ, del proyecto Plazas de mercado y del proyecto Operación PTAR Salitre.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enero-octubre de 2017, se estimó una reducción de  300.440 tCO2eq (toneladas de Dióxido de Carbono Equivalente) por el tratamiento de metano en la planta de biogás. Adicionalmente, con la ejecución del proyecto "Ruta selectiva de residuos orgánicos en las Plazas de Mercado Distritales" ejecutado en el periodo de marzo - agosto de 2017, según la información suministrada por el IPES  se estimó una reducción de 154  tCO2eq por el tratamiento de 724,55 toneladas de residuos orgánicos; y finalmente el proyecto "Operación de la planta de tratamiento de aguas esiduales" tiene un aporte de reducción de 54.804 tCO2eq por el vólumen del biogas tratado en los biodigestores de la planta, reportado en el périodo comprendido de enero a noviembre de 2017. Por lo anterior, se logró en total la reducción de 355.398 tCO2eq con los proyectos mencionados.
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t>
  </si>
  <si>
    <t>A Diciembre de 2017 se avanzó en los trámites para  contratación de la Fase 2 de la investigación para contratar la consultoría para el análisis diseño e implantación de la solución tecnológica requerida por la secretaria distrital de ambiente para fortalecer la evaluación control y seguimiento a las llantas usadas  generadas en el distrito capital, en este sentido se realizó la justificación y la definición de lo productos entre ellos   la instalación de bases de datos, servidores de aplicaciones y herramientas necesarias para el correcto funcionamiento del Portal Especializado Web, así como  entregar el código fuente de la solución tecnológica desarrollada, sin embargo aunque se presentaron  3 proponentes, no cumplieron con los requisitos financieros para soportar el concurso de meritos, por lo cual se declaro desierto el proceso y no se pudo realizar la contratación que soporta el avance de esta meta, dado lo anterior se reporta un avance del 15% correspondiente al desarrollo de las actividades precontractuales realizadas.</t>
  </si>
  <si>
    <t>Se generó un retraso en el avance de la meta ocasionado por los tiempos requeridos para el proceso de presentación de propuestas y realización de observaciones a  los prepliegos como parte del  desarrollo del  concurso de meritos definidos para la contratación de la Fase 2 de la investigación, de igual forma las propuestas presentadas no cumplieron con los requisitos financieros exigidos por la SDA para respaldar el proceso de contratación por lo cual el desarrollo de la investigación no pudo ser asignado.</t>
  </si>
  <si>
    <t>Con el objeto de darle continuidad a la investigación planteada se revisaran las condiciones establecidas para realizar el diseño e implantación de la solución tecnológica requerida por la secretaria distrital de ambiente para fortalecer la evaluación control y seguimiento a las llantas usadas  generadas en el distrito capital.</t>
  </si>
  <si>
    <t xml:space="preserve">Los  proyectos especiales de Infraestructura  a gran escala que se adelantan actualmente  en el Distrito Capital son: TransmiCable, Troncales de Transmilenio, Ampliación de la Autopista Norte y Proyecto de Metro.
Considerando que solo los proyectos de cable aéreo y Transmilenio han ejecutado actividades constructivas, la SDA  realizó 14  seguimientos de evaluación control y seguimiento enfocadas en verificar el cumplimiento de la normatividad ambiental y en las cuales se verificaron los volúmenes aprovechamiento y disposición final de RCD,  así como la adecuada adopción e implementación de medidas de manejo ambiental; como resultado de dichos seguimientos se generó un informe técnico que consolida lo evidenciado en campo durante los recorridos efectuados en el  2017.
</t>
  </si>
  <si>
    <t xml:space="preserve">En el periodo comprendido entre enero y diciembre del año 2017  se controló la aplicación de  técnicas de aprovechamiento y tratamiento de RCD para un  total 2.339.085,99 Ton. equivalente al 30,34% del 20% establecido para la meta estipulada.
Estos valores se obtienen con base en los reportes generados por el seguimiento realizado a las obras y al aplicativo Web de la Entidad y teniendo en cuenta las siguientes variables: -El número de obras inscritas, el área en metros cuadrados de construcción que para el año 2017 y 2016 , calculado según la base de datos  soporte de la SCASP y el  % de reutilización de Obra teniendo en cuenta un coeficiente de volumen de construcción de 0.60 m3/m2 de materiales de obra requerido.
Considerando lo anterior el valor total de rcd reutilizados o aprovechados a controlar  en las obras es de 1.541.574   equivale a un 20% el cual corresponde a la meta establecida para la vigencia 2017 acorde con la norma.
Para el periodo comprendido entre enero y diciembre de 2017 se realizó la revisión de 689 Planes de Gestión-RCD y se dio la aprobación a 184 planes presentados por obras mayores a 5.000 m2 que causan impactos ambientales en la ciudad, mediante el desarrollo del aplicativo web de la entidad donde reposan dichos documentos.
El incremento en la ejecución de la meta se produce como resultado a la labor realizada por la SDA en cuanto a la implementación de un modelo eficiente y sostenible de gestión de los RCD en la ciudad en el cual se fortalecieron las actividades de evaluación control y seguimiento ambiental a los generadores de RCD en Bogotá que desarrollan proyectos constructivos públicas y privadas que se desarrollan en Bogotá, de tal forma que se incluyeron actividades de promoción y capacitación socializando la normatividad ambiental existente, al sector de la construcción y diferentes actores de la cadena sobre lel tratameiento y aprovechamiento  de los RCD generados en el D.C. 
Lo anterior genero un incremento de las obras inscritas en el aplicativo web de la entidad, que en comparación con años anteriores, para el 2017 se tuvo un total 890 obras nuevas, que gracias al control realizado reportaron la certificaciones del aprovechamiento de los RCD.
</t>
  </si>
  <si>
    <t>A Diciembre de 2017 se avanzó en los trámites para  contratación de la Fase 2 de la investigación para contratar la consultoría para el análisis diseño e implantación de la solución tecnológica requerida por la secretaria distrital de ambiente para fortalecer la evaluación control y seguimiento para la gestión integral de RCD en Bogotá.en este sentido se realizó la justificación y la definición de lo productos entre ellos   la instalación de bases de datos, servidores de aplicaciones y herramientas necesarias para el correcto funcionamiento del Portal Especializado Web, así como  entregar el código fuente de la solución tecnológica desarrollada, sin embargo aunque se presentaron  3 proponentes, no cumplieron con los requisitos financieros para soportar el concurso de meritos, por lo cual se declaro desierto el proceso y no se pudo realizar la contratación que soporta el avance de esta meta, dado lo anterior se reporta un avance del 14% correspondiente al desarrollo de las actividades precontractuales realizadas.</t>
  </si>
  <si>
    <t>Con el objeto de darle continuidad a la investigación planteada se revisaran las condiciones establecidas para realizar el diseño e implantación de la solución tecnológica requerida por la secretaria distrital de ambiente para fortalecer la evaluación control y seguimiento a la gestión integral de RCD en Bogotá.</t>
  </si>
  <si>
    <t xml:space="preserve">Para el periodo comprendido entre enero y diciembre del año 2017 se realizaron 95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asi mismo  se remitieron a las entidades distritales objeto de Evaluación, Control y Seguimiento  al PIGA, un total de de 95 requerimientos de Evaluación, Control y Seguimiento al PIGA
Es de destacar que el 73.68% de las entidades visitadas se encuentra en niveles de desempeño alto y medio alto, lo cual demuestra que estas entidades han logrado desarrollar diversas acciones que evidencian su compromiso ambiental institucional, sin embargo, aún presentan varios aspectos por mejorar.
Por otro lado, se evidencia que el 26.31 % de las entidades se encuentran en un nivel de desempeño medio y bajo, lo que evidencia que estas entidades deben fortalecer el Sistema de Gestión Ambiental y comprometerse desde la alta dirección para mejorar su desempeño, </t>
  </si>
  <si>
    <t>Los  proyectos especiales de Infraestructura  a gran escala que se adelantan actualmente  en el Distrito Capital son: TransmiCable, Troncales de Transmilenio, Ampliación de la Autopista Norte y Proyecto de Metro.
Considerando que solo los proyectos de cable aéreo y Transmilenio han ejecutado actividades constructivas, la SDA  realizó 14  seguimientos de evaluación control y seguimiento enfocadas en verificar el cumplimiento de la normatividad ambiental y en las cuales se verificaron los volúmenes aprovechamiento y disposición final de RCD,  así como la adecuada adopción e implementación de medidas de manejo ambiental; como resultado de dichos seguimientos se generó un informe técnico que consolida lo evidenciado en campo durante los recorridos efectuados en el  2017.</t>
  </si>
  <si>
    <r>
      <t xml:space="preserve">Tras recibir los comentarios a la consulta externa sobre el documento preliminar de la Política, doce (12) entidades atendieron el comunicado remitiendo las observaciones respectivas, de esta manera, se realizó una matriz que consolida la información recibida por cada componente del documento, y a su vez se desarrollo reunión de concertación entre el área la </t>
    </r>
    <r>
      <rPr>
        <sz val="10"/>
        <color rgb="FFFF0000"/>
        <rFont val="Calibri"/>
        <family val="2"/>
        <scheme val="minor"/>
      </rPr>
      <t xml:space="preserve">SPPI </t>
    </r>
    <r>
      <rPr>
        <sz val="10"/>
        <rFont val="Calibri"/>
        <family val="2"/>
        <scheme val="minor"/>
      </rPr>
      <t>y la SEGAE el 16 de noviembre, cuyo objetivo fue definir los cambios o elementos que se mantienen en el documento. A partir de dicha reunión se establecieron  los aspectos a cambiar y mantener en el documento de Política. Por lo anterior,  se llevaron a cabo 8 de las 11 actividades establecidas en el procedimiento 126PM02-PR13 "Formulación y/o ajustes de Políticas y/o Instrumentos de planeación ambiental".</t>
    </r>
  </si>
  <si>
    <r>
      <t xml:space="preserve">En cumplimiento a la meta del plan de desarrollo  y en cumplimiento a la resolución 1326 de 2017, Decretos Distritales 442 de 2015 y 265 de 2016 se adelantaron actividades para la promoción y divulgación de los diferentes sistemas de recolección selectiva y gestión ambiental de llantas usadas, estas actividades se desarrollaron mediante sensibilizaciones a establecimientos acopiadores de llantas en diferentes localidades con el apoyo de entidades distritales. Se participó en jornadas distritales de recolección de llantas usadas en espacio público, en donde intervinieron sistemas posconsumo de llantas, secretarías de ambiente y gobierno, así como UAESP y los distintos operadores de aseo de la ciudad.
Se llevó a cabo la primera jornada de llantaton destinada a establecimientos, en donde se entregó el respectivo certificado de aprovechamiento. Además mediante el visor geográfico ambiental de la SDA se informa a la ciudadanía los puntos de entrega habilitados por los programas de recolección selectiva y gestión ambiental de llantas usadas. Se actualizó el procedimiento de registro web de acopiadores de llantas con el fin de verificar de manera correcta la información que se requiere, así mismo se crea el perfil de gestores de llantas con el cual se da cumplimiento a lo estipulado en la resolución 1326 de 2017 del Ministerio de Ambiente y Desarrollo Sostenible.
Trimestralmente se reporta información de llantas usadas gestionadas por los diferentes sistemas posconsumos en la ciudad, está información se verifica mediante a certificados de aprovechamiento emitidos por estos sistemas, el uso del material proveniente de las llantas usadas de la ciudad es destinado principalmente para el aprovechamiento energético, granulo de caucho reciclado (GCR) el cual se aprovecha en vías, parques , láminas para piso, etc.
Para el último trimestre del año  se reportaron en total de 2645 Ton para un total reportado de 7911 Ton de llantas recolectadas y  aprovechadas durante el  año 2017. 
</t>
    </r>
    <r>
      <rPr>
        <sz val="10"/>
        <color rgb="FFFF0000"/>
        <rFont val="Calibri"/>
        <family val="2"/>
      </rPr>
      <t>Cabe señalar que el aumento de la programación de la magnitud  se debe a la realización de un mayor numero de campañas  que se han venido gestionando por medio de la SDA  con otros actores de orden Distrital y los programas poscosumo,  enfocadas en  promover y realizar  el aprovechamiento de llantas en la ciudad  han dado  como resultado valores mayores a lo proyectados para esta meta.</t>
    </r>
  </si>
  <si>
    <t>=INVERSIÓN!AP39</t>
  </si>
  <si>
    <t>Se realizó la evaluación de las empresas postuladas al Programa de Excelencia Ambiental Distrital - PREAD, y algunas empresas del Programa Gestión Ambiental Empresarial, de las cuales 139 obtuvieron un nivel entre muy bueno y excelente de acuerdo a la escala de validación del IDAE durante el trimestre, para un total de 150 durante todo el año. 
Adicionalmente se inició la recolección de la información de 300 empresas participantes del Programa Gestión Ambiental Empresarial durante el Ciclo del año 2017, las cuales serán medidas con el Índice durante el primer trimestre de 2018, de acuerdo a lo contemplado en el plan de trabajo; y se continuará con la validación de los indicadores de consumo de agua, energía y de generación de residuos peligrosos de este grupo de empresas.
Finalmente, se continuará desarrollando la herramienta electónica para la captura y consolidación de información, la cual será culminada durante el primer trimestre del año 2018.</t>
  </si>
  <si>
    <t xml:space="preserve">El reporte del presente trimestre mide el desempeño ambiental de las empresas postuladas al PREAD, a este programa se inscribieron en total 157 organizaciones de las cuales, 117 fueron reconocidas, esto debido a incumplimientos normativos o retiros voluntarios de las mismas, reduciendo el número de empresas a las cuales se les mediría el Índice, afectando el cumplimiento de la meta establecida. </t>
  </si>
  <si>
    <t>Durante el primer trimestre del 2018 se culminará el desarrollo de la Herramienta GAE. A su vez, durante el segundo trimestre del año se realizará la medición del IDAE a todas las empresas participantes en el año 2017. Finalmente, durante el año 2018 se continuará con la medición del IDAE a las empresas nuevas participantes del Programa de Excelencia Ambiental Distrital - PREAD junto a todas aquellas que hacen reportes a través del RUA, información que debe ser entregada por todas las organizaciones industriales, que requieran de algún trámite ante la autoridad ambiental.</t>
  </si>
  <si>
    <t xml:space="preserve"> Acorde con el cronograma establecido a junio de 2017 se obtuvo el  diagnóstico y factibilidad del uso de innovaciones tecnológicas lo cual  le  permitirá a la SDA fortalecer los instrumentos de control con el fin de formular estrategias para la evaluación, control y seguimiento a residuos de construcción y demolición RCD y otros residuos, generados en el Distrito Capital.</t>
  </si>
  <si>
    <t xml:space="preserve">Se elaboró el documento que describe las acciones de control para los residuos hospitalarios y de riesgo biológico, las cuales  definen las estrategias  que permitan optimizar o innovar acciones de control existentes.   
Como parte de la implementación del documento en mención la SDA realizó  1884 acciones de control a los generadores de Residuos Peligrosos hospitalarios y similares (infeccioso, químico y administrativo) en el sector salud y afines generadas en el Distrito Capital, 
</t>
  </si>
  <si>
    <t xml:space="preserve"> la SDA realizó un total acumulado de 333 visitas de Seguimiento y Control a establecimientos generadores de residuos hospitalarios y similares que permitieron controlar un total acumulado de 8028,1  toneladas de Residuos Peligrosos (infecciosos, químicos y administrativos) en el sector salud y afines generadas en el Distrito Capital.
</t>
  </si>
  <si>
    <t xml:space="preserve">Se elaboraron  641 actuaciones técnicas distribuidas así: 574 Oficios de requerimiento 37 conceptos técnicos y 30 informes técnicos, es conveniente aclarar que  las actuaciones técnicas producto del análisis de la información recolectada en campo, no es directamente proporcional al número de visitas, ya que en los casos en que se evidencio un incumplimiento reiterativo en la normatividad ambiental se genera un concepto técnico que dará lugar al proceso sancionatorio ambiental de conformidad con lo establecido en la Ley 1333 de 2009.
Para el caso de los informes técnicos emitidos estos se generan cuando se evidencia un cumplimiento total de la normativa ambiental de algún establecimiento o cuando se evidencia el cierre de algún establecimiento al cual se le ha realizado acciones de control por parte de esta Subdirección.  </t>
  </si>
  <si>
    <t>Se realizó el análisis de 170 informes de gestión radicados por establecimientos que prestan servicios de salud y afines ante esta entidad, de los cuales se analizó la información por tipo y cantidad de residuos generados, así como su coherencia con los soportes de gestión externa remitidos, lo que permite verificar si estos residuos son entregados a un gestor autorizado garantizando de esta forma la correcta gestión integral de los residuos y realizar acciones de control y seguimiento a los residuos peligrosos.   
En cumplimiento de la Resolución 3957 de 2009, el grupo de Residuos Hospitalarios ha tramitado durante el período de enero a diciembre de 2017  un total de 263 solicitudes  de Registro de Vertimientos a establecimientos prestadores de servicios de salud y afines.</t>
  </si>
  <si>
    <t xml:space="preserve">Se realizó un control de 11,375,080 Ton de Residuos de Construcción y Demolición  - RCD. En el periodo comprendido entre enero y Diciembre de 2017 se realizaron 885 visitas de seguimiento y control a  obras de infraestructura en el perímetro urbano del Distrito Capital que permitieron controlar la disposición adecuada de 11,375,079,61 toneladas de RCD.
Además entre enero y diciembre de 2017 se realizó la revisión de 689 Planes de gestión de RCD, de los cuales se aprobarón 184 planes presentados por obras mayores a 5.000 m2 que causan impactos ambientales en la ciudad, así mismo se generaron 109  Informes técnicos (Sitios de disposición final, Clasificación de impacto ambiental) y/o Conceptos técnicos por incumplimiento en obras en las diferentes obligaciones estipuladas en la Resolución 01115 de 2012, 0932 de 2015 y Resolución 1138 de 2013. 
Lo anterior se produce como resultado a la labor realizada por la SDA en cuanto a la implementación de un modelo eficiente y sostenible de gestión de los RCD en la ciudad en el cual se fortalecieron las actividades de evaluación control y seguimiento ambiental a los generadores de RCD en Bogotá que desarrollan proyectos constructivos públicas y privadas que se desarrollan en Bogotá, de tal forma que se incluyeron actividades de promoción y capacitación socializando la normatividad ambiental existente, al sector de la construcción y diferentes actores de la cadena sobre la disposición adecuada de los RCD generados en el D.C. 
Lo anterior genero un incremento de las obras inscritas en el aplicativo web de la entidad, que en comparación con años anteriores, para el 2017 se tuvo un total 890 obras nuevas, que gracias al control realizado reportaron la certificaciones de la adecuada disposición de los RCD se obtuvieron resultados sobresalientes.
</t>
  </si>
  <si>
    <t>Se realizó la contratación de la Consultoria para obtener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t>
  </si>
  <si>
    <t>Se consolidó la  Matriz de priorización con base en información secundaria de los sectores contemplados en el decreto 351 de 2014 y el documento técnico  con el respectivo análisis técnico de la información recolectada y su respectiva justificación de la priorización efectuada, igualmente se realizó la toma, analisis e informe de caracterización de los vertimientos generados por el uso y manejo de sustancias químicas utilizadas por establecimientos del sector de servicios veterinarios. Tomando como refencia lo anterior se elaboró el documento técnico de soporte y proyecto la Guia Técnica Ambiental para el sector Veterinario a la cual  se le realizaron correcciones que se deben subsanar</t>
  </si>
  <si>
    <t xml:space="preserve">Se realizó la contratación de la Consultoria para obtener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Se consolidó la  Matriz de priorización con base en información secundaria de los sectores contemplados en el decreto 351 de 2014 y el documento técnico  con el respectivo análisis técnico de la información recolectada y su respectiva justificación de la priorización efectuada, igualmente se realizó la toma, analisis e informe de caracterización de los vertimientos generados por el uso y manejo de sustancias químicas utilizadas por establecimientos del sector de servicios veterinarios. Tomando como refencia lo anterior se elaboró el documento técnico de soporte y proyecto la Guia Técnica Ambiental para el sector Veterinario a la cual  se le realizaron correcciones que se deben subsanar
</t>
  </si>
  <si>
    <t xml:space="preserve">Se realizaron 95  visitas a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asi mismo  se remitieron a las entidades distritales objeto de Evaluación, Control y Seguimiento  al PIGA, un total de de 95 requerimientos de Evaluación, Control y Seguimiento al PIGA
Es de destacar que el 73.68% de las entidades visitadas se encuentra en niveles de desempeño alto y medio alto, lo cual demuestra que estas entidades han logrado desarrollar diversas acciones que evidencian su compromiso ambiental institucional, sin embargo, aún presentan varios aspectos por mejorar.
Por otro lado, se evidencia que el 26.31 % de las entidades se encuentran en un nivel de desempeño medio y bajo, lo que evidencia que estas entidades deben fortalecer el Sistema de Gestión Ambiental y comprometerse desde la alta dirección para mejorar su desempeño, 
</t>
  </si>
  <si>
    <t xml:space="preserve"> En cumplimiento a la meta del plan de desarrollo  y en cumplimiento a la resolución 1457 de 2010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verificacion de la informacion se realiza teniendo en cuenta los certificados de aprovechamiento emitidos por los gestores que hacen el proceso de trituración y/o aprovechamiento. Las llantas  recolectadas son utilizadas en procesos de cogeneración energética  y uso de granulo de caucho en vias, andenes, parques entre otros.  En este trimestre se realizo el aprovechamiento de 1886,41 ton que equivalen al 26, 94 % con respecto a la meta del año y un total acumulado de 5,265,41 Ton </t>
  </si>
  <si>
    <r>
      <t xml:space="preserve">Se realizó la verificación y consolidación de las cantidades de residuos gestionados por cada uno de los programas posconsumo y gestores de residuos especiales (AVU)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Se estableció para uso de la ciudadanía la plataforma para el reporte de cantidades de AVU gestionadas adecuadamente, lo que facilitara la obtención y análisis de las cantidades generadas de AVU en la ciudad, igualmente se continúa con las actividades de divulgación y capacitación del acuerdo Distrital 634 de 2015.
Las cantidades recolectadas, aprovechadas y dispuestas para el último trimestre del año son las siguientes: AVU 157,78 Ton, Medicamentos 14,31 Ton, Luminarias 98,55 Ton RAEE 498,42 Ton, Pilas 66,33  Ton para un total de 835,39 Ton 
Para la vigencia del año 2017 se realizó el aprovechamiento y disposición adecuada de 2427,3 Ton discriminadas de la siguiente manera: RAEES 1341,46 Ton Equivalente al 55.3%, Medicamentos 59,87 Ton  Equivalentes a 2,5%, Luminarias 261,24 Ton  Equivalentes a 10,8%, Pilas 138,86 Ton  Equivalentes 5,7%, AVU 625,86 Ton Equivalentes a  25,8%, cumpliendo satisfactoriamente con la meta proyectada para el año 2017.
</t>
    </r>
    <r>
      <rPr>
        <sz val="10"/>
        <color rgb="FFFF0000"/>
        <rFont val="Arial"/>
        <family val="2"/>
      </rPr>
      <t xml:space="preserve">
</t>
    </r>
  </si>
  <si>
    <t>Se realizó la verificación y consolidación de las cantidades de residuos gestionados por cada uno de los programas posconsumo y gestores de residuos especiales (AVU)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Se estableció para uso de la ciudadanía la plataforma para el reporte de cantidades de AVU gestionadas adecuadamente, lo que facilitara la obtención y análisis de las cantidades generadas de AVU en la ciudad, igualmente se continúa con las actividades de divulgación y capacitación del acuerdo Distrital 634 de 2015.
Las cantidades recolectadas, aprovechadas y dispuestas para el último trimestre del año son las siguientes: AVU 157,78 Ton, Medicamentos 14,31 Ton, Luminarias 98,55 Ton RAEE 498,42 Ton, Pilas 66,33  Ton para un total de 835,39 Ton 
Para la vigencia del año 2017 se realizó el aprovechamiento y disposición adecuada de 2427,3 Ton discriminadas de la siguiente manera: RAEES 1341,46 Ton Equivalente al 55.3%, Medicamentos 59,87 Ton  Equivalentes a 2,5%, Luminarias 261,24 Ton  Equivalentes a 10,8%, Pilas 138,86 Ton  Equivalentes 5,7%, AVU 625,86 Ton Equivalentes a  25,8%, cumpliendo satisfactoriamente con la meta proyectada para el 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</si>
</sst>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 #,##0_);_(&quot;$&quot;\ * \(#,##0\);_(&quot;$&quot;\ * &quot;-&quot;_);_(@_)"/>
    <numFmt numFmtId="44" formatCode="_(&quot;$&quot;\ * #,##0.00_);_(&quot;$&quot;\ * \(#,##0.00\);_(&quot;$&quot;\ * &quot;-&quot;??_);_(@_)"/>
    <numFmt numFmtId="43" formatCode="_(* #,##0.00_);_(* \(#,##0.00\);_(* &quot;-&quot;??_);_(@_)"/>
    <numFmt numFmtId="164" formatCode="_-* #,##0\ _€_-;\-* #,##0\ _€_-;_-* &quot;-&quot;??\ _€_-;_-@"/>
    <numFmt numFmtId="165" formatCode="0.0%"/>
    <numFmt numFmtId="166" formatCode="#,##0.0"/>
    <numFmt numFmtId="167" formatCode="_-* #,##0.0\ _€_-;\-* #,##0.0\ _€_-;_-* &quot;-&quot;??\ _€_-;_-@"/>
    <numFmt numFmtId="168" formatCode="_([$$-240A]\ * #,##0_);_([$$-240A]\ * \(#,##0\);_([$$-240A]\ * &quot;-&quot;??_);_(@_)"/>
    <numFmt numFmtId="169" formatCode="_-* #,##0\ _€_-;\-* #,##0\ _€_-;_-* &quot;-&quot;\ _€_-;_-@"/>
    <numFmt numFmtId="170" formatCode="_-* #,##0.00\ _€_-;\-* #,##0.00\ _€_-;_-* &quot;-&quot;??\ _€_-;_-@"/>
    <numFmt numFmtId="171" formatCode="_-* #,##0.00\ _€_-;\-* #,##0.00\ _€_-;_-* &quot;-&quot;??\ _€_-;_-@_-"/>
    <numFmt numFmtId="172" formatCode="_-* #,##0\ _€_-;\-* #,##0\ _€_-;_-* &quot;-&quot;??\ _€_-;_-@_-"/>
    <numFmt numFmtId="173" formatCode="_-* #,##0.00\ &quot;€&quot;_-;\-* #,##0.00\ &quot;€&quot;_-;_-* &quot;-&quot;??\ &quot;€&quot;_-;_-@_-"/>
    <numFmt numFmtId="174" formatCode="_(* #,##0_);_(* \(#,##0\);_(* &quot;-&quot;??_);_(@_)"/>
    <numFmt numFmtId="175" formatCode="_(&quot;$&quot;\ * #,##0_);_(&quot;$&quot;\ * \(#,##0\);_(&quot;$&quot;\ * &quot;-&quot;??_);_(@_)"/>
    <numFmt numFmtId="176" formatCode="[$$-240A]\ #,##0"/>
    <numFmt numFmtId="177" formatCode="_(* #,##0.0_);_(* \(#,##0.0\);_(* &quot;-&quot;??_);_(@_)"/>
    <numFmt numFmtId="178" formatCode="0.0"/>
    <numFmt numFmtId="179" formatCode="_(* #,##0.000_);_(* \(#,##0.000\);_(* &quot;-&quot;??_);_(@_)"/>
    <numFmt numFmtId="180" formatCode="#,##0.0_);\(#,##0.0\)"/>
  </numFmts>
  <fonts count="4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7"/>
      <name val="Calibri"/>
      <family val="2"/>
    </font>
    <font>
      <sz val="7"/>
      <name val="Arial"/>
      <family val="2"/>
    </font>
    <font>
      <sz val="11"/>
      <name val="Arial"/>
      <family val="2"/>
    </font>
    <font>
      <sz val="9"/>
      <name val="Calibri"/>
      <family val="2"/>
    </font>
    <font>
      <sz val="10"/>
      <name val="Calibri"/>
      <family val="2"/>
    </font>
    <font>
      <b/>
      <sz val="7"/>
      <name val="Arial"/>
      <family val="2"/>
    </font>
    <font>
      <b/>
      <sz val="12"/>
      <name val="Arial"/>
      <family val="2"/>
    </font>
    <font>
      <sz val="11"/>
      <color rgb="FF000000"/>
      <name val="Calibri"/>
      <family val="2"/>
    </font>
    <font>
      <b/>
      <sz val="12"/>
      <name val="Tahoma"/>
      <family val="2"/>
    </font>
    <font>
      <sz val="12"/>
      <name val="Arial"/>
      <family val="2"/>
    </font>
    <font>
      <sz val="11"/>
      <color indexed="8"/>
      <name val="Calibri"/>
      <family val="2"/>
    </font>
    <font>
      <sz val="10"/>
      <name val="Arial"/>
      <family val="2"/>
    </font>
    <font>
      <sz val="11"/>
      <name val="Calibri"/>
      <family val="2"/>
      <scheme val="minor"/>
    </font>
    <font>
      <sz val="12"/>
      <color theme="1"/>
      <name val="Arial"/>
      <family val="2"/>
    </font>
    <font>
      <sz val="12"/>
      <color rgb="FFFF0000"/>
      <name val="Arial"/>
      <family val="2"/>
    </font>
    <font>
      <sz val="8"/>
      <color rgb="FF000000"/>
      <name val="Calibri"/>
      <family val="2"/>
    </font>
    <font>
      <sz val="10"/>
      <name val="Calibri"/>
      <family val="2"/>
      <scheme val="minor"/>
    </font>
    <font>
      <sz val="11"/>
      <color theme="5" tint="-0.499984740745262"/>
      <name val="Calibri"/>
      <family val="2"/>
      <scheme val="minor"/>
    </font>
    <font>
      <sz val="8"/>
      <name val="Calibri Light"/>
      <family val="2"/>
      <scheme val="major"/>
    </font>
    <font>
      <sz val="10"/>
      <color rgb="FF000000"/>
      <name val="Calibri"/>
      <family val="2"/>
    </font>
    <font>
      <sz val="12"/>
      <name val="Calibri"/>
      <family val="2"/>
    </font>
    <font>
      <b/>
      <sz val="14"/>
      <name val="Calibri"/>
      <family val="2"/>
    </font>
    <font>
      <sz val="8"/>
      <color rgb="FFFF0000"/>
      <name val="Arial"/>
      <family val="2"/>
    </font>
    <font>
      <sz val="8"/>
      <color theme="1"/>
      <name val="Arial"/>
      <family val="2"/>
    </font>
    <font>
      <b/>
      <sz val="9"/>
      <color indexed="81"/>
      <name val="Tahoma"/>
      <family val="2"/>
    </font>
    <font>
      <sz val="9"/>
      <color indexed="81"/>
      <name val="Tahoma"/>
      <family val="2"/>
    </font>
    <font>
      <sz val="10"/>
      <color rgb="FF000000"/>
      <name val="Arial"/>
      <family val="2"/>
    </font>
    <font>
      <sz val="10"/>
      <color rgb="FFFF0000"/>
      <name val="Arial"/>
      <family val="2"/>
    </font>
    <font>
      <sz val="10"/>
      <color rgb="FFFF0000"/>
      <name val="Calibri"/>
      <family val="2"/>
    </font>
    <font>
      <sz val="10"/>
      <color rgb="FFFF0000"/>
      <name val="Calibri"/>
      <family val="2"/>
      <scheme val="minor"/>
    </font>
  </fonts>
  <fills count="21">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DBE5F1"/>
      </patternFill>
    </fill>
    <fill>
      <patternFill patternType="solid">
        <fgColor theme="0"/>
        <bgColor rgb="FF92D050"/>
      </patternFill>
    </fill>
    <fill>
      <patternFill patternType="solid">
        <fgColor theme="0"/>
        <bgColor rgb="FFFF99FF"/>
      </patternFill>
    </fill>
    <fill>
      <patternFill patternType="solid">
        <fgColor theme="0"/>
        <bgColor rgb="FFFFC000"/>
      </patternFill>
    </fill>
    <fill>
      <patternFill patternType="solid">
        <fgColor theme="9" tint="0.39997558519241921"/>
        <bgColor indexed="64"/>
      </patternFill>
    </fill>
    <fill>
      <patternFill patternType="solid">
        <fgColor rgb="FFF4B083"/>
        <bgColor rgb="FFF4B083"/>
      </patternFill>
    </fill>
    <fill>
      <patternFill patternType="solid">
        <fgColor theme="7" tint="0.59999389629810485"/>
        <bgColor indexed="64"/>
      </patternFill>
    </fill>
    <fill>
      <patternFill patternType="solid">
        <fgColor rgb="FFFFFF00"/>
        <bgColor rgb="FFFFFFFF"/>
      </patternFill>
    </fill>
    <fill>
      <patternFill patternType="solid">
        <fgColor theme="0"/>
        <bgColor rgb="FF00B050"/>
      </patternFill>
    </fill>
    <fill>
      <patternFill patternType="solid">
        <fgColor theme="0"/>
        <bgColor rgb="FF7BB800"/>
      </patternFill>
    </fill>
    <fill>
      <patternFill patternType="solid">
        <fgColor rgb="FFFFFF00"/>
        <bgColor indexed="64"/>
      </patternFill>
    </fill>
  </fills>
  <borders count="155">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medium">
        <color indexed="64"/>
      </bottom>
      <diagonal/>
    </border>
    <border>
      <left style="medium">
        <color rgb="FF000000"/>
      </left>
      <right style="thin">
        <color rgb="FF000000"/>
      </right>
      <top style="thin">
        <color indexed="64"/>
      </top>
      <bottom/>
      <diagonal/>
    </border>
    <border>
      <left/>
      <right style="thin">
        <color rgb="FF000000"/>
      </right>
      <top/>
      <bottom style="medium">
        <color indexed="64"/>
      </bottom>
      <diagonal/>
    </border>
    <border>
      <left style="thin">
        <color indexed="64"/>
      </left>
      <right style="thin">
        <color rgb="FF000000"/>
      </right>
      <top/>
      <bottom/>
      <diagonal/>
    </border>
    <border>
      <left style="medium">
        <color rgb="FF000000"/>
      </left>
      <right style="thin">
        <color rgb="FF000000"/>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top style="thin">
        <color indexed="64"/>
      </top>
      <bottom/>
      <diagonal/>
    </border>
    <border>
      <left/>
      <right style="thin">
        <color rgb="FF000000"/>
      </right>
      <top style="thin">
        <color indexed="64"/>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medium">
        <color indexed="64"/>
      </left>
      <right style="thin">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rgb="FF000000"/>
      </left>
      <right style="thin">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top/>
      <bottom style="thin">
        <color auto="1"/>
      </bottom>
      <diagonal/>
    </border>
    <border>
      <left/>
      <right/>
      <top style="thin">
        <color auto="1"/>
      </top>
      <bottom style="thin">
        <color auto="1"/>
      </bottom>
      <diagonal/>
    </border>
    <border>
      <left style="thin">
        <color rgb="FF000000"/>
      </left>
      <right style="medium">
        <color indexed="64"/>
      </right>
      <top/>
      <bottom style="thin">
        <color rgb="FF000000"/>
      </bottom>
      <diagonal/>
    </border>
    <border>
      <left style="thin">
        <color auto="1"/>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medium">
        <color indexed="64"/>
      </right>
      <top/>
      <bottom style="medium">
        <color indexed="64"/>
      </bottom>
      <diagonal/>
    </border>
    <border>
      <left style="thin">
        <color rgb="FF000000"/>
      </left>
      <right style="medium">
        <color indexed="64"/>
      </right>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style="thin">
        <color rgb="FF000000"/>
      </top>
      <bottom/>
      <diagonal/>
    </border>
    <border>
      <left style="thin">
        <color auto="1"/>
      </left>
      <right style="medium">
        <color indexed="64"/>
      </right>
      <top/>
      <bottom style="medium">
        <color rgb="FF000000"/>
      </bottom>
      <diagonal/>
    </border>
    <border>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thin">
        <color auto="1"/>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
      <left/>
      <right style="medium">
        <color rgb="FF000000"/>
      </right>
      <top/>
      <bottom style="medium">
        <color indexed="64"/>
      </bottom>
      <diagonal/>
    </border>
    <border>
      <left style="thin">
        <color rgb="FF000000"/>
      </left>
      <right style="medium">
        <color indexed="64"/>
      </right>
      <top style="thin">
        <color indexed="64"/>
      </top>
      <bottom/>
      <diagonal/>
    </border>
    <border>
      <left style="medium">
        <color rgb="FF000000"/>
      </left>
      <right/>
      <top style="thin">
        <color indexed="64"/>
      </top>
      <bottom style="medium">
        <color rgb="FF000000"/>
      </bottom>
      <diagonal/>
    </border>
    <border>
      <left/>
      <right style="thin">
        <color rgb="FF000000"/>
      </right>
      <top style="thin">
        <color indexed="64"/>
      </top>
      <bottom style="medium">
        <color rgb="FF000000"/>
      </bottom>
      <diagonal/>
    </border>
  </borders>
  <cellStyleXfs count="31">
    <xf numFmtId="0" fontId="0" fillId="0" borderId="0"/>
    <xf numFmtId="9" fontId="24" fillId="0" borderId="0" applyFont="0" applyFill="0" applyBorder="0" applyAlignment="0" applyProtection="0"/>
    <xf numFmtId="171" fontId="27" fillId="0" borderId="0" applyFont="0" applyFill="0" applyBorder="0" applyAlignment="0" applyProtection="0"/>
    <xf numFmtId="173" fontId="27" fillId="0" borderId="0" applyFont="0" applyFill="0" applyBorder="0" applyAlignment="0" applyProtection="0"/>
    <xf numFmtId="0" fontId="28" fillId="0" borderId="0"/>
    <xf numFmtId="0" fontId="28" fillId="0" borderId="0"/>
    <xf numFmtId="44" fontId="5" fillId="0" borderId="0" applyFont="0" applyFill="0" applyBorder="0" applyAlignment="0" applyProtection="0"/>
    <xf numFmtId="9" fontId="27" fillId="0" borderId="0" applyFont="0" applyFill="0" applyBorder="0" applyAlignment="0" applyProtection="0"/>
    <xf numFmtId="43" fontId="24" fillId="0" borderId="0" applyFont="0" applyFill="0" applyBorder="0" applyAlignment="0" applyProtection="0"/>
    <xf numFmtId="44" fontId="4" fillId="0" borderId="0" applyFont="0" applyFill="0" applyBorder="0" applyAlignment="0" applyProtection="0"/>
    <xf numFmtId="0" fontId="24" fillId="0" borderId="0"/>
    <xf numFmtId="0" fontId="6" fillId="0" borderId="0"/>
    <xf numFmtId="44" fontId="24" fillId="0" borderId="0" applyFont="0" applyFill="0" applyBorder="0" applyAlignment="0" applyProtection="0"/>
    <xf numFmtId="0" fontId="6" fillId="0" borderId="0"/>
    <xf numFmtId="171" fontId="24" fillId="0" borderId="0" applyFont="0" applyFill="0" applyBorder="0" applyAlignment="0" applyProtection="0"/>
    <xf numFmtId="171" fontId="27" fillId="0" borderId="0" applyFont="0" applyFill="0" applyBorder="0" applyAlignment="0" applyProtection="0"/>
    <xf numFmtId="173"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4" fillId="0" borderId="0"/>
    <xf numFmtId="44" fontId="24" fillId="0" borderId="0" applyFont="0" applyFill="0" applyBorder="0" applyAlignment="0" applyProtection="0"/>
    <xf numFmtId="0" fontId="1" fillId="0" borderId="0"/>
    <xf numFmtId="0" fontId="6" fillId="0" borderId="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cellStyleXfs>
  <cellXfs count="1475">
    <xf numFmtId="0" fontId="0" fillId="0" borderId="0" xfId="0" applyFont="1" applyAlignment="1"/>
    <xf numFmtId="0" fontId="9" fillId="3" borderId="0" xfId="0" applyFont="1" applyFill="1" applyBorder="1"/>
    <xf numFmtId="0" fontId="9" fillId="3" borderId="0" xfId="0" applyFont="1" applyFill="1" applyBorder="1" applyAlignment="1">
      <alignment horizontal="center"/>
    </xf>
    <xf numFmtId="0" fontId="9" fillId="0" borderId="0" xfId="0" applyFont="1"/>
    <xf numFmtId="0" fontId="11" fillId="3" borderId="7" xfId="0" applyFont="1" applyFill="1" applyBorder="1"/>
    <xf numFmtId="0" fontId="11" fillId="3" borderId="0" xfId="0" applyFont="1" applyFill="1" applyBorder="1"/>
    <xf numFmtId="0" fontId="11" fillId="3" borderId="0" xfId="0" applyFont="1" applyFill="1" applyBorder="1" applyAlignment="1">
      <alignment horizontal="center"/>
    </xf>
    <xf numFmtId="0" fontId="6" fillId="0" borderId="0" xfId="0" applyFont="1"/>
    <xf numFmtId="0" fontId="14" fillId="0" borderId="0" xfId="0" applyFont="1"/>
    <xf numFmtId="0" fontId="11" fillId="0" borderId="0" xfId="0" applyFont="1" applyAlignment="1">
      <alignment horizontal="center"/>
    </xf>
    <xf numFmtId="0" fontId="11" fillId="3" borderId="7"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Border="1" applyAlignment="1">
      <alignment horizontal="center" vertical="center" wrapText="1"/>
    </xf>
    <xf numFmtId="0" fontId="9" fillId="0" borderId="0" xfId="0" applyFont="1" applyAlignment="1">
      <alignment horizontal="center"/>
    </xf>
    <xf numFmtId="164" fontId="9" fillId="0" borderId="0" xfId="0" applyNumberFormat="1" applyFont="1" applyAlignment="1">
      <alignment horizontal="center"/>
    </xf>
    <xf numFmtId="0" fontId="11" fillId="0" borderId="0" xfId="0" applyFont="1" applyAlignment="1">
      <alignment vertical="center"/>
    </xf>
    <xf numFmtId="0" fontId="16" fillId="0" borderId="0" xfId="0" applyFont="1" applyAlignment="1">
      <alignment horizontal="center" vertical="center"/>
    </xf>
    <xf numFmtId="0" fontId="11" fillId="0" borderId="0" xfId="0" applyFont="1"/>
    <xf numFmtId="0" fontId="11" fillId="4" borderId="16" xfId="0" applyFont="1" applyFill="1" applyBorder="1" applyAlignment="1">
      <alignment horizontal="center" vertical="center" wrapText="1"/>
    </xf>
    <xf numFmtId="0" fontId="11" fillId="5" borderId="0" xfId="0" applyFont="1" applyFill="1"/>
    <xf numFmtId="0" fontId="0" fillId="5" borderId="0" xfId="0" applyFont="1" applyFill="1" applyAlignment="1"/>
    <xf numFmtId="0" fontId="26" fillId="5" borderId="0" xfId="0" applyFont="1" applyFill="1"/>
    <xf numFmtId="0" fontId="11" fillId="8" borderId="33" xfId="0" applyFont="1" applyFill="1" applyBorder="1" applyAlignment="1">
      <alignment horizontal="center" vertical="center"/>
    </xf>
    <xf numFmtId="0" fontId="11" fillId="8" borderId="42" xfId="0" applyFont="1" applyFill="1" applyBorder="1" applyAlignment="1">
      <alignment horizontal="center" vertical="center"/>
    </xf>
    <xf numFmtId="0" fontId="11" fillId="8" borderId="12" xfId="0" applyFont="1" applyFill="1" applyBorder="1" applyAlignment="1">
      <alignment horizontal="center" vertical="center"/>
    </xf>
    <xf numFmtId="164" fontId="11" fillId="8" borderId="12" xfId="0" applyNumberFormat="1" applyFont="1" applyFill="1" applyBorder="1" applyAlignment="1">
      <alignment vertical="center"/>
    </xf>
    <xf numFmtId="0" fontId="11" fillId="10" borderId="0" xfId="0" applyFont="1" applyFill="1" applyBorder="1" applyAlignment="1">
      <alignment vertical="center"/>
    </xf>
    <xf numFmtId="0" fontId="11" fillId="5" borderId="12" xfId="0" applyFont="1" applyFill="1" applyBorder="1" applyAlignment="1">
      <alignment horizontal="center" vertical="center"/>
    </xf>
    <xf numFmtId="0" fontId="11" fillId="5" borderId="0" xfId="0" applyFont="1" applyFill="1" applyAlignment="1">
      <alignment vertical="center"/>
    </xf>
    <xf numFmtId="0" fontId="26" fillId="5" borderId="0" xfId="0" applyFont="1" applyFill="1" applyAlignment="1">
      <alignment vertical="center"/>
    </xf>
    <xf numFmtId="0" fontId="9" fillId="5" borderId="0" xfId="0" applyFont="1" applyFill="1" applyAlignment="1">
      <alignment horizontal="center" vertical="center"/>
    </xf>
    <xf numFmtId="0" fontId="29" fillId="5" borderId="0" xfId="0" applyFont="1" applyFill="1" applyAlignment="1">
      <alignment horizontal="center" vertical="center"/>
    </xf>
    <xf numFmtId="0" fontId="7" fillId="5" borderId="0" xfId="0" applyFont="1" applyFill="1" applyAlignment="1">
      <alignment horizontal="center" vertical="center"/>
    </xf>
    <xf numFmtId="0" fontId="21" fillId="12" borderId="0" xfId="0" applyFont="1" applyFill="1" applyBorder="1" applyAlignment="1">
      <alignment horizontal="center" vertical="center"/>
    </xf>
    <xf numFmtId="171" fontId="29" fillId="5" borderId="0" xfId="2" applyFont="1" applyFill="1"/>
    <xf numFmtId="37" fontId="29" fillId="5" borderId="0" xfId="0" applyNumberFormat="1" applyFont="1" applyFill="1" applyAlignment="1">
      <alignment horizontal="center" vertical="center"/>
    </xf>
    <xf numFmtId="0" fontId="11" fillId="5" borderId="56" xfId="0" applyFont="1" applyFill="1" applyBorder="1" applyAlignment="1">
      <alignment horizontal="center" vertical="center"/>
    </xf>
    <xf numFmtId="0" fontId="7" fillId="5" borderId="0" xfId="0" applyFont="1" applyFill="1" applyAlignment="1"/>
    <xf numFmtId="0" fontId="11" fillId="8" borderId="82"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56" xfId="0" applyFont="1" applyFill="1" applyBorder="1" applyAlignment="1">
      <alignment horizontal="center" vertical="center"/>
    </xf>
    <xf numFmtId="0" fontId="11" fillId="4" borderId="31" xfId="0" applyFont="1" applyFill="1" applyBorder="1" applyAlignment="1">
      <alignment horizontal="center" vertical="center" wrapText="1"/>
    </xf>
    <xf numFmtId="0" fontId="24" fillId="0" borderId="0" xfId="10" applyFont="1" applyAlignment="1"/>
    <xf numFmtId="3" fontId="11" fillId="5" borderId="58" xfId="0" applyNumberFormat="1" applyFont="1" applyFill="1" applyBorder="1" applyAlignment="1">
      <alignment horizontal="center" vertical="center" wrapText="1"/>
    </xf>
    <xf numFmtId="0" fontId="11" fillId="5" borderId="58" xfId="0" applyFont="1" applyFill="1" applyBorder="1" applyAlignment="1">
      <alignment horizontal="center" vertical="center"/>
    </xf>
    <xf numFmtId="3" fontId="11" fillId="5" borderId="58" xfId="0" applyNumberFormat="1" applyFont="1" applyFill="1" applyBorder="1" applyAlignment="1">
      <alignment horizontal="center" vertical="center"/>
    </xf>
    <xf numFmtId="37" fontId="23" fillId="5" borderId="56" xfId="3" applyNumberFormat="1" applyFont="1" applyFill="1" applyBorder="1" applyAlignment="1">
      <alignment horizontal="center" vertical="center"/>
    </xf>
    <xf numFmtId="37" fontId="11" fillId="5" borderId="56" xfId="3" applyNumberFormat="1" applyFont="1" applyFill="1" applyBorder="1" applyAlignment="1">
      <alignment horizontal="center" vertical="center"/>
    </xf>
    <xf numFmtId="0" fontId="11" fillId="5" borderId="56" xfId="0" applyFont="1" applyFill="1" applyBorder="1" applyAlignment="1">
      <alignment horizontal="right" vertical="center"/>
    </xf>
    <xf numFmtId="37" fontId="11" fillId="5" borderId="56" xfId="0" applyNumberFormat="1" applyFont="1" applyFill="1" applyBorder="1" applyAlignment="1">
      <alignment horizontal="center" vertical="center"/>
    </xf>
    <xf numFmtId="37" fontId="11" fillId="5" borderId="56" xfId="0" applyNumberFormat="1" applyFont="1" applyFill="1" applyBorder="1" applyAlignment="1">
      <alignment horizontal="right" vertical="center"/>
    </xf>
    <xf numFmtId="3" fontId="11" fillId="5" borderId="62" xfId="0" applyNumberFormat="1" applyFont="1" applyFill="1" applyBorder="1" applyAlignment="1">
      <alignment horizontal="center" vertical="center" wrapText="1"/>
    </xf>
    <xf numFmtId="0" fontId="11" fillId="5" borderId="60" xfId="0" applyFont="1" applyFill="1" applyBorder="1" applyAlignment="1">
      <alignment horizontal="center" vertical="center"/>
    </xf>
    <xf numFmtId="3" fontId="11" fillId="5" borderId="62" xfId="3" applyNumberFormat="1" applyFont="1" applyFill="1" applyBorder="1" applyAlignment="1">
      <alignment horizontal="center" vertical="center" wrapText="1"/>
    </xf>
    <xf numFmtId="0" fontId="11" fillId="5" borderId="0" xfId="0" applyFont="1" applyFill="1" applyBorder="1" applyAlignment="1">
      <alignment horizontal="center" vertical="center"/>
    </xf>
    <xf numFmtId="0" fontId="11" fillId="5" borderId="62" xfId="0" applyFont="1" applyFill="1" applyBorder="1" applyAlignment="1">
      <alignment horizontal="center" vertical="center"/>
    </xf>
    <xf numFmtId="37" fontId="23" fillId="5" borderId="64" xfId="3" applyNumberFormat="1" applyFont="1" applyFill="1" applyBorder="1" applyAlignment="1">
      <alignment horizontal="center" vertical="center"/>
    </xf>
    <xf numFmtId="3" fontId="11" fillId="8" borderId="33" xfId="0" applyNumberFormat="1" applyFont="1" applyFill="1" applyBorder="1" applyAlignment="1">
      <alignment horizontal="center" vertical="center" wrapText="1"/>
    </xf>
    <xf numFmtId="0" fontId="11" fillId="5" borderId="0" xfId="0" applyFont="1" applyFill="1" applyAlignment="1">
      <alignment horizontal="center" vertical="center"/>
    </xf>
    <xf numFmtId="9" fontId="11" fillId="8" borderId="42" xfId="0" applyNumberFormat="1" applyFont="1" applyFill="1" applyBorder="1" applyAlignment="1">
      <alignment horizontal="center" vertical="center"/>
    </xf>
    <xf numFmtId="37" fontId="23" fillId="8" borderId="12" xfId="0" applyNumberFormat="1" applyFont="1" applyFill="1" applyBorder="1" applyAlignment="1">
      <alignment horizontal="center" vertical="center"/>
    </xf>
    <xf numFmtId="37" fontId="11" fillId="8" borderId="12" xfId="0" applyNumberFormat="1" applyFont="1" applyFill="1" applyBorder="1" applyAlignment="1">
      <alignment horizontal="center" vertical="center"/>
    </xf>
    <xf numFmtId="0" fontId="11" fillId="8" borderId="12" xfId="0" applyFont="1" applyFill="1" applyBorder="1" applyAlignment="1">
      <alignment horizontal="right" vertical="center"/>
    </xf>
    <xf numFmtId="0" fontId="11" fillId="8" borderId="13" xfId="0" applyFont="1" applyFill="1" applyBorder="1" applyAlignment="1">
      <alignment horizontal="right" vertical="center"/>
    </xf>
    <xf numFmtId="0" fontId="11" fillId="8" borderId="9" xfId="0" applyFont="1" applyFill="1" applyBorder="1" applyAlignment="1">
      <alignment horizontal="center" vertical="center"/>
    </xf>
    <xf numFmtId="0" fontId="11" fillId="8" borderId="56" xfId="0" applyFont="1" applyFill="1" applyBorder="1" applyAlignment="1">
      <alignment horizontal="right" vertical="center"/>
    </xf>
    <xf numFmtId="168" fontId="11" fillId="8" borderId="12" xfId="0" applyNumberFormat="1" applyFont="1" applyFill="1" applyBorder="1" applyAlignment="1">
      <alignment horizontal="right" vertical="center"/>
    </xf>
    <xf numFmtId="168" fontId="11" fillId="8" borderId="13" xfId="0" applyNumberFormat="1" applyFont="1" applyFill="1" applyBorder="1" applyAlignment="1">
      <alignment horizontal="right" vertical="center"/>
    </xf>
    <xf numFmtId="37" fontId="11" fillId="8" borderId="9" xfId="0" applyNumberFormat="1" applyFont="1" applyFill="1" applyBorder="1" applyAlignment="1">
      <alignment horizontal="center" vertical="center"/>
    </xf>
    <xf numFmtId="37" fontId="11" fillId="8" borderId="56" xfId="0" applyNumberFormat="1" applyFont="1" applyFill="1" applyBorder="1" applyAlignment="1">
      <alignment horizontal="center" vertical="center"/>
    </xf>
    <xf numFmtId="3" fontId="11" fillId="8" borderId="12" xfId="0" applyNumberFormat="1" applyFont="1" applyFill="1" applyBorder="1" applyAlignment="1">
      <alignment horizontal="center" vertical="center" wrapText="1"/>
    </xf>
    <xf numFmtId="166" fontId="11" fillId="8" borderId="12" xfId="0" applyNumberFormat="1" applyFont="1" applyFill="1" applyBorder="1" applyAlignment="1">
      <alignment horizontal="center" vertical="center" wrapText="1"/>
    </xf>
    <xf numFmtId="166" fontId="11" fillId="8" borderId="13" xfId="0" applyNumberFormat="1" applyFont="1" applyFill="1" applyBorder="1" applyAlignment="1">
      <alignment horizontal="center" vertical="center" wrapText="1"/>
    </xf>
    <xf numFmtId="3" fontId="11" fillId="8" borderId="56" xfId="0" applyNumberFormat="1" applyFont="1" applyFill="1" applyBorder="1" applyAlignment="1">
      <alignment horizontal="center" vertical="center" wrapText="1"/>
    </xf>
    <xf numFmtId="3" fontId="11" fillId="8" borderId="13" xfId="0" applyNumberFormat="1" applyFont="1" applyFill="1" applyBorder="1" applyAlignment="1">
      <alignment horizontal="center" vertical="center" wrapText="1"/>
    </xf>
    <xf numFmtId="37" fontId="23" fillId="8" borderId="33" xfId="0" applyNumberFormat="1" applyFont="1" applyFill="1" applyBorder="1" applyAlignment="1">
      <alignment horizontal="center" vertical="center"/>
    </xf>
    <xf numFmtId="37" fontId="23" fillId="8" borderId="31" xfId="0" applyNumberFormat="1" applyFont="1" applyFill="1" applyBorder="1" applyAlignment="1">
      <alignment horizontal="center" vertical="center"/>
    </xf>
    <xf numFmtId="3" fontId="11" fillId="5" borderId="82" xfId="0" applyNumberFormat="1" applyFont="1" applyFill="1" applyBorder="1" applyAlignment="1">
      <alignment horizontal="center" vertical="center" wrapText="1"/>
    </xf>
    <xf numFmtId="3" fontId="11" fillId="8" borderId="82" xfId="0" applyNumberFormat="1" applyFont="1" applyFill="1" applyBorder="1" applyAlignment="1">
      <alignment horizontal="center" vertical="center" wrapText="1"/>
    </xf>
    <xf numFmtId="37" fontId="11" fillId="8" borderId="12" xfId="0" applyNumberFormat="1" applyFont="1" applyFill="1" applyBorder="1" applyAlignment="1">
      <alignment horizontal="right" vertical="center"/>
    </xf>
    <xf numFmtId="0" fontId="11" fillId="5" borderId="12" xfId="0" applyFont="1" applyFill="1" applyBorder="1" applyAlignment="1">
      <alignment horizontal="right" vertical="center"/>
    </xf>
    <xf numFmtId="37" fontId="11" fillId="5" borderId="12" xfId="0" applyNumberFormat="1" applyFont="1" applyFill="1" applyBorder="1" applyAlignment="1">
      <alignment horizontal="right" vertical="center"/>
    </xf>
    <xf numFmtId="3" fontId="11" fillId="5" borderId="12" xfId="0" applyNumberFormat="1" applyFont="1" applyFill="1" applyBorder="1" applyAlignment="1">
      <alignment horizontal="right" vertical="center"/>
    </xf>
    <xf numFmtId="3" fontId="11" fillId="8" borderId="42" xfId="0" applyNumberFormat="1" applyFont="1" applyFill="1" applyBorder="1" applyAlignment="1">
      <alignment horizontal="center" vertical="center" wrapText="1"/>
    </xf>
    <xf numFmtId="37" fontId="23" fillId="8" borderId="87" xfId="0" applyNumberFormat="1" applyFont="1" applyFill="1" applyBorder="1" applyAlignment="1">
      <alignment horizontal="center" vertical="center"/>
    </xf>
    <xf numFmtId="1" fontId="11" fillId="5" borderId="62" xfId="7" applyNumberFormat="1" applyFont="1" applyFill="1" applyBorder="1" applyAlignment="1">
      <alignment horizontal="center" vertical="center" wrapText="1"/>
    </xf>
    <xf numFmtId="37" fontId="11" fillId="5" borderId="62" xfId="3" applyNumberFormat="1" applyFont="1" applyFill="1" applyBorder="1" applyAlignment="1">
      <alignment horizontal="center" vertical="center"/>
    </xf>
    <xf numFmtId="37" fontId="11" fillId="5" borderId="55" xfId="3" applyNumberFormat="1" applyFont="1" applyFill="1" applyBorder="1" applyAlignment="1">
      <alignment horizontal="center" vertical="center"/>
    </xf>
    <xf numFmtId="37" fontId="23" fillId="5" borderId="63" xfId="3" applyNumberFormat="1" applyFont="1" applyFill="1" applyBorder="1" applyAlignment="1">
      <alignment horizontal="center" vertical="center"/>
    </xf>
    <xf numFmtId="0" fontId="11" fillId="5" borderId="56" xfId="0" applyFont="1" applyFill="1" applyBorder="1" applyAlignment="1">
      <alignment horizontal="right" vertical="center" wrapText="1"/>
    </xf>
    <xf numFmtId="0" fontId="11" fillId="5" borderId="63" xfId="0" applyFont="1" applyFill="1" applyBorder="1" applyAlignment="1">
      <alignment horizontal="right" vertical="center" wrapText="1"/>
    </xf>
    <xf numFmtId="172" fontId="11" fillId="5" borderId="62" xfId="2" applyNumberFormat="1" applyFont="1" applyFill="1" applyBorder="1" applyAlignment="1">
      <alignment horizontal="center" vertical="center" wrapText="1"/>
    </xf>
    <xf numFmtId="37" fontId="11" fillId="5" borderId="59" xfId="3" applyNumberFormat="1" applyFont="1" applyFill="1" applyBorder="1" applyAlignment="1">
      <alignment horizontal="center" vertical="center"/>
    </xf>
    <xf numFmtId="37" fontId="11" fillId="5" borderId="58" xfId="3" applyNumberFormat="1" applyFont="1" applyFill="1" applyBorder="1" applyAlignment="1">
      <alignment horizontal="center" vertical="center"/>
    </xf>
    <xf numFmtId="37" fontId="11" fillId="5" borderId="63" xfId="3" applyNumberFormat="1" applyFont="1" applyFill="1" applyBorder="1" applyAlignment="1">
      <alignment horizontal="center" vertical="center"/>
    </xf>
    <xf numFmtId="37" fontId="11" fillId="8" borderId="33" xfId="0" applyNumberFormat="1" applyFont="1" applyFill="1" applyBorder="1" applyAlignment="1">
      <alignment horizontal="center" vertical="center"/>
    </xf>
    <xf numFmtId="37" fontId="11" fillId="8" borderId="8" xfId="0" applyNumberFormat="1" applyFont="1" applyFill="1" applyBorder="1" applyAlignment="1">
      <alignment horizontal="center" vertical="center"/>
    </xf>
    <xf numFmtId="37" fontId="23" fillId="8" borderId="56" xfId="0" applyNumberFormat="1" applyFont="1" applyFill="1" applyBorder="1" applyAlignment="1">
      <alignment horizontal="center" vertical="center"/>
    </xf>
    <xf numFmtId="0" fontId="11" fillId="5" borderId="36" xfId="0" applyFont="1" applyFill="1" applyBorder="1" applyAlignment="1">
      <alignment horizontal="center" vertical="center"/>
    </xf>
    <xf numFmtId="37" fontId="11" fillId="8" borderId="13" xfId="0" applyNumberFormat="1" applyFont="1" applyFill="1" applyBorder="1" applyAlignment="1">
      <alignment horizontal="center" vertical="center"/>
    </xf>
    <xf numFmtId="37" fontId="11" fillId="8" borderId="82" xfId="0" applyNumberFormat="1" applyFont="1" applyFill="1" applyBorder="1" applyAlignment="1">
      <alignment horizontal="center" vertical="center"/>
    </xf>
    <xf numFmtId="37" fontId="11" fillId="8" borderId="80" xfId="0" applyNumberFormat="1" applyFont="1" applyFill="1" applyBorder="1" applyAlignment="1">
      <alignment horizontal="center" vertical="center"/>
    </xf>
    <xf numFmtId="0" fontId="11" fillId="8" borderId="0" xfId="0" applyFont="1" applyFill="1" applyBorder="1" applyAlignment="1">
      <alignment horizontal="center" vertical="center"/>
    </xf>
    <xf numFmtId="164" fontId="11" fillId="8" borderId="42" xfId="0" applyNumberFormat="1" applyFont="1" applyFill="1" applyBorder="1" applyAlignment="1">
      <alignment vertical="center" wrapText="1"/>
    </xf>
    <xf numFmtId="37" fontId="11" fillId="8" borderId="26" xfId="0" applyNumberFormat="1" applyFont="1" applyFill="1" applyBorder="1" applyAlignment="1">
      <alignment horizontal="center" vertical="center"/>
    </xf>
    <xf numFmtId="37" fontId="23" fillId="8" borderId="79" xfId="0" applyNumberFormat="1" applyFont="1" applyFill="1" applyBorder="1" applyAlignment="1">
      <alignment horizontal="center" vertical="center"/>
    </xf>
    <xf numFmtId="0" fontId="11" fillId="8" borderId="60" xfId="0" applyFont="1" applyFill="1" applyBorder="1" applyAlignment="1">
      <alignment horizontal="center" vertical="center"/>
    </xf>
    <xf numFmtId="37" fontId="11" fillId="8" borderId="42" xfId="0" applyNumberFormat="1" applyFont="1" applyFill="1" applyBorder="1" applyAlignment="1">
      <alignment horizontal="center" vertical="center"/>
    </xf>
    <xf numFmtId="37" fontId="11" fillId="8" borderId="62" xfId="0" applyNumberFormat="1" applyFont="1" applyFill="1" applyBorder="1" applyAlignment="1">
      <alignment horizontal="center" vertical="center"/>
    </xf>
    <xf numFmtId="9" fontId="11" fillId="8" borderId="82" xfId="0" applyNumberFormat="1" applyFont="1" applyFill="1" applyBorder="1" applyAlignment="1">
      <alignment horizontal="center" vertical="center" wrapText="1"/>
    </xf>
    <xf numFmtId="9" fontId="11" fillId="8" borderId="12" xfId="0" applyNumberFormat="1" applyFont="1" applyFill="1" applyBorder="1" applyAlignment="1">
      <alignment horizontal="center" vertical="center" wrapText="1"/>
    </xf>
    <xf numFmtId="9" fontId="11" fillId="8" borderId="42" xfId="0" applyNumberFormat="1" applyFont="1" applyFill="1" applyBorder="1" applyAlignment="1">
      <alignment horizontal="center" vertical="center" wrapText="1"/>
    </xf>
    <xf numFmtId="9" fontId="11" fillId="8" borderId="37" xfId="0" applyNumberFormat="1" applyFont="1" applyFill="1" applyBorder="1" applyAlignment="1">
      <alignment horizontal="center" vertical="center" wrapText="1"/>
    </xf>
    <xf numFmtId="9" fontId="11" fillId="9" borderId="42" xfId="0" applyNumberFormat="1" applyFont="1" applyFill="1" applyBorder="1" applyAlignment="1">
      <alignment horizontal="center" vertical="center"/>
    </xf>
    <xf numFmtId="37" fontId="11" fillId="8" borderId="31" xfId="0" applyNumberFormat="1" applyFont="1" applyFill="1" applyBorder="1" applyAlignment="1">
      <alignment horizontal="center" vertical="center"/>
    </xf>
    <xf numFmtId="9" fontId="11" fillId="8" borderId="33" xfId="1" applyFont="1" applyFill="1" applyBorder="1" applyAlignment="1">
      <alignment horizontal="center" vertical="center"/>
    </xf>
    <xf numFmtId="0" fontId="11" fillId="8" borderId="93" xfId="0" applyFont="1" applyFill="1" applyBorder="1" applyAlignment="1">
      <alignment horizontal="center" vertical="center"/>
    </xf>
    <xf numFmtId="37" fontId="11" fillId="8" borderId="93" xfId="0" applyNumberFormat="1" applyFont="1" applyFill="1" applyBorder="1" applyAlignment="1">
      <alignment horizontal="center" vertical="center"/>
    </xf>
    <xf numFmtId="9" fontId="11" fillId="8" borderId="13" xfId="0" applyNumberFormat="1" applyFont="1" applyFill="1" applyBorder="1" applyAlignment="1">
      <alignment horizontal="center" vertical="center" wrapText="1"/>
    </xf>
    <xf numFmtId="9" fontId="11" fillId="8" borderId="56" xfId="0" applyNumberFormat="1" applyFont="1" applyFill="1" applyBorder="1" applyAlignment="1">
      <alignment horizontal="center" vertical="center" wrapText="1"/>
    </xf>
    <xf numFmtId="9" fontId="11" fillId="8" borderId="56" xfId="1" applyFont="1" applyFill="1" applyBorder="1" applyAlignment="1">
      <alignment horizontal="center" vertical="center"/>
    </xf>
    <xf numFmtId="9" fontId="11" fillId="8" borderId="82" xfId="0" applyNumberFormat="1" applyFont="1" applyFill="1" applyBorder="1" applyAlignment="1">
      <alignment horizontal="center" vertical="center"/>
    </xf>
    <xf numFmtId="43" fontId="11" fillId="8" borderId="42" xfId="8" applyFont="1" applyFill="1" applyBorder="1" applyAlignment="1">
      <alignment horizontal="center" vertical="center" wrapText="1"/>
    </xf>
    <xf numFmtId="37" fontId="11" fillId="8" borderId="49" xfId="0" applyNumberFormat="1" applyFont="1" applyFill="1" applyBorder="1" applyAlignment="1">
      <alignment horizontal="center" vertical="center"/>
    </xf>
    <xf numFmtId="0" fontId="11" fillId="8" borderId="72" xfId="0" applyFont="1" applyFill="1" applyBorder="1" applyAlignment="1">
      <alignment horizontal="center" vertical="center"/>
    </xf>
    <xf numFmtId="9" fontId="11" fillId="8" borderId="92" xfId="0" applyNumberFormat="1" applyFont="1" applyFill="1" applyBorder="1" applyAlignment="1">
      <alignment horizontal="center" vertical="center"/>
    </xf>
    <xf numFmtId="170" fontId="11" fillId="8" borderId="42" xfId="0" applyNumberFormat="1" applyFont="1" applyFill="1" applyBorder="1" applyAlignment="1">
      <alignment horizontal="center" vertical="center" wrapText="1"/>
    </xf>
    <xf numFmtId="9" fontId="11" fillId="9" borderId="82" xfId="0" applyNumberFormat="1" applyFont="1" applyFill="1" applyBorder="1" applyAlignment="1">
      <alignment horizontal="center" vertical="center" wrapText="1"/>
    </xf>
    <xf numFmtId="9" fontId="11" fillId="9" borderId="82" xfId="0" applyNumberFormat="1" applyFont="1" applyFill="1" applyBorder="1" applyAlignment="1">
      <alignment horizontal="center" vertical="center"/>
    </xf>
    <xf numFmtId="9" fontId="11" fillId="9" borderId="42" xfId="0" applyNumberFormat="1" applyFont="1" applyFill="1" applyBorder="1" applyAlignment="1">
      <alignment horizontal="center" vertical="center" wrapText="1"/>
    </xf>
    <xf numFmtId="0" fontId="11" fillId="9" borderId="42" xfId="0" applyFont="1" applyFill="1" applyBorder="1" applyAlignment="1">
      <alignment horizontal="center" vertical="center" wrapText="1"/>
    </xf>
    <xf numFmtId="0" fontId="11" fillId="5" borderId="62" xfId="0" applyFont="1" applyFill="1" applyBorder="1" applyAlignment="1">
      <alignment horizontal="right" vertical="center"/>
    </xf>
    <xf numFmtId="3" fontId="11" fillId="5" borderId="56" xfId="3" applyNumberFormat="1" applyFont="1" applyFill="1" applyBorder="1" applyAlignment="1">
      <alignment horizontal="center" vertical="center" wrapText="1"/>
    </xf>
    <xf numFmtId="4" fontId="11" fillId="5" borderId="62" xfId="0" applyNumberFormat="1" applyFont="1" applyFill="1" applyBorder="1" applyAlignment="1">
      <alignment horizontal="center" vertical="center" wrapText="1"/>
    </xf>
    <xf numFmtId="37" fontId="11" fillId="5" borderId="73" xfId="3" applyNumberFormat="1" applyFont="1" applyFill="1" applyBorder="1" applyAlignment="1">
      <alignment horizontal="center" vertical="center"/>
    </xf>
    <xf numFmtId="3" fontId="11" fillId="8" borderId="32" xfId="0" applyNumberFormat="1" applyFont="1" applyFill="1" applyBorder="1" applyAlignment="1">
      <alignment horizontal="center" vertical="center" wrapText="1"/>
    </xf>
    <xf numFmtId="3" fontId="11" fillId="9" borderId="42" xfId="0" applyNumberFormat="1" applyFont="1" applyFill="1" applyBorder="1" applyAlignment="1">
      <alignment horizontal="center" vertical="center" wrapText="1"/>
    </xf>
    <xf numFmtId="3" fontId="11" fillId="8" borderId="16" xfId="0" applyNumberFormat="1" applyFont="1" applyFill="1" applyBorder="1" applyAlignment="1">
      <alignment horizontal="center" vertical="center" wrapText="1"/>
    </xf>
    <xf numFmtId="3" fontId="11" fillId="9" borderId="16" xfId="0" applyNumberFormat="1" applyFont="1" applyFill="1" applyBorder="1" applyAlignment="1">
      <alignment horizontal="center" vertical="center" wrapText="1"/>
    </xf>
    <xf numFmtId="3" fontId="11" fillId="8" borderId="20" xfId="0" applyNumberFormat="1" applyFont="1" applyFill="1" applyBorder="1" applyAlignment="1">
      <alignment horizontal="center" vertical="center" wrapText="1"/>
    </xf>
    <xf numFmtId="0" fontId="11" fillId="5" borderId="70" xfId="0" applyFont="1" applyFill="1" applyBorder="1" applyAlignment="1" applyProtection="1">
      <alignment horizontal="left" vertical="center" wrapText="1"/>
      <protection locked="0"/>
    </xf>
    <xf numFmtId="0" fontId="11" fillId="5" borderId="73" xfId="0" applyFont="1" applyFill="1" applyBorder="1" applyAlignment="1" applyProtection="1">
      <alignment horizontal="left" vertical="center" wrapText="1"/>
      <protection locked="0"/>
    </xf>
    <xf numFmtId="0" fontId="11" fillId="5" borderId="78" xfId="0" applyFont="1" applyFill="1" applyBorder="1" applyAlignment="1" applyProtection="1">
      <alignment horizontal="left" vertical="center" wrapText="1"/>
      <protection locked="0"/>
    </xf>
    <xf numFmtId="0" fontId="11" fillId="5" borderId="103" xfId="0" applyFont="1" applyFill="1" applyBorder="1" applyAlignment="1" applyProtection="1">
      <alignment horizontal="left" vertical="center" wrapText="1"/>
      <protection locked="0"/>
    </xf>
    <xf numFmtId="0" fontId="11" fillId="11" borderId="37"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49" xfId="0" applyFont="1" applyFill="1" applyBorder="1" applyAlignment="1">
      <alignment horizontal="left" vertical="center" wrapText="1"/>
    </xf>
    <xf numFmtId="0" fontId="11" fillId="11" borderId="92" xfId="0" applyFont="1" applyFill="1" applyBorder="1" applyAlignment="1">
      <alignment horizontal="left" vertical="center" wrapText="1"/>
    </xf>
    <xf numFmtId="0" fontId="11" fillId="11" borderId="89" xfId="0" applyFont="1" applyFill="1" applyBorder="1" applyAlignment="1">
      <alignment horizontal="left" vertical="center" wrapText="1"/>
    </xf>
    <xf numFmtId="0" fontId="11" fillId="5" borderId="75" xfId="0" applyFont="1" applyFill="1" applyBorder="1" applyAlignment="1" applyProtection="1">
      <alignment horizontal="left" vertical="center" wrapText="1"/>
      <protection locked="0"/>
    </xf>
    <xf numFmtId="0" fontId="11" fillId="11" borderId="10" xfId="0" applyFont="1" applyFill="1" applyBorder="1" applyAlignment="1">
      <alignment horizontal="left" vertical="center" wrapText="1"/>
    </xf>
    <xf numFmtId="9" fontId="24" fillId="0" borderId="0" xfId="10" applyNumberFormat="1" applyFont="1" applyAlignment="1"/>
    <xf numFmtId="0" fontId="32" fillId="0" borderId="0" xfId="10" applyFont="1" applyAlignment="1"/>
    <xf numFmtId="0" fontId="6" fillId="3" borderId="0" xfId="10" applyFont="1" applyFill="1" applyBorder="1" applyAlignment="1">
      <alignment vertical="center"/>
    </xf>
    <xf numFmtId="10" fontId="6" fillId="0" borderId="0" xfId="10" applyNumberFormat="1" applyFont="1" applyAlignment="1">
      <alignment vertical="center"/>
    </xf>
    <xf numFmtId="9" fontId="6" fillId="0" borderId="0" xfId="10" applyNumberFormat="1" applyFont="1" applyAlignment="1">
      <alignment vertical="center"/>
    </xf>
    <xf numFmtId="0" fontId="6" fillId="0" borderId="0" xfId="10" applyFont="1" applyAlignment="1">
      <alignment vertical="center"/>
    </xf>
    <xf numFmtId="0" fontId="14" fillId="0" borderId="0" xfId="10" applyFont="1" applyAlignment="1">
      <alignment horizontal="left" vertical="center"/>
    </xf>
    <xf numFmtId="0" fontId="14" fillId="0" borderId="0" xfId="10" applyFont="1" applyAlignment="1">
      <alignment vertical="center"/>
    </xf>
    <xf numFmtId="10" fontId="23" fillId="3" borderId="0" xfId="10" applyNumberFormat="1" applyFont="1" applyFill="1" applyBorder="1" applyAlignment="1">
      <alignment horizontal="left" vertical="center"/>
    </xf>
    <xf numFmtId="10" fontId="12" fillId="3" borderId="0" xfId="10" applyNumberFormat="1" applyFont="1" applyFill="1" applyBorder="1" applyAlignment="1">
      <alignment horizontal="center" vertical="center"/>
    </xf>
    <xf numFmtId="0" fontId="12" fillId="3" borderId="0" xfId="10" applyFont="1" applyFill="1" applyBorder="1" applyAlignment="1">
      <alignment horizontal="center" vertical="center" wrapText="1"/>
    </xf>
    <xf numFmtId="9" fontId="12" fillId="3" borderId="0" xfId="10" applyNumberFormat="1" applyFont="1" applyFill="1" applyBorder="1" applyAlignment="1">
      <alignment horizontal="center" vertical="center" wrapText="1"/>
    </xf>
    <xf numFmtId="0" fontId="15" fillId="3" borderId="0" xfId="10" applyFont="1" applyFill="1" applyBorder="1" applyAlignment="1">
      <alignment horizontal="center" vertical="center" wrapText="1"/>
    </xf>
    <xf numFmtId="0" fontId="15" fillId="3" borderId="0" xfId="10" applyFont="1" applyFill="1" applyBorder="1" applyAlignment="1">
      <alignment horizontal="left" vertical="center" wrapText="1"/>
    </xf>
    <xf numFmtId="0" fontId="15" fillId="2" borderId="32" xfId="10" applyFont="1" applyFill="1" applyBorder="1" applyAlignment="1">
      <alignment horizontal="center" vertical="center" wrapText="1"/>
    </xf>
    <xf numFmtId="0" fontId="6" fillId="6" borderId="0" xfId="13" applyFont="1" applyFill="1" applyAlignment="1">
      <alignment vertical="center"/>
    </xf>
    <xf numFmtId="0" fontId="15" fillId="5" borderId="56" xfId="10" applyFont="1" applyFill="1" applyBorder="1" applyAlignment="1" applyProtection="1">
      <alignment horizontal="center" vertical="center" wrapText="1"/>
      <protection locked="0"/>
    </xf>
    <xf numFmtId="10" fontId="6" fillId="3" borderId="0" xfId="1" applyNumberFormat="1" applyFont="1" applyFill="1" applyBorder="1" applyAlignment="1">
      <alignment vertical="center"/>
    </xf>
    <xf numFmtId="0" fontId="12" fillId="2" borderId="16" xfId="10" applyFont="1" applyFill="1" applyBorder="1" applyAlignment="1">
      <alignment horizontal="center" vertical="center" wrapText="1"/>
    </xf>
    <xf numFmtId="0" fontId="12" fillId="2" borderId="31" xfId="10" applyFont="1" applyFill="1" applyBorder="1" applyAlignment="1">
      <alignment horizontal="center" vertical="center" wrapText="1"/>
    </xf>
    <xf numFmtId="10" fontId="6" fillId="2" borderId="16" xfId="10" applyNumberFormat="1" applyFont="1" applyFill="1" applyBorder="1" applyAlignment="1">
      <alignment horizontal="center" vertical="center" wrapText="1"/>
    </xf>
    <xf numFmtId="9" fontId="6" fillId="2" borderId="16" xfId="10" applyNumberFormat="1"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2" fillId="2" borderId="14" xfId="10" applyFont="1" applyFill="1" applyBorder="1" applyAlignment="1">
      <alignment horizontal="center" vertical="center" wrapText="1"/>
    </xf>
    <xf numFmtId="0" fontId="12" fillId="2" borderId="26" xfId="10" applyFont="1" applyFill="1" applyBorder="1" applyAlignment="1">
      <alignment horizontal="center" vertical="center" wrapText="1"/>
    </xf>
    <xf numFmtId="0" fontId="12" fillId="2" borderId="1" xfId="10" applyFont="1" applyFill="1" applyBorder="1" applyAlignment="1">
      <alignment horizontal="center" vertical="center" wrapText="1"/>
    </xf>
    <xf numFmtId="0" fontId="6" fillId="0" borderId="0" xfId="10" applyFont="1" applyAlignment="1">
      <alignment horizontal="left" vertical="center"/>
    </xf>
    <xf numFmtId="0" fontId="12" fillId="0" borderId="0" xfId="10" applyFont="1" applyAlignment="1">
      <alignment vertical="center"/>
    </xf>
    <xf numFmtId="0" fontId="15" fillId="2" borderId="16" xfId="10" applyFont="1" applyFill="1" applyBorder="1" applyAlignment="1">
      <alignment horizontal="left" vertical="center" wrapText="1"/>
    </xf>
    <xf numFmtId="0" fontId="15" fillId="2" borderId="12" xfId="10" applyFont="1" applyFill="1" applyBorder="1" applyAlignment="1">
      <alignment horizontal="left" vertical="center" wrapText="1"/>
    </xf>
    <xf numFmtId="37" fontId="11" fillId="8" borderId="56" xfId="0" applyNumberFormat="1" applyFont="1" applyFill="1" applyBorder="1" applyAlignment="1">
      <alignment horizontal="right" vertical="center"/>
    </xf>
    <xf numFmtId="0" fontId="14" fillId="0" borderId="62" xfId="0" applyFont="1" applyFill="1" applyBorder="1" applyAlignment="1">
      <alignment horizontal="left" vertical="center" wrapText="1"/>
    </xf>
    <xf numFmtId="0" fontId="0" fillId="0" borderId="0" xfId="0" applyFont="1" applyAlignment="1"/>
    <xf numFmtId="0" fontId="14" fillId="0" borderId="0" xfId="0" applyFont="1" applyAlignment="1">
      <alignment vertical="center" wrapText="1"/>
    </xf>
    <xf numFmtId="0" fontId="14" fillId="0" borderId="0" xfId="0" applyFont="1" applyAlignment="1">
      <alignment wrapText="1"/>
    </xf>
    <xf numFmtId="0" fontId="15" fillId="4" borderId="31"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38" xfId="0" applyFont="1" applyFill="1" applyBorder="1" applyAlignment="1">
      <alignment horizontal="center" vertical="center"/>
    </xf>
    <xf numFmtId="0" fontId="15" fillId="4" borderId="85"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4" fillId="0" borderId="58" xfId="0" applyFont="1" applyFill="1" applyBorder="1" applyAlignment="1">
      <alignment horizontal="left" vertical="center" wrapText="1"/>
    </xf>
    <xf numFmtId="0" fontId="14" fillId="3" borderId="0" xfId="0" applyFont="1" applyFill="1" applyBorder="1"/>
    <xf numFmtId="0" fontId="14" fillId="3" borderId="0" xfId="0" applyFont="1" applyFill="1" applyBorder="1" applyAlignment="1">
      <alignment vertical="center" wrapText="1"/>
    </xf>
    <xf numFmtId="0" fontId="14" fillId="3" borderId="0" xfId="0" applyFont="1" applyFill="1" applyBorder="1" applyAlignment="1">
      <alignment wrapText="1"/>
    </xf>
    <xf numFmtId="168" fontId="14" fillId="0" borderId="56" xfId="0" applyNumberFormat="1" applyFont="1" applyFill="1" applyBorder="1" applyAlignment="1">
      <alignment horizontal="center" vertical="center" wrapText="1"/>
    </xf>
    <xf numFmtId="0" fontId="14" fillId="0" borderId="56" xfId="0" applyFont="1" applyFill="1" applyBorder="1" applyAlignment="1">
      <alignment horizontal="left" vertical="center" wrapText="1"/>
    </xf>
    <xf numFmtId="0" fontId="14" fillId="0" borderId="0" xfId="0" applyFont="1" applyFill="1"/>
    <xf numFmtId="0" fontId="14" fillId="0" borderId="0" xfId="0" applyFont="1" applyFill="1" applyAlignment="1">
      <alignment vertical="center" wrapText="1"/>
    </xf>
    <xf numFmtId="0" fontId="14" fillId="0" borderId="0" xfId="0" applyFont="1" applyFill="1" applyAlignment="1">
      <alignment wrapText="1"/>
    </xf>
    <xf numFmtId="0" fontId="7" fillId="0" borderId="0" xfId="0" applyFont="1" applyFill="1" applyAlignment="1"/>
    <xf numFmtId="0" fontId="14" fillId="0" borderId="0" xfId="0" applyFont="1" applyFill="1" applyBorder="1"/>
    <xf numFmtId="0" fontId="14" fillId="0" borderId="0" xfId="0" applyFont="1" applyFill="1" applyBorder="1" applyAlignment="1">
      <alignment vertical="center" wrapText="1"/>
    </xf>
    <xf numFmtId="0" fontId="14" fillId="0" borderId="0" xfId="0" applyFont="1" applyFill="1" applyBorder="1" applyAlignment="1">
      <alignment wrapText="1"/>
    </xf>
    <xf numFmtId="0" fontId="7" fillId="0" borderId="56" xfId="0" applyFont="1" applyBorder="1" applyAlignment="1"/>
    <xf numFmtId="0" fontId="14" fillId="0" borderId="63" xfId="0" applyFont="1" applyFill="1" applyBorder="1"/>
    <xf numFmtId="0" fontId="14" fillId="0" borderId="56" xfId="0" applyFont="1" applyFill="1" applyBorder="1"/>
    <xf numFmtId="43" fontId="14" fillId="0" borderId="56" xfId="0" applyNumberFormat="1" applyFont="1" applyFill="1" applyBorder="1" applyAlignment="1">
      <alignment horizontal="center" vertical="center" wrapText="1"/>
    </xf>
    <xf numFmtId="170" fontId="14" fillId="0" borderId="56" xfId="0" applyNumberFormat="1" applyFont="1" applyFill="1" applyBorder="1" applyAlignment="1">
      <alignment horizontal="center" vertical="center" wrapText="1"/>
    </xf>
    <xf numFmtId="43" fontId="14" fillId="0" borderId="58" xfId="8" applyFont="1" applyFill="1" applyBorder="1" applyAlignment="1">
      <alignment horizontal="center" vertical="center" wrapText="1"/>
    </xf>
    <xf numFmtId="168" fontId="14" fillId="0" borderId="58" xfId="0" applyNumberFormat="1" applyFont="1" applyFill="1" applyBorder="1" applyAlignment="1">
      <alignment horizontal="center" vertical="center" wrapText="1"/>
    </xf>
    <xf numFmtId="176" fontId="14" fillId="0" borderId="56" xfId="0" applyNumberFormat="1" applyFont="1" applyFill="1" applyBorder="1" applyAlignment="1">
      <alignment vertical="center" wrapText="1"/>
    </xf>
    <xf numFmtId="43" fontId="14" fillId="0" borderId="56" xfId="0" applyNumberFormat="1" applyFont="1" applyFill="1" applyBorder="1" applyAlignment="1">
      <alignment vertical="center" wrapText="1"/>
    </xf>
    <xf numFmtId="43" fontId="14" fillId="0" borderId="56" xfId="8" applyFont="1" applyFill="1" applyBorder="1" applyAlignment="1">
      <alignment horizontal="center" vertical="center" wrapText="1"/>
    </xf>
    <xf numFmtId="175" fontId="14" fillId="0" borderId="56" xfId="0" applyNumberFormat="1" applyFont="1" applyFill="1" applyBorder="1" applyAlignment="1">
      <alignment horizontal="center" vertical="center" wrapText="1"/>
    </xf>
    <xf numFmtId="0" fontId="7" fillId="5" borderId="76" xfId="0" applyFont="1" applyFill="1" applyBorder="1"/>
    <xf numFmtId="0" fontId="7" fillId="5" borderId="55" xfId="0" applyFont="1" applyFill="1" applyBorder="1"/>
    <xf numFmtId="0" fontId="34" fillId="0" borderId="0" xfId="0" applyFont="1" applyFill="1"/>
    <xf numFmtId="43" fontId="14" fillId="14" borderId="56" xfId="8" applyFont="1" applyFill="1" applyBorder="1" applyAlignment="1">
      <alignment horizontal="center" vertical="center" wrapText="1"/>
    </xf>
    <xf numFmtId="0" fontId="7" fillId="7" borderId="76" xfId="0" applyFont="1" applyFill="1" applyBorder="1"/>
    <xf numFmtId="0" fontId="7" fillId="7" borderId="55" xfId="0" applyFont="1" applyFill="1" applyBorder="1"/>
    <xf numFmtId="0" fontId="14" fillId="7" borderId="56" xfId="0" applyFont="1" applyFill="1" applyBorder="1" applyAlignment="1">
      <alignment horizontal="left" vertical="center" wrapText="1"/>
    </xf>
    <xf numFmtId="3" fontId="14" fillId="7" borderId="56" xfId="0" applyNumberFormat="1" applyFont="1" applyFill="1" applyBorder="1" applyAlignment="1">
      <alignment horizontal="center" vertical="center" wrapText="1"/>
    </xf>
    <xf numFmtId="0" fontId="7" fillId="7" borderId="56" xfId="0" applyFont="1" applyFill="1" applyBorder="1"/>
    <xf numFmtId="0" fontId="7" fillId="7" borderId="121" xfId="0" applyFont="1" applyFill="1" applyBorder="1"/>
    <xf numFmtId="0" fontId="7" fillId="7" borderId="0" xfId="0" applyFont="1" applyFill="1" applyAlignment="1"/>
    <xf numFmtId="176" fontId="14" fillId="7" borderId="56" xfId="0" applyNumberFormat="1" applyFont="1" applyFill="1" applyBorder="1" applyAlignment="1">
      <alignment horizontal="left" vertical="center" wrapText="1"/>
    </xf>
    <xf numFmtId="3" fontId="14" fillId="7" borderId="64" xfId="0" applyNumberFormat="1" applyFont="1" applyFill="1" applyBorder="1" applyAlignment="1">
      <alignment horizontal="center" vertical="center" wrapText="1"/>
    </xf>
    <xf numFmtId="0" fontId="7" fillId="7" borderId="64" xfId="0" applyFont="1" applyFill="1" applyBorder="1"/>
    <xf numFmtId="168" fontId="14" fillId="0" borderId="62" xfId="0" applyNumberFormat="1" applyFont="1" applyFill="1" applyBorder="1" applyAlignment="1">
      <alignment horizontal="center" vertical="center" wrapText="1"/>
    </xf>
    <xf numFmtId="174" fontId="14" fillId="0" borderId="62" xfId="0" applyNumberFormat="1" applyFont="1" applyFill="1" applyBorder="1" applyAlignment="1">
      <alignment vertical="center" wrapText="1"/>
    </xf>
    <xf numFmtId="43" fontId="14" fillId="0" borderId="62" xfId="8" applyNumberFormat="1" applyFont="1" applyFill="1" applyBorder="1" applyAlignment="1">
      <alignment horizontal="center" vertical="center" wrapText="1"/>
    </xf>
    <xf numFmtId="43" fontId="14" fillId="0" borderId="62" xfId="0" applyNumberFormat="1" applyFont="1" applyFill="1" applyBorder="1" applyAlignment="1">
      <alignment horizontal="center" vertical="center" wrapText="1"/>
    </xf>
    <xf numFmtId="9" fontId="14" fillId="0" borderId="56" xfId="1" applyFont="1" applyFill="1" applyBorder="1" applyAlignment="1">
      <alignment horizontal="center" vertical="center" wrapText="1"/>
    </xf>
    <xf numFmtId="174" fontId="14" fillId="0" borderId="56" xfId="8" applyNumberFormat="1" applyFont="1" applyFill="1" applyBorder="1" applyAlignment="1">
      <alignment vertical="center" wrapText="1"/>
    </xf>
    <xf numFmtId="177" fontId="14" fillId="0" borderId="56" xfId="8" applyNumberFormat="1" applyFont="1" applyFill="1" applyBorder="1" applyAlignment="1">
      <alignment horizontal="center" vertical="center" wrapText="1"/>
    </xf>
    <xf numFmtId="43" fontId="14" fillId="0" borderId="56" xfId="8" applyFont="1" applyFill="1" applyBorder="1" applyAlignment="1">
      <alignment vertical="center" wrapText="1"/>
    </xf>
    <xf numFmtId="43" fontId="14" fillId="0" borderId="62" xfId="0" applyNumberFormat="1" applyFont="1" applyFill="1" applyBorder="1" applyAlignment="1">
      <alignment vertical="center" wrapText="1"/>
    </xf>
    <xf numFmtId="174" fontId="14" fillId="0" borderId="62" xfId="8" applyNumberFormat="1" applyFont="1" applyFill="1" applyBorder="1" applyAlignment="1">
      <alignment horizontal="center" vertical="center" wrapText="1"/>
    </xf>
    <xf numFmtId="9" fontId="14" fillId="0" borderId="58" xfId="0" applyNumberFormat="1" applyFont="1" applyFill="1" applyBorder="1" applyAlignment="1">
      <alignment horizontal="center" vertical="center" wrapText="1"/>
    </xf>
    <xf numFmtId="165" fontId="14" fillId="0" borderId="58" xfId="0" applyNumberFormat="1" applyFont="1" applyFill="1" applyBorder="1" applyAlignment="1">
      <alignment vertical="center" wrapText="1"/>
    </xf>
    <xf numFmtId="174" fontId="14" fillId="0" borderId="58" xfId="8" applyNumberFormat="1" applyFont="1" applyFill="1" applyBorder="1" applyAlignment="1">
      <alignment horizontal="center" vertical="center" wrapText="1"/>
    </xf>
    <xf numFmtId="0" fontId="14" fillId="15" borderId="0" xfId="0" applyFont="1" applyFill="1" applyBorder="1"/>
    <xf numFmtId="0" fontId="14" fillId="15" borderId="0" xfId="0" applyFont="1" applyFill="1" applyBorder="1" applyAlignment="1">
      <alignment vertical="center" wrapText="1"/>
    </xf>
    <xf numFmtId="0" fontId="14" fillId="15" borderId="0" xfId="0" applyFont="1" applyFill="1" applyBorder="1" applyAlignment="1">
      <alignment wrapText="1"/>
    </xf>
    <xf numFmtId="0" fontId="14" fillId="3" borderId="35" xfId="0" applyFont="1" applyFill="1" applyBorder="1"/>
    <xf numFmtId="10" fontId="14" fillId="0" borderId="58" xfId="0" applyNumberFormat="1" applyFont="1" applyFill="1" applyBorder="1" applyAlignment="1">
      <alignment vertical="center" wrapText="1"/>
    </xf>
    <xf numFmtId="176" fontId="14" fillId="4" borderId="58" xfId="0" applyNumberFormat="1" applyFont="1" applyFill="1" applyBorder="1" applyAlignment="1">
      <alignment vertical="center" wrapText="1"/>
    </xf>
    <xf numFmtId="43" fontId="14" fillId="4" borderId="58" xfId="0" applyNumberFormat="1" applyFont="1" applyFill="1" applyBorder="1" applyAlignment="1">
      <alignment horizontal="center" vertical="center"/>
    </xf>
    <xf numFmtId="43" fontId="14" fillId="4" borderId="60" xfId="0" applyNumberFormat="1" applyFont="1" applyFill="1" applyBorder="1"/>
    <xf numFmtId="0" fontId="14" fillId="4" borderId="60" xfId="0" applyFont="1" applyFill="1" applyBorder="1"/>
    <xf numFmtId="0" fontId="14" fillId="4" borderId="122" xfId="0" applyFont="1" applyFill="1" applyBorder="1"/>
    <xf numFmtId="170" fontId="14" fillId="3" borderId="0" xfId="0" applyNumberFormat="1" applyFont="1" applyFill="1" applyBorder="1"/>
    <xf numFmtId="176" fontId="14" fillId="4" borderId="56" xfId="0" applyNumberFormat="1" applyFont="1" applyFill="1" applyBorder="1" applyAlignment="1">
      <alignment vertical="center" wrapText="1"/>
    </xf>
    <xf numFmtId="43" fontId="14" fillId="4" borderId="56" xfId="0" applyNumberFormat="1" applyFont="1" applyFill="1" applyBorder="1" applyAlignment="1">
      <alignment horizontal="center" vertical="center"/>
    </xf>
    <xf numFmtId="43" fontId="14" fillId="4" borderId="0" xfId="0" applyNumberFormat="1" applyFont="1" applyFill="1" applyBorder="1"/>
    <xf numFmtId="0" fontId="14" fillId="4" borderId="0" xfId="0" applyFont="1" applyFill="1" applyBorder="1"/>
    <xf numFmtId="0" fontId="14" fillId="4" borderId="123" xfId="0" applyFont="1" applyFill="1" applyBorder="1"/>
    <xf numFmtId="176" fontId="14" fillId="4" borderId="64" xfId="0" applyNumberFormat="1" applyFont="1" applyFill="1" applyBorder="1" applyAlignment="1">
      <alignment vertical="center" wrapText="1"/>
    </xf>
    <xf numFmtId="3" fontId="14" fillId="4" borderId="64" xfId="0" applyNumberFormat="1" applyFont="1" applyFill="1" applyBorder="1" applyAlignment="1">
      <alignment horizontal="center" vertical="center"/>
    </xf>
    <xf numFmtId="0" fontId="14" fillId="4" borderId="90" xfId="0" applyFont="1" applyFill="1" applyBorder="1"/>
    <xf numFmtId="0" fontId="14" fillId="5" borderId="0" xfId="0" applyFont="1" applyFill="1"/>
    <xf numFmtId="0" fontId="14" fillId="5" borderId="0" xfId="0" applyFont="1" applyFill="1" applyBorder="1"/>
    <xf numFmtId="0" fontId="11" fillId="7" borderId="64" xfId="0" applyFont="1" applyFill="1" applyBorder="1" applyAlignment="1">
      <alignment horizontal="center" vertical="center" wrapText="1"/>
    </xf>
    <xf numFmtId="37" fontId="11" fillId="8" borderId="0" xfId="0" applyNumberFormat="1" applyFont="1" applyFill="1" applyBorder="1" applyAlignment="1">
      <alignment horizontal="center" vertical="center"/>
    </xf>
    <xf numFmtId="0" fontId="11" fillId="8" borderId="42" xfId="0" applyFont="1" applyFill="1" applyBorder="1" applyAlignment="1">
      <alignment horizontal="right" vertical="center"/>
    </xf>
    <xf numFmtId="0" fontId="11" fillId="0" borderId="0" xfId="0" applyFont="1" applyBorder="1" applyAlignment="1">
      <alignment horizontal="center"/>
    </xf>
    <xf numFmtId="0" fontId="11" fillId="5" borderId="13" xfId="0" applyFont="1" applyFill="1" applyBorder="1" applyAlignment="1">
      <alignment horizontal="center" vertical="center"/>
    </xf>
    <xf numFmtId="0" fontId="11" fillId="5" borderId="75" xfId="0" applyFont="1" applyFill="1" applyBorder="1" applyAlignment="1">
      <alignment horizontal="center" vertical="center"/>
    </xf>
    <xf numFmtId="0" fontId="11" fillId="8" borderId="80"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49" xfId="0" applyFont="1" applyFill="1" applyBorder="1" applyAlignment="1">
      <alignment horizontal="center" vertical="center"/>
    </xf>
    <xf numFmtId="0" fontId="11" fillId="8" borderId="37" xfId="0" applyFont="1" applyFill="1" applyBorder="1" applyAlignment="1">
      <alignment horizontal="center" vertical="center"/>
    </xf>
    <xf numFmtId="0" fontId="11" fillId="5" borderId="73" xfId="0" applyFont="1" applyFill="1" applyBorder="1" applyAlignment="1">
      <alignment horizontal="center" vertical="center"/>
    </xf>
    <xf numFmtId="9" fontId="11" fillId="8" borderId="12" xfId="1" applyFont="1" applyFill="1" applyBorder="1" applyAlignment="1">
      <alignment horizontal="center" vertical="center"/>
    </xf>
    <xf numFmtId="3" fontId="14" fillId="0" borderId="56" xfId="0" applyNumberFormat="1" applyFont="1" applyFill="1" applyBorder="1" applyAlignment="1">
      <alignment vertical="center" wrapText="1"/>
    </xf>
    <xf numFmtId="0" fontId="37" fillId="13" borderId="56" xfId="0" applyFont="1" applyFill="1" applyBorder="1" applyAlignment="1">
      <alignment horizontal="center" vertical="center"/>
    </xf>
    <xf numFmtId="168" fontId="14" fillId="0" borderId="56" xfId="24" applyNumberFormat="1" applyFont="1" applyFill="1" applyBorder="1" applyAlignment="1">
      <alignment horizontal="center" vertical="center" wrapText="1"/>
    </xf>
    <xf numFmtId="3" fontId="14" fillId="0" borderId="58" xfId="24" applyNumberFormat="1" applyFont="1" applyFill="1" applyBorder="1" applyAlignment="1">
      <alignment horizontal="center" vertical="center" wrapText="1"/>
    </xf>
    <xf numFmtId="168" fontId="14" fillId="0" borderId="58" xfId="24" applyNumberFormat="1" applyFont="1" applyFill="1" applyBorder="1" applyAlignment="1">
      <alignment horizontal="center" vertical="center" wrapText="1"/>
    </xf>
    <xf numFmtId="0" fontId="7" fillId="5" borderId="65" xfId="0" applyFont="1" applyFill="1" applyBorder="1" applyAlignment="1"/>
    <xf numFmtId="0" fontId="14" fillId="5" borderId="63" xfId="0" applyFont="1" applyFill="1" applyBorder="1"/>
    <xf numFmtId="3" fontId="14" fillId="5" borderId="63" xfId="0" applyNumberFormat="1" applyFont="1" applyFill="1" applyBorder="1" applyAlignment="1">
      <alignment horizontal="center" vertical="center"/>
    </xf>
    <xf numFmtId="0" fontId="7" fillId="5" borderId="57" xfId="0" applyFont="1" applyFill="1" applyBorder="1" applyAlignment="1"/>
    <xf numFmtId="0" fontId="14" fillId="5" borderId="56" xfId="0" applyFont="1" applyFill="1" applyBorder="1"/>
    <xf numFmtId="3" fontId="14" fillId="5" borderId="56" xfId="0" applyNumberFormat="1" applyFont="1" applyFill="1" applyBorder="1" applyAlignment="1">
      <alignment horizontal="center" vertical="center"/>
    </xf>
    <xf numFmtId="168" fontId="14" fillId="5" borderId="56" xfId="0" applyNumberFormat="1" applyFont="1" applyFill="1" applyBorder="1" applyAlignment="1">
      <alignment horizontal="center" vertical="center" wrapText="1"/>
    </xf>
    <xf numFmtId="0" fontId="14" fillId="5" borderId="56" xfId="0" applyFont="1" applyFill="1" applyBorder="1" applyAlignment="1">
      <alignment horizontal="left" vertical="center" wrapText="1"/>
    </xf>
    <xf numFmtId="168" fontId="14" fillId="5" borderId="58" xfId="0" applyNumberFormat="1" applyFont="1" applyFill="1" applyBorder="1" applyAlignment="1">
      <alignment horizontal="center" vertical="center" wrapText="1"/>
    </xf>
    <xf numFmtId="0" fontId="14" fillId="5" borderId="58" xfId="0" applyFont="1" applyFill="1" applyBorder="1" applyAlignment="1">
      <alignment horizontal="left" vertical="center" wrapText="1"/>
    </xf>
    <xf numFmtId="9" fontId="14" fillId="0" borderId="58" xfId="1" applyFont="1" applyFill="1" applyBorder="1" applyAlignment="1">
      <alignment horizontal="center" vertical="center" wrapText="1"/>
    </xf>
    <xf numFmtId="0" fontId="14" fillId="5" borderId="0" xfId="24" applyFont="1" applyFill="1" applyAlignment="1"/>
    <xf numFmtId="0" fontId="14" fillId="5" borderId="0" xfId="24" applyFont="1" applyFill="1" applyBorder="1" applyAlignment="1"/>
    <xf numFmtId="0" fontId="14" fillId="5" borderId="0" xfId="24" applyFont="1" applyFill="1" applyBorder="1"/>
    <xf numFmtId="0" fontId="14" fillId="5" borderId="0" xfId="24" applyFont="1" applyFill="1" applyBorder="1" applyAlignment="1">
      <alignment wrapText="1"/>
    </xf>
    <xf numFmtId="0" fontId="14" fillId="5" borderId="0" xfId="24" applyFont="1" applyFill="1" applyBorder="1" applyAlignment="1">
      <alignment vertical="center" wrapText="1"/>
    </xf>
    <xf numFmtId="0" fontId="14" fillId="0" borderId="56" xfId="24" applyFont="1" applyFill="1" applyBorder="1" applyAlignment="1">
      <alignment horizontal="left" vertical="center" wrapText="1"/>
    </xf>
    <xf numFmtId="176" fontId="14" fillId="0" borderId="56" xfId="24" applyNumberFormat="1" applyFont="1" applyFill="1" applyBorder="1" applyAlignment="1">
      <alignment horizontal="center" vertical="center" wrapText="1"/>
    </xf>
    <xf numFmtId="175" fontId="14" fillId="0" borderId="56" xfId="25" applyNumberFormat="1" applyFont="1" applyFill="1" applyBorder="1" applyAlignment="1">
      <alignment horizontal="center" vertical="center" wrapText="1"/>
    </xf>
    <xf numFmtId="44" fontId="14" fillId="0" borderId="56" xfId="12" applyFont="1" applyFill="1" applyBorder="1" applyAlignment="1">
      <alignment horizontal="center" vertical="center" wrapText="1"/>
    </xf>
    <xf numFmtId="43" fontId="14" fillId="5" borderId="56" xfId="8" applyFont="1" applyFill="1" applyBorder="1" applyAlignment="1">
      <alignment horizontal="center" vertical="center" wrapText="1"/>
    </xf>
    <xf numFmtId="43" fontId="14" fillId="5" borderId="56" xfId="0" applyNumberFormat="1" applyFont="1" applyFill="1" applyBorder="1" applyAlignment="1">
      <alignment horizontal="center" vertical="center" wrapText="1"/>
    </xf>
    <xf numFmtId="176" fontId="14" fillId="5" borderId="56" xfId="0" applyNumberFormat="1" applyFont="1" applyFill="1" applyBorder="1" applyAlignment="1">
      <alignment vertical="center" wrapText="1"/>
    </xf>
    <xf numFmtId="44" fontId="14" fillId="5" borderId="56" xfId="12" applyFont="1" applyFill="1" applyBorder="1" applyAlignment="1">
      <alignment horizontal="center" vertical="center" wrapText="1"/>
    </xf>
    <xf numFmtId="43" fontId="14" fillId="5" borderId="56" xfId="0" applyNumberFormat="1" applyFont="1" applyFill="1" applyBorder="1" applyAlignment="1">
      <alignment vertical="center" wrapText="1"/>
    </xf>
    <xf numFmtId="176" fontId="14" fillId="0" borderId="56" xfId="24" applyNumberFormat="1" applyFont="1" applyFill="1" applyBorder="1" applyAlignment="1">
      <alignment vertical="center" wrapText="1"/>
    </xf>
    <xf numFmtId="174" fontId="14" fillId="0" borderId="62" xfId="0" applyNumberFormat="1" applyFont="1" applyFill="1" applyBorder="1" applyAlignment="1">
      <alignment horizontal="center" vertical="center" wrapText="1"/>
    </xf>
    <xf numFmtId="43" fontId="7" fillId="7" borderId="55" xfId="0" applyNumberFormat="1" applyFont="1" applyFill="1" applyBorder="1"/>
    <xf numFmtId="43" fontId="14" fillId="0" borderId="56" xfId="24" applyNumberFormat="1" applyFont="1" applyFill="1" applyBorder="1"/>
    <xf numFmtId="177" fontId="14" fillId="0" borderId="56" xfId="24" applyNumberFormat="1" applyFont="1" applyFill="1" applyBorder="1"/>
    <xf numFmtId="43" fontId="14" fillId="5" borderId="56" xfId="24" applyNumberFormat="1" applyFont="1" applyFill="1" applyBorder="1"/>
    <xf numFmtId="175" fontId="14" fillId="5" borderId="56" xfId="0" applyNumberFormat="1" applyFont="1" applyFill="1" applyBorder="1" applyAlignment="1">
      <alignment horizontal="center" vertical="center" wrapText="1"/>
    </xf>
    <xf numFmtId="177" fontId="14" fillId="5" borderId="56" xfId="24" applyNumberFormat="1" applyFont="1" applyFill="1" applyBorder="1"/>
    <xf numFmtId="170" fontId="14" fillId="5" borderId="56" xfId="0" applyNumberFormat="1" applyFont="1" applyFill="1" applyBorder="1" applyAlignment="1">
      <alignment horizontal="center" vertical="center" wrapText="1"/>
    </xf>
    <xf numFmtId="3" fontId="14" fillId="5" borderId="56" xfId="24" applyNumberFormat="1" applyFont="1" applyFill="1" applyBorder="1"/>
    <xf numFmtId="0" fontId="14" fillId="5" borderId="56" xfId="24" applyFont="1" applyFill="1" applyBorder="1" applyAlignment="1">
      <alignment horizontal="left" vertical="center" wrapText="1"/>
    </xf>
    <xf numFmtId="43" fontId="14" fillId="5" borderId="56" xfId="8" applyNumberFormat="1" applyFont="1" applyFill="1" applyBorder="1" applyAlignment="1">
      <alignment horizontal="center" vertical="center" wrapText="1"/>
    </xf>
    <xf numFmtId="43" fontId="14" fillId="5" borderId="58" xfId="8" applyNumberFormat="1" applyFont="1" applyFill="1" applyBorder="1" applyAlignment="1">
      <alignment horizontal="center" vertical="center" wrapText="1"/>
    </xf>
    <xf numFmtId="43" fontId="14" fillId="5" borderId="58" xfId="0" applyNumberFormat="1" applyFont="1" applyFill="1" applyBorder="1" applyAlignment="1">
      <alignment horizontal="center" vertical="center" wrapText="1"/>
    </xf>
    <xf numFmtId="0" fontId="14" fillId="5" borderId="63" xfId="0" applyFont="1" applyFill="1" applyBorder="1" applyAlignment="1">
      <alignment horizontal="left" vertical="center" wrapText="1"/>
    </xf>
    <xf numFmtId="3" fontId="7" fillId="5" borderId="56" xfId="0" applyNumberFormat="1" applyFont="1" applyFill="1" applyBorder="1"/>
    <xf numFmtId="3" fontId="7" fillId="5" borderId="0" xfId="0" applyNumberFormat="1" applyFont="1" applyFill="1" applyAlignment="1"/>
    <xf numFmtId="42" fontId="14" fillId="5" borderId="56" xfId="0" applyNumberFormat="1" applyFont="1" applyFill="1" applyBorder="1"/>
    <xf numFmtId="3" fontId="39" fillId="5" borderId="56" xfId="0" applyNumberFormat="1" applyFont="1" applyFill="1" applyBorder="1" applyAlignment="1">
      <alignment horizontal="center" vertical="center" wrapText="1"/>
    </xf>
    <xf numFmtId="0" fontId="15" fillId="7" borderId="64" xfId="27" applyFont="1" applyFill="1" applyBorder="1" applyAlignment="1">
      <alignment horizontal="center" vertical="center" wrapText="1"/>
    </xf>
    <xf numFmtId="0" fontId="11" fillId="7" borderId="64" xfId="0" applyFont="1" applyFill="1" applyBorder="1" applyAlignment="1">
      <alignment horizontal="center" vertical="center" wrapText="1"/>
    </xf>
    <xf numFmtId="0" fontId="9" fillId="17" borderId="0" xfId="0" applyFont="1" applyFill="1" applyBorder="1" applyAlignment="1">
      <alignment horizontal="center"/>
    </xf>
    <xf numFmtId="0" fontId="9" fillId="17" borderId="0" xfId="0" applyFont="1" applyFill="1" applyBorder="1"/>
    <xf numFmtId="9" fontId="11" fillId="8" borderId="82" xfId="1" applyFont="1" applyFill="1" applyBorder="1" applyAlignment="1">
      <alignment horizontal="center" vertical="center"/>
    </xf>
    <xf numFmtId="9" fontId="11" fillId="8" borderId="42" xfId="1" applyFont="1" applyFill="1" applyBorder="1" applyAlignment="1">
      <alignment horizontal="center" vertical="center"/>
    </xf>
    <xf numFmtId="165" fontId="11" fillId="8" borderId="12" xfId="1" applyNumberFormat="1" applyFont="1" applyFill="1" applyBorder="1" applyAlignment="1">
      <alignment horizontal="center" vertical="center"/>
    </xf>
    <xf numFmtId="9" fontId="11" fillId="8" borderId="12" xfId="1" applyNumberFormat="1" applyFont="1" applyFill="1" applyBorder="1" applyAlignment="1">
      <alignment horizontal="center" vertical="center"/>
    </xf>
    <xf numFmtId="0" fontId="11" fillId="5" borderId="117" xfId="0" applyFont="1" applyFill="1" applyBorder="1" applyAlignment="1" applyProtection="1">
      <alignment horizontal="left" vertical="center" wrapText="1"/>
      <protection locked="0"/>
    </xf>
    <xf numFmtId="0" fontId="11" fillId="5" borderId="119" xfId="0" applyFont="1" applyFill="1" applyBorder="1" applyAlignment="1" applyProtection="1">
      <alignment horizontal="left" vertical="center" wrapText="1"/>
      <protection locked="0"/>
    </xf>
    <xf numFmtId="0" fontId="11" fillId="5" borderId="125" xfId="0" applyFont="1" applyFill="1" applyBorder="1" applyAlignment="1" applyProtection="1">
      <alignment horizontal="left" vertical="center" wrapText="1"/>
      <protection locked="0"/>
    </xf>
    <xf numFmtId="0" fontId="11" fillId="11" borderId="143" xfId="0" applyFont="1" applyFill="1" applyBorder="1" applyAlignment="1">
      <alignment horizontal="left" vertical="center" wrapText="1"/>
    </xf>
    <xf numFmtId="3" fontId="11" fillId="8" borderId="58" xfId="0" applyNumberFormat="1" applyFont="1" applyFill="1" applyBorder="1" applyAlignment="1">
      <alignment horizontal="center" vertical="center" wrapText="1"/>
    </xf>
    <xf numFmtId="0" fontId="11" fillId="8" borderId="58" xfId="0" applyFont="1" applyFill="1" applyBorder="1" applyAlignment="1">
      <alignment horizontal="center" vertical="center"/>
    </xf>
    <xf numFmtId="166" fontId="11" fillId="8" borderId="58" xfId="0" applyNumberFormat="1" applyFont="1" applyFill="1" applyBorder="1" applyAlignment="1">
      <alignment horizontal="center" vertical="center"/>
    </xf>
    <xf numFmtId="0" fontId="11" fillId="11" borderId="144" xfId="0" applyFont="1" applyFill="1" applyBorder="1" applyAlignment="1">
      <alignment horizontal="left" vertical="center" wrapText="1"/>
    </xf>
    <xf numFmtId="0" fontId="11" fillId="11" borderId="145" xfId="0" applyFont="1" applyFill="1" applyBorder="1" applyAlignment="1">
      <alignment horizontal="left" vertical="center" wrapText="1"/>
    </xf>
    <xf numFmtId="37" fontId="23" fillId="8" borderId="64" xfId="0" applyNumberFormat="1" applyFont="1" applyFill="1" applyBorder="1" applyAlignment="1">
      <alignment horizontal="center" vertical="center"/>
    </xf>
    <xf numFmtId="0" fontId="11" fillId="7" borderId="63" xfId="0" applyFont="1" applyFill="1" applyBorder="1" applyAlignment="1">
      <alignment horizontal="center" vertical="center" wrapText="1"/>
    </xf>
    <xf numFmtId="0" fontId="11" fillId="8" borderId="82" xfId="0" applyFont="1" applyFill="1" applyBorder="1" applyAlignment="1" applyProtection="1">
      <alignment horizontal="center" vertical="center"/>
    </xf>
    <xf numFmtId="0" fontId="11" fillId="8" borderId="82" xfId="0" applyFont="1" applyFill="1" applyBorder="1" applyAlignment="1" applyProtection="1">
      <alignment horizontal="center" vertical="center" wrapText="1"/>
    </xf>
    <xf numFmtId="164" fontId="11" fillId="8" borderId="82" xfId="0" applyNumberFormat="1" applyFont="1" applyFill="1" applyBorder="1" applyAlignment="1" applyProtection="1">
      <alignment vertical="center"/>
    </xf>
    <xf numFmtId="164" fontId="11" fillId="8" borderId="82" xfId="0" applyNumberFormat="1" applyFont="1" applyFill="1" applyBorder="1" applyAlignment="1" applyProtection="1">
      <alignment horizontal="left" vertical="center"/>
    </xf>
    <xf numFmtId="0" fontId="26" fillId="5" borderId="56" xfId="0" applyFont="1" applyFill="1" applyBorder="1" applyAlignment="1" applyProtection="1">
      <alignment horizontal="center" vertical="center"/>
    </xf>
    <xf numFmtId="0" fontId="11" fillId="5" borderId="56" xfId="0" applyFont="1" applyFill="1" applyBorder="1" applyAlignment="1" applyProtection="1">
      <alignment horizontal="center" vertical="center" wrapText="1"/>
    </xf>
    <xf numFmtId="0" fontId="11" fillId="5" borderId="56" xfId="0" applyFont="1" applyFill="1" applyBorder="1" applyAlignment="1" applyProtection="1">
      <alignment horizontal="center" vertical="center"/>
    </xf>
    <xf numFmtId="172" fontId="26" fillId="5" borderId="56" xfId="2" applyNumberFormat="1" applyFont="1" applyFill="1" applyBorder="1" applyAlignment="1" applyProtection="1">
      <alignment vertical="center"/>
    </xf>
    <xf numFmtId="0" fontId="11" fillId="8" borderId="42" xfId="0" applyFont="1" applyFill="1" applyBorder="1" applyAlignment="1" applyProtection="1">
      <alignment horizontal="center" vertical="center"/>
    </xf>
    <xf numFmtId="0" fontId="11" fillId="8" borderId="42" xfId="0" applyFont="1" applyFill="1" applyBorder="1" applyAlignment="1" applyProtection="1">
      <alignment horizontal="center" vertical="center" wrapText="1"/>
    </xf>
    <xf numFmtId="0" fontId="11" fillId="8" borderId="33" xfId="0" applyFont="1" applyFill="1" applyBorder="1" applyAlignment="1" applyProtection="1">
      <alignment horizontal="center" vertical="center"/>
    </xf>
    <xf numFmtId="164" fontId="11" fillId="8" borderId="42" xfId="0" applyNumberFormat="1" applyFont="1" applyFill="1" applyBorder="1" applyAlignment="1" applyProtection="1">
      <alignment vertical="center"/>
    </xf>
    <xf numFmtId="164" fontId="11" fillId="8" borderId="43" xfId="0" applyNumberFormat="1" applyFont="1" applyFill="1" applyBorder="1" applyAlignment="1" applyProtection="1">
      <alignment vertical="center"/>
    </xf>
    <xf numFmtId="164" fontId="11" fillId="8" borderId="56" xfId="0" applyNumberFormat="1" applyFont="1" applyFill="1" applyBorder="1" applyAlignment="1" applyProtection="1">
      <alignment horizontal="left" vertical="center"/>
    </xf>
    <xf numFmtId="164" fontId="11" fillId="8" borderId="73" xfId="0" applyNumberFormat="1" applyFont="1" applyFill="1" applyBorder="1" applyAlignment="1" applyProtection="1">
      <alignment vertical="center"/>
    </xf>
    <xf numFmtId="164" fontId="11" fillId="8" borderId="0" xfId="0" applyNumberFormat="1" applyFont="1" applyFill="1" applyBorder="1" applyAlignment="1" applyProtection="1">
      <alignment vertical="center"/>
    </xf>
    <xf numFmtId="0" fontId="11" fillId="8" borderId="12" xfId="0" applyFont="1" applyFill="1" applyBorder="1" applyAlignment="1" applyProtection="1">
      <alignment horizontal="center" vertical="center"/>
    </xf>
    <xf numFmtId="0" fontId="11" fillId="8" borderId="12" xfId="0" applyFont="1" applyFill="1" applyBorder="1" applyAlignment="1" applyProtection="1">
      <alignment horizontal="center" vertical="center" wrapText="1"/>
    </xf>
    <xf numFmtId="167" fontId="11" fillId="8" borderId="56" xfId="0" applyNumberFormat="1" applyFont="1" applyFill="1" applyBorder="1" applyAlignment="1" applyProtection="1">
      <alignment horizontal="left" vertical="center"/>
    </xf>
    <xf numFmtId="167" fontId="11" fillId="8" borderId="56" xfId="0" applyNumberFormat="1" applyFont="1" applyFill="1" applyBorder="1" applyAlignment="1" applyProtection="1">
      <alignment vertical="center"/>
    </xf>
    <xf numFmtId="164" fontId="11" fillId="8" borderId="12" xfId="0" applyNumberFormat="1" applyFont="1" applyFill="1" applyBorder="1" applyAlignment="1" applyProtection="1">
      <alignment vertical="center"/>
    </xf>
    <xf numFmtId="0" fontId="11" fillId="5" borderId="31" xfId="0" applyFont="1" applyFill="1" applyBorder="1" applyAlignment="1" applyProtection="1">
      <alignment horizontal="center" vertical="center"/>
    </xf>
    <xf numFmtId="0" fontId="11" fillId="5" borderId="31" xfId="0" applyFont="1" applyFill="1" applyBorder="1" applyAlignment="1" applyProtection="1">
      <alignment horizontal="center" vertical="center" wrapText="1"/>
    </xf>
    <xf numFmtId="0" fontId="11" fillId="8" borderId="31" xfId="0" applyFont="1" applyFill="1" applyBorder="1" applyAlignment="1" applyProtection="1">
      <alignment horizontal="center" vertical="center" wrapText="1"/>
    </xf>
    <xf numFmtId="170" fontId="31" fillId="8" borderId="12" xfId="0" applyNumberFormat="1" applyFont="1" applyFill="1" applyBorder="1" applyAlignment="1" applyProtection="1">
      <alignment horizontal="center" vertical="center"/>
    </xf>
    <xf numFmtId="170" fontId="31" fillId="5" borderId="12" xfId="0" applyNumberFormat="1" applyFont="1" applyFill="1" applyBorder="1" applyAlignment="1" applyProtection="1">
      <alignment horizontal="center" vertical="center"/>
    </xf>
    <xf numFmtId="0" fontId="11" fillId="5" borderId="63" xfId="0" applyFont="1" applyFill="1" applyBorder="1" applyAlignment="1" applyProtection="1">
      <alignment horizontal="center" vertical="center"/>
    </xf>
    <xf numFmtId="0" fontId="11" fillId="5" borderId="63" xfId="0" applyFont="1" applyFill="1" applyBorder="1" applyAlignment="1" applyProtection="1">
      <alignment horizontal="center" vertical="center" wrapText="1"/>
    </xf>
    <xf numFmtId="0" fontId="19" fillId="0" borderId="12" xfId="0" applyFont="1" applyFill="1" applyBorder="1" applyAlignment="1" applyProtection="1">
      <alignment horizontal="left" vertical="center" wrapText="1"/>
    </xf>
    <xf numFmtId="0" fontId="11" fillId="5" borderId="12" xfId="0" applyFont="1" applyFill="1" applyBorder="1" applyAlignment="1" applyProtection="1">
      <alignment horizontal="center" vertical="center"/>
    </xf>
    <xf numFmtId="0" fontId="11" fillId="5" borderId="12" xfId="0" applyFont="1" applyFill="1" applyBorder="1" applyAlignment="1" applyProtection="1">
      <alignment horizontal="left" vertical="center" wrapText="1"/>
    </xf>
    <xf numFmtId="0" fontId="11" fillId="5" borderId="12" xfId="0" applyFont="1" applyFill="1" applyBorder="1" applyAlignment="1" applyProtection="1">
      <alignment horizontal="center" vertical="center" wrapText="1"/>
    </xf>
    <xf numFmtId="0" fontId="11" fillId="5" borderId="33" xfId="0" applyFont="1" applyFill="1" applyBorder="1" applyAlignment="1" applyProtection="1">
      <alignment horizontal="center" vertical="center" wrapText="1"/>
    </xf>
    <xf numFmtId="9" fontId="11" fillId="5" borderId="31" xfId="1" applyFont="1" applyFill="1" applyBorder="1" applyAlignment="1" applyProtection="1">
      <alignment vertical="center"/>
    </xf>
    <xf numFmtId="9" fontId="11" fillId="5" borderId="12" xfId="1" applyFont="1" applyFill="1" applyBorder="1" applyAlignment="1" applyProtection="1">
      <alignment horizontal="center" vertical="center"/>
    </xf>
    <xf numFmtId="0" fontId="19" fillId="0" borderId="12" xfId="0" applyFont="1" applyFill="1" applyBorder="1" applyAlignment="1" applyProtection="1">
      <alignment vertical="center" wrapText="1"/>
    </xf>
    <xf numFmtId="0" fontId="19" fillId="0" borderId="40" xfId="0" applyFont="1" applyFill="1" applyBorder="1" applyAlignment="1" applyProtection="1">
      <alignment vertical="center" wrapText="1"/>
    </xf>
    <xf numFmtId="0" fontId="11" fillId="5" borderId="43" xfId="0" applyFont="1" applyFill="1" applyBorder="1" applyAlignment="1" applyProtection="1">
      <alignment horizontal="center" vertical="center" wrapText="1"/>
    </xf>
    <xf numFmtId="164" fontId="11" fillId="5" borderId="56" xfId="0" applyNumberFormat="1" applyFont="1" applyFill="1" applyBorder="1" applyAlignment="1" applyProtection="1">
      <alignment vertical="center"/>
    </xf>
    <xf numFmtId="164" fontId="11" fillId="5" borderId="0" xfId="0" applyNumberFormat="1" applyFont="1" applyFill="1" applyBorder="1" applyAlignment="1" applyProtection="1">
      <alignment vertical="center"/>
    </xf>
    <xf numFmtId="164" fontId="11" fillId="5" borderId="49" xfId="0" applyNumberFormat="1" applyFont="1" applyFill="1" applyBorder="1" applyAlignment="1" applyProtection="1">
      <alignment horizontal="center" vertical="center"/>
    </xf>
    <xf numFmtId="164" fontId="11" fillId="9" borderId="12" xfId="0" applyNumberFormat="1" applyFont="1" applyFill="1" applyBorder="1" applyAlignment="1" applyProtection="1">
      <alignment horizontal="center" vertical="center"/>
    </xf>
    <xf numFmtId="3" fontId="11" fillId="9" borderId="12" xfId="0" applyNumberFormat="1" applyFont="1" applyFill="1" applyBorder="1" applyAlignment="1" applyProtection="1">
      <alignment horizontal="center" vertical="center"/>
    </xf>
    <xf numFmtId="164" fontId="11" fillId="5" borderId="12" xfId="0" applyNumberFormat="1" applyFont="1" applyFill="1" applyBorder="1" applyAlignment="1" applyProtection="1">
      <alignment horizontal="center" vertical="center"/>
    </xf>
    <xf numFmtId="164" fontId="11" fillId="5" borderId="48" xfId="0" applyNumberFormat="1" applyFont="1" applyFill="1" applyBorder="1" applyAlignment="1" applyProtection="1">
      <alignment horizontal="center" vertical="center"/>
    </xf>
    <xf numFmtId="0" fontId="11" fillId="5" borderId="53" xfId="0" applyFont="1" applyFill="1" applyBorder="1" applyAlignment="1" applyProtection="1">
      <alignment horizontal="left" vertical="center" wrapText="1"/>
    </xf>
    <xf numFmtId="0" fontId="11" fillId="5" borderId="49" xfId="0" applyFont="1" applyFill="1" applyBorder="1" applyAlignment="1" applyProtection="1">
      <alignment horizontal="center" vertical="center"/>
    </xf>
    <xf numFmtId="9" fontId="11" fillId="5" borderId="33" xfId="1" applyFont="1" applyFill="1" applyBorder="1" applyAlignment="1" applyProtection="1">
      <alignment vertical="center"/>
    </xf>
    <xf numFmtId="9" fontId="11" fillId="9" borderId="31" xfId="1" applyFont="1" applyFill="1" applyBorder="1" applyAlignment="1" applyProtection="1">
      <alignment horizontal="center" vertical="center"/>
    </xf>
    <xf numFmtId="0" fontId="11" fillId="5" borderId="56" xfId="0" applyFont="1" applyFill="1" applyBorder="1" applyAlignment="1" applyProtection="1">
      <alignment horizontal="left" vertical="center" wrapText="1"/>
    </xf>
    <xf numFmtId="164" fontId="11" fillId="5" borderId="56" xfId="0" applyNumberFormat="1" applyFont="1" applyFill="1" applyBorder="1" applyAlignment="1" applyProtection="1">
      <alignment horizontal="center" vertical="center"/>
    </xf>
    <xf numFmtId="3" fontId="11" fillId="9" borderId="56" xfId="0" applyNumberFormat="1" applyFont="1" applyFill="1" applyBorder="1" applyAlignment="1" applyProtection="1">
      <alignment horizontal="center" vertical="center"/>
    </xf>
    <xf numFmtId="3" fontId="11" fillId="5" borderId="56" xfId="0" applyNumberFormat="1" applyFont="1" applyFill="1" applyBorder="1" applyAlignment="1" applyProtection="1">
      <alignment horizontal="center" vertical="center"/>
    </xf>
    <xf numFmtId="0" fontId="11" fillId="9" borderId="56" xfId="0" applyFont="1" applyFill="1" applyBorder="1" applyAlignment="1" applyProtection="1">
      <alignment horizontal="center" vertical="center"/>
    </xf>
    <xf numFmtId="174" fontId="11" fillId="5" borderId="33" xfId="0" applyNumberFormat="1" applyFont="1" applyFill="1" applyBorder="1" applyAlignment="1" applyProtection="1">
      <alignment horizontal="center" vertical="center"/>
    </xf>
    <xf numFmtId="0" fontId="26" fillId="5" borderId="56" xfId="0" applyFont="1" applyFill="1" applyBorder="1" applyAlignment="1" applyProtection="1">
      <alignment horizontal="left" vertical="center" wrapText="1"/>
    </xf>
    <xf numFmtId="0" fontId="26" fillId="5" borderId="56" xfId="0" applyFont="1" applyFill="1" applyBorder="1" applyAlignment="1" applyProtection="1">
      <alignment horizontal="center" vertical="center" wrapText="1"/>
    </xf>
    <xf numFmtId="172" fontId="26" fillId="5" borderId="63" xfId="2" applyNumberFormat="1" applyFont="1" applyFill="1" applyBorder="1" applyAlignment="1" applyProtection="1">
      <alignment vertical="center"/>
    </xf>
    <xf numFmtId="0" fontId="26" fillId="5" borderId="63" xfId="0" applyFont="1" applyFill="1" applyBorder="1" applyAlignment="1" applyProtection="1">
      <alignment horizontal="center" vertical="center"/>
    </xf>
    <xf numFmtId="4" fontId="26" fillId="5" borderId="63" xfId="2" applyNumberFormat="1" applyFont="1" applyFill="1" applyBorder="1" applyAlignment="1" applyProtection="1">
      <alignment horizontal="center" vertical="center"/>
    </xf>
    <xf numFmtId="3" fontId="26" fillId="5" borderId="63" xfId="2" applyNumberFormat="1" applyFont="1" applyFill="1" applyBorder="1" applyAlignment="1" applyProtection="1">
      <alignment horizontal="center" vertical="center"/>
    </xf>
    <xf numFmtId="172" fontId="26" fillId="5" borderId="67" xfId="2" applyNumberFormat="1" applyFont="1" applyFill="1" applyBorder="1" applyAlignment="1" applyProtection="1">
      <alignment horizontal="center" vertical="center"/>
    </xf>
    <xf numFmtId="172" fontId="26" fillId="5" borderId="56" xfId="2" applyNumberFormat="1"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172" fontId="26" fillId="5" borderId="64" xfId="2" applyNumberFormat="1" applyFont="1" applyFill="1" applyBorder="1" applyAlignment="1" applyProtection="1">
      <alignment vertical="center"/>
    </xf>
    <xf numFmtId="0" fontId="26" fillId="5" borderId="64" xfId="0" applyFont="1" applyFill="1" applyBorder="1" applyAlignment="1" applyProtection="1">
      <alignment horizontal="center" vertical="center"/>
    </xf>
    <xf numFmtId="0" fontId="19" fillId="0" borderId="25" xfId="0" applyFont="1" applyFill="1" applyBorder="1" applyAlignment="1" applyProtection="1">
      <alignment horizontal="left" vertical="top" wrapText="1"/>
    </xf>
    <xf numFmtId="0" fontId="19" fillId="0" borderId="12" xfId="0" applyFont="1" applyFill="1" applyBorder="1" applyAlignment="1" applyProtection="1">
      <alignment horizontal="center" vertical="center" wrapText="1"/>
    </xf>
    <xf numFmtId="0" fontId="19" fillId="0" borderId="33" xfId="0" applyFont="1" applyFill="1" applyBorder="1" applyAlignment="1" applyProtection="1">
      <alignment horizontal="left" vertical="center" wrapText="1"/>
    </xf>
    <xf numFmtId="0" fontId="19" fillId="0" borderId="56" xfId="0" applyFont="1" applyFill="1" applyBorder="1" applyAlignment="1" applyProtection="1">
      <alignment horizontal="justify" vertical="center" wrapText="1"/>
    </xf>
    <xf numFmtId="0" fontId="19" fillId="0" borderId="56" xfId="0" applyFont="1" applyFill="1" applyBorder="1" applyAlignment="1" applyProtection="1">
      <alignment vertical="center" wrapText="1"/>
    </xf>
    <xf numFmtId="0" fontId="19" fillId="0" borderId="56" xfId="0" applyFont="1" applyFill="1" applyBorder="1" applyAlignment="1" applyProtection="1">
      <alignment horizontal="left" vertical="center" wrapText="1"/>
    </xf>
    <xf numFmtId="0" fontId="19" fillId="0" borderId="35" xfId="0" applyFont="1" applyFill="1" applyBorder="1" applyAlignment="1" applyProtection="1">
      <alignment horizontal="left" vertical="center" wrapText="1"/>
    </xf>
    <xf numFmtId="0" fontId="7" fillId="0" borderId="16" xfId="0" applyFont="1" applyFill="1" applyBorder="1" applyAlignment="1" applyProtection="1">
      <alignment vertical="center" wrapText="1"/>
    </xf>
    <xf numFmtId="0" fontId="7" fillId="0" borderId="39" xfId="0" applyFont="1" applyFill="1" applyBorder="1" applyAlignment="1" applyProtection="1">
      <alignment horizontal="left" vertical="center" wrapText="1"/>
    </xf>
    <xf numFmtId="0" fontId="9" fillId="0" borderId="0" xfId="0" applyFont="1" applyFill="1" applyAlignment="1">
      <alignment horizontal="center"/>
    </xf>
    <xf numFmtId="0" fontId="9" fillId="0" borderId="0" xfId="0" applyFont="1" applyFill="1"/>
    <xf numFmtId="0" fontId="0" fillId="0" borderId="0" xfId="0" applyFont="1" applyFill="1" applyAlignment="1"/>
    <xf numFmtId="3" fontId="11" fillId="8" borderId="42" xfId="0" applyNumberFormat="1" applyFont="1" applyFill="1" applyBorder="1" applyAlignment="1" applyProtection="1">
      <alignment horizontal="center" vertical="center" wrapText="1"/>
      <protection locked="0"/>
    </xf>
    <xf numFmtId="0" fontId="43" fillId="0" borderId="0" xfId="10" applyFont="1" applyAlignment="1"/>
    <xf numFmtId="3" fontId="14" fillId="0" borderId="59" xfId="0" applyNumberFormat="1" applyFont="1" applyFill="1" applyBorder="1" applyAlignment="1">
      <alignment horizontal="center" vertical="center" wrapText="1"/>
    </xf>
    <xf numFmtId="9" fontId="14" fillId="0" borderId="59" xfId="1" applyFont="1" applyFill="1" applyBorder="1" applyAlignment="1">
      <alignment horizontal="center" vertical="center" wrapText="1"/>
    </xf>
    <xf numFmtId="9" fontId="14" fillId="0" borderId="59" xfId="0" applyNumberFormat="1" applyFont="1" applyFill="1" applyBorder="1" applyAlignment="1">
      <alignment vertical="center" wrapText="1"/>
    </xf>
    <xf numFmtId="43" fontId="14" fillId="0" borderId="59" xfId="8" applyFont="1" applyFill="1" applyBorder="1" applyAlignment="1">
      <alignment horizontal="center" vertical="center" wrapText="1"/>
    </xf>
    <xf numFmtId="9" fontId="14" fillId="0" borderId="59" xfId="0" applyNumberFormat="1" applyFont="1" applyFill="1" applyBorder="1" applyAlignment="1">
      <alignment horizontal="center" vertical="center" wrapText="1"/>
    </xf>
    <xf numFmtId="43" fontId="14" fillId="0" borderId="62" xfId="8" applyFont="1" applyFill="1" applyBorder="1" applyAlignment="1">
      <alignment horizontal="center" vertical="center" wrapText="1"/>
    </xf>
    <xf numFmtId="9" fontId="14" fillId="0" borderId="62" xfId="1" applyFont="1" applyFill="1" applyBorder="1" applyAlignment="1">
      <alignment horizontal="center" vertical="center" wrapText="1"/>
    </xf>
    <xf numFmtId="43" fontId="14" fillId="0" borderId="59" xfId="0" applyNumberFormat="1" applyFont="1" applyFill="1" applyBorder="1" applyAlignment="1">
      <alignment vertical="center" wrapText="1"/>
    </xf>
    <xf numFmtId="43" fontId="14" fillId="0" borderId="59" xfId="0" applyNumberFormat="1" applyFont="1" applyFill="1" applyBorder="1" applyAlignment="1">
      <alignment horizontal="center" vertical="center" wrapText="1"/>
    </xf>
    <xf numFmtId="165" fontId="14" fillId="0" borderId="59" xfId="0" applyNumberFormat="1" applyFont="1" applyFill="1" applyBorder="1" applyAlignment="1">
      <alignment vertical="center" wrapText="1"/>
    </xf>
    <xf numFmtId="179" fontId="14" fillId="0" borderId="59" xfId="8" applyNumberFormat="1" applyFont="1" applyFill="1" applyBorder="1" applyAlignment="1">
      <alignment horizontal="center" vertical="center" wrapText="1"/>
    </xf>
    <xf numFmtId="9" fontId="11" fillId="8" borderId="92" xfId="1" applyFont="1" applyFill="1" applyBorder="1" applyAlignment="1">
      <alignment horizontal="center" vertical="center"/>
    </xf>
    <xf numFmtId="9" fontId="11" fillId="8" borderId="60" xfId="1" applyFont="1" applyFill="1" applyBorder="1" applyAlignment="1">
      <alignment horizontal="center" vertical="center"/>
    </xf>
    <xf numFmtId="9" fontId="11" fillId="8" borderId="80" xfId="1" applyFont="1" applyFill="1" applyBorder="1" applyAlignment="1">
      <alignment horizontal="center" vertical="center"/>
    </xf>
    <xf numFmtId="9" fontId="11" fillId="8" borderId="37" xfId="1" applyFont="1" applyFill="1" applyBorder="1" applyAlignment="1">
      <alignment horizontal="center" vertical="center"/>
    </xf>
    <xf numFmtId="9" fontId="11" fillId="8" borderId="37" xfId="1" applyFont="1" applyFill="1" applyBorder="1" applyAlignment="1">
      <alignment horizontal="center" vertical="center" wrapText="1"/>
    </xf>
    <xf numFmtId="9" fontId="11" fillId="8" borderId="0" xfId="1" applyFont="1" applyFill="1" applyBorder="1" applyAlignment="1">
      <alignment horizontal="center" vertical="center"/>
    </xf>
    <xf numFmtId="9" fontId="11" fillId="8" borderId="42" xfId="1" applyFont="1" applyFill="1" applyBorder="1" applyAlignment="1">
      <alignment horizontal="center" vertical="center" wrapText="1"/>
    </xf>
    <xf numFmtId="37" fontId="11" fillId="5" borderId="72" xfId="3" applyNumberFormat="1" applyFont="1" applyFill="1" applyBorder="1" applyAlignment="1">
      <alignment horizontal="center" vertical="center"/>
    </xf>
    <xf numFmtId="37" fontId="11" fillId="5" borderId="75" xfId="3" applyNumberFormat="1" applyFont="1" applyFill="1" applyBorder="1" applyAlignment="1">
      <alignment horizontal="center" vertical="center"/>
    </xf>
    <xf numFmtId="39" fontId="11" fillId="8" borderId="33" xfId="0" applyNumberFormat="1" applyFont="1" applyFill="1" applyBorder="1" applyAlignment="1">
      <alignment horizontal="center" vertical="center"/>
    </xf>
    <xf numFmtId="37" fontId="11" fillId="8" borderId="53" xfId="0" applyNumberFormat="1" applyFont="1" applyFill="1" applyBorder="1" applyAlignment="1">
      <alignment horizontal="center" vertical="center"/>
    </xf>
    <xf numFmtId="37" fontId="11" fillId="8" borderId="84" xfId="0" applyNumberFormat="1" applyFont="1" applyFill="1" applyBorder="1" applyAlignment="1">
      <alignment horizontal="center" vertical="center"/>
    </xf>
    <xf numFmtId="0" fontId="19" fillId="0" borderId="8" xfId="0" applyFont="1" applyFill="1" applyBorder="1" applyAlignment="1" applyProtection="1">
      <alignment horizontal="left" vertical="center" wrapText="1"/>
    </xf>
    <xf numFmtId="0" fontId="19" fillId="0" borderId="8" xfId="0" applyFont="1" applyFill="1" applyBorder="1" applyAlignment="1" applyProtection="1">
      <alignment vertical="center" wrapText="1"/>
    </xf>
    <xf numFmtId="0" fontId="19" fillId="0" borderId="13" xfId="0" applyFont="1" applyFill="1" applyBorder="1" applyAlignment="1" applyProtection="1">
      <alignment vertical="center" wrapText="1"/>
    </xf>
    <xf numFmtId="0" fontId="19" fillId="0" borderId="40"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0" fontId="19" fillId="0" borderId="11" xfId="0" applyFont="1" applyFill="1" applyBorder="1" applyAlignment="1" applyProtection="1">
      <alignment vertical="center" wrapText="1"/>
    </xf>
    <xf numFmtId="4" fontId="14" fillId="0" borderId="58" xfId="0" applyNumberFormat="1" applyFont="1" applyFill="1" applyBorder="1" applyAlignment="1">
      <alignment vertical="center" wrapText="1"/>
    </xf>
    <xf numFmtId="4" fontId="14" fillId="0" borderId="56" xfId="0" applyNumberFormat="1" applyFont="1" applyFill="1" applyBorder="1" applyAlignment="1">
      <alignment vertical="center" wrapText="1"/>
    </xf>
    <xf numFmtId="3" fontId="14" fillId="0" borderId="59" xfId="24" applyNumberFormat="1" applyFont="1" applyFill="1" applyBorder="1" applyAlignment="1">
      <alignment horizontal="center" vertical="center" wrapText="1"/>
    </xf>
    <xf numFmtId="43" fontId="14" fillId="0" borderId="59" xfId="8" applyFont="1" applyFill="1" applyBorder="1" applyAlignment="1">
      <alignment vertical="center" wrapText="1"/>
    </xf>
    <xf numFmtId="0" fontId="11" fillId="7" borderId="64" xfId="0" applyFont="1" applyFill="1" applyBorder="1" applyAlignment="1">
      <alignment horizontal="center" vertical="center" wrapText="1"/>
    </xf>
    <xf numFmtId="0" fontId="7" fillId="0" borderId="0" xfId="0" applyFont="1" applyAlignment="1"/>
    <xf numFmtId="3" fontId="11" fillId="8" borderId="93" xfId="0" applyNumberFormat="1" applyFont="1" applyFill="1" applyBorder="1" applyAlignment="1">
      <alignment horizontal="center" vertical="center" wrapText="1"/>
    </xf>
    <xf numFmtId="3" fontId="11" fillId="8" borderId="34" xfId="0" applyNumberFormat="1" applyFont="1" applyFill="1" applyBorder="1" applyAlignment="1">
      <alignment horizontal="center" vertical="center" wrapText="1"/>
    </xf>
    <xf numFmtId="0" fontId="11" fillId="5" borderId="72" xfId="0" applyFont="1" applyFill="1" applyBorder="1" applyAlignment="1">
      <alignment horizontal="center" vertical="center"/>
    </xf>
    <xf numFmtId="37" fontId="11" fillId="5" borderId="77" xfId="3" applyNumberFormat="1" applyFont="1" applyFill="1" applyBorder="1" applyAlignment="1">
      <alignment horizontal="center" vertical="center"/>
    </xf>
    <xf numFmtId="37" fontId="11" fillId="5" borderId="74" xfId="3" applyNumberFormat="1" applyFont="1" applyFill="1" applyBorder="1" applyAlignment="1">
      <alignment horizontal="center" vertical="center"/>
    </xf>
    <xf numFmtId="37" fontId="11" fillId="8" borderId="43" xfId="0" applyNumberFormat="1" applyFont="1" applyFill="1" applyBorder="1" applyAlignment="1">
      <alignment horizontal="center" vertical="center"/>
    </xf>
    <xf numFmtId="164" fontId="11" fillId="8" borderId="34" xfId="0" applyNumberFormat="1" applyFont="1" applyFill="1" applyBorder="1" applyAlignment="1">
      <alignment vertical="center" wrapText="1"/>
    </xf>
    <xf numFmtId="3" fontId="11" fillId="5" borderId="73" xfId="0" applyNumberFormat="1" applyFont="1" applyFill="1" applyBorder="1" applyAlignment="1">
      <alignment horizontal="center" vertical="center" wrapText="1"/>
    </xf>
    <xf numFmtId="0" fontId="11" fillId="8" borderId="73" xfId="0" applyFont="1" applyFill="1" applyBorder="1" applyAlignment="1">
      <alignment horizontal="right" vertical="center"/>
    </xf>
    <xf numFmtId="168" fontId="11" fillId="8" borderId="73" xfId="0" applyNumberFormat="1" applyFont="1" applyFill="1" applyBorder="1" applyAlignment="1">
      <alignment horizontal="right" vertical="center"/>
    </xf>
    <xf numFmtId="3" fontId="11" fillId="8" borderId="73" xfId="0" applyNumberFormat="1" applyFont="1" applyFill="1" applyBorder="1" applyAlignment="1">
      <alignment horizontal="center" vertical="center" wrapText="1"/>
    </xf>
    <xf numFmtId="3" fontId="11" fillId="8" borderId="37" xfId="0" applyNumberFormat="1" applyFont="1" applyFill="1" applyBorder="1" applyAlignment="1">
      <alignment horizontal="center" vertical="center" wrapText="1"/>
    </xf>
    <xf numFmtId="37" fontId="11" fillId="5" borderId="78" xfId="3" applyNumberFormat="1" applyFont="1" applyFill="1" applyBorder="1" applyAlignment="1">
      <alignment horizontal="center" vertical="center"/>
    </xf>
    <xf numFmtId="37" fontId="11" fillId="8" borderId="73" xfId="0" applyNumberFormat="1" applyFont="1" applyFill="1" applyBorder="1" applyAlignment="1">
      <alignment horizontal="center" vertical="center"/>
    </xf>
    <xf numFmtId="164" fontId="11" fillId="8" borderId="37" xfId="0" applyNumberFormat="1" applyFont="1" applyFill="1" applyBorder="1" applyAlignment="1">
      <alignment vertical="center" wrapText="1"/>
    </xf>
    <xf numFmtId="9" fontId="11" fillId="8" borderId="73" xfId="0" applyNumberFormat="1" applyFont="1" applyFill="1" applyBorder="1" applyAlignment="1">
      <alignment horizontal="center" vertical="center" wrapText="1"/>
    </xf>
    <xf numFmtId="39" fontId="11" fillId="5" borderId="73" xfId="3" applyNumberFormat="1" applyFont="1" applyFill="1" applyBorder="1" applyAlignment="1">
      <alignment horizontal="center" vertical="center"/>
    </xf>
    <xf numFmtId="0" fontId="29" fillId="5" borderId="56" xfId="0" applyFont="1" applyFill="1" applyBorder="1" applyAlignment="1">
      <alignment horizontal="center" vertical="center"/>
    </xf>
    <xf numFmtId="3" fontId="11" fillId="5" borderId="78" xfId="0" applyNumberFormat="1" applyFont="1" applyFill="1" applyBorder="1" applyAlignment="1">
      <alignment horizontal="center" vertical="center" wrapText="1"/>
    </xf>
    <xf numFmtId="164" fontId="11" fillId="8" borderId="56" xfId="0" applyNumberFormat="1" applyFont="1" applyFill="1" applyBorder="1" applyAlignment="1" applyProtection="1">
      <alignment vertical="center"/>
    </xf>
    <xf numFmtId="0" fontId="11" fillId="8" borderId="10" xfId="0" applyFont="1" applyFill="1" applyBorder="1" applyAlignment="1">
      <alignment horizontal="center" vertical="center"/>
    </xf>
    <xf numFmtId="49" fontId="19" fillId="0" borderId="56" xfId="0" applyNumberFormat="1" applyFont="1" applyFill="1" applyBorder="1" applyAlignment="1" applyProtection="1">
      <alignment horizontal="left" vertical="center" wrapText="1"/>
    </xf>
    <xf numFmtId="9" fontId="11" fillId="5" borderId="56" xfId="1" applyFont="1" applyFill="1" applyBorder="1" applyAlignment="1" applyProtection="1">
      <alignment horizontal="center" vertical="center"/>
    </xf>
    <xf numFmtId="10" fontId="26" fillId="5" borderId="64" xfId="0" applyNumberFormat="1" applyFont="1" applyFill="1" applyBorder="1" applyAlignment="1" applyProtection="1">
      <alignment horizontal="center" vertical="center"/>
    </xf>
    <xf numFmtId="9" fontId="26" fillId="5" borderId="64" xfId="1" applyFont="1" applyFill="1" applyBorder="1" applyAlignment="1" applyProtection="1">
      <alignment vertical="center"/>
    </xf>
    <xf numFmtId="4" fontId="7" fillId="0" borderId="56" xfId="0" applyNumberFormat="1" applyFont="1" applyFill="1" applyBorder="1"/>
    <xf numFmtId="37" fontId="14" fillId="0" borderId="63" xfId="0" applyNumberFormat="1" applyFont="1" applyFill="1" applyBorder="1"/>
    <xf numFmtId="0" fontId="11" fillId="0" borderId="0" xfId="0" applyFont="1" applyFill="1" applyAlignment="1">
      <alignment horizontal="center"/>
    </xf>
    <xf numFmtId="0" fontId="11" fillId="0" borderId="12" xfId="0" applyFont="1" applyFill="1" applyBorder="1" applyAlignment="1">
      <alignment horizontal="center"/>
    </xf>
    <xf numFmtId="37" fontId="11" fillId="5" borderId="62" xfId="0" applyNumberFormat="1" applyFont="1" applyFill="1" applyBorder="1" applyAlignment="1" applyProtection="1">
      <alignment horizontal="center" vertical="center"/>
      <protection locked="0"/>
    </xf>
    <xf numFmtId="0" fontId="11" fillId="5" borderId="63" xfId="0" applyFont="1" applyFill="1" applyBorder="1" applyAlignment="1" applyProtection="1">
      <alignment horizontal="center" vertical="center"/>
      <protection locked="0"/>
    </xf>
    <xf numFmtId="167" fontId="11" fillId="5" borderId="12" xfId="0" applyNumberFormat="1" applyFont="1" applyFill="1" applyBorder="1" applyAlignment="1" applyProtection="1">
      <alignment horizontal="left" vertical="center"/>
    </xf>
    <xf numFmtId="37" fontId="11" fillId="5" borderId="64" xfId="3" applyNumberFormat="1" applyFont="1" applyFill="1" applyBorder="1" applyAlignment="1">
      <alignment horizontal="center" vertical="center"/>
    </xf>
    <xf numFmtId="37" fontId="11" fillId="5" borderId="104" xfId="3" applyNumberFormat="1" applyFont="1" applyFill="1" applyBorder="1" applyAlignment="1">
      <alignment horizontal="center" vertical="center"/>
    </xf>
    <xf numFmtId="37" fontId="11" fillId="5" borderId="103" xfId="3" applyNumberFormat="1" applyFont="1" applyFill="1" applyBorder="1" applyAlignment="1">
      <alignment horizontal="center" vertical="center"/>
    </xf>
    <xf numFmtId="0" fontId="11" fillId="5" borderId="90" xfId="0" applyFont="1" applyFill="1" applyBorder="1" applyAlignment="1">
      <alignment horizontal="center" vertical="center"/>
    </xf>
    <xf numFmtId="37" fontId="11" fillId="13" borderId="63" xfId="0" applyNumberFormat="1" applyFont="1" applyFill="1" applyBorder="1" applyAlignment="1">
      <alignment horizontal="center" vertical="center"/>
    </xf>
    <xf numFmtId="0" fontId="7" fillId="5" borderId="56" xfId="0" applyFont="1" applyFill="1" applyBorder="1" applyAlignment="1"/>
    <xf numFmtId="37" fontId="11" fillId="13" borderId="64" xfId="0" applyNumberFormat="1" applyFont="1" applyFill="1" applyBorder="1" applyAlignment="1">
      <alignment horizontal="center" vertical="center"/>
    </xf>
    <xf numFmtId="37" fontId="11" fillId="8" borderId="87" xfId="0" applyNumberFormat="1" applyFont="1" applyFill="1" applyBorder="1" applyAlignment="1">
      <alignment horizontal="center" vertical="center"/>
    </xf>
    <xf numFmtId="37" fontId="11" fillId="8" borderId="88" xfId="0" applyNumberFormat="1" applyFont="1" applyFill="1" applyBorder="1" applyAlignment="1">
      <alignment horizontal="center" vertical="center"/>
    </xf>
    <xf numFmtId="37" fontId="11" fillId="8" borderId="89" xfId="0" applyNumberFormat="1" applyFont="1" applyFill="1" applyBorder="1" applyAlignment="1">
      <alignment horizontal="center" vertical="center"/>
    </xf>
    <xf numFmtId="174" fontId="11" fillId="5" borderId="56" xfId="0" applyNumberFormat="1" applyFont="1" applyFill="1" applyBorder="1" applyAlignment="1" applyProtection="1">
      <alignment horizontal="center" vertical="center"/>
      <protection locked="0"/>
    </xf>
    <xf numFmtId="37" fontId="11" fillId="5" borderId="68" xfId="3" applyNumberFormat="1" applyFont="1" applyFill="1" applyBorder="1" applyAlignment="1">
      <alignment horizontal="center" vertical="center"/>
    </xf>
    <xf numFmtId="169" fontId="11" fillId="8" borderId="56" xfId="0" applyNumberFormat="1" applyFont="1" applyFill="1" applyBorder="1" applyAlignment="1">
      <alignment horizontal="center" vertical="center"/>
    </xf>
    <xf numFmtId="37" fontId="11" fillId="8" borderId="149" xfId="0" applyNumberFormat="1" applyFont="1" applyFill="1" applyBorder="1" applyAlignment="1">
      <alignment horizontal="center" vertical="center"/>
    </xf>
    <xf numFmtId="37" fontId="11" fillId="5" borderId="12" xfId="0" applyNumberFormat="1" applyFont="1" applyFill="1" applyBorder="1" applyAlignment="1">
      <alignment horizontal="center" vertical="center"/>
    </xf>
    <xf numFmtId="37" fontId="11" fillId="5" borderId="87" xfId="0" applyNumberFormat="1" applyFont="1" applyFill="1" applyBorder="1" applyAlignment="1">
      <alignment horizontal="center" vertical="center"/>
    </xf>
    <xf numFmtId="37" fontId="11" fillId="8" borderId="79" xfId="0" applyNumberFormat="1" applyFont="1" applyFill="1" applyBorder="1" applyAlignment="1">
      <alignment horizontal="center" vertical="center"/>
    </xf>
    <xf numFmtId="37" fontId="11" fillId="8" borderId="86" xfId="0" applyNumberFormat="1" applyFont="1" applyFill="1" applyBorder="1" applyAlignment="1">
      <alignment horizontal="center" vertical="center"/>
    </xf>
    <xf numFmtId="0" fontId="11" fillId="8" borderId="90" xfId="0" applyFont="1" applyFill="1" applyBorder="1" applyAlignment="1">
      <alignment horizontal="center" vertical="center"/>
    </xf>
    <xf numFmtId="0" fontId="11" fillId="8" borderId="89" xfId="0" applyFont="1" applyFill="1" applyBorder="1" applyAlignment="1">
      <alignment horizontal="center" vertical="center"/>
    </xf>
    <xf numFmtId="37" fontId="11" fillId="5" borderId="64" xfId="0" applyNumberFormat="1" applyFont="1" applyFill="1" applyBorder="1" applyAlignment="1">
      <alignment horizontal="center" vertical="center"/>
    </xf>
    <xf numFmtId="37" fontId="11" fillId="8" borderId="21" xfId="0" applyNumberFormat="1" applyFont="1" applyFill="1" applyBorder="1" applyAlignment="1">
      <alignment horizontal="center" vertical="center"/>
    </xf>
    <xf numFmtId="37" fontId="11" fillId="5" borderId="63" xfId="0" applyNumberFormat="1" applyFont="1" applyFill="1" applyBorder="1" applyAlignment="1">
      <alignment horizontal="center" vertical="center"/>
    </xf>
    <xf numFmtId="37" fontId="11" fillId="8" borderId="151" xfId="0" applyNumberFormat="1" applyFont="1" applyFill="1" applyBorder="1" applyAlignment="1">
      <alignment horizontal="center" vertical="center"/>
    </xf>
    <xf numFmtId="37" fontId="11" fillId="8" borderId="64" xfId="0" applyNumberFormat="1" applyFont="1" applyFill="1" applyBorder="1" applyAlignment="1">
      <alignment horizontal="center" vertical="center"/>
    </xf>
    <xf numFmtId="37" fontId="11" fillId="8" borderId="104" xfId="0" applyNumberFormat="1" applyFont="1" applyFill="1" applyBorder="1" applyAlignment="1">
      <alignment horizontal="center" vertical="center"/>
    </xf>
    <xf numFmtId="37" fontId="11" fillId="8" borderId="103" xfId="0" applyNumberFormat="1" applyFont="1" applyFill="1" applyBorder="1" applyAlignment="1">
      <alignment horizontal="center" vertical="center"/>
    </xf>
    <xf numFmtId="0" fontId="11" fillId="5" borderId="64" xfId="0" applyFont="1" applyFill="1" applyBorder="1" applyAlignment="1">
      <alignment horizontal="center" vertical="center"/>
    </xf>
    <xf numFmtId="0" fontId="14" fillId="2" borderId="16" xfId="10" applyFont="1" applyFill="1" applyBorder="1" applyAlignment="1">
      <alignment horizontal="center" vertical="center" wrapText="1"/>
    </xf>
    <xf numFmtId="0" fontId="6" fillId="2" borderId="16" xfId="10" applyFont="1" applyFill="1" applyBorder="1" applyAlignment="1">
      <alignment horizontal="center" vertical="center" wrapText="1"/>
    </xf>
    <xf numFmtId="0" fontId="11" fillId="8" borderId="0" xfId="0" applyFont="1" applyFill="1" applyBorder="1" applyAlignment="1">
      <alignment horizontal="center"/>
    </xf>
    <xf numFmtId="0" fontId="11" fillId="8" borderId="0" xfId="0" applyFont="1" applyFill="1" applyBorder="1"/>
    <xf numFmtId="0" fontId="11" fillId="8" borderId="21" xfId="0" applyFont="1" applyFill="1" applyBorder="1"/>
    <xf numFmtId="0" fontId="11" fillId="8" borderId="0" xfId="0" applyFont="1" applyFill="1" applyBorder="1" applyAlignment="1">
      <alignment horizontal="center" vertical="center" wrapText="1"/>
    </xf>
    <xf numFmtId="0" fontId="11" fillId="5" borderId="82" xfId="0" applyFont="1" applyFill="1" applyBorder="1" applyAlignment="1" applyProtection="1">
      <alignment horizontal="center" vertical="center"/>
    </xf>
    <xf numFmtId="0" fontId="11" fillId="5" borderId="80" xfId="0" applyFont="1" applyFill="1" applyBorder="1" applyAlignment="1" applyProtection="1">
      <alignment horizontal="left" vertical="center" wrapText="1"/>
    </xf>
    <xf numFmtId="0" fontId="11" fillId="5" borderId="82" xfId="0" applyFont="1" applyFill="1" applyBorder="1" applyAlignment="1" applyProtection="1">
      <alignment horizontal="center" vertical="center" wrapText="1"/>
    </xf>
    <xf numFmtId="164" fontId="11" fillId="5" borderId="82" xfId="0" applyNumberFormat="1" applyFont="1" applyFill="1" applyBorder="1" applyAlignment="1" applyProtection="1">
      <alignment horizontal="left" vertical="center"/>
    </xf>
    <xf numFmtId="164" fontId="11" fillId="5" borderId="25" xfId="0" applyNumberFormat="1" applyFont="1" applyFill="1" applyBorder="1" applyAlignment="1" applyProtection="1">
      <alignment horizontal="left" vertical="center"/>
    </xf>
    <xf numFmtId="164" fontId="11" fillId="5" borderId="82" xfId="0" applyNumberFormat="1" applyFont="1" applyFill="1" applyBorder="1" applyAlignment="1" applyProtection="1">
      <alignment vertical="center"/>
    </xf>
    <xf numFmtId="170" fontId="11" fillId="8" borderId="82" xfId="0" applyNumberFormat="1" applyFont="1" applyFill="1" applyBorder="1" applyAlignment="1" applyProtection="1">
      <alignment vertical="center"/>
    </xf>
    <xf numFmtId="170" fontId="11" fillId="8" borderId="80" xfId="0" applyNumberFormat="1" applyFont="1" applyFill="1" applyBorder="1" applyAlignment="1" applyProtection="1">
      <alignment vertical="center"/>
    </xf>
    <xf numFmtId="10" fontId="11" fillId="5" borderId="12" xfId="0" applyNumberFormat="1" applyFont="1" applyFill="1" applyBorder="1" applyAlignment="1" applyProtection="1">
      <alignment vertical="center"/>
    </xf>
    <xf numFmtId="0" fontId="19" fillId="5" borderId="25" xfId="0" applyFont="1" applyFill="1" applyBorder="1" applyAlignment="1" applyProtection="1">
      <alignment horizontal="left" vertical="top" wrapText="1"/>
    </xf>
    <xf numFmtId="0" fontId="19" fillId="5" borderId="25" xfId="0" applyFont="1" applyFill="1" applyBorder="1" applyAlignment="1" applyProtection="1">
      <alignment horizontal="center" vertical="center" wrapText="1"/>
    </xf>
    <xf numFmtId="0" fontId="26" fillId="5" borderId="55" xfId="0" applyFont="1" applyFill="1" applyBorder="1" applyAlignment="1" applyProtection="1">
      <alignment horizontal="center" vertical="center"/>
    </xf>
    <xf numFmtId="0" fontId="26" fillId="5" borderId="56" xfId="0" applyFont="1" applyFill="1" applyBorder="1" applyAlignment="1" applyProtection="1">
      <alignment horizontal="justify" vertical="center" wrapText="1"/>
    </xf>
    <xf numFmtId="172" fontId="11" fillId="5" borderId="56" xfId="2" applyNumberFormat="1" applyFont="1" applyFill="1" applyBorder="1" applyAlignment="1" applyProtection="1">
      <alignment vertical="center"/>
    </xf>
    <xf numFmtId="172" fontId="11" fillId="5" borderId="56" xfId="2" applyNumberFormat="1" applyFont="1" applyFill="1" applyBorder="1" applyAlignment="1" applyProtection="1">
      <alignment horizontal="left" vertical="center"/>
    </xf>
    <xf numFmtId="172" fontId="11" fillId="5" borderId="63" xfId="2" applyNumberFormat="1" applyFont="1" applyFill="1" applyBorder="1" applyAlignment="1" applyProtection="1">
      <alignment vertical="center"/>
    </xf>
    <xf numFmtId="172" fontId="11" fillId="5" borderId="63" xfId="2" applyNumberFormat="1" applyFont="1" applyFill="1" applyBorder="1" applyAlignment="1" applyProtection="1">
      <alignment horizontal="left" vertical="center"/>
    </xf>
    <xf numFmtId="164" fontId="11" fillId="5" borderId="31" xfId="0" applyNumberFormat="1" applyFont="1" applyFill="1" applyBorder="1" applyAlignment="1" applyProtection="1">
      <alignment horizontal="left" vertical="center"/>
    </xf>
    <xf numFmtId="172" fontId="26" fillId="5" borderId="56" xfId="2" applyNumberFormat="1" applyFont="1" applyFill="1" applyBorder="1" applyAlignment="1" applyProtection="1">
      <alignment horizontal="left" vertical="center"/>
    </xf>
    <xf numFmtId="170" fontId="26" fillId="5" borderId="56" xfId="2" applyNumberFormat="1" applyFont="1" applyFill="1" applyBorder="1" applyAlignment="1" applyProtection="1">
      <alignment vertical="center"/>
    </xf>
    <xf numFmtId="0" fontId="19" fillId="5" borderId="12" xfId="0" applyFont="1" applyFill="1" applyBorder="1" applyAlignment="1" applyProtection="1">
      <alignment horizontal="left" vertical="center" wrapText="1"/>
    </xf>
    <xf numFmtId="0" fontId="19" fillId="5" borderId="12" xfId="0" applyFont="1" applyFill="1" applyBorder="1" applyAlignment="1" applyProtection="1">
      <alignment horizontal="center" vertical="center" wrapText="1"/>
    </xf>
    <xf numFmtId="0" fontId="11" fillId="5" borderId="33" xfId="0" applyFont="1" applyFill="1" applyBorder="1" applyAlignment="1" applyProtection="1">
      <alignment horizontal="center" vertical="center"/>
    </xf>
    <xf numFmtId="0" fontId="11" fillId="5" borderId="33" xfId="0" applyFont="1" applyFill="1" applyBorder="1" applyAlignment="1" applyProtection="1">
      <alignment horizontal="left" vertical="center" wrapText="1"/>
    </xf>
    <xf numFmtId="0" fontId="11" fillId="5" borderId="42" xfId="0" applyFont="1" applyFill="1" applyBorder="1" applyAlignment="1" applyProtection="1">
      <alignment horizontal="center" vertical="center" wrapText="1"/>
    </xf>
    <xf numFmtId="167" fontId="11" fillId="5" borderId="56" xfId="0" applyNumberFormat="1" applyFont="1" applyFill="1" applyBorder="1" applyAlignment="1" applyProtection="1">
      <alignment horizontal="left" vertical="center"/>
    </xf>
    <xf numFmtId="167" fontId="11" fillId="5" borderId="56" xfId="0" applyNumberFormat="1" applyFont="1" applyFill="1" applyBorder="1" applyAlignment="1" applyProtection="1">
      <alignment vertical="center"/>
    </xf>
    <xf numFmtId="164" fontId="11" fillId="5" borderId="56" xfId="0" applyNumberFormat="1" applyFont="1" applyFill="1" applyBorder="1" applyAlignment="1" applyProtection="1">
      <alignment horizontal="left" vertical="center"/>
    </xf>
    <xf numFmtId="164" fontId="11" fillId="5" borderId="8" xfId="0" applyNumberFormat="1" applyFont="1" applyFill="1" applyBorder="1" applyAlignment="1" applyProtection="1">
      <alignment horizontal="left" vertical="center"/>
    </xf>
    <xf numFmtId="164" fontId="11" fillId="5" borderId="33" xfId="0" applyNumberFormat="1" applyFont="1" applyFill="1" applyBorder="1" applyAlignment="1" applyProtection="1">
      <alignment horizontal="left" vertical="center"/>
    </xf>
    <xf numFmtId="164" fontId="11" fillId="5" borderId="33" xfId="0" applyNumberFormat="1" applyFont="1" applyFill="1" applyBorder="1" applyAlignment="1" applyProtection="1">
      <alignment vertical="center"/>
    </xf>
    <xf numFmtId="170" fontId="11" fillId="5" borderId="33" xfId="0" applyNumberFormat="1" applyFont="1" applyFill="1" applyBorder="1" applyAlignment="1" applyProtection="1">
      <alignment vertical="center"/>
    </xf>
    <xf numFmtId="0" fontId="19" fillId="5" borderId="33" xfId="0" applyFont="1" applyFill="1" applyBorder="1" applyAlignment="1" applyProtection="1">
      <alignment horizontal="left" vertical="center" wrapText="1"/>
    </xf>
    <xf numFmtId="170" fontId="11" fillId="5" borderId="56" xfId="0" applyNumberFormat="1" applyFont="1" applyFill="1" applyBorder="1" applyAlignment="1" applyProtection="1">
      <alignment vertical="center"/>
    </xf>
    <xf numFmtId="164" fontId="11" fillId="5" borderId="13" xfId="0" applyNumberFormat="1" applyFont="1" applyFill="1" applyBorder="1" applyAlignment="1" applyProtection="1">
      <alignment horizontal="left" vertical="center"/>
    </xf>
    <xf numFmtId="164" fontId="11" fillId="5" borderId="12" xfId="0" applyNumberFormat="1" applyFont="1" applyFill="1" applyBorder="1" applyAlignment="1" applyProtection="1">
      <alignment horizontal="left" vertical="center"/>
    </xf>
    <xf numFmtId="164" fontId="11" fillId="5" borderId="12" xfId="0" applyNumberFormat="1" applyFont="1" applyFill="1" applyBorder="1" applyAlignment="1" applyProtection="1">
      <alignment vertical="center"/>
    </xf>
    <xf numFmtId="170" fontId="11" fillId="5" borderId="12" xfId="0" applyNumberFormat="1" applyFont="1" applyFill="1" applyBorder="1" applyAlignment="1" applyProtection="1">
      <alignment vertical="center"/>
    </xf>
    <xf numFmtId="0" fontId="11" fillId="5" borderId="42" xfId="0" applyFont="1" applyFill="1" applyBorder="1" applyAlignment="1" applyProtection="1">
      <alignment horizontal="center" vertical="center"/>
    </xf>
    <xf numFmtId="0" fontId="11" fillId="5" borderId="34" xfId="0" applyFont="1" applyFill="1" applyBorder="1" applyAlignment="1" applyProtection="1">
      <alignment horizontal="center" vertical="center"/>
    </xf>
    <xf numFmtId="0" fontId="11" fillId="5" borderId="62"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170" fontId="11" fillId="5" borderId="12" xfId="0" applyNumberFormat="1" applyFont="1" applyFill="1" applyBorder="1" applyAlignment="1" applyProtection="1">
      <alignment horizontal="center" vertical="center"/>
    </xf>
    <xf numFmtId="170" fontId="19" fillId="5" borderId="9" xfId="0" applyNumberFormat="1" applyFont="1" applyFill="1" applyBorder="1" applyAlignment="1" applyProtection="1">
      <alignment horizontal="center" vertical="center" wrapText="1"/>
    </xf>
    <xf numFmtId="0" fontId="19" fillId="5" borderId="31"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xf>
    <xf numFmtId="37" fontId="11" fillId="5" borderId="56" xfId="0" applyNumberFormat="1" applyFont="1" applyFill="1" applyBorder="1" applyAlignment="1" applyProtection="1">
      <alignment horizontal="center" vertical="center"/>
    </xf>
    <xf numFmtId="170" fontId="11" fillId="8" borderId="12" xfId="0" applyNumberFormat="1" applyFont="1" applyFill="1" applyBorder="1" applyAlignment="1" applyProtection="1">
      <alignment horizontal="center" vertical="center"/>
    </xf>
    <xf numFmtId="0" fontId="19" fillId="5" borderId="9" xfId="0" applyFont="1" applyFill="1" applyBorder="1" applyAlignment="1" applyProtection="1">
      <alignment vertical="center" wrapText="1"/>
    </xf>
    <xf numFmtId="0" fontId="19" fillId="5" borderId="56" xfId="0" applyFont="1" applyFill="1" applyBorder="1" applyAlignment="1" applyProtection="1">
      <alignment vertical="center" wrapText="1"/>
    </xf>
    <xf numFmtId="0" fontId="11" fillId="5" borderId="55" xfId="0" applyFont="1" applyFill="1" applyBorder="1" applyAlignment="1" applyProtection="1">
      <alignment horizontal="center" vertical="center"/>
    </xf>
    <xf numFmtId="0" fontId="11" fillId="5" borderId="55" xfId="0" applyFont="1" applyFill="1" applyBorder="1" applyAlignment="1" applyProtection="1">
      <alignment horizontal="justify" vertical="center" wrapText="1"/>
    </xf>
    <xf numFmtId="174" fontId="11" fillId="5" borderId="56" xfId="7" applyNumberFormat="1" applyFont="1" applyFill="1" applyBorder="1" applyAlignment="1" applyProtection="1">
      <alignment horizontal="center" vertical="center"/>
    </xf>
    <xf numFmtId="174" fontId="11" fillId="5" borderId="55" xfId="7" applyNumberFormat="1" applyFont="1" applyFill="1" applyBorder="1" applyAlignment="1" applyProtection="1">
      <alignment horizontal="center" vertical="center"/>
    </xf>
    <xf numFmtId="2" fontId="11" fillId="5" borderId="55" xfId="7" applyNumberFormat="1" applyFont="1" applyFill="1" applyBorder="1" applyAlignment="1" applyProtection="1">
      <alignment horizontal="center" vertical="center"/>
    </xf>
    <xf numFmtId="2" fontId="11" fillId="5" borderId="56" xfId="7" applyNumberFormat="1" applyFont="1" applyFill="1" applyBorder="1" applyAlignment="1" applyProtection="1">
      <alignment horizontal="center" vertical="center"/>
    </xf>
    <xf numFmtId="0" fontId="11" fillId="5" borderId="67" xfId="0" applyFont="1" applyFill="1" applyBorder="1" applyAlignment="1" applyProtection="1">
      <alignment horizontal="center" vertical="center"/>
    </xf>
    <xf numFmtId="2" fontId="11" fillId="5" borderId="12" xfId="0" applyNumberFormat="1" applyFont="1" applyFill="1" applyBorder="1" applyAlignment="1" applyProtection="1">
      <alignment horizontal="center" vertical="center"/>
    </xf>
    <xf numFmtId="43" fontId="11" fillId="5" borderId="56" xfId="8" applyFont="1" applyFill="1" applyBorder="1" applyAlignment="1" applyProtection="1">
      <alignment horizontal="center" vertical="center"/>
    </xf>
    <xf numFmtId="170" fontId="11" fillId="5" borderId="56" xfId="0" applyNumberFormat="1" applyFont="1" applyFill="1" applyBorder="1" applyAlignment="1" applyProtection="1">
      <alignment horizontal="center" vertical="center"/>
    </xf>
    <xf numFmtId="170" fontId="11" fillId="5" borderId="56" xfId="7" applyNumberFormat="1" applyFont="1" applyFill="1" applyBorder="1" applyAlignment="1" applyProtection="1">
      <alignment horizontal="center" vertical="center"/>
    </xf>
    <xf numFmtId="2" fontId="11" fillId="5" borderId="56" xfId="7" applyNumberFormat="1" applyFont="1" applyFill="1" applyBorder="1" applyAlignment="1" applyProtection="1">
      <alignment horizontal="center" vertical="center"/>
      <protection locked="0"/>
    </xf>
    <xf numFmtId="0" fontId="19" fillId="5" borderId="56" xfId="0" applyFont="1" applyFill="1" applyBorder="1" applyAlignment="1" applyProtection="1">
      <alignment horizontal="justify" vertical="center" wrapText="1"/>
      <protection locked="0"/>
    </xf>
    <xf numFmtId="0" fontId="19" fillId="5" borderId="56" xfId="0" applyFont="1" applyFill="1" applyBorder="1" applyAlignment="1" applyProtection="1">
      <alignment horizontal="center" vertical="center" wrapText="1"/>
      <protection locked="0"/>
    </xf>
    <xf numFmtId="0" fontId="11" fillId="5" borderId="31" xfId="0" applyFont="1" applyFill="1" applyBorder="1" applyAlignment="1" applyProtection="1">
      <alignment horizontal="left" vertical="center" wrapText="1"/>
    </xf>
    <xf numFmtId="1" fontId="11" fillId="5" borderId="12" xfId="0" applyNumberFormat="1" applyFont="1" applyFill="1" applyBorder="1" applyAlignment="1" applyProtection="1">
      <alignment horizontal="center" vertical="center"/>
    </xf>
    <xf numFmtId="0" fontId="19" fillId="5" borderId="56" xfId="0" applyFont="1" applyFill="1" applyBorder="1" applyAlignment="1" applyProtection="1">
      <alignment horizontal="center" vertical="center" wrapText="1"/>
    </xf>
    <xf numFmtId="9" fontId="11" fillId="5" borderId="48" xfId="1" applyFont="1" applyFill="1" applyBorder="1" applyAlignment="1" applyProtection="1">
      <alignment horizontal="center" vertical="center"/>
    </xf>
    <xf numFmtId="165" fontId="11" fillId="5" borderId="12" xfId="0" applyNumberFormat="1" applyFont="1" applyFill="1" applyBorder="1" applyAlignment="1" applyProtection="1">
      <alignment horizontal="center" vertical="center"/>
    </xf>
    <xf numFmtId="9" fontId="11" fillId="8" borderId="12" xfId="1" applyFont="1" applyFill="1" applyBorder="1" applyAlignment="1" applyProtection="1">
      <alignment horizontal="center" vertical="center"/>
    </xf>
    <xf numFmtId="0" fontId="19" fillId="5" borderId="12"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xf>
    <xf numFmtId="4" fontId="11" fillId="5" borderId="12" xfId="0" applyNumberFormat="1" applyFont="1" applyFill="1" applyBorder="1" applyAlignment="1" applyProtection="1">
      <alignment horizontal="center" vertical="center"/>
    </xf>
    <xf numFmtId="0" fontId="11" fillId="5" borderId="93" xfId="0" applyFont="1" applyFill="1" applyBorder="1" applyAlignment="1" applyProtection="1">
      <alignment horizontal="left" vertical="center" wrapText="1"/>
    </xf>
    <xf numFmtId="164" fontId="11" fillId="5" borderId="31" xfId="0" applyNumberFormat="1" applyFont="1" applyFill="1" applyBorder="1" applyAlignment="1" applyProtection="1">
      <alignment horizontal="center" vertical="center"/>
    </xf>
    <xf numFmtId="3" fontId="11" fillId="5" borderId="31" xfId="0" applyNumberFormat="1" applyFont="1" applyFill="1" applyBorder="1" applyAlignment="1" applyProtection="1">
      <alignment horizontal="center" vertical="center"/>
    </xf>
    <xf numFmtId="9" fontId="11" fillId="5" borderId="31" xfId="1" applyFont="1" applyFill="1" applyBorder="1" applyAlignment="1" applyProtection="1">
      <alignment horizontal="center" vertical="center"/>
    </xf>
    <xf numFmtId="9" fontId="11" fillId="5" borderId="31" xfId="0" applyNumberFormat="1" applyFont="1" applyFill="1" applyBorder="1" applyAlignment="1" applyProtection="1">
      <alignment horizontal="center" vertical="center"/>
    </xf>
    <xf numFmtId="10" fontId="11" fillId="5" borderId="31" xfId="1" applyNumberFormat="1" applyFont="1" applyFill="1" applyBorder="1" applyAlignment="1" applyProtection="1">
      <alignment horizontal="center" vertical="center"/>
    </xf>
    <xf numFmtId="0" fontId="19" fillId="5" borderId="31" xfId="0" applyFont="1" applyFill="1" applyBorder="1" applyAlignment="1" applyProtection="1">
      <alignment horizontal="left" vertical="center" wrapText="1"/>
      <protection locked="0"/>
    </xf>
    <xf numFmtId="0" fontId="19" fillId="5" borderId="9" xfId="0" applyFont="1" applyFill="1" applyBorder="1" applyAlignment="1" applyProtection="1">
      <alignment horizontal="center" vertical="center" wrapText="1"/>
      <protection locked="0"/>
    </xf>
    <xf numFmtId="10" fontId="11" fillId="5" borderId="31" xfId="0" applyNumberFormat="1" applyFont="1" applyFill="1" applyBorder="1" applyAlignment="1" applyProtection="1">
      <alignment horizontal="center" vertical="center"/>
    </xf>
    <xf numFmtId="9" fontId="11" fillId="5" borderId="31" xfId="1" applyFont="1" applyFill="1" applyBorder="1" applyAlignment="1" applyProtection="1">
      <alignment horizontal="center" vertical="center"/>
      <protection locked="0"/>
    </xf>
    <xf numFmtId="165" fontId="11" fillId="5" borderId="31" xfId="1" applyNumberFormat="1" applyFont="1" applyFill="1" applyBorder="1" applyAlignment="1" applyProtection="1">
      <alignment horizontal="center" vertical="center"/>
    </xf>
    <xf numFmtId="10" fontId="11" fillId="8" borderId="31" xfId="1" applyNumberFormat="1" applyFont="1" applyFill="1" applyBorder="1" applyAlignment="1" applyProtection="1">
      <alignment horizontal="center" vertical="center"/>
    </xf>
    <xf numFmtId="3" fontId="11" fillId="5" borderId="12" xfId="0" applyNumberFormat="1" applyFont="1" applyFill="1" applyBorder="1" applyAlignment="1" applyProtection="1">
      <alignment horizontal="center" vertical="center"/>
    </xf>
    <xf numFmtId="170" fontId="11" fillId="8" borderId="56" xfId="0" applyNumberFormat="1" applyFont="1" applyFill="1" applyBorder="1" applyAlignment="1" applyProtection="1">
      <alignment horizontal="center" vertical="center"/>
    </xf>
    <xf numFmtId="10" fontId="19" fillId="5" borderId="56" xfId="0" applyNumberFormat="1" applyFont="1" applyFill="1" applyBorder="1" applyAlignment="1" applyProtection="1">
      <alignment horizontal="left" vertical="center" wrapText="1"/>
    </xf>
    <xf numFmtId="10" fontId="11" fillId="5" borderId="56" xfId="1" applyNumberFormat="1" applyFont="1" applyFill="1" applyBorder="1" applyAlignment="1" applyProtection="1">
      <alignment horizontal="center" vertical="center"/>
    </xf>
    <xf numFmtId="9" fontId="11" fillId="8" borderId="56" xfId="1" applyFont="1" applyFill="1" applyBorder="1" applyAlignment="1" applyProtection="1">
      <alignment horizontal="center" vertical="center"/>
    </xf>
    <xf numFmtId="10" fontId="11" fillId="5" borderId="63" xfId="1" applyNumberFormat="1" applyFont="1" applyFill="1" applyBorder="1" applyAlignment="1" applyProtection="1">
      <alignment horizontal="center" vertical="center"/>
    </xf>
    <xf numFmtId="0" fontId="19" fillId="5" borderId="33" xfId="0" applyFont="1" applyFill="1" applyBorder="1" applyAlignment="1" applyProtection="1">
      <alignment horizontal="center" vertical="center" wrapText="1"/>
    </xf>
    <xf numFmtId="0" fontId="11" fillId="5" borderId="34"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xf>
    <xf numFmtId="174" fontId="11" fillId="5" borderId="33" xfId="8" applyNumberFormat="1" applyFont="1" applyFill="1" applyBorder="1" applyAlignment="1" applyProtection="1">
      <alignment horizontal="center" vertical="center"/>
    </xf>
    <xf numFmtId="174" fontId="11" fillId="5" borderId="0" xfId="8" applyNumberFormat="1" applyFont="1" applyFill="1" applyBorder="1" applyAlignment="1" applyProtection="1">
      <alignment horizontal="center" vertical="center"/>
    </xf>
    <xf numFmtId="174" fontId="11" fillId="5" borderId="43" xfId="8" applyNumberFormat="1" applyFont="1" applyFill="1" applyBorder="1" applyAlignment="1" applyProtection="1">
      <alignment horizontal="center" vertical="center"/>
      <protection locked="0"/>
    </xf>
    <xf numFmtId="174" fontId="11" fillId="5" borderId="56" xfId="8" applyNumberFormat="1" applyFont="1" applyFill="1" applyBorder="1" applyAlignment="1" applyProtection="1">
      <alignment horizontal="center" vertical="center"/>
      <protection locked="0"/>
    </xf>
    <xf numFmtId="174" fontId="11" fillId="5" borderId="56" xfId="8" applyNumberFormat="1" applyFont="1" applyFill="1" applyBorder="1" applyAlignment="1" applyProtection="1">
      <alignment horizontal="center" vertical="center"/>
    </xf>
    <xf numFmtId="174" fontId="11" fillId="5" borderId="8" xfId="8" applyNumberFormat="1" applyFont="1" applyFill="1" applyBorder="1" applyAlignment="1" applyProtection="1">
      <alignment horizontal="center" vertical="center"/>
    </xf>
    <xf numFmtId="170" fontId="11" fillId="5" borderId="33" xfId="8" applyNumberFormat="1" applyFont="1" applyFill="1" applyBorder="1" applyAlignment="1" applyProtection="1">
      <alignment horizontal="center" vertical="center"/>
    </xf>
    <xf numFmtId="170" fontId="11" fillId="5" borderId="43" xfId="8" applyNumberFormat="1" applyFont="1" applyFill="1" applyBorder="1" applyAlignment="1" applyProtection="1">
      <alignment horizontal="center" vertical="center"/>
    </xf>
    <xf numFmtId="0" fontId="19" fillId="5" borderId="56" xfId="0" applyFont="1" applyFill="1" applyBorder="1" applyAlignment="1" applyProtection="1">
      <alignment horizontal="left" vertical="center" wrapText="1"/>
      <protection locked="0"/>
    </xf>
    <xf numFmtId="172" fontId="26" fillId="5" borderId="56" xfId="0" applyNumberFormat="1" applyFont="1" applyFill="1" applyBorder="1" applyAlignment="1" applyProtection="1">
      <alignment horizontal="center" vertical="center"/>
    </xf>
    <xf numFmtId="43" fontId="26" fillId="5" borderId="56" xfId="8" applyFont="1" applyFill="1" applyBorder="1" applyAlignment="1" applyProtection="1">
      <alignment horizontal="center" vertical="center"/>
    </xf>
    <xf numFmtId="172" fontId="26" fillId="5" borderId="72" xfId="2" applyNumberFormat="1" applyFont="1" applyFill="1" applyBorder="1" applyAlignment="1" applyProtection="1">
      <alignment horizontal="center" vertical="center"/>
    </xf>
    <xf numFmtId="37" fontId="11" fillId="5" borderId="73" xfId="0" applyNumberFormat="1" applyFont="1" applyFill="1" applyBorder="1" applyAlignment="1" applyProtection="1">
      <alignment horizontal="center" vertical="center"/>
    </xf>
    <xf numFmtId="37" fontId="26" fillId="5" borderId="56" xfId="0" applyNumberFormat="1" applyFont="1" applyFill="1" applyBorder="1" applyAlignment="1" applyProtection="1">
      <alignment horizontal="center" vertical="center"/>
    </xf>
    <xf numFmtId="170" fontId="26" fillId="5" borderId="56" xfId="0" applyNumberFormat="1"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49" fontId="19" fillId="5" borderId="56" xfId="0" applyNumberFormat="1" applyFont="1" applyFill="1" applyBorder="1" applyAlignment="1" applyProtection="1">
      <alignment horizontal="left" vertical="center" wrapText="1"/>
    </xf>
    <xf numFmtId="49" fontId="19" fillId="5" borderId="56" xfId="0" applyNumberFormat="1" applyFont="1" applyFill="1" applyBorder="1" applyAlignment="1" applyProtection="1">
      <alignment horizontal="center" vertical="center" wrapText="1"/>
    </xf>
    <xf numFmtId="0" fontId="26" fillId="5" borderId="56" xfId="0" applyFont="1" applyFill="1" applyBorder="1" applyAlignment="1" applyProtection="1">
      <alignment vertical="center" wrapText="1"/>
    </xf>
    <xf numFmtId="172" fontId="26" fillId="5" borderId="74" xfId="2" applyNumberFormat="1" applyFont="1" applyFill="1" applyBorder="1" applyAlignment="1" applyProtection="1">
      <alignment horizontal="center" vertical="center"/>
    </xf>
    <xf numFmtId="4" fontId="26" fillId="5" borderId="75" xfId="2" applyNumberFormat="1" applyFont="1" applyFill="1" applyBorder="1" applyAlignment="1" applyProtection="1">
      <alignment horizontal="center" vertical="center"/>
    </xf>
    <xf numFmtId="170" fontId="26" fillId="5" borderId="63" xfId="0" applyNumberFormat="1" applyFont="1" applyFill="1" applyBorder="1" applyAlignment="1" applyProtection="1">
      <alignment horizontal="center" vertical="center"/>
    </xf>
    <xf numFmtId="0" fontId="19" fillId="5" borderId="56" xfId="0" applyFont="1" applyFill="1" applyBorder="1" applyAlignment="1" applyProtection="1">
      <alignment horizontal="justify" vertical="center" wrapText="1"/>
    </xf>
    <xf numFmtId="0" fontId="19" fillId="5" borderId="40" xfId="0" applyFont="1" applyFill="1" applyBorder="1" applyAlignment="1" applyProtection="1">
      <alignment horizontal="center" vertical="center" wrapText="1"/>
      <protection locked="0"/>
    </xf>
    <xf numFmtId="0" fontId="30" fillId="5" borderId="56" xfId="0" applyFont="1" applyFill="1" applyBorder="1" applyAlignment="1" applyProtection="1">
      <alignment horizontal="center" vertical="center"/>
    </xf>
    <xf numFmtId="0" fontId="26" fillId="5" borderId="62" xfId="0" applyFont="1" applyFill="1" applyBorder="1" applyAlignment="1" applyProtection="1">
      <alignment horizontal="center" vertical="center"/>
    </xf>
    <xf numFmtId="165" fontId="26" fillId="5" borderId="64" xfId="1" applyNumberFormat="1" applyFont="1" applyFill="1" applyBorder="1" applyAlignment="1" applyProtection="1">
      <alignment horizontal="center" vertical="center"/>
    </xf>
    <xf numFmtId="10" fontId="26" fillId="5" borderId="64" xfId="1" applyNumberFormat="1" applyFont="1" applyFill="1" applyBorder="1" applyAlignment="1" applyProtection="1">
      <alignment horizontal="center" vertical="center"/>
    </xf>
    <xf numFmtId="0" fontId="19" fillId="5" borderId="64" xfId="0" applyFont="1" applyFill="1" applyBorder="1" applyAlignment="1" applyProtection="1">
      <alignment horizontal="justify" vertical="center" wrapText="1"/>
      <protection locked="0"/>
    </xf>
    <xf numFmtId="3" fontId="11" fillId="5" borderId="61" xfId="0" applyNumberFormat="1" applyFont="1" applyFill="1" applyBorder="1" applyAlignment="1" applyProtection="1">
      <alignment horizontal="center" vertical="center" wrapText="1"/>
      <protection locked="0"/>
    </xf>
    <xf numFmtId="0" fontId="11" fillId="5" borderId="58" xfId="0" applyFont="1" applyFill="1" applyBorder="1" applyAlignment="1" applyProtection="1">
      <alignment horizontal="center" vertical="center"/>
      <protection locked="0"/>
    </xf>
    <xf numFmtId="3" fontId="11" fillId="5" borderId="70" xfId="0" applyNumberFormat="1" applyFont="1" applyFill="1" applyBorder="1" applyAlignment="1">
      <alignment horizontal="center" vertical="center" wrapText="1"/>
    </xf>
    <xf numFmtId="3" fontId="37" fillId="5" borderId="62" xfId="0" applyNumberFormat="1" applyFont="1" applyFill="1" applyBorder="1" applyAlignment="1">
      <alignment horizontal="center" vertical="center"/>
    </xf>
    <xf numFmtId="172" fontId="11" fillId="5" borderId="58" xfId="2" applyNumberFormat="1" applyFont="1" applyFill="1" applyBorder="1" applyAlignment="1" applyProtection="1">
      <alignment horizontal="center" vertical="center"/>
      <protection locked="0"/>
    </xf>
    <xf numFmtId="10" fontId="11" fillId="5" borderId="56" xfId="1" applyNumberFormat="1" applyFont="1" applyFill="1" applyBorder="1" applyAlignment="1">
      <alignment horizontal="center" vertical="center"/>
    </xf>
    <xf numFmtId="37" fontId="11" fillId="5" borderId="56" xfId="3" applyNumberFormat="1" applyFont="1" applyFill="1" applyBorder="1" applyAlignment="1" applyProtection="1">
      <alignment horizontal="center" vertical="center"/>
      <protection locked="0"/>
    </xf>
    <xf numFmtId="37" fontId="11" fillId="5" borderId="56" xfId="0" applyNumberFormat="1" applyFont="1" applyFill="1" applyBorder="1" applyAlignment="1" applyProtection="1">
      <alignment horizontal="center" vertical="center"/>
      <protection locked="0"/>
    </xf>
    <xf numFmtId="164" fontId="37" fillId="5" borderId="56" xfId="0" applyNumberFormat="1" applyFont="1" applyFill="1" applyBorder="1" applyAlignment="1" applyProtection="1">
      <alignment horizontal="center" vertical="center"/>
      <protection locked="0"/>
    </xf>
    <xf numFmtId="172" fontId="11" fillId="5" borderId="56" xfId="0" applyNumberFormat="1" applyFont="1" applyFill="1" applyBorder="1" applyAlignment="1" applyProtection="1">
      <alignment horizontal="center" vertical="center"/>
      <protection locked="0"/>
    </xf>
    <xf numFmtId="3" fontId="11" fillId="5" borderId="56" xfId="0" applyNumberFormat="1" applyFont="1" applyFill="1" applyBorder="1" applyAlignment="1" applyProtection="1">
      <alignment horizontal="center" vertical="center" wrapText="1"/>
      <protection locked="0"/>
    </xf>
    <xf numFmtId="0" fontId="11" fillId="5" borderId="56" xfId="0" applyFont="1" applyFill="1" applyBorder="1" applyAlignment="1" applyProtection="1">
      <alignment horizontal="center" vertical="center"/>
      <protection locked="0"/>
    </xf>
    <xf numFmtId="172" fontId="11" fillId="5" borderId="62" xfId="0" applyNumberFormat="1" applyFont="1" applyFill="1" applyBorder="1" applyAlignment="1" applyProtection="1">
      <alignment horizontal="center" vertical="center"/>
      <protection locked="0"/>
    </xf>
    <xf numFmtId="37" fontId="11" fillId="5" borderId="64" xfId="3" applyNumberFormat="1" applyFont="1" applyFill="1" applyBorder="1" applyAlignment="1" applyProtection="1">
      <alignment horizontal="center" vertical="center"/>
      <protection locked="0"/>
    </xf>
    <xf numFmtId="172" fontId="11" fillId="5" borderId="64" xfId="0" applyNumberFormat="1" applyFont="1" applyFill="1" applyBorder="1" applyAlignment="1" applyProtection="1">
      <alignment horizontal="center" vertical="center"/>
      <protection locked="0"/>
    </xf>
    <xf numFmtId="3" fontId="11" fillId="5" borderId="33" xfId="0" applyNumberFormat="1" applyFont="1" applyFill="1" applyBorder="1" applyAlignment="1">
      <alignment horizontal="center" vertical="center" wrapText="1"/>
    </xf>
    <xf numFmtId="166" fontId="11" fillId="5" borderId="33" xfId="0" applyNumberFormat="1" applyFont="1" applyFill="1" applyBorder="1" applyAlignment="1">
      <alignment horizontal="center" vertical="center" wrapText="1"/>
    </xf>
    <xf numFmtId="166" fontId="11" fillId="5" borderId="43" xfId="0" applyNumberFormat="1" applyFont="1" applyFill="1" applyBorder="1" applyAlignment="1" applyProtection="1">
      <alignment horizontal="center" vertical="center" wrapText="1"/>
      <protection locked="0"/>
    </xf>
    <xf numFmtId="0" fontId="11" fillId="5" borderId="42" xfId="0" applyFont="1" applyFill="1" applyBorder="1" applyAlignment="1" applyProtection="1">
      <alignment horizontal="center" vertical="center"/>
      <protection locked="0"/>
    </xf>
    <xf numFmtId="0" fontId="11" fillId="5" borderId="8" xfId="0" applyFont="1" applyFill="1" applyBorder="1" applyAlignment="1">
      <alignment horizontal="center" vertical="center"/>
    </xf>
    <xf numFmtId="166" fontId="11" fillId="5" borderId="8" xfId="0" applyNumberFormat="1" applyFont="1" applyFill="1" applyBorder="1" applyAlignment="1">
      <alignment horizontal="center" vertical="center" wrapText="1"/>
    </xf>
    <xf numFmtId="3" fontId="11" fillId="5" borderId="21" xfId="0" applyNumberFormat="1" applyFont="1" applyFill="1" applyBorder="1" applyAlignment="1">
      <alignment horizontal="center" vertical="center" wrapText="1"/>
    </xf>
    <xf numFmtId="0" fontId="37" fillId="5" borderId="58" xfId="0" applyFont="1" applyFill="1" applyBorder="1" applyAlignment="1">
      <alignment horizontal="center" vertical="center"/>
    </xf>
    <xf numFmtId="170" fontId="11" fillId="5" borderId="33" xfId="0" applyNumberFormat="1" applyFont="1" applyFill="1" applyBorder="1" applyAlignment="1" applyProtection="1">
      <alignment horizontal="center" vertical="center"/>
      <protection locked="0"/>
    </xf>
    <xf numFmtId="10" fontId="11" fillId="5" borderId="59" xfId="1" applyNumberFormat="1" applyFont="1" applyFill="1" applyBorder="1" applyAlignment="1">
      <alignment horizontal="center" vertical="center"/>
    </xf>
    <xf numFmtId="10" fontId="11" fillId="5" borderId="69" xfId="1" applyNumberFormat="1" applyFont="1" applyFill="1" applyBorder="1" applyAlignment="1">
      <alignment horizontal="center" vertical="center"/>
    </xf>
    <xf numFmtId="37" fontId="23" fillId="5" borderId="12" xfId="0" applyNumberFormat="1" applyFont="1" applyFill="1" applyBorder="1" applyAlignment="1">
      <alignment horizontal="center" vertical="center"/>
    </xf>
    <xf numFmtId="37" fontId="11" fillId="5" borderId="9" xfId="0" applyNumberFormat="1" applyFont="1" applyFill="1" applyBorder="1" applyAlignment="1" applyProtection="1">
      <alignment horizontal="center" vertical="center"/>
      <protection locked="0"/>
    </xf>
    <xf numFmtId="164" fontId="11" fillId="5" borderId="12" xfId="0" applyNumberFormat="1" applyFont="1" applyFill="1" applyBorder="1" applyAlignment="1" applyProtection="1">
      <alignment horizontal="center" vertical="center"/>
      <protection locked="0"/>
    </xf>
    <xf numFmtId="37" fontId="11" fillId="5" borderId="9" xfId="0" applyNumberFormat="1" applyFont="1" applyFill="1" applyBorder="1" applyAlignment="1">
      <alignment horizontal="center" vertical="center"/>
    </xf>
    <xf numFmtId="37" fontId="11" fillId="5" borderId="13" xfId="0" applyNumberFormat="1" applyFont="1" applyFill="1" applyBorder="1" applyAlignment="1">
      <alignment horizontal="center" vertical="center"/>
    </xf>
    <xf numFmtId="37" fontId="11" fillId="5" borderId="49" xfId="0" applyNumberFormat="1" applyFont="1" applyFill="1" applyBorder="1" applyAlignment="1">
      <alignment horizontal="center" vertical="center"/>
    </xf>
    <xf numFmtId="164" fontId="11" fillId="5" borderId="53" xfId="0" applyNumberFormat="1" applyFont="1" applyFill="1" applyBorder="1" applyAlignment="1" applyProtection="1">
      <alignment horizontal="center" vertical="center"/>
      <protection locked="0"/>
    </xf>
    <xf numFmtId="0" fontId="11" fillId="5" borderId="9" xfId="0" applyFont="1" applyFill="1" applyBorder="1" applyAlignment="1" applyProtection="1">
      <alignment horizontal="right" vertical="center"/>
      <protection locked="0"/>
    </xf>
    <xf numFmtId="0" fontId="11" fillId="5" borderId="12" xfId="0" applyFont="1" applyFill="1" applyBorder="1" applyAlignment="1" applyProtection="1">
      <alignment horizontal="right" vertical="center"/>
      <protection locked="0"/>
    </xf>
    <xf numFmtId="10" fontId="11" fillId="5" borderId="56" xfId="0" applyNumberFormat="1" applyFont="1" applyFill="1" applyBorder="1" applyAlignment="1">
      <alignment horizontal="center" vertical="center"/>
    </xf>
    <xf numFmtId="168" fontId="11" fillId="5" borderId="9" xfId="0" applyNumberFormat="1" applyFont="1" applyFill="1" applyBorder="1" applyAlignment="1" applyProtection="1">
      <alignment horizontal="right" vertical="center"/>
      <protection locked="0"/>
    </xf>
    <xf numFmtId="168" fontId="11" fillId="5" borderId="12" xfId="0" applyNumberFormat="1" applyFont="1" applyFill="1" applyBorder="1" applyAlignment="1" applyProtection="1">
      <alignment horizontal="right" vertical="center"/>
      <protection locked="0"/>
    </xf>
    <xf numFmtId="3" fontId="11" fillId="5" borderId="9" xfId="0" applyNumberFormat="1"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protection locked="0"/>
    </xf>
    <xf numFmtId="170" fontId="11" fillId="5" borderId="43" xfId="0" applyNumberFormat="1" applyFont="1" applyFill="1" applyBorder="1" applyAlignment="1" applyProtection="1">
      <alignment horizontal="center" vertical="center"/>
      <protection locked="0"/>
    </xf>
    <xf numFmtId="37" fontId="11" fillId="5" borderId="31" xfId="0" applyNumberFormat="1" applyFont="1" applyFill="1" applyBorder="1" applyAlignment="1" applyProtection="1">
      <alignment horizontal="center" vertical="center"/>
      <protection locked="0"/>
    </xf>
    <xf numFmtId="3" fontId="11" fillId="5" borderId="82" xfId="0" applyNumberFormat="1" applyFont="1" applyFill="1" applyBorder="1" applyAlignment="1" applyProtection="1">
      <alignment horizontal="center" vertical="center" wrapText="1"/>
      <protection locked="0"/>
    </xf>
    <xf numFmtId="3" fontId="11" fillId="5" borderId="92" xfId="0" applyNumberFormat="1" applyFont="1" applyFill="1" applyBorder="1" applyAlignment="1">
      <alignment horizontal="center" vertical="center" wrapText="1"/>
    </xf>
    <xf numFmtId="0" fontId="11" fillId="5" borderId="82" xfId="0" applyFont="1" applyFill="1" applyBorder="1" applyAlignment="1" applyProtection="1">
      <alignment horizontal="center" vertical="center"/>
      <protection locked="0"/>
    </xf>
    <xf numFmtId="37" fontId="11" fillId="5" borderId="12" xfId="0" applyNumberFormat="1" applyFont="1" applyFill="1" applyBorder="1" applyAlignment="1" applyProtection="1">
      <alignment horizontal="center" vertical="center"/>
      <protection locked="0"/>
    </xf>
    <xf numFmtId="37" fontId="11" fillId="5" borderId="53" xfId="0" applyNumberFormat="1" applyFont="1" applyFill="1" applyBorder="1" applyAlignment="1" applyProtection="1">
      <alignment horizontal="center" vertical="center"/>
      <protection locked="0"/>
    </xf>
    <xf numFmtId="10" fontId="11" fillId="5" borderId="63" xfId="1" applyNumberFormat="1" applyFont="1" applyFill="1" applyBorder="1" applyAlignment="1">
      <alignment horizontal="center" vertical="center"/>
    </xf>
    <xf numFmtId="174" fontId="37" fillId="5" borderId="56" xfId="8" applyNumberFormat="1" applyFont="1" applyFill="1" applyBorder="1" applyAlignment="1">
      <alignment horizontal="center" vertical="center"/>
    </xf>
    <xf numFmtId="3" fontId="11" fillId="5" borderId="42" xfId="0" applyNumberFormat="1" applyFont="1" applyFill="1" applyBorder="1" applyAlignment="1" applyProtection="1">
      <alignment horizontal="center" vertical="center" wrapText="1"/>
      <protection locked="0"/>
    </xf>
    <xf numFmtId="37" fontId="11" fillId="5" borderId="87" xfId="0" applyNumberFormat="1" applyFont="1" applyFill="1" applyBorder="1" applyAlignment="1" applyProtection="1">
      <alignment horizontal="center" vertical="center"/>
      <protection locked="0"/>
    </xf>
    <xf numFmtId="10" fontId="11" fillId="5" borderId="62" xfId="1" applyNumberFormat="1" applyFont="1" applyFill="1" applyBorder="1" applyAlignment="1">
      <alignment horizontal="center" vertical="center"/>
    </xf>
    <xf numFmtId="37" fontId="11" fillId="5" borderId="77" xfId="3" applyNumberFormat="1" applyFont="1" applyFill="1" applyBorder="1" applyAlignment="1" applyProtection="1">
      <alignment horizontal="center" vertical="center"/>
      <protection locked="0"/>
    </xf>
    <xf numFmtId="0" fontId="11" fillId="5" borderId="78" xfId="0" applyFont="1" applyFill="1" applyBorder="1" applyAlignment="1">
      <alignment horizontal="center" vertical="center"/>
    </xf>
    <xf numFmtId="37" fontId="11" fillId="5" borderId="62" xfId="0" applyNumberFormat="1" applyFont="1" applyFill="1" applyBorder="1" applyAlignment="1">
      <alignment horizontal="center" vertical="center"/>
    </xf>
    <xf numFmtId="37" fontId="11" fillId="5" borderId="74" xfId="3" applyNumberFormat="1" applyFont="1" applyFill="1" applyBorder="1" applyAlignment="1" applyProtection="1">
      <alignment horizontal="center" vertical="center"/>
      <protection locked="0"/>
    </xf>
    <xf numFmtId="10" fontId="11" fillId="5" borderId="56" xfId="7" applyNumberFormat="1" applyFont="1" applyFill="1" applyBorder="1" applyAlignment="1">
      <alignment horizontal="center" vertical="center"/>
    </xf>
    <xf numFmtId="37" fontId="11" fillId="5" borderId="62" xfId="3" applyNumberFormat="1" applyFont="1" applyFill="1" applyBorder="1" applyAlignment="1" applyProtection="1">
      <alignment horizontal="center" vertical="center"/>
      <protection locked="0"/>
    </xf>
    <xf numFmtId="37" fontId="11" fillId="5" borderId="58" xfId="3" applyNumberFormat="1" applyFont="1" applyFill="1" applyBorder="1" applyAlignment="1" applyProtection="1">
      <alignment horizontal="center" vertical="center"/>
      <protection locked="0"/>
    </xf>
    <xf numFmtId="37" fontId="11" fillId="5" borderId="61" xfId="3" applyNumberFormat="1" applyFont="1" applyFill="1" applyBorder="1" applyAlignment="1">
      <alignment horizontal="center" vertical="center"/>
    </xf>
    <xf numFmtId="37" fontId="11" fillId="5" borderId="70" xfId="3" applyNumberFormat="1" applyFont="1" applyFill="1" applyBorder="1" applyAlignment="1">
      <alignment horizontal="center" vertical="center"/>
    </xf>
    <xf numFmtId="37" fontId="11" fillId="5" borderId="58" xfId="0" applyNumberFormat="1" applyFont="1" applyFill="1" applyBorder="1" applyAlignment="1">
      <alignment horizontal="center" vertical="center"/>
    </xf>
    <xf numFmtId="10" fontId="11" fillId="5" borderId="72" xfId="7" applyNumberFormat="1" applyFont="1" applyFill="1" applyBorder="1" applyAlignment="1">
      <alignment horizontal="center" vertical="center"/>
    </xf>
    <xf numFmtId="37" fontId="11" fillId="5" borderId="63" xfId="3" applyNumberFormat="1" applyFont="1" applyFill="1" applyBorder="1" applyAlignment="1" applyProtection="1">
      <alignment horizontal="center" vertical="center"/>
      <protection locked="0"/>
    </xf>
    <xf numFmtId="10" fontId="11" fillId="5" borderId="64" xfId="7" applyNumberFormat="1" applyFont="1" applyFill="1" applyBorder="1" applyAlignment="1">
      <alignment horizontal="center" vertical="center"/>
    </xf>
    <xf numFmtId="10" fontId="11" fillId="5" borderId="104" xfId="7" applyNumberFormat="1" applyFont="1" applyFill="1" applyBorder="1" applyAlignment="1">
      <alignment horizontal="center" vertical="center"/>
    </xf>
    <xf numFmtId="37" fontId="11" fillId="5" borderId="33" xfId="0" applyNumberFormat="1" applyFont="1" applyFill="1" applyBorder="1" applyAlignment="1">
      <alignment horizontal="center" vertical="center"/>
    </xf>
    <xf numFmtId="37" fontId="11" fillId="5" borderId="42" xfId="0" applyNumberFormat="1" applyFont="1" applyFill="1" applyBorder="1" applyAlignment="1">
      <alignment horizontal="center" vertical="center"/>
    </xf>
    <xf numFmtId="37" fontId="11" fillId="5" borderId="43" xfId="0" applyNumberFormat="1" applyFont="1" applyFill="1" applyBorder="1" applyAlignment="1" applyProtection="1">
      <alignment horizontal="center" vertical="center"/>
      <protection locked="0"/>
    </xf>
    <xf numFmtId="37" fontId="11" fillId="5" borderId="42" xfId="0" applyNumberFormat="1" applyFont="1" applyFill="1" applyBorder="1" applyAlignment="1" applyProtection="1">
      <alignment horizontal="center" vertical="center"/>
      <protection locked="0"/>
    </xf>
    <xf numFmtId="37" fontId="11" fillId="5" borderId="8" xfId="0" applyNumberFormat="1" applyFont="1" applyFill="1" applyBorder="1" applyAlignment="1">
      <alignment horizontal="center" vertical="center"/>
    </xf>
    <xf numFmtId="37" fontId="11" fillId="5" borderId="43" xfId="0" applyNumberFormat="1" applyFont="1" applyFill="1" applyBorder="1" applyAlignment="1">
      <alignment horizontal="center" vertical="center"/>
    </xf>
    <xf numFmtId="37" fontId="11" fillId="5" borderId="21" xfId="0" applyNumberFormat="1" applyFont="1" applyFill="1" applyBorder="1" applyAlignment="1">
      <alignment horizontal="center" vertical="center"/>
    </xf>
    <xf numFmtId="180" fontId="11" fillId="5" borderId="62" xfId="0" applyNumberFormat="1" applyFont="1" applyFill="1" applyBorder="1" applyAlignment="1">
      <alignment horizontal="center" vertical="center"/>
    </xf>
    <xf numFmtId="169" fontId="23" fillId="5" borderId="12" xfId="0" applyNumberFormat="1" applyFont="1" applyFill="1" applyBorder="1" applyAlignment="1">
      <alignment horizontal="center" vertical="center"/>
    </xf>
    <xf numFmtId="169" fontId="11" fillId="5" borderId="12" xfId="0" applyNumberFormat="1" applyFont="1" applyFill="1" applyBorder="1" applyAlignment="1">
      <alignment horizontal="center" vertical="center"/>
    </xf>
    <xf numFmtId="169" fontId="11" fillId="5" borderId="12" xfId="0" applyNumberFormat="1" applyFont="1" applyFill="1" applyBorder="1" applyAlignment="1" applyProtection="1">
      <alignment horizontal="center" vertical="center"/>
      <protection locked="0"/>
    </xf>
    <xf numFmtId="169" fontId="11" fillId="5" borderId="13" xfId="0" applyNumberFormat="1" applyFont="1" applyFill="1" applyBorder="1" applyAlignment="1">
      <alignment horizontal="center" vertical="center"/>
    </xf>
    <xf numFmtId="169" fontId="11" fillId="5" borderId="9" xfId="0" applyNumberFormat="1" applyFont="1" applyFill="1" applyBorder="1" applyAlignment="1">
      <alignment horizontal="center" vertical="center"/>
    </xf>
    <xf numFmtId="169" fontId="11" fillId="5" borderId="73" xfId="0" applyNumberFormat="1" applyFont="1" applyFill="1" applyBorder="1" applyAlignment="1">
      <alignment horizontal="center" vertical="center"/>
    </xf>
    <xf numFmtId="0" fontId="11" fillId="5" borderId="37" xfId="0" applyFont="1" applyFill="1" applyBorder="1" applyAlignment="1">
      <alignment horizontal="center" vertical="center"/>
    </xf>
    <xf numFmtId="0" fontId="11" fillId="5" borderId="34" xfId="0" applyFont="1" applyFill="1" applyBorder="1" applyAlignment="1">
      <alignment horizontal="center" vertical="center"/>
    </xf>
    <xf numFmtId="37" fontId="11" fillId="5" borderId="33" xfId="0" applyNumberFormat="1" applyFont="1" applyFill="1" applyBorder="1" applyAlignment="1" applyProtection="1">
      <alignment horizontal="center" vertical="center"/>
      <protection locked="0"/>
    </xf>
    <xf numFmtId="180" fontId="11" fillId="5" borderId="56" xfId="0" applyNumberFormat="1" applyFont="1" applyFill="1" applyBorder="1" applyAlignment="1">
      <alignment horizontal="center" vertical="center"/>
    </xf>
    <xf numFmtId="0" fontId="11" fillId="5" borderId="33" xfId="0" applyFont="1" applyFill="1" applyBorder="1" applyAlignment="1" applyProtection="1">
      <alignment horizontal="center" vertical="center"/>
      <protection locked="0"/>
    </xf>
    <xf numFmtId="10" fontId="11" fillId="5" borderId="12" xfId="0" applyNumberFormat="1" applyFont="1" applyFill="1" applyBorder="1" applyAlignment="1">
      <alignment horizontal="center" vertical="center"/>
    </xf>
    <xf numFmtId="10" fontId="11" fillId="5" borderId="9" xfId="0" applyNumberFormat="1" applyFont="1" applyFill="1" applyBorder="1" applyAlignment="1">
      <alignment horizontal="center" vertical="center"/>
    </xf>
    <xf numFmtId="174" fontId="11" fillId="5" borderId="12" xfId="8" applyNumberFormat="1" applyFont="1" applyFill="1" applyBorder="1" applyAlignment="1" applyProtection="1">
      <alignment horizontal="center" vertical="center"/>
      <protection locked="0"/>
    </xf>
    <xf numFmtId="9" fontId="11" fillId="5" borderId="31" xfId="0" applyNumberFormat="1" applyFont="1" applyFill="1" applyBorder="1" applyAlignment="1">
      <alignment horizontal="center" vertical="center"/>
    </xf>
    <xf numFmtId="10" fontId="11" fillId="5" borderId="53" xfId="0" applyNumberFormat="1" applyFont="1" applyFill="1" applyBorder="1" applyAlignment="1">
      <alignment horizontal="center" vertical="center"/>
    </xf>
    <xf numFmtId="37" fontId="11" fillId="5" borderId="82" xfId="0" applyNumberFormat="1" applyFont="1" applyFill="1" applyBorder="1" applyAlignment="1">
      <alignment horizontal="center" vertical="center"/>
    </xf>
    <xf numFmtId="37" fontId="11" fillId="5" borderId="91" xfId="0" applyNumberFormat="1" applyFont="1" applyFill="1" applyBorder="1" applyAlignment="1" applyProtection="1">
      <alignment horizontal="center" vertical="center"/>
      <protection locked="0"/>
    </xf>
    <xf numFmtId="0" fontId="11" fillId="5" borderId="92" xfId="0" applyFont="1" applyFill="1" applyBorder="1" applyAlignment="1">
      <alignment horizontal="center" vertical="center"/>
    </xf>
    <xf numFmtId="37" fontId="11" fillId="5" borderId="92" xfId="0" applyNumberFormat="1" applyFont="1" applyFill="1" applyBorder="1" applyAlignment="1">
      <alignment horizontal="center" vertical="center"/>
    </xf>
    <xf numFmtId="37" fontId="11" fillId="5" borderId="83" xfId="0" applyNumberFormat="1" applyFont="1" applyFill="1" applyBorder="1" applyAlignment="1">
      <alignment horizontal="center" vertical="center"/>
    </xf>
    <xf numFmtId="180" fontId="11" fillId="5" borderId="58" xfId="0" applyNumberFormat="1" applyFont="1" applyFill="1" applyBorder="1" applyAlignment="1">
      <alignment horizontal="center" vertical="center"/>
    </xf>
    <xf numFmtId="180" fontId="11" fillId="5" borderId="12" xfId="0" applyNumberFormat="1" applyFont="1" applyFill="1" applyBorder="1" applyAlignment="1" applyProtection="1">
      <alignment horizontal="center" vertical="center"/>
      <protection locked="0"/>
    </xf>
    <xf numFmtId="174" fontId="11" fillId="5" borderId="12" xfId="0" applyNumberFormat="1" applyFont="1" applyFill="1" applyBorder="1" applyAlignment="1" applyProtection="1">
      <alignment horizontal="center" vertical="center"/>
      <protection locked="0"/>
    </xf>
    <xf numFmtId="174" fontId="11" fillId="5" borderId="9" xfId="8" applyNumberFormat="1" applyFont="1" applyFill="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10" fontId="11" fillId="5" borderId="42" xfId="0" applyNumberFormat="1" applyFont="1" applyFill="1" applyBorder="1" applyAlignment="1">
      <alignment horizontal="center" vertical="center"/>
    </xf>
    <xf numFmtId="10" fontId="11" fillId="5" borderId="34" xfId="0" applyNumberFormat="1" applyFont="1" applyFill="1" applyBorder="1" applyAlignment="1">
      <alignment horizontal="center" vertical="center"/>
    </xf>
    <xf numFmtId="164" fontId="11" fillId="5" borderId="42" xfId="0" applyNumberFormat="1" applyFont="1" applyFill="1" applyBorder="1" applyAlignment="1" applyProtection="1">
      <alignment vertical="center" wrapText="1"/>
      <protection locked="0"/>
    </xf>
    <xf numFmtId="39" fontId="11" fillId="5" borderId="56" xfId="0" applyNumberFormat="1" applyFont="1" applyFill="1" applyBorder="1" applyAlignment="1">
      <alignment horizontal="center" vertical="center"/>
    </xf>
    <xf numFmtId="0" fontId="11" fillId="5" borderId="37" xfId="0" applyFont="1" applyFill="1" applyBorder="1" applyAlignment="1">
      <alignment horizontal="left" vertical="center" wrapText="1"/>
    </xf>
    <xf numFmtId="37" fontId="11" fillId="5" borderId="34" xfId="0" applyNumberFormat="1" applyFont="1" applyFill="1" applyBorder="1" applyAlignment="1" applyProtection="1">
      <alignment horizontal="center" vertical="center"/>
      <protection locked="0"/>
    </xf>
    <xf numFmtId="1" fontId="11" fillId="5" borderId="42" xfId="0" applyNumberFormat="1" applyFont="1" applyFill="1" applyBorder="1" applyAlignment="1" applyProtection="1">
      <alignment horizontal="center" vertical="center"/>
      <protection locked="0"/>
    </xf>
    <xf numFmtId="37" fontId="11" fillId="5" borderId="37" xfId="0" applyNumberFormat="1" applyFont="1" applyFill="1" applyBorder="1" applyAlignment="1">
      <alignment horizontal="center" vertical="center"/>
    </xf>
    <xf numFmtId="39" fontId="11" fillId="5" borderId="62" xfId="0" applyNumberFormat="1" applyFont="1" applyFill="1" applyBorder="1" applyAlignment="1">
      <alignment horizontal="center" vertical="center"/>
    </xf>
    <xf numFmtId="1" fontId="11" fillId="5" borderId="33" xfId="0" applyNumberFormat="1" applyFont="1" applyFill="1" applyBorder="1" applyAlignment="1" applyProtection="1">
      <alignment horizontal="center" vertical="center"/>
      <protection locked="0"/>
    </xf>
    <xf numFmtId="0" fontId="11" fillId="5" borderId="13" xfId="0" applyFont="1" applyFill="1" applyBorder="1" applyAlignment="1">
      <alignment horizontal="left" vertical="center" wrapText="1"/>
    </xf>
    <xf numFmtId="37" fontId="23" fillId="5" borderId="13" xfId="0" applyNumberFormat="1" applyFont="1" applyFill="1" applyBorder="1" applyAlignment="1">
      <alignment horizontal="center" vertical="center"/>
    </xf>
    <xf numFmtId="37" fontId="11" fillId="5" borderId="73" xfId="0" applyNumberFormat="1" applyFont="1" applyFill="1" applyBorder="1" applyAlignment="1">
      <alignment horizontal="center" vertical="center"/>
    </xf>
    <xf numFmtId="0" fontId="11" fillId="5" borderId="49" xfId="0" applyFont="1" applyFill="1" applyBorder="1" applyAlignment="1">
      <alignment horizontal="center" vertical="center"/>
    </xf>
    <xf numFmtId="37" fontId="11" fillId="5" borderId="31" xfId="0" applyNumberFormat="1" applyFont="1" applyFill="1" applyBorder="1" applyAlignment="1">
      <alignment horizontal="center" vertical="center"/>
    </xf>
    <xf numFmtId="164" fontId="11" fillId="5" borderId="56" xfId="0" applyNumberFormat="1" applyFont="1" applyFill="1" applyBorder="1" applyAlignment="1" applyProtection="1">
      <alignment horizontal="center" vertical="center"/>
      <protection locked="0"/>
    </xf>
    <xf numFmtId="3" fontId="11" fillId="5" borderId="12" xfId="0" applyNumberFormat="1" applyFont="1" applyFill="1" applyBorder="1" applyAlignment="1">
      <alignment horizontal="center" vertical="center" wrapText="1"/>
    </xf>
    <xf numFmtId="1" fontId="11" fillId="5" borderId="12" xfId="0" applyNumberFormat="1" applyFont="1" applyFill="1" applyBorder="1" applyAlignment="1" applyProtection="1">
      <alignment horizontal="center" vertical="center"/>
      <protection locked="0"/>
    </xf>
    <xf numFmtId="1" fontId="11" fillId="5" borderId="43" xfId="0" applyNumberFormat="1" applyFont="1" applyFill="1" applyBorder="1" applyAlignment="1" applyProtection="1">
      <alignment horizontal="center" vertical="center"/>
      <protection locked="0"/>
    </xf>
    <xf numFmtId="0" fontId="11" fillId="5" borderId="49" xfId="0" applyFont="1" applyFill="1" applyBorder="1" applyAlignment="1">
      <alignment horizontal="left" vertical="center" wrapText="1"/>
    </xf>
    <xf numFmtId="37" fontId="23" fillId="5" borderId="31" xfId="0" applyNumberFormat="1" applyFont="1" applyFill="1" applyBorder="1" applyAlignment="1">
      <alignment horizontal="center" vertical="center"/>
    </xf>
    <xf numFmtId="0" fontId="11" fillId="5" borderId="92" xfId="0" applyFont="1" applyFill="1" applyBorder="1" applyAlignment="1">
      <alignment horizontal="left" vertical="center" wrapText="1"/>
    </xf>
    <xf numFmtId="37" fontId="11" fillId="5" borderId="110" xfId="0" applyNumberFormat="1" applyFont="1" applyFill="1" applyBorder="1" applyAlignment="1">
      <alignment horizontal="center" vertical="center"/>
    </xf>
    <xf numFmtId="39" fontId="11" fillId="5" borderId="58" xfId="0" applyNumberFormat="1" applyFont="1" applyFill="1" applyBorder="1" applyAlignment="1">
      <alignment horizontal="center" vertical="center"/>
    </xf>
    <xf numFmtId="0" fontId="11" fillId="5" borderId="80" xfId="0" applyFont="1" applyFill="1" applyBorder="1" applyAlignment="1" applyProtection="1">
      <alignment horizontal="center" vertical="center"/>
      <protection locked="0"/>
    </xf>
    <xf numFmtId="10" fontId="11" fillId="5" borderId="37" xfId="0" applyNumberFormat="1" applyFont="1" applyFill="1" applyBorder="1" applyAlignment="1">
      <alignment horizontal="center" vertical="center"/>
    </xf>
    <xf numFmtId="10" fontId="11" fillId="5" borderId="13" xfId="0" applyNumberFormat="1" applyFont="1" applyFill="1" applyBorder="1" applyAlignment="1">
      <alignment horizontal="center" vertical="center"/>
    </xf>
    <xf numFmtId="3" fontId="11" fillId="5" borderId="12" xfId="0" applyNumberFormat="1" applyFont="1" applyFill="1" applyBorder="1" applyAlignment="1" applyProtection="1">
      <alignment horizontal="center" vertical="center" wrapText="1"/>
      <protection locked="0"/>
    </xf>
    <xf numFmtId="3" fontId="11" fillId="5" borderId="9" xfId="0" applyNumberFormat="1" applyFont="1" applyFill="1" applyBorder="1" applyAlignment="1">
      <alignment horizontal="center" vertical="center" wrapText="1"/>
    </xf>
    <xf numFmtId="3" fontId="11" fillId="5" borderId="37" xfId="0" applyNumberFormat="1" applyFont="1" applyFill="1" applyBorder="1" applyAlignment="1">
      <alignment horizontal="center" vertical="center" wrapText="1"/>
    </xf>
    <xf numFmtId="0" fontId="11" fillId="5" borderId="62" xfId="0" applyFont="1" applyFill="1" applyBorder="1" applyAlignment="1" applyProtection="1">
      <alignment horizontal="center" vertical="center"/>
      <protection locked="0"/>
    </xf>
    <xf numFmtId="0" fontId="11" fillId="5" borderId="89" xfId="0" applyFont="1" applyFill="1" applyBorder="1" applyAlignment="1">
      <alignment horizontal="left" vertical="center" wrapText="1"/>
    </xf>
    <xf numFmtId="37" fontId="23" fillId="5" borderId="87" xfId="0" applyNumberFormat="1" applyFont="1" applyFill="1" applyBorder="1" applyAlignment="1">
      <alignment horizontal="center" vertical="center"/>
    </xf>
    <xf numFmtId="37" fontId="11" fillId="5" borderId="88" xfId="0" applyNumberFormat="1" applyFont="1" applyFill="1" applyBorder="1" applyAlignment="1">
      <alignment horizontal="center" vertical="center"/>
    </xf>
    <xf numFmtId="37" fontId="11" fillId="5" borderId="89" xfId="0" applyNumberFormat="1" applyFont="1" applyFill="1" applyBorder="1" applyAlignment="1">
      <alignment horizontal="center" vertical="center"/>
    </xf>
    <xf numFmtId="10" fontId="11" fillId="5" borderId="87" xfId="0" applyNumberFormat="1" applyFont="1" applyFill="1" applyBorder="1" applyAlignment="1">
      <alignment horizontal="center" vertical="center"/>
    </xf>
    <xf numFmtId="10" fontId="11" fillId="5" borderId="88" xfId="0" applyNumberFormat="1" applyFont="1" applyFill="1" applyBorder="1" applyAlignment="1">
      <alignment horizontal="center" vertical="center"/>
    </xf>
    <xf numFmtId="9" fontId="11" fillId="5" borderId="82" xfId="0" applyNumberFormat="1" applyFont="1" applyFill="1" applyBorder="1" applyAlignment="1">
      <alignment horizontal="center" vertical="center" wrapText="1"/>
    </xf>
    <xf numFmtId="9" fontId="11" fillId="5" borderId="82" xfId="0" applyNumberFormat="1" applyFont="1" applyFill="1" applyBorder="1" applyAlignment="1">
      <alignment horizontal="center" vertical="center"/>
    </xf>
    <xf numFmtId="9" fontId="11" fillId="5" borderId="82" xfId="1" applyFont="1" applyFill="1" applyBorder="1" applyAlignment="1">
      <alignment horizontal="center" vertical="center"/>
    </xf>
    <xf numFmtId="9" fontId="11" fillId="5" borderId="91" xfId="1" applyFont="1" applyFill="1" applyBorder="1" applyAlignment="1" applyProtection="1">
      <alignment horizontal="center" vertical="center"/>
      <protection locked="0"/>
    </xf>
    <xf numFmtId="9" fontId="11" fillId="5" borderId="82" xfId="0" applyNumberFormat="1" applyFont="1" applyFill="1" applyBorder="1" applyAlignment="1" applyProtection="1">
      <alignment horizontal="center" vertical="center"/>
      <protection locked="0"/>
    </xf>
    <xf numFmtId="9" fontId="11" fillId="5" borderId="92" xfId="0" applyNumberFormat="1" applyFont="1" applyFill="1" applyBorder="1" applyAlignment="1">
      <alignment horizontal="center" vertical="center"/>
    </xf>
    <xf numFmtId="9" fontId="11" fillId="5" borderId="62" xfId="1" applyFont="1" applyFill="1" applyBorder="1" applyAlignment="1" applyProtection="1">
      <alignment horizontal="center" vertical="center"/>
      <protection locked="0"/>
    </xf>
    <xf numFmtId="9" fontId="11" fillId="5" borderId="12" xfId="1" applyFont="1" applyFill="1" applyBorder="1" applyAlignment="1">
      <alignment horizontal="center" vertical="center"/>
    </xf>
    <xf numFmtId="9" fontId="11" fillId="5" borderId="12" xfId="0" applyNumberFormat="1" applyFont="1" applyFill="1" applyBorder="1" applyAlignment="1" applyProtection="1">
      <alignment horizontal="center" vertical="center" wrapText="1"/>
      <protection locked="0"/>
    </xf>
    <xf numFmtId="9" fontId="11" fillId="5" borderId="56" xfId="1" applyFont="1" applyFill="1" applyBorder="1" applyAlignment="1" applyProtection="1">
      <alignment horizontal="center" vertical="center"/>
      <protection locked="0"/>
    </xf>
    <xf numFmtId="9" fontId="11" fillId="5" borderId="42" xfId="0" applyNumberFormat="1" applyFont="1" applyFill="1" applyBorder="1" applyAlignment="1" applyProtection="1">
      <alignment horizontal="center" vertical="center"/>
      <protection locked="0"/>
    </xf>
    <xf numFmtId="10" fontId="11" fillId="5" borderId="31" xfId="0" applyNumberFormat="1" applyFont="1" applyFill="1" applyBorder="1" applyAlignment="1">
      <alignment horizontal="center" vertical="center"/>
    </xf>
    <xf numFmtId="174" fontId="11" fillId="5" borderId="82" xfId="8" applyNumberFormat="1" applyFont="1" applyFill="1" applyBorder="1" applyAlignment="1" applyProtection="1">
      <alignment horizontal="center" vertical="center"/>
      <protection locked="0"/>
    </xf>
    <xf numFmtId="3" fontId="11" fillId="5" borderId="80" xfId="0" applyNumberFormat="1" applyFont="1" applyFill="1" applyBorder="1" applyAlignment="1">
      <alignment horizontal="center" vertical="center"/>
    </xf>
    <xf numFmtId="37" fontId="11" fillId="8" borderId="92" xfId="0" applyNumberFormat="1" applyFont="1" applyFill="1" applyBorder="1" applyAlignment="1">
      <alignment horizontal="center" vertical="center"/>
    </xf>
    <xf numFmtId="37" fontId="11" fillId="5" borderId="58" xfId="0" applyNumberFormat="1" applyFont="1" applyFill="1" applyBorder="1" applyAlignment="1" applyProtection="1">
      <alignment horizontal="center" vertical="center"/>
      <protection locked="0"/>
    </xf>
    <xf numFmtId="3" fontId="11" fillId="5" borderId="82" xfId="0" applyNumberFormat="1" applyFont="1" applyFill="1" applyBorder="1" applyAlignment="1" applyProtection="1">
      <alignment horizontal="center" vertical="center"/>
      <protection locked="0"/>
    </xf>
    <xf numFmtId="175" fontId="11" fillId="5" borderId="56" xfId="0" applyNumberFormat="1" applyFont="1" applyFill="1" applyBorder="1" applyAlignment="1" applyProtection="1">
      <alignment horizontal="center" vertical="center"/>
      <protection locked="0"/>
    </xf>
    <xf numFmtId="0" fontId="11" fillId="5" borderId="31" xfId="0" applyFont="1" applyFill="1" applyBorder="1" applyAlignment="1" applyProtection="1">
      <alignment horizontal="center" vertical="center"/>
      <protection locked="0"/>
    </xf>
    <xf numFmtId="3" fontId="11" fillId="5" borderId="56" xfId="0" applyNumberFormat="1" applyFont="1" applyFill="1" applyBorder="1" applyAlignment="1" applyProtection="1">
      <alignment horizontal="center" vertical="center"/>
      <protection locked="0"/>
    </xf>
    <xf numFmtId="9" fontId="11" fillId="5" borderId="42" xfId="0" applyNumberFormat="1" applyFont="1" applyFill="1" applyBorder="1" applyAlignment="1">
      <alignment horizontal="center" vertical="center" wrapText="1"/>
    </xf>
    <xf numFmtId="9" fontId="11" fillId="5" borderId="43" xfId="1" applyFont="1" applyFill="1" applyBorder="1" applyAlignment="1" applyProtection="1">
      <alignment horizontal="center" vertical="center"/>
      <protection locked="0"/>
    </xf>
    <xf numFmtId="9" fontId="11" fillId="5" borderId="42" xfId="1" applyFont="1" applyFill="1" applyBorder="1" applyAlignment="1" applyProtection="1">
      <alignment horizontal="center" vertical="center"/>
      <protection locked="0"/>
    </xf>
    <xf numFmtId="9" fontId="11" fillId="5" borderId="8" xfId="0" applyNumberFormat="1" applyFont="1" applyFill="1" applyBorder="1" applyAlignment="1">
      <alignment horizontal="center" vertical="center"/>
    </xf>
    <xf numFmtId="9" fontId="11" fillId="5" borderId="33" xfId="0" applyNumberFormat="1" applyFont="1" applyFill="1" applyBorder="1" applyAlignment="1">
      <alignment horizontal="center" vertical="center"/>
    </xf>
    <xf numFmtId="9" fontId="11" fillId="5" borderId="21" xfId="0" applyNumberFormat="1" applyFont="1" applyFill="1" applyBorder="1" applyAlignment="1">
      <alignment horizontal="center" vertical="center"/>
    </xf>
    <xf numFmtId="9" fontId="11" fillId="5" borderId="33" xfId="1" applyFont="1" applyFill="1" applyBorder="1" applyAlignment="1">
      <alignment horizontal="center" vertical="center"/>
    </xf>
    <xf numFmtId="9" fontId="11" fillId="5" borderId="62" xfId="0" applyNumberFormat="1" applyFont="1" applyFill="1" applyBorder="1" applyAlignment="1" applyProtection="1">
      <alignment horizontal="center" vertical="center"/>
      <protection locked="0"/>
    </xf>
    <xf numFmtId="9" fontId="11" fillId="5" borderId="33" xfId="0" applyNumberFormat="1" applyFont="1" applyFill="1" applyBorder="1" applyAlignment="1" applyProtection="1">
      <alignment horizontal="center" vertical="center"/>
      <protection locked="0"/>
    </xf>
    <xf numFmtId="44" fontId="11" fillId="5" borderId="56" xfId="0" applyNumberFormat="1" applyFont="1" applyFill="1" applyBorder="1" applyAlignment="1" applyProtection="1">
      <alignment horizontal="center" vertical="center"/>
      <protection locked="0"/>
    </xf>
    <xf numFmtId="9" fontId="11" fillId="5" borderId="9" xfId="0" applyNumberFormat="1" applyFont="1" applyFill="1" applyBorder="1" applyAlignment="1" applyProtection="1">
      <alignment horizontal="center" vertical="center" wrapText="1"/>
      <protection locked="0"/>
    </xf>
    <xf numFmtId="9" fontId="11" fillId="5" borderId="56" xfId="0" applyNumberFormat="1" applyFont="1" applyFill="1" applyBorder="1" applyAlignment="1" applyProtection="1">
      <alignment horizontal="center" vertical="center"/>
      <protection locked="0"/>
    </xf>
    <xf numFmtId="9" fontId="11" fillId="5" borderId="82" xfId="1" applyFont="1" applyFill="1" applyBorder="1" applyAlignment="1" applyProtection="1">
      <alignment horizontal="center" vertical="center"/>
      <protection locked="0"/>
    </xf>
    <xf numFmtId="9" fontId="11" fillId="5" borderId="92" xfId="1" applyFont="1" applyFill="1" applyBorder="1" applyAlignment="1">
      <alignment horizontal="center" vertical="center" wrapText="1"/>
    </xf>
    <xf numFmtId="9" fontId="11" fillId="5" borderId="60" xfId="1" applyFont="1" applyFill="1" applyBorder="1" applyAlignment="1">
      <alignment horizontal="center" vertical="center"/>
    </xf>
    <xf numFmtId="9" fontId="11" fillId="5" borderId="82" xfId="1" applyFont="1" applyFill="1" applyBorder="1" applyAlignment="1">
      <alignment horizontal="center" vertical="center" wrapText="1"/>
    </xf>
    <xf numFmtId="9" fontId="11" fillId="5" borderId="58" xfId="0" applyNumberFormat="1" applyFont="1" applyFill="1" applyBorder="1" applyAlignment="1" applyProtection="1">
      <alignment horizontal="center" vertical="center"/>
      <protection locked="0"/>
    </xf>
    <xf numFmtId="9" fontId="11" fillId="5" borderId="9" xfId="1" applyFont="1" applyFill="1" applyBorder="1" applyAlignment="1" applyProtection="1">
      <alignment horizontal="center" vertical="center"/>
      <protection locked="0"/>
    </xf>
    <xf numFmtId="9" fontId="11" fillId="5" borderId="12" xfId="1" applyFont="1" applyFill="1" applyBorder="1" applyAlignment="1" applyProtection="1">
      <alignment horizontal="center" vertical="center"/>
      <protection locked="0"/>
    </xf>
    <xf numFmtId="10" fontId="11" fillId="5" borderId="42" xfId="0" applyNumberFormat="1" applyFont="1" applyFill="1" applyBorder="1" applyAlignment="1">
      <alignment horizontal="center" vertical="center" wrapText="1"/>
    </xf>
    <xf numFmtId="9" fontId="11" fillId="5" borderId="34" xfId="1" applyFont="1" applyFill="1" applyBorder="1" applyAlignment="1" applyProtection="1">
      <alignment horizontal="center" vertical="center"/>
      <protection locked="0"/>
    </xf>
    <xf numFmtId="10" fontId="11" fillId="5" borderId="42" xfId="1" applyNumberFormat="1" applyFont="1" applyFill="1" applyBorder="1" applyAlignment="1" applyProtection="1">
      <alignment horizontal="center" vertical="center"/>
      <protection locked="0"/>
    </xf>
    <xf numFmtId="9" fontId="11" fillId="5" borderId="37" xfId="0" applyNumberFormat="1" applyFont="1" applyFill="1" applyBorder="1" applyAlignment="1">
      <alignment horizontal="center" vertical="center" wrapText="1"/>
    </xf>
    <xf numFmtId="9" fontId="11" fillId="5" borderId="21" xfId="0" applyNumberFormat="1" applyFont="1" applyFill="1" applyBorder="1" applyAlignment="1">
      <alignment horizontal="center" vertical="center" wrapText="1"/>
    </xf>
    <xf numFmtId="10" fontId="11" fillId="5" borderId="62" xfId="0" applyNumberFormat="1" applyFont="1" applyFill="1" applyBorder="1" applyAlignment="1" applyProtection="1">
      <alignment horizontal="center" vertical="center"/>
      <protection locked="0"/>
    </xf>
    <xf numFmtId="10" fontId="11" fillId="5" borderId="33" xfId="1" applyNumberFormat="1" applyFont="1" applyFill="1" applyBorder="1" applyAlignment="1" applyProtection="1">
      <alignment horizontal="center" vertical="center" wrapText="1"/>
      <protection locked="0"/>
    </xf>
    <xf numFmtId="10" fontId="11" fillId="5" borderId="56" xfId="0" applyNumberFormat="1" applyFont="1" applyFill="1" applyBorder="1" applyAlignment="1" applyProtection="1">
      <alignment horizontal="center" vertical="center"/>
      <protection locked="0"/>
    </xf>
    <xf numFmtId="10" fontId="11" fillId="5" borderId="56" xfId="1" applyNumberFormat="1" applyFont="1" applyFill="1" applyBorder="1" applyAlignment="1" applyProtection="1">
      <alignment horizontal="center" vertical="center" wrapText="1"/>
      <protection locked="0"/>
    </xf>
    <xf numFmtId="9" fontId="11" fillId="8" borderId="150" xfId="0" applyNumberFormat="1" applyFont="1" applyFill="1" applyBorder="1" applyAlignment="1">
      <alignment horizontal="center" vertical="center"/>
    </xf>
    <xf numFmtId="10" fontId="11" fillId="5" borderId="58" xfId="0" applyNumberFormat="1" applyFont="1" applyFill="1" applyBorder="1" applyAlignment="1" applyProtection="1">
      <alignment horizontal="center" vertical="center"/>
      <protection locked="0"/>
    </xf>
    <xf numFmtId="170" fontId="11" fillId="5" borderId="42" xfId="0" applyNumberFormat="1" applyFont="1" applyFill="1" applyBorder="1" applyAlignment="1">
      <alignment horizontal="center" vertical="center" wrapText="1"/>
    </xf>
    <xf numFmtId="178" fontId="11" fillId="5" borderId="42" xfId="0" applyNumberFormat="1" applyFont="1" applyFill="1" applyBorder="1" applyAlignment="1" applyProtection="1">
      <alignment horizontal="center" vertical="center"/>
      <protection locked="0"/>
    </xf>
    <xf numFmtId="170" fontId="11" fillId="5" borderId="62" xfId="0" applyNumberFormat="1" applyFont="1" applyFill="1" applyBorder="1" applyAlignment="1" applyProtection="1">
      <alignment horizontal="center" vertical="center"/>
      <protection locked="0"/>
    </xf>
    <xf numFmtId="4" fontId="11" fillId="5" borderId="42" xfId="0" applyNumberFormat="1" applyFont="1" applyFill="1" applyBorder="1" applyAlignment="1" applyProtection="1">
      <alignment horizontal="center" vertical="center"/>
      <protection locked="0"/>
    </xf>
    <xf numFmtId="2" fontId="11" fillId="5" borderId="12" xfId="0" applyNumberFormat="1" applyFont="1" applyFill="1" applyBorder="1" applyAlignment="1" applyProtection="1">
      <alignment horizontal="center" vertical="center"/>
      <protection locked="0"/>
    </xf>
    <xf numFmtId="170" fontId="11" fillId="5" borderId="56" xfId="0" applyNumberFormat="1" applyFont="1" applyFill="1" applyBorder="1" applyAlignment="1" applyProtection="1">
      <alignment horizontal="center" vertical="center"/>
      <protection locked="0"/>
    </xf>
    <xf numFmtId="9" fontId="11" fillId="5" borderId="92" xfId="0" applyNumberFormat="1" applyFont="1" applyFill="1" applyBorder="1" applyAlignment="1">
      <alignment horizontal="center" vertical="center" wrapText="1"/>
    </xf>
    <xf numFmtId="9" fontId="11" fillId="5" borderId="110" xfId="0" applyNumberFormat="1" applyFont="1" applyFill="1" applyBorder="1" applyAlignment="1">
      <alignment horizontal="center" vertical="center" wrapText="1"/>
    </xf>
    <xf numFmtId="37" fontId="11" fillId="5" borderId="80" xfId="0" applyNumberFormat="1" applyFont="1" applyFill="1" applyBorder="1" applyAlignment="1">
      <alignment horizontal="center" vertical="center"/>
    </xf>
    <xf numFmtId="9" fontId="11" fillId="5" borderId="80" xfId="0" applyNumberFormat="1" applyFont="1" applyFill="1" applyBorder="1" applyAlignment="1" applyProtection="1">
      <alignment horizontal="center" vertical="center"/>
      <protection locked="0"/>
    </xf>
    <xf numFmtId="165" fontId="11" fillId="5" borderId="12" xfId="1" applyNumberFormat="1" applyFont="1" applyFill="1" applyBorder="1" applyAlignment="1">
      <alignment horizontal="center" vertical="center"/>
    </xf>
    <xf numFmtId="0" fontId="11" fillId="5" borderId="48" xfId="0" applyFont="1" applyFill="1" applyBorder="1" applyAlignment="1">
      <alignment horizontal="center" vertical="center"/>
    </xf>
    <xf numFmtId="9" fontId="11" fillId="5" borderId="12" xfId="0" applyNumberFormat="1" applyFont="1" applyFill="1" applyBorder="1" applyAlignment="1">
      <alignment horizontal="center" vertical="center" wrapText="1"/>
    </xf>
    <xf numFmtId="9" fontId="11" fillId="5" borderId="73" xfId="0" applyNumberFormat="1" applyFont="1" applyFill="1" applyBorder="1" applyAlignment="1">
      <alignment horizontal="center" vertical="center" wrapText="1"/>
    </xf>
    <xf numFmtId="10" fontId="11" fillId="5" borderId="56" xfId="1" applyNumberFormat="1" applyFont="1" applyFill="1" applyBorder="1" applyAlignment="1" applyProtection="1">
      <alignment horizontal="center" vertical="center"/>
      <protection locked="0"/>
    </xf>
    <xf numFmtId="0" fontId="11" fillId="5" borderId="96" xfId="0" applyFont="1" applyFill="1" applyBorder="1" applyAlignment="1">
      <alignment horizontal="center" vertical="center"/>
    </xf>
    <xf numFmtId="37" fontId="11" fillId="5" borderId="96" xfId="0" applyNumberFormat="1" applyFont="1" applyFill="1" applyBorder="1" applyAlignment="1">
      <alignment horizontal="center" vertical="center"/>
    </xf>
    <xf numFmtId="37" fontId="11" fillId="5" borderId="79" xfId="0" applyNumberFormat="1" applyFont="1" applyFill="1" applyBorder="1" applyAlignment="1">
      <alignment horizontal="center" vertical="center"/>
    </xf>
    <xf numFmtId="37" fontId="11" fillId="5" borderId="151" xfId="0" applyNumberFormat="1" applyFont="1" applyFill="1" applyBorder="1" applyAlignment="1">
      <alignment horizontal="center" vertical="center"/>
    </xf>
    <xf numFmtId="9" fontId="11" fillId="5" borderId="42" xfId="0" applyNumberFormat="1" applyFont="1" applyFill="1" applyBorder="1" applyAlignment="1">
      <alignment horizontal="center" vertical="center"/>
    </xf>
    <xf numFmtId="3" fontId="11" fillId="5" borderId="59" xfId="0" applyNumberFormat="1" applyFont="1" applyFill="1" applyBorder="1" applyAlignment="1">
      <alignment horizontal="center" vertical="center" wrapText="1"/>
    </xf>
    <xf numFmtId="4" fontId="11" fillId="5" borderId="58" xfId="0" applyNumberFormat="1" applyFont="1" applyFill="1" applyBorder="1" applyAlignment="1">
      <alignment horizontal="center" vertical="center" wrapText="1"/>
    </xf>
    <xf numFmtId="174" fontId="11" fillId="5" borderId="58" xfId="8" applyNumberFormat="1" applyFont="1" applyFill="1" applyBorder="1" applyAlignment="1">
      <alignment horizontal="center" vertical="center"/>
    </xf>
    <xf numFmtId="37" fontId="11" fillId="5" borderId="61" xfId="3" applyNumberFormat="1" applyFont="1" applyFill="1" applyBorder="1" applyAlignment="1" applyProtection="1">
      <alignment horizontal="center" vertical="center"/>
      <protection locked="0"/>
    </xf>
    <xf numFmtId="174" fontId="11" fillId="5" borderId="58" xfId="0" applyNumberFormat="1" applyFont="1" applyFill="1" applyBorder="1" applyAlignment="1" applyProtection="1">
      <alignment horizontal="center" vertical="center"/>
      <protection locked="0"/>
    </xf>
    <xf numFmtId="0" fontId="11" fillId="5" borderId="70" xfId="0" applyFont="1" applyFill="1" applyBorder="1" applyAlignment="1">
      <alignment horizontal="center" vertical="center"/>
    </xf>
    <xf numFmtId="174" fontId="11" fillId="5" borderId="58" xfId="8" applyNumberFormat="1" applyFont="1" applyFill="1" applyBorder="1" applyAlignment="1" applyProtection="1">
      <alignment horizontal="center" vertical="center"/>
      <protection locked="0"/>
    </xf>
    <xf numFmtId="37" fontId="11" fillId="5" borderId="72" xfId="3" applyNumberFormat="1" applyFont="1" applyFill="1" applyBorder="1" applyAlignment="1" applyProtection="1">
      <alignment horizontal="center" vertical="center"/>
      <protection locked="0"/>
    </xf>
    <xf numFmtId="43" fontId="11" fillId="5" borderId="56" xfId="8" applyFont="1" applyFill="1" applyBorder="1" applyAlignment="1" applyProtection="1">
      <alignment horizontal="center" vertical="center"/>
      <protection locked="0"/>
    </xf>
    <xf numFmtId="3" fontId="11" fillId="5" borderId="58" xfId="0" applyNumberFormat="1" applyFont="1" applyFill="1" applyBorder="1" applyAlignment="1" applyProtection="1">
      <alignment horizontal="center" vertical="center" wrapText="1"/>
      <protection locked="0"/>
    </xf>
    <xf numFmtId="0" fontId="11" fillId="5" borderId="61" xfId="0" applyFont="1" applyFill="1" applyBorder="1" applyAlignment="1">
      <alignment horizontal="center" vertical="center"/>
    </xf>
    <xf numFmtId="4" fontId="37" fillId="5" borderId="58" xfId="0" applyNumberFormat="1" applyFont="1" applyFill="1" applyBorder="1" applyAlignment="1">
      <alignment horizontal="center" vertical="center"/>
    </xf>
    <xf numFmtId="37" fontId="23" fillId="5" borderId="56" xfId="0" applyNumberFormat="1" applyFont="1" applyFill="1" applyBorder="1" applyAlignment="1">
      <alignment horizontal="center" vertical="center"/>
    </xf>
    <xf numFmtId="37" fontId="11" fillId="5" borderId="72" xfId="0" applyNumberFormat="1" applyFont="1" applyFill="1" applyBorder="1" applyAlignment="1">
      <alignment horizontal="center" vertical="center"/>
    </xf>
    <xf numFmtId="164" fontId="11" fillId="5" borderId="56" xfId="0" applyNumberFormat="1" applyFont="1" applyFill="1" applyBorder="1" applyAlignment="1" applyProtection="1">
      <alignment horizontal="right" vertical="center"/>
      <protection locked="0"/>
    </xf>
    <xf numFmtId="0" fontId="11" fillId="5" borderId="56" xfId="0" applyFont="1" applyFill="1" applyBorder="1" applyAlignment="1" applyProtection="1">
      <alignment horizontal="right" vertical="center"/>
      <protection locked="0"/>
    </xf>
    <xf numFmtId="10" fontId="11" fillId="5" borderId="63" xfId="0" applyNumberFormat="1" applyFont="1" applyFill="1" applyBorder="1" applyAlignment="1">
      <alignment horizontal="center" vertical="center"/>
    </xf>
    <xf numFmtId="0" fontId="11" fillId="5" borderId="63" xfId="0" applyFont="1" applyFill="1" applyBorder="1" applyAlignment="1">
      <alignment horizontal="center" vertical="center"/>
    </xf>
    <xf numFmtId="0" fontId="37" fillId="5" borderId="56" xfId="0" applyFont="1" applyFill="1" applyBorder="1" applyAlignment="1">
      <alignment horizontal="center" vertical="center"/>
    </xf>
    <xf numFmtId="3" fontId="11" fillId="5" borderId="42" xfId="0" applyNumberFormat="1" applyFont="1" applyFill="1" applyBorder="1" applyAlignment="1">
      <alignment horizontal="center" vertical="center" wrapText="1"/>
    </xf>
    <xf numFmtId="10" fontId="20" fillId="11" borderId="0" xfId="0" applyNumberFormat="1" applyFont="1" applyFill="1" applyBorder="1"/>
    <xf numFmtId="0" fontId="20" fillId="11" borderId="0" xfId="0" applyFont="1" applyFill="1" applyBorder="1"/>
    <xf numFmtId="0" fontId="21" fillId="11" borderId="0" xfId="0" applyFont="1" applyFill="1" applyBorder="1"/>
    <xf numFmtId="0" fontId="21" fillId="11" borderId="21" xfId="0" applyFont="1" applyFill="1" applyBorder="1"/>
    <xf numFmtId="164" fontId="11" fillId="5" borderId="12" xfId="0" applyNumberFormat="1" applyFont="1" applyFill="1" applyBorder="1" applyAlignment="1">
      <alignment vertical="center"/>
    </xf>
    <xf numFmtId="3" fontId="11" fillId="5" borderId="16" xfId="0" applyNumberFormat="1" applyFont="1" applyFill="1" applyBorder="1" applyAlignment="1">
      <alignment horizontal="center" vertical="center" wrapText="1"/>
    </xf>
    <xf numFmtId="0" fontId="20" fillId="11" borderId="17" xfId="0" applyFont="1" applyFill="1" applyBorder="1"/>
    <xf numFmtId="0" fontId="21" fillId="11" borderId="17" xfId="0" applyFont="1" applyFill="1" applyBorder="1"/>
    <xf numFmtId="0" fontId="23" fillId="11" borderId="52" xfId="0" applyFont="1" applyFill="1" applyBorder="1" applyAlignment="1">
      <alignment horizontal="right"/>
    </xf>
    <xf numFmtId="165" fontId="17" fillId="18" borderId="25" xfId="10" applyNumberFormat="1" applyFont="1" applyFill="1" applyBorder="1" applyAlignment="1">
      <alignment vertical="center"/>
    </xf>
    <xf numFmtId="165" fontId="7" fillId="18" borderId="25" xfId="10" applyNumberFormat="1" applyFont="1" applyFill="1" applyBorder="1" applyAlignment="1">
      <alignment vertical="center"/>
    </xf>
    <xf numFmtId="165" fontId="17" fillId="11" borderId="12" xfId="10" applyNumberFormat="1" applyFont="1" applyFill="1" applyBorder="1" applyAlignment="1">
      <alignment vertical="center"/>
    </xf>
    <xf numFmtId="165" fontId="7" fillId="11" borderId="12" xfId="10" applyNumberFormat="1" applyFont="1" applyFill="1" applyBorder="1" applyAlignment="1">
      <alignment vertical="center"/>
    </xf>
    <xf numFmtId="10" fontId="7" fillId="11" borderId="12" xfId="10" applyNumberFormat="1" applyFont="1" applyFill="1" applyBorder="1" applyAlignment="1">
      <alignment vertical="center"/>
    </xf>
    <xf numFmtId="0" fontId="15" fillId="5" borderId="12" xfId="10" applyFont="1" applyFill="1" applyBorder="1" applyAlignment="1">
      <alignment horizontal="center" vertical="center" wrapText="1"/>
    </xf>
    <xf numFmtId="0" fontId="15" fillId="5" borderId="16" xfId="10" applyFont="1" applyFill="1" applyBorder="1" applyAlignment="1">
      <alignment horizontal="center" vertical="center" wrapText="1"/>
    </xf>
    <xf numFmtId="0" fontId="15" fillId="5" borderId="26" xfId="10" applyFont="1" applyFill="1" applyBorder="1" applyAlignment="1">
      <alignment horizontal="center" vertical="center" wrapText="1"/>
    </xf>
    <xf numFmtId="0" fontId="15" fillId="5" borderId="31" xfId="10" applyFont="1" applyFill="1" applyBorder="1" applyAlignment="1">
      <alignment horizontal="center" vertical="center" wrapText="1"/>
    </xf>
    <xf numFmtId="10" fontId="17" fillId="11" borderId="12" xfId="10" applyNumberFormat="1" applyFont="1" applyFill="1" applyBorder="1" applyAlignment="1">
      <alignment vertical="center"/>
    </xf>
    <xf numFmtId="0" fontId="15" fillId="5" borderId="56" xfId="10" applyFont="1" applyFill="1" applyBorder="1" applyAlignment="1">
      <alignment horizontal="center" vertical="center" wrapText="1"/>
    </xf>
    <xf numFmtId="0" fontId="15" fillId="5" borderId="63" xfId="10" applyFont="1" applyFill="1" applyBorder="1" applyAlignment="1">
      <alignment horizontal="center" vertical="center" wrapText="1"/>
    </xf>
    <xf numFmtId="0" fontId="15" fillId="19" borderId="32" xfId="10" applyFont="1" applyFill="1" applyBorder="1" applyAlignment="1">
      <alignment horizontal="center" vertical="center" wrapText="1"/>
    </xf>
    <xf numFmtId="0" fontId="12" fillId="19" borderId="32" xfId="10" applyFont="1" applyFill="1" applyBorder="1" applyAlignment="1">
      <alignment horizontal="center" vertical="center" wrapText="1"/>
    </xf>
    <xf numFmtId="9" fontId="12" fillId="19" borderId="32" xfId="10" applyNumberFormat="1" applyFont="1" applyFill="1" applyBorder="1" applyAlignment="1">
      <alignment horizontal="center" vertical="center" wrapText="1"/>
    </xf>
    <xf numFmtId="10" fontId="12" fillId="19" borderId="32" xfId="10" applyNumberFormat="1" applyFont="1" applyFill="1" applyBorder="1" applyAlignment="1">
      <alignment horizontal="center" vertical="center" wrapText="1"/>
    </xf>
    <xf numFmtId="0" fontId="12" fillId="19" borderId="51" xfId="10" applyFont="1" applyFill="1" applyBorder="1" applyAlignment="1">
      <alignment horizontal="left" vertical="center" wrapText="1"/>
    </xf>
    <xf numFmtId="0" fontId="7" fillId="0" borderId="56" xfId="0" applyFont="1" applyFill="1" applyBorder="1"/>
    <xf numFmtId="176" fontId="14" fillId="0" borderId="56" xfId="0" applyNumberFormat="1" applyFont="1" applyFill="1" applyBorder="1" applyAlignment="1">
      <alignment horizontal="left" vertical="center" wrapText="1"/>
    </xf>
    <xf numFmtId="3" fontId="14" fillId="0" borderId="56" xfId="0" applyNumberFormat="1" applyFont="1" applyFill="1" applyBorder="1" applyAlignment="1">
      <alignment horizontal="center" vertical="center" wrapText="1"/>
    </xf>
    <xf numFmtId="0" fontId="7" fillId="5" borderId="56" xfId="0" applyFont="1" applyFill="1" applyBorder="1"/>
    <xf numFmtId="3" fontId="14" fillId="0" borderId="58" xfId="0" applyNumberFormat="1" applyFont="1" applyFill="1" applyBorder="1" applyAlignment="1">
      <alignment horizontal="center" vertical="center" wrapText="1"/>
    </xf>
    <xf numFmtId="0" fontId="7" fillId="0" borderId="63" xfId="0" applyFont="1" applyFill="1" applyBorder="1"/>
    <xf numFmtId="176" fontId="14" fillId="0" borderId="56" xfId="0" applyNumberFormat="1" applyFont="1" applyFill="1" applyBorder="1" applyAlignment="1">
      <alignment horizontal="center" vertical="center" wrapText="1"/>
    </xf>
    <xf numFmtId="0" fontId="7" fillId="0" borderId="0" xfId="0" applyFont="1" applyAlignment="1"/>
    <xf numFmtId="0" fontId="14" fillId="5" borderId="56"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6" xfId="24" applyFont="1" applyFill="1" applyBorder="1"/>
    <xf numFmtId="0" fontId="14" fillId="0" borderId="63" xfId="24" applyFont="1" applyFill="1" applyBorder="1"/>
    <xf numFmtId="3" fontId="14" fillId="0" borderId="63" xfId="0" applyNumberFormat="1" applyFont="1" applyFill="1" applyBorder="1" applyAlignment="1">
      <alignment horizontal="center" vertical="center" wrapText="1"/>
    </xf>
    <xf numFmtId="0" fontId="7" fillId="5" borderId="63" xfId="0" applyFont="1" applyFill="1" applyBorder="1"/>
    <xf numFmtId="3" fontId="14" fillId="5" borderId="63" xfId="0" applyNumberFormat="1" applyFont="1" applyFill="1" applyBorder="1" applyAlignment="1">
      <alignment horizontal="center" vertical="center" wrapText="1"/>
    </xf>
    <xf numFmtId="3" fontId="14" fillId="5" borderId="62" xfId="0" applyNumberFormat="1" applyFont="1" applyFill="1" applyBorder="1" applyAlignment="1">
      <alignment horizontal="center" vertical="center" wrapText="1"/>
    </xf>
    <xf numFmtId="3" fontId="14" fillId="5" borderId="56" xfId="0" applyNumberFormat="1" applyFont="1" applyFill="1" applyBorder="1" applyAlignment="1">
      <alignment horizontal="center" vertical="center" wrapText="1"/>
    </xf>
    <xf numFmtId="3" fontId="14" fillId="5" borderId="56" xfId="24" applyNumberFormat="1" applyFont="1" applyFill="1" applyBorder="1" applyAlignment="1">
      <alignment horizontal="center" vertical="center" wrapText="1"/>
    </xf>
    <xf numFmtId="0" fontId="14" fillId="5" borderId="56" xfId="24" applyFont="1" applyFill="1" applyBorder="1"/>
    <xf numFmtId="176" fontId="14" fillId="5" borderId="56" xfId="0" applyNumberFormat="1" applyFont="1" applyFill="1" applyBorder="1" applyAlignment="1">
      <alignment horizontal="left" vertical="center" wrapText="1"/>
    </xf>
    <xf numFmtId="176" fontId="14" fillId="5" borderId="56" xfId="24" applyNumberFormat="1" applyFont="1" applyFill="1" applyBorder="1" applyAlignment="1">
      <alignment horizontal="left" vertical="center" wrapText="1"/>
    </xf>
    <xf numFmtId="0" fontId="14" fillId="5" borderId="56" xfId="24" applyFont="1" applyFill="1" applyBorder="1" applyAlignment="1">
      <alignment horizontal="center"/>
    </xf>
    <xf numFmtId="3" fontId="14" fillId="0" borderId="56" xfId="24" applyNumberFormat="1" applyFont="1" applyFill="1" applyBorder="1" applyAlignment="1">
      <alignment horizontal="center" vertical="center" wrapText="1"/>
    </xf>
    <xf numFmtId="3" fontId="14" fillId="0" borderId="56" xfId="0" applyNumberFormat="1" applyFont="1" applyFill="1" applyBorder="1" applyAlignment="1">
      <alignment horizontal="center" vertical="center"/>
    </xf>
    <xf numFmtId="3" fontId="14" fillId="0" borderId="62" xfId="0" applyNumberFormat="1" applyFont="1" applyFill="1" applyBorder="1" applyAlignment="1">
      <alignment horizontal="center" vertical="center" wrapText="1"/>
    </xf>
    <xf numFmtId="4" fontId="14" fillId="0" borderId="56" xfId="24" applyNumberFormat="1" applyFont="1" applyFill="1" applyBorder="1" applyAlignment="1">
      <alignment horizontal="center" vertical="center" wrapText="1"/>
    </xf>
    <xf numFmtId="3" fontId="14" fillId="0" borderId="62" xfId="24" applyNumberFormat="1" applyFont="1" applyFill="1" applyBorder="1" applyAlignment="1">
      <alignment horizontal="center" vertical="center" wrapText="1"/>
    </xf>
    <xf numFmtId="176" fontId="14" fillId="0" borderId="56" xfId="24" applyNumberFormat="1" applyFont="1" applyFill="1" applyBorder="1" applyAlignment="1">
      <alignment horizontal="left" vertical="center" wrapText="1"/>
    </xf>
    <xf numFmtId="3" fontId="14" fillId="5" borderId="58" xfId="0" applyNumberFormat="1" applyFont="1" applyFill="1" applyBorder="1" applyAlignment="1">
      <alignment horizontal="center" vertical="center" wrapText="1"/>
    </xf>
    <xf numFmtId="176" fontId="14" fillId="5" borderId="56" xfId="0" applyNumberFormat="1" applyFont="1" applyFill="1" applyBorder="1" applyAlignment="1">
      <alignment horizontal="center" vertical="center" wrapText="1"/>
    </xf>
    <xf numFmtId="4" fontId="14" fillId="5" borderId="56" xfId="0" applyNumberFormat="1" applyFont="1" applyFill="1" applyBorder="1" applyAlignment="1">
      <alignment horizontal="center" vertical="center" wrapText="1"/>
    </xf>
    <xf numFmtId="1" fontId="14" fillId="5" borderId="56" xfId="0" applyNumberFormat="1" applyFont="1" applyFill="1" applyBorder="1" applyAlignment="1">
      <alignment horizontal="center" vertical="center" wrapText="1"/>
    </xf>
    <xf numFmtId="4" fontId="14" fillId="0" borderId="56" xfId="0" applyNumberFormat="1" applyFont="1" applyFill="1" applyBorder="1" applyAlignment="1">
      <alignment horizontal="center" vertical="center" wrapText="1"/>
    </xf>
    <xf numFmtId="3" fontId="14" fillId="0" borderId="64" xfId="0" applyNumberFormat="1"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0" borderId="63" xfId="0" applyFont="1" applyFill="1" applyBorder="1" applyAlignment="1">
      <alignment horizontal="center" vertical="center" wrapText="1"/>
    </xf>
    <xf numFmtId="3" fontId="14" fillId="5" borderId="56" xfId="0" applyNumberFormat="1" applyFont="1" applyFill="1" applyBorder="1" applyAlignment="1">
      <alignment vertical="center" wrapText="1"/>
    </xf>
    <xf numFmtId="43" fontId="14" fillId="0" borderId="63" xfId="0" applyNumberFormat="1" applyFont="1" applyFill="1" applyBorder="1" applyAlignment="1">
      <alignment horizontal="center" vertical="center" wrapText="1"/>
    </xf>
    <xf numFmtId="44" fontId="14" fillId="0" borderId="59" xfId="12" applyFont="1" applyFill="1" applyBorder="1" applyAlignment="1">
      <alignment horizontal="center" vertical="center" wrapText="1"/>
    </xf>
    <xf numFmtId="3" fontId="14" fillId="5" borderId="58" xfId="24" applyNumberFormat="1" applyFont="1" applyFill="1" applyBorder="1" applyAlignment="1">
      <alignment horizontal="center" vertical="center" wrapText="1"/>
    </xf>
    <xf numFmtId="3" fontId="14" fillId="5" borderId="59" xfId="0" applyNumberFormat="1" applyFont="1" applyFill="1" applyBorder="1" applyAlignment="1">
      <alignment horizontal="center" vertical="center" wrapText="1"/>
    </xf>
    <xf numFmtId="166" fontId="14" fillId="5" borderId="58" xfId="0" applyNumberFormat="1" applyFont="1" applyFill="1" applyBorder="1" applyAlignment="1">
      <alignment horizontal="center" vertical="center" wrapText="1"/>
    </xf>
    <xf numFmtId="4" fontId="14" fillId="5" borderId="58" xfId="0" applyNumberFormat="1" applyFont="1" applyFill="1" applyBorder="1" applyAlignment="1">
      <alignment horizontal="center" vertical="center" wrapText="1"/>
    </xf>
    <xf numFmtId="0" fontId="14" fillId="5" borderId="56" xfId="0" applyNumberFormat="1" applyFont="1" applyFill="1" applyBorder="1" applyAlignment="1">
      <alignment horizontal="center" vertical="center" wrapText="1"/>
    </xf>
    <xf numFmtId="174" fontId="14" fillId="5" borderId="56" xfId="8" applyNumberFormat="1" applyFont="1" applyFill="1" applyBorder="1" applyAlignment="1">
      <alignment horizontal="center" vertical="center" wrapText="1"/>
    </xf>
    <xf numFmtId="176" fontId="14" fillId="5" borderId="62" xfId="0" applyNumberFormat="1" applyFont="1" applyFill="1" applyBorder="1" applyAlignment="1">
      <alignment horizontal="center" vertical="center" wrapText="1"/>
    </xf>
    <xf numFmtId="3" fontId="14" fillId="5" borderId="57" xfId="0" applyNumberFormat="1" applyFont="1" applyFill="1" applyBorder="1" applyAlignment="1">
      <alignment horizontal="center" vertical="center" wrapText="1"/>
    </xf>
    <xf numFmtId="3" fontId="14" fillId="5" borderId="65" xfId="0" applyNumberFormat="1" applyFont="1" applyFill="1" applyBorder="1" applyAlignment="1">
      <alignment horizontal="center" vertical="center" wrapText="1"/>
    </xf>
    <xf numFmtId="166" fontId="14" fillId="5" borderId="58" xfId="24" applyNumberFormat="1" applyFont="1" applyFill="1" applyBorder="1" applyAlignment="1">
      <alignment horizontal="center" vertical="center" wrapText="1"/>
    </xf>
    <xf numFmtId="4" fontId="14" fillId="5" borderId="59" xfId="0" applyNumberFormat="1" applyFont="1" applyFill="1" applyBorder="1" applyAlignment="1">
      <alignment horizontal="center" vertical="center" wrapText="1"/>
    </xf>
    <xf numFmtId="1" fontId="14" fillId="5" borderId="63" xfId="0" applyNumberFormat="1" applyFont="1" applyFill="1" applyBorder="1" applyAlignment="1">
      <alignment horizontal="center" vertical="center" wrapText="1"/>
    </xf>
    <xf numFmtId="170" fontId="14" fillId="5" borderId="58" xfId="0" applyNumberFormat="1" applyFont="1" applyFill="1" applyBorder="1" applyAlignment="1">
      <alignment horizontal="center" vertical="center" wrapText="1"/>
    </xf>
    <xf numFmtId="0" fontId="14" fillId="5" borderId="119" xfId="0" applyFont="1" applyFill="1" applyBorder="1" applyAlignment="1">
      <alignment vertical="center" wrapText="1"/>
    </xf>
    <xf numFmtId="0" fontId="14" fillId="5" borderId="56" xfId="0" applyFont="1" applyFill="1" applyBorder="1" applyAlignment="1">
      <alignment vertical="center" wrapText="1"/>
    </xf>
    <xf numFmtId="0" fontId="14" fillId="5" borderId="120" xfId="0" applyFont="1" applyFill="1" applyBorder="1" applyAlignment="1">
      <alignment vertical="center" wrapText="1"/>
    </xf>
    <xf numFmtId="0" fontId="14" fillId="5" borderId="63" xfId="0" applyFont="1" applyFill="1" applyBorder="1" applyAlignment="1">
      <alignment vertical="center" wrapText="1"/>
    </xf>
    <xf numFmtId="43" fontId="14" fillId="5" borderId="58" xfId="0" applyNumberFormat="1" applyFont="1" applyFill="1" applyBorder="1" applyAlignment="1">
      <alignment vertical="center" wrapText="1"/>
    </xf>
    <xf numFmtId="43" fontId="14" fillId="5" borderId="58" xfId="8" applyFont="1" applyFill="1" applyBorder="1" applyAlignment="1">
      <alignment horizontal="center" vertical="center" wrapText="1"/>
    </xf>
    <xf numFmtId="170" fontId="14" fillId="5" borderId="58" xfId="0" applyNumberFormat="1" applyFont="1" applyFill="1" applyBorder="1" applyAlignment="1">
      <alignment vertical="center" wrapText="1"/>
    </xf>
    <xf numFmtId="174" fontId="14" fillId="5" borderId="56" xfId="8" applyNumberFormat="1" applyFont="1" applyFill="1" applyBorder="1"/>
    <xf numFmtId="0" fontId="38" fillId="0" borderId="14" xfId="0" applyFont="1" applyBorder="1" applyAlignment="1">
      <alignment horizontal="right"/>
    </xf>
    <xf numFmtId="0" fontId="13" fillId="0" borderId="17" xfId="0" applyFont="1" applyBorder="1" applyAlignment="1">
      <alignment horizontal="right"/>
    </xf>
    <xf numFmtId="0" fontId="13" fillId="0" borderId="52" xfId="0" applyFont="1" applyBorder="1" applyAlignment="1">
      <alignment horizontal="right"/>
    </xf>
    <xf numFmtId="0" fontId="11" fillId="4" borderId="26" xfId="0" applyFont="1" applyFill="1" applyBorder="1" applyAlignment="1">
      <alignment horizontal="center" vertical="center" wrapText="1"/>
    </xf>
    <xf numFmtId="0" fontId="7" fillId="7" borderId="33" xfId="0" applyFont="1" applyFill="1" applyBorder="1"/>
    <xf numFmtId="0" fontId="11" fillId="4" borderId="4" xfId="0" applyFont="1" applyFill="1" applyBorder="1" applyAlignment="1">
      <alignment horizontal="center" vertical="center" wrapText="1"/>
    </xf>
    <xf numFmtId="0" fontId="7" fillId="0" borderId="4" xfId="0" applyFont="1" applyBorder="1"/>
    <xf numFmtId="0" fontId="7" fillId="0" borderId="27" xfId="0" applyFont="1" applyBorder="1"/>
    <xf numFmtId="0" fontId="7" fillId="0" borderId="33" xfId="0" applyFont="1" applyBorder="1"/>
    <xf numFmtId="0" fontId="11" fillId="4" borderId="31" xfId="0" applyFont="1" applyFill="1" applyBorder="1" applyAlignment="1">
      <alignment horizontal="center" vertical="center" wrapText="1"/>
    </xf>
    <xf numFmtId="0" fontId="7" fillId="0" borderId="43" xfId="0" applyFont="1" applyBorder="1"/>
    <xf numFmtId="0" fontId="11" fillId="5" borderId="98" xfId="0" applyFont="1" applyFill="1" applyBorder="1" applyAlignment="1">
      <alignment horizontal="center" vertical="center" wrapText="1"/>
    </xf>
    <xf numFmtId="0" fontId="7" fillId="5" borderId="38" xfId="0" applyFont="1" applyFill="1" applyBorder="1"/>
    <xf numFmtId="0" fontId="7" fillId="5" borderId="7" xfId="0" applyFont="1" applyFill="1" applyBorder="1"/>
    <xf numFmtId="0" fontId="7" fillId="5" borderId="102" xfId="0" applyFont="1" applyFill="1" applyBorder="1"/>
    <xf numFmtId="0" fontId="11" fillId="7" borderId="56" xfId="0" applyFont="1" applyFill="1" applyBorder="1" applyAlignment="1">
      <alignment horizontal="center" vertical="center" wrapText="1"/>
    </xf>
    <xf numFmtId="0" fontId="11" fillId="4" borderId="56" xfId="0" applyFont="1" applyFill="1" applyBorder="1" applyAlignment="1">
      <alignment horizontal="center" vertical="center" wrapText="1"/>
    </xf>
    <xf numFmtId="0" fontId="7" fillId="0" borderId="56" xfId="0" applyFont="1" applyBorder="1"/>
    <xf numFmtId="0" fontId="11" fillId="4" borderId="29" xfId="0" applyFont="1" applyFill="1" applyBorder="1" applyAlignment="1">
      <alignment horizontal="center" vertical="center" wrapText="1"/>
    </xf>
    <xf numFmtId="0" fontId="7" fillId="0" borderId="35" xfId="0" applyFont="1" applyBorder="1"/>
    <xf numFmtId="0" fontId="11" fillId="5" borderId="99" xfId="0" applyFont="1" applyFill="1" applyBorder="1" applyAlignment="1">
      <alignment horizontal="center" vertical="center"/>
    </xf>
    <xf numFmtId="0" fontId="7" fillId="5" borderId="100" xfId="0" applyFont="1" applyFill="1" applyBorder="1"/>
    <xf numFmtId="0" fontId="7" fillId="5" borderId="101" xfId="0" applyFont="1" applyFill="1" applyBorder="1"/>
    <xf numFmtId="0" fontId="11" fillId="8" borderId="18" xfId="0" applyFont="1" applyFill="1" applyBorder="1" applyAlignment="1">
      <alignment horizontal="center" vertical="center" wrapText="1"/>
    </xf>
    <xf numFmtId="0" fontId="7" fillId="5" borderId="19" xfId="0" applyFont="1" applyFill="1" applyBorder="1"/>
    <xf numFmtId="0" fontId="7" fillId="5" borderId="22" xfId="0" applyFont="1" applyFill="1" applyBorder="1"/>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0" borderId="19" xfId="0" applyFont="1" applyBorder="1"/>
    <xf numFmtId="0" fontId="7" fillId="0" borderId="20" xfId="0" applyFont="1" applyBorder="1"/>
    <xf numFmtId="0" fontId="11" fillId="4" borderId="9" xfId="0" applyFont="1" applyFill="1" applyBorder="1" applyAlignment="1">
      <alignment horizontal="center" vertical="center"/>
    </xf>
    <xf numFmtId="0" fontId="7" fillId="0" borderId="10" xfId="0" applyFont="1" applyBorder="1"/>
    <xf numFmtId="0" fontId="7" fillId="0" borderId="13" xfId="0" applyFont="1" applyBorder="1"/>
    <xf numFmtId="0" fontId="11" fillId="4" borderId="53"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56" xfId="0" applyFont="1" applyFill="1" applyBorder="1" applyAlignment="1">
      <alignment horizontal="center" vertical="center"/>
    </xf>
    <xf numFmtId="0" fontId="11" fillId="0" borderId="1" xfId="0" applyFont="1" applyBorder="1" applyAlignment="1">
      <alignment horizontal="center"/>
    </xf>
    <xf numFmtId="0" fontId="11" fillId="0" borderId="6" xfId="0" applyFont="1" applyBorder="1" applyAlignment="1">
      <alignment horizontal="center"/>
    </xf>
    <xf numFmtId="0" fontId="7" fillId="0" borderId="6" xfId="0" applyFont="1" applyBorder="1"/>
    <xf numFmtId="0" fontId="7" fillId="0" borderId="2" xfId="0" applyFont="1" applyBorder="1"/>
    <xf numFmtId="0" fontId="7" fillId="0" borderId="7" xfId="0" applyFont="1" applyBorder="1"/>
    <xf numFmtId="0" fontId="7" fillId="0" borderId="0" xfId="0" applyFont="1" applyBorder="1"/>
    <xf numFmtId="0" fontId="0" fillId="0" borderId="0" xfId="0" applyFont="1" applyAlignment="1"/>
    <xf numFmtId="0" fontId="7" fillId="0" borderId="8" xfId="0" applyFont="1" applyBorder="1"/>
    <xf numFmtId="0" fontId="11" fillId="4" borderId="33" xfId="0" applyFont="1" applyFill="1" applyBorder="1" applyAlignment="1">
      <alignment horizontal="center" vertical="center" wrapText="1"/>
    </xf>
    <xf numFmtId="0" fontId="11" fillId="7" borderId="66" xfId="0" applyFont="1" applyFill="1" applyBorder="1" applyAlignment="1">
      <alignment horizontal="center" vertical="center" wrapText="1"/>
    </xf>
    <xf numFmtId="0" fontId="11" fillId="7" borderId="119" xfId="0" applyFont="1" applyFill="1" applyBorder="1" applyAlignment="1">
      <alignment horizontal="center" vertical="center" wrapText="1"/>
    </xf>
    <xf numFmtId="0" fontId="11" fillId="7" borderId="125" xfId="0" applyFont="1" applyFill="1" applyBorder="1" applyAlignment="1">
      <alignment horizontal="center" vertical="center" wrapText="1"/>
    </xf>
    <xf numFmtId="0" fontId="11" fillId="7" borderId="62" xfId="0" applyFont="1" applyFill="1" applyBorder="1" applyAlignment="1">
      <alignment horizontal="center" vertical="center" wrapText="1"/>
    </xf>
    <xf numFmtId="0" fontId="11" fillId="7" borderId="64"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7" fillId="0" borderId="5" xfId="0" applyFont="1" applyBorder="1"/>
    <xf numFmtId="0" fontId="7" fillId="0" borderId="11" xfId="0" applyFont="1" applyBorder="1"/>
    <xf numFmtId="0" fontId="11" fillId="8" borderId="9" xfId="0" applyFont="1" applyFill="1" applyBorder="1" applyAlignment="1">
      <alignment horizontal="center" vertical="center" wrapText="1"/>
    </xf>
    <xf numFmtId="0" fontId="7" fillId="5" borderId="10" xfId="0" applyFont="1" applyFill="1" applyBorder="1"/>
    <xf numFmtId="0" fontId="7" fillId="5" borderId="11" xfId="0" applyFont="1" applyFill="1" applyBorder="1"/>
    <xf numFmtId="0" fontId="11" fillId="4" borderId="35"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127"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94" xfId="0" applyFont="1" applyFill="1" applyBorder="1" applyAlignment="1">
      <alignment horizontal="center" vertical="center" wrapText="1"/>
    </xf>
    <xf numFmtId="0" fontId="11" fillId="4" borderId="79" xfId="0" applyFont="1" applyFill="1" applyBorder="1" applyAlignment="1">
      <alignment horizontal="center" vertical="center" wrapText="1"/>
    </xf>
    <xf numFmtId="0" fontId="11" fillId="4" borderId="126" xfId="0" applyFont="1" applyFill="1" applyBorder="1" applyAlignment="1">
      <alignment horizontal="center" vertical="center" wrapText="1"/>
    </xf>
    <xf numFmtId="0" fontId="19" fillId="5" borderId="105" xfId="0" applyFont="1" applyFill="1" applyBorder="1" applyAlignment="1">
      <alignment horizontal="center" vertical="center" wrapText="1"/>
    </xf>
    <xf numFmtId="0" fontId="19" fillId="5" borderId="67" xfId="0" applyFont="1" applyFill="1" applyBorder="1" applyAlignment="1">
      <alignment horizontal="center" vertical="center" wrapText="1"/>
    </xf>
    <xf numFmtId="0" fontId="19" fillId="5" borderId="10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9" fillId="0" borderId="1" xfId="0" applyFont="1" applyBorder="1" applyAlignment="1">
      <alignment horizontal="center"/>
    </xf>
    <xf numFmtId="0" fontId="7" fillId="0" borderId="14" xfId="0" applyFont="1" applyBorder="1"/>
    <xf numFmtId="0" fontId="7" fillId="0" borderId="17" xfId="0" applyFont="1" applyBorder="1"/>
    <xf numFmtId="0" fontId="7" fillId="0" borderId="15" xfId="0" applyFont="1" applyBorder="1"/>
    <xf numFmtId="0" fontId="7" fillId="0" borderId="34" xfId="0" applyFont="1" applyBorder="1"/>
    <xf numFmtId="0" fontId="7" fillId="0" borderId="36" xfId="0" applyFont="1" applyBorder="1"/>
    <xf numFmtId="0" fontId="7" fillId="0" borderId="37" xfId="0" applyFont="1" applyBorder="1"/>
    <xf numFmtId="0" fontId="7" fillId="7" borderId="10" xfId="0" applyFont="1" applyFill="1" applyBorder="1"/>
    <xf numFmtId="0" fontId="7" fillId="7" borderId="13" xfId="0" applyFont="1" applyFill="1" applyBorder="1"/>
    <xf numFmtId="0" fontId="11" fillId="4" borderId="3" xfId="0" applyFont="1" applyFill="1" applyBorder="1" applyAlignment="1">
      <alignment horizontal="center" vertical="center" wrapText="1"/>
    </xf>
    <xf numFmtId="0" fontId="7" fillId="7" borderId="4" xfId="0" applyFont="1" applyFill="1" applyBorder="1"/>
    <xf numFmtId="0" fontId="7" fillId="7" borderId="27" xfId="0" applyFont="1" applyFill="1" applyBorder="1"/>
    <xf numFmtId="0" fontId="21" fillId="5" borderId="128" xfId="0" applyFont="1" applyFill="1" applyBorder="1" applyAlignment="1">
      <alignment horizontal="center" vertical="center" wrapText="1"/>
    </xf>
    <xf numFmtId="0" fontId="7" fillId="5" borderId="85" xfId="0" applyFont="1" applyFill="1" applyBorder="1"/>
    <xf numFmtId="0" fontId="7" fillId="5" borderId="129" xfId="0" applyFont="1" applyFill="1" applyBorder="1"/>
    <xf numFmtId="0" fontId="21" fillId="5" borderId="62" xfId="0" applyFont="1" applyFill="1" applyBorder="1" applyAlignment="1" applyProtection="1">
      <alignment horizontal="center" vertical="center" wrapText="1"/>
      <protection locked="0"/>
    </xf>
    <xf numFmtId="0" fontId="7" fillId="5" borderId="56" xfId="0" applyFont="1" applyFill="1" applyBorder="1" applyProtection="1">
      <protection locked="0"/>
    </xf>
    <xf numFmtId="0" fontId="7" fillId="5" borderId="63" xfId="0" applyFont="1" applyFill="1" applyBorder="1" applyProtection="1">
      <protection locked="0"/>
    </xf>
    <xf numFmtId="0" fontId="21" fillId="5" borderId="8" xfId="0" applyFont="1" applyFill="1" applyBorder="1" applyAlignment="1" applyProtection="1">
      <alignment horizontal="center" vertical="center" wrapText="1"/>
      <protection locked="0"/>
    </xf>
    <xf numFmtId="0" fontId="7" fillId="5" borderId="8" xfId="0" applyFont="1" applyFill="1" applyBorder="1" applyProtection="1">
      <protection locked="0"/>
    </xf>
    <xf numFmtId="0" fontId="36" fillId="5" borderId="33" xfId="0" applyFont="1" applyFill="1" applyBorder="1" applyAlignment="1">
      <alignment horizontal="center" vertical="top" wrapText="1"/>
    </xf>
    <xf numFmtId="0" fontId="7" fillId="5" borderId="33" xfId="0" applyFont="1" applyFill="1" applyBorder="1"/>
    <xf numFmtId="0" fontId="21" fillId="5" borderId="85" xfId="0" applyFont="1" applyFill="1" applyBorder="1" applyAlignment="1">
      <alignment horizontal="center" vertical="center" wrapText="1"/>
    </xf>
    <xf numFmtId="49" fontId="6" fillId="5" borderId="70" xfId="0" applyNumberFormat="1" applyFont="1" applyFill="1" applyBorder="1" applyAlignment="1" applyProtection="1">
      <alignment horizontal="center" vertical="center" wrapText="1"/>
      <protection locked="0"/>
    </xf>
    <xf numFmtId="49" fontId="6" fillId="5" borderId="73" xfId="0" applyNumberFormat="1" applyFont="1" applyFill="1" applyBorder="1" applyAlignment="1" applyProtection="1">
      <alignment horizontal="center" vertical="center" wrapText="1"/>
      <protection locked="0"/>
    </xf>
    <xf numFmtId="49" fontId="6" fillId="5" borderId="103" xfId="0" applyNumberFormat="1" applyFont="1" applyFill="1" applyBorder="1" applyAlignment="1" applyProtection="1">
      <alignment horizontal="center" vertical="center" wrapText="1"/>
      <protection locked="0"/>
    </xf>
    <xf numFmtId="0" fontId="21" fillId="5" borderId="78" xfId="0" applyFont="1" applyFill="1" applyBorder="1" applyAlignment="1" applyProtection="1">
      <alignment horizontal="left" vertical="center" wrapText="1"/>
      <protection locked="0"/>
    </xf>
    <xf numFmtId="0" fontId="7" fillId="5" borderId="73" xfId="0" applyFont="1" applyFill="1" applyBorder="1" applyProtection="1">
      <protection locked="0"/>
    </xf>
    <xf numFmtId="0" fontId="7" fillId="5" borderId="75" xfId="0" applyFont="1" applyFill="1" applyBorder="1" applyProtection="1">
      <protection locked="0"/>
    </xf>
    <xf numFmtId="0" fontId="21" fillId="5" borderId="8" xfId="0" applyFont="1" applyFill="1" applyBorder="1" applyAlignment="1">
      <alignment horizontal="left" vertical="center" wrapText="1"/>
    </xf>
    <xf numFmtId="0" fontId="7" fillId="5" borderId="8" xfId="0" applyFont="1" applyFill="1" applyBorder="1"/>
    <xf numFmtId="0" fontId="21" fillId="5" borderId="83" xfId="0" applyFont="1" applyFill="1" applyBorder="1" applyAlignment="1">
      <alignment horizontal="center" vertical="center" wrapText="1"/>
    </xf>
    <xf numFmtId="0" fontId="7" fillId="5" borderId="96" xfId="0" applyFont="1" applyFill="1" applyBorder="1"/>
    <xf numFmtId="49" fontId="6" fillId="5" borderId="130" xfId="0" applyNumberFormat="1" applyFont="1" applyFill="1" applyBorder="1" applyAlignment="1" applyProtection="1">
      <alignment horizontal="justify" vertical="center" wrapText="1"/>
      <protection locked="0"/>
    </xf>
    <xf numFmtId="49" fontId="6" fillId="5" borderId="131" xfId="0" applyNumberFormat="1" applyFont="1" applyFill="1" applyBorder="1" applyAlignment="1" applyProtection="1">
      <alignment horizontal="justify" vertical="center"/>
      <protection locked="0"/>
    </xf>
    <xf numFmtId="49" fontId="6" fillId="5" borderId="67" xfId="0" applyNumberFormat="1" applyFont="1" applyFill="1" applyBorder="1" applyAlignment="1" applyProtection="1">
      <alignment horizontal="justify" vertical="center"/>
      <protection locked="0"/>
    </xf>
    <xf numFmtId="0" fontId="25" fillId="0" borderId="0" xfId="0" applyFont="1" applyAlignment="1">
      <alignment horizontal="right" vertical="center"/>
    </xf>
    <xf numFmtId="0" fontId="21" fillId="5" borderId="85" xfId="0" applyFont="1" applyFill="1" applyBorder="1" applyAlignment="1">
      <alignment horizontal="left" vertical="center" wrapText="1"/>
    </xf>
    <xf numFmtId="0" fontId="11" fillId="5" borderId="56"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1" fillId="5" borderId="58" xfId="0" applyFont="1" applyFill="1" applyBorder="1" applyAlignment="1" applyProtection="1">
      <alignment horizontal="center" vertical="center" wrapText="1"/>
      <protection locked="0"/>
    </xf>
    <xf numFmtId="0" fontId="21" fillId="5" borderId="56" xfId="0" applyFont="1" applyFill="1" applyBorder="1" applyAlignment="1" applyProtection="1">
      <alignment horizontal="center" vertical="center" wrapText="1"/>
      <protection locked="0"/>
    </xf>
    <xf numFmtId="0" fontId="21" fillId="5" borderId="64" xfId="0" applyFont="1" applyFill="1" applyBorder="1" applyAlignment="1" applyProtection="1">
      <alignment horizontal="center" vertical="center" wrapText="1"/>
      <protection locked="0"/>
    </xf>
    <xf numFmtId="0" fontId="21" fillId="5" borderId="83" xfId="0" applyFont="1" applyFill="1" applyBorder="1" applyAlignment="1" applyProtection="1">
      <alignment horizontal="center" vertical="center" wrapText="1"/>
      <protection locked="0"/>
    </xf>
    <xf numFmtId="0" fontId="7" fillId="5" borderId="96" xfId="0" applyFont="1" applyFill="1" applyBorder="1" applyProtection="1">
      <protection locked="0"/>
    </xf>
    <xf numFmtId="0" fontId="21" fillId="5" borderId="80" xfId="0" applyFont="1" applyFill="1" applyBorder="1" applyAlignment="1" applyProtection="1">
      <alignment horizontal="center" vertical="center" wrapText="1"/>
      <protection locked="0"/>
    </xf>
    <xf numFmtId="0" fontId="7" fillId="5" borderId="33" xfId="0" applyFont="1" applyFill="1" applyBorder="1" applyProtection="1">
      <protection locked="0"/>
    </xf>
    <xf numFmtId="0" fontId="7" fillId="5" borderId="79" xfId="0" applyFont="1" applyFill="1" applyBorder="1" applyProtection="1">
      <protection locked="0"/>
    </xf>
    <xf numFmtId="0" fontId="21" fillId="5" borderId="80" xfId="0" applyFont="1" applyFill="1" applyBorder="1" applyAlignment="1">
      <alignment horizontal="center" vertical="center" wrapText="1"/>
    </xf>
    <xf numFmtId="0" fontId="7" fillId="5" borderId="79" xfId="0" applyFont="1" applyFill="1" applyBorder="1"/>
    <xf numFmtId="0" fontId="36" fillId="5" borderId="128"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73" xfId="0" applyFont="1" applyFill="1" applyBorder="1" applyAlignment="1" applyProtection="1">
      <alignment horizontal="center" vertical="center" wrapText="1"/>
      <protection locked="0"/>
    </xf>
    <xf numFmtId="0" fontId="21" fillId="5" borderId="75" xfId="0" applyFont="1" applyFill="1" applyBorder="1" applyAlignment="1" applyProtection="1">
      <alignment horizontal="center" vertical="center" wrapText="1"/>
      <protection locked="0"/>
    </xf>
    <xf numFmtId="0" fontId="21" fillId="5" borderId="70" xfId="0" applyFont="1" applyFill="1" applyBorder="1" applyAlignment="1" applyProtection="1">
      <alignment horizontal="center" vertical="center" wrapText="1"/>
      <protection locked="0"/>
    </xf>
    <xf numFmtId="0" fontId="21" fillId="5" borderId="103" xfId="0" applyFont="1" applyFill="1" applyBorder="1" applyAlignment="1" applyProtection="1">
      <alignment horizontal="center" vertical="center" wrapText="1"/>
      <protection locked="0"/>
    </xf>
    <xf numFmtId="0" fontId="21" fillId="5" borderId="128" xfId="0" applyFont="1" applyFill="1" applyBorder="1" applyAlignment="1">
      <alignment horizontal="left" vertical="center" wrapText="1"/>
    </xf>
    <xf numFmtId="10" fontId="21" fillId="5" borderId="70" xfId="0" applyNumberFormat="1" applyFont="1" applyFill="1" applyBorder="1" applyAlignment="1" applyProtection="1">
      <alignment horizontal="center" vertical="center" wrapText="1"/>
      <protection locked="0"/>
    </xf>
    <xf numFmtId="10" fontId="21" fillId="5" borderId="73" xfId="0" applyNumberFormat="1" applyFont="1" applyFill="1" applyBorder="1" applyAlignment="1" applyProtection="1">
      <alignment horizontal="center" vertical="center" wrapText="1"/>
      <protection locked="0"/>
    </xf>
    <xf numFmtId="10" fontId="21" fillId="5" borderId="103" xfId="0" applyNumberFormat="1" applyFont="1" applyFill="1" applyBorder="1" applyAlignment="1" applyProtection="1">
      <alignment horizontal="center" vertical="center" wrapText="1"/>
      <protection locked="0"/>
    </xf>
    <xf numFmtId="0" fontId="33" fillId="5" borderId="78" xfId="0" applyFont="1" applyFill="1" applyBorder="1" applyAlignment="1" applyProtection="1">
      <alignment horizontal="center" vertical="top" wrapText="1"/>
      <protection locked="0"/>
    </xf>
    <xf numFmtId="0" fontId="33" fillId="5" borderId="73" xfId="0" applyFont="1" applyFill="1" applyBorder="1" applyAlignment="1" applyProtection="1">
      <alignment horizontal="center" vertical="top" wrapText="1"/>
      <protection locked="0"/>
    </xf>
    <xf numFmtId="0" fontId="33" fillId="5" borderId="75" xfId="0" applyFont="1" applyFill="1" applyBorder="1" applyAlignment="1" applyProtection="1">
      <alignment horizontal="center" vertical="top" wrapText="1"/>
      <protection locked="0"/>
    </xf>
    <xf numFmtId="0" fontId="33" fillId="5" borderId="62" xfId="0" applyFont="1" applyFill="1" applyBorder="1" applyAlignment="1" applyProtection="1">
      <alignment horizontal="center" vertical="center" wrapText="1"/>
      <protection locked="0"/>
    </xf>
    <xf numFmtId="0" fontId="33" fillId="5" borderId="56" xfId="0" applyFont="1" applyFill="1" applyBorder="1" applyAlignment="1" applyProtection="1">
      <alignment horizontal="center" vertical="center" wrapText="1"/>
      <protection locked="0"/>
    </xf>
    <xf numFmtId="0" fontId="33" fillId="5" borderId="63" xfId="0" applyFont="1" applyFill="1" applyBorder="1" applyAlignment="1" applyProtection="1">
      <alignment horizontal="center" vertical="center" wrapText="1"/>
      <protection locked="0"/>
    </xf>
    <xf numFmtId="0" fontId="7" fillId="5" borderId="64" xfId="0" applyFont="1" applyFill="1" applyBorder="1" applyProtection="1">
      <protection locked="0"/>
    </xf>
    <xf numFmtId="0" fontId="21" fillId="5" borderId="80" xfId="0" applyFont="1" applyFill="1" applyBorder="1" applyAlignment="1">
      <alignment horizontal="left" vertical="center" wrapText="1"/>
    </xf>
    <xf numFmtId="0" fontId="21" fillId="5" borderId="33" xfId="0" applyFont="1" applyFill="1" applyBorder="1" applyAlignment="1" applyProtection="1">
      <alignment horizontal="center" vertical="center" wrapText="1"/>
      <protection locked="0"/>
    </xf>
    <xf numFmtId="0" fontId="21" fillId="5" borderId="33" xfId="0" applyFont="1" applyFill="1" applyBorder="1" applyAlignment="1">
      <alignment horizontal="center" vertical="center" wrapText="1"/>
    </xf>
    <xf numFmtId="0" fontId="33" fillId="5" borderId="70" xfId="0" applyFont="1" applyFill="1" applyBorder="1" applyAlignment="1" applyProtection="1">
      <alignment horizontal="center" vertical="center" wrapText="1"/>
      <protection locked="0"/>
    </xf>
    <xf numFmtId="0" fontId="33" fillId="5" borderId="73" xfId="0" applyFont="1" applyFill="1" applyBorder="1" applyAlignment="1" applyProtection="1">
      <alignment horizontal="center" vertical="center" wrapText="1"/>
      <protection locked="0"/>
    </xf>
    <xf numFmtId="0" fontId="33" fillId="5" borderId="103" xfId="0" applyFont="1" applyFill="1" applyBorder="1" applyAlignment="1" applyProtection="1">
      <alignment horizontal="center" vertical="center" wrapText="1"/>
      <protection locked="0"/>
    </xf>
    <xf numFmtId="0" fontId="36" fillId="5" borderId="33" xfId="0" applyFont="1" applyFill="1" applyBorder="1" applyAlignment="1">
      <alignment horizontal="left" vertical="center" wrapText="1"/>
    </xf>
    <xf numFmtId="0" fontId="11" fillId="5" borderId="72" xfId="0" applyFont="1" applyFill="1" applyBorder="1" applyAlignment="1">
      <alignment horizontal="center" vertical="center" wrapText="1"/>
    </xf>
    <xf numFmtId="0" fontId="11" fillId="8" borderId="56" xfId="0" applyFont="1" applyFill="1" applyBorder="1" applyAlignment="1">
      <alignment horizontal="center" vertical="center" wrapText="1"/>
    </xf>
    <xf numFmtId="0" fontId="11" fillId="5" borderId="56" xfId="0" applyFont="1" applyFill="1" applyBorder="1" applyAlignment="1">
      <alignment horizontal="justify" vertical="center" wrapText="1"/>
    </xf>
    <xf numFmtId="0" fontId="36" fillId="5" borderId="8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7" fillId="5" borderId="0" xfId="0" applyFont="1" applyFill="1" applyBorder="1"/>
    <xf numFmtId="0" fontId="21" fillId="5" borderId="63" xfId="0" applyFont="1" applyFill="1" applyBorder="1" applyAlignment="1" applyProtection="1">
      <alignment horizontal="center" vertical="center" wrapText="1"/>
      <protection locked="0"/>
    </xf>
    <xf numFmtId="0" fontId="7" fillId="5" borderId="103" xfId="0" applyFont="1" applyFill="1" applyBorder="1" applyProtection="1">
      <protection locked="0"/>
    </xf>
    <xf numFmtId="0" fontId="21" fillId="5" borderId="59" xfId="0" applyFont="1" applyFill="1" applyBorder="1" applyAlignment="1" applyProtection="1">
      <alignment horizontal="center" vertical="center" wrapText="1"/>
      <protection locked="0"/>
    </xf>
    <xf numFmtId="0" fontId="21" fillId="5" borderId="55" xfId="0" applyFont="1" applyFill="1" applyBorder="1" applyAlignment="1" applyProtection="1">
      <alignment horizontal="center" vertical="center" wrapText="1"/>
      <protection locked="0"/>
    </xf>
    <xf numFmtId="0" fontId="21" fillId="5" borderId="68" xfId="0" applyFont="1" applyFill="1" applyBorder="1" applyAlignment="1" applyProtection="1">
      <alignment horizontal="center" vertical="center" wrapText="1"/>
      <protection locked="0"/>
    </xf>
    <xf numFmtId="0" fontId="21" fillId="5" borderId="146"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1" fillId="5" borderId="147" xfId="0" applyFont="1" applyFill="1" applyBorder="1" applyAlignment="1">
      <alignment horizontal="center" vertical="center" wrapText="1"/>
    </xf>
    <xf numFmtId="0" fontId="21" fillId="5" borderId="43" xfId="0" applyFont="1" applyFill="1" applyBorder="1" applyAlignment="1">
      <alignment horizontal="center" vertical="center" wrapText="1"/>
    </xf>
    <xf numFmtId="0" fontId="7" fillId="5" borderId="43" xfId="0" applyFont="1" applyFill="1" applyBorder="1"/>
    <xf numFmtId="0" fontId="6" fillId="0" borderId="56" xfId="10" applyFont="1" applyFill="1" applyBorder="1" applyAlignment="1">
      <alignment horizontal="center" vertical="center" wrapText="1"/>
    </xf>
    <xf numFmtId="0" fontId="14" fillId="5" borderId="56" xfId="10" applyFont="1" applyFill="1" applyBorder="1" applyAlignment="1">
      <alignment horizontal="center" vertical="center" wrapText="1"/>
    </xf>
    <xf numFmtId="0" fontId="6" fillId="0" borderId="30" xfId="10" applyFont="1" applyFill="1" applyBorder="1" applyAlignment="1">
      <alignment horizontal="center" vertical="center" wrapText="1"/>
    </xf>
    <xf numFmtId="0" fontId="6" fillId="0" borderId="38" xfId="10" applyFont="1" applyFill="1" applyBorder="1" applyAlignment="1">
      <alignment horizontal="center" vertical="center" wrapText="1"/>
    </xf>
    <xf numFmtId="0" fontId="6" fillId="0" borderId="45" xfId="10" applyFont="1" applyFill="1" applyBorder="1" applyAlignment="1">
      <alignment horizontal="center" vertical="center" wrapText="1"/>
    </xf>
    <xf numFmtId="0" fontId="14" fillId="5" borderId="26" xfId="10" applyFont="1" applyFill="1" applyBorder="1" applyAlignment="1">
      <alignment horizontal="center" vertical="center" wrapText="1"/>
    </xf>
    <xf numFmtId="0" fontId="14" fillId="5" borderId="42" xfId="10" applyFont="1" applyFill="1" applyBorder="1" applyAlignment="1">
      <alignment horizontal="center" vertical="center" wrapText="1"/>
    </xf>
    <xf numFmtId="0" fontId="14" fillId="5" borderId="138" xfId="0" applyFont="1" applyFill="1" applyBorder="1" applyAlignment="1">
      <alignment horizontal="left" vertical="top" wrapText="1"/>
    </xf>
    <xf numFmtId="0" fontId="14" fillId="5" borderId="129" xfId="0" applyFont="1" applyFill="1" applyBorder="1" applyAlignment="1">
      <alignment horizontal="left" vertical="top" wrapText="1"/>
    </xf>
    <xf numFmtId="10" fontId="14" fillId="5" borderId="43" xfId="1" applyNumberFormat="1" applyFont="1" applyFill="1" applyBorder="1" applyAlignment="1">
      <alignment horizontal="center" vertical="center" wrapText="1"/>
    </xf>
    <xf numFmtId="10" fontId="14" fillId="5" borderId="54" xfId="1" applyNumberFormat="1" applyFont="1" applyFill="1" applyBorder="1" applyAlignment="1">
      <alignment horizontal="center" vertical="center" wrapText="1"/>
    </xf>
    <xf numFmtId="0" fontId="14" fillId="5" borderId="138" xfId="0" applyFont="1" applyFill="1" applyBorder="1" applyAlignment="1">
      <alignment horizontal="left" vertical="center" wrapText="1"/>
    </xf>
    <xf numFmtId="0" fontId="14" fillId="5" borderId="132" xfId="0" applyFont="1" applyFill="1" applyBorder="1" applyAlignment="1">
      <alignment horizontal="left" vertical="center" wrapText="1"/>
    </xf>
    <xf numFmtId="10" fontId="18" fillId="5" borderId="74" xfId="10" applyNumberFormat="1" applyFont="1" applyFill="1" applyBorder="1" applyAlignment="1">
      <alignment horizontal="center" vertical="center" wrapText="1"/>
    </xf>
    <xf numFmtId="10" fontId="18" fillId="5" borderId="77" xfId="10" applyNumberFormat="1" applyFont="1" applyFill="1" applyBorder="1" applyAlignment="1">
      <alignment horizontal="center" vertical="center" wrapText="1"/>
    </xf>
    <xf numFmtId="0" fontId="14" fillId="5" borderId="129" xfId="0" applyFont="1" applyFill="1" applyBorder="1" applyAlignment="1">
      <alignment horizontal="left" vertical="center" wrapText="1"/>
    </xf>
    <xf numFmtId="0" fontId="14" fillId="5" borderId="128" xfId="0" applyFont="1" applyFill="1" applyBorder="1" applyAlignment="1">
      <alignment horizontal="center" vertical="center" wrapText="1"/>
    </xf>
    <xf numFmtId="0" fontId="14" fillId="5" borderId="132" xfId="0" applyFont="1" applyFill="1" applyBorder="1" applyAlignment="1">
      <alignment horizontal="center" vertical="center" wrapText="1"/>
    </xf>
    <xf numFmtId="0" fontId="6" fillId="3" borderId="100" xfId="10" applyFont="1" applyFill="1" applyBorder="1" applyAlignment="1">
      <alignment horizontal="left" vertical="center" wrapText="1"/>
    </xf>
    <xf numFmtId="0" fontId="6" fillId="3" borderId="0" xfId="10" applyFont="1" applyFill="1" applyBorder="1" applyAlignment="1">
      <alignment horizontal="left" vertical="center" wrapText="1"/>
    </xf>
    <xf numFmtId="0" fontId="12" fillId="2" borderId="28" xfId="10" applyFont="1" applyFill="1" applyBorder="1" applyAlignment="1">
      <alignment horizontal="center" vertical="center" wrapText="1"/>
    </xf>
    <xf numFmtId="0" fontId="12" fillId="2" borderId="94" xfId="10" applyFont="1" applyFill="1" applyBorder="1" applyAlignment="1">
      <alignment horizontal="center" vertical="center" wrapText="1"/>
    </xf>
    <xf numFmtId="0" fontId="12" fillId="2" borderId="26" xfId="10" applyFont="1" applyFill="1" applyBorder="1" applyAlignment="1">
      <alignment horizontal="center" vertical="center" wrapText="1"/>
    </xf>
    <xf numFmtId="0" fontId="12" fillId="2" borderId="33" xfId="10" applyFont="1" applyFill="1" applyBorder="1" applyAlignment="1">
      <alignment horizontal="center" vertical="center" wrapText="1"/>
    </xf>
    <xf numFmtId="0" fontId="6" fillId="0" borderId="41" xfId="10" applyFont="1" applyFill="1" applyBorder="1" applyAlignment="1">
      <alignment horizontal="center" vertical="center" wrapText="1"/>
    </xf>
    <xf numFmtId="0" fontId="6" fillId="0" borderId="44" xfId="10" applyFont="1" applyFill="1" applyBorder="1" applyAlignment="1">
      <alignment horizontal="center" vertical="center" wrapText="1"/>
    </xf>
    <xf numFmtId="0" fontId="14" fillId="5" borderId="133" xfId="0" applyFont="1" applyFill="1" applyBorder="1" applyAlignment="1">
      <alignment horizontal="left" vertical="center" wrapText="1"/>
    </xf>
    <xf numFmtId="0" fontId="14" fillId="5" borderId="139" xfId="0" applyFont="1" applyFill="1" applyBorder="1" applyAlignment="1">
      <alignment horizontal="left" vertical="center" wrapText="1"/>
    </xf>
    <xf numFmtId="10" fontId="22" fillId="8" borderId="26" xfId="10" applyNumberFormat="1" applyFont="1" applyFill="1" applyBorder="1" applyAlignment="1">
      <alignment horizontal="center" vertical="center" wrapText="1"/>
    </xf>
    <xf numFmtId="10" fontId="22" fillId="8" borderId="33" xfId="10" applyNumberFormat="1" applyFont="1" applyFill="1" applyBorder="1" applyAlignment="1">
      <alignment horizontal="center" vertical="center" wrapText="1"/>
    </xf>
    <xf numFmtId="10" fontId="22" fillId="8" borderId="32" xfId="10" applyNumberFormat="1" applyFont="1" applyFill="1" applyBorder="1" applyAlignment="1">
      <alignment horizontal="center" vertical="center" wrapText="1"/>
    </xf>
    <xf numFmtId="10" fontId="18" fillId="8" borderId="26" xfId="10" applyNumberFormat="1" applyFont="1" applyFill="1" applyBorder="1" applyAlignment="1">
      <alignment horizontal="center" vertical="center" wrapText="1"/>
    </xf>
    <xf numFmtId="10" fontId="18" fillId="8" borderId="32" xfId="10" applyNumberFormat="1" applyFont="1" applyFill="1" applyBorder="1" applyAlignment="1">
      <alignment horizontal="center" vertical="center" wrapText="1"/>
    </xf>
    <xf numFmtId="0" fontId="14" fillId="5" borderId="118" xfId="0" applyFont="1" applyFill="1" applyBorder="1" applyAlignment="1">
      <alignment horizontal="left" vertical="center" wrapText="1"/>
    </xf>
    <xf numFmtId="0" fontId="14" fillId="5" borderId="57" xfId="0" applyFont="1" applyFill="1" applyBorder="1" applyAlignment="1">
      <alignment horizontal="left" vertical="center" wrapText="1"/>
    </xf>
    <xf numFmtId="10" fontId="22" fillId="5" borderId="33" xfId="10" applyNumberFormat="1" applyFont="1" applyFill="1" applyBorder="1" applyAlignment="1">
      <alignment horizontal="center" vertical="center" wrapText="1"/>
    </xf>
    <xf numFmtId="10" fontId="22" fillId="5" borderId="42" xfId="10" applyNumberFormat="1" applyFont="1" applyFill="1" applyBorder="1" applyAlignment="1">
      <alignment horizontal="center" vertical="center" wrapText="1"/>
    </xf>
    <xf numFmtId="10" fontId="22" fillId="5" borderId="69" xfId="10" applyNumberFormat="1" applyFont="1" applyFill="1" applyBorder="1" applyAlignment="1">
      <alignment horizontal="center" vertical="center" wrapText="1"/>
    </xf>
    <xf numFmtId="10" fontId="22" fillId="5" borderId="71" xfId="10" applyNumberFormat="1" applyFont="1" applyFill="1" applyBorder="1" applyAlignment="1">
      <alignment horizontal="center" vertical="center" wrapText="1"/>
    </xf>
    <xf numFmtId="10" fontId="22" fillId="5" borderId="77" xfId="10" applyNumberFormat="1" applyFont="1" applyFill="1" applyBorder="1" applyAlignment="1">
      <alignment horizontal="center" vertical="center" wrapText="1"/>
    </xf>
    <xf numFmtId="10" fontId="18" fillId="5" borderId="31" xfId="10" applyNumberFormat="1" applyFont="1" applyFill="1" applyBorder="1" applyAlignment="1">
      <alignment horizontal="center" vertical="center" wrapText="1"/>
    </xf>
    <xf numFmtId="10" fontId="18" fillId="5" borderId="42" xfId="10" applyNumberFormat="1" applyFont="1" applyFill="1" applyBorder="1" applyAlignment="1">
      <alignment horizontal="center" vertical="center" wrapText="1"/>
    </xf>
    <xf numFmtId="0" fontId="14" fillId="5" borderId="65" xfId="0" applyFont="1" applyFill="1" applyBorder="1" applyAlignment="1">
      <alignment horizontal="left" vertical="center" wrapText="1"/>
    </xf>
    <xf numFmtId="0" fontId="14" fillId="5" borderId="135" xfId="0" applyFont="1" applyFill="1" applyBorder="1" applyAlignment="1">
      <alignment horizontal="left" vertical="center" wrapText="1"/>
    </xf>
    <xf numFmtId="10" fontId="22" fillId="5" borderId="26" xfId="10" applyNumberFormat="1" applyFont="1" applyFill="1" applyBorder="1" applyAlignment="1">
      <alignment horizontal="center" vertical="center" wrapText="1"/>
    </xf>
    <xf numFmtId="10" fontId="18" fillId="5" borderId="26" xfId="10" applyNumberFormat="1" applyFont="1" applyFill="1" applyBorder="1" applyAlignment="1">
      <alignment horizontal="center" vertical="center" wrapText="1"/>
    </xf>
    <xf numFmtId="0" fontId="14" fillId="5" borderId="56" xfId="13" applyFont="1" applyFill="1" applyBorder="1" applyAlignment="1">
      <alignment horizontal="center" vertical="center" wrapText="1"/>
    </xf>
    <xf numFmtId="0" fontId="6" fillId="0" borderId="56" xfId="13" applyFont="1" applyFill="1" applyBorder="1" applyAlignment="1">
      <alignment horizontal="center" vertical="center" wrapText="1"/>
    </xf>
    <xf numFmtId="0" fontId="14" fillId="0" borderId="46" xfId="10" applyFont="1" applyBorder="1" applyAlignment="1">
      <alignment horizontal="center" vertical="center" wrapText="1"/>
    </xf>
    <xf numFmtId="0" fontId="14" fillId="0" borderId="47" xfId="10" applyFont="1" applyBorder="1" applyAlignment="1">
      <alignment horizontal="center" vertical="center" wrapText="1"/>
    </xf>
    <xf numFmtId="0" fontId="14" fillId="5" borderId="128" xfId="0" applyFont="1" applyFill="1" applyBorder="1" applyAlignment="1">
      <alignment horizontal="left" vertical="center" wrapText="1"/>
    </xf>
    <xf numFmtId="0" fontId="14" fillId="5" borderId="85" xfId="0" applyFont="1" applyFill="1" applyBorder="1" applyAlignment="1">
      <alignment horizontal="left" vertical="center" wrapText="1"/>
    </xf>
    <xf numFmtId="0" fontId="14" fillId="5" borderId="136" xfId="0" applyFont="1" applyFill="1" applyBorder="1" applyAlignment="1">
      <alignment horizontal="left" vertical="center" wrapText="1"/>
    </xf>
    <xf numFmtId="10" fontId="22" fillId="5" borderId="31" xfId="10" applyNumberFormat="1" applyFont="1" applyFill="1" applyBorder="1" applyAlignment="1">
      <alignment horizontal="center" vertical="center" wrapText="1"/>
    </xf>
    <xf numFmtId="10" fontId="18" fillId="5" borderId="53" xfId="10" applyNumberFormat="1" applyFont="1" applyFill="1" applyBorder="1" applyAlignment="1">
      <alignment horizontal="center" vertical="center" wrapText="1"/>
    </xf>
    <xf numFmtId="10" fontId="18" fillId="5" borderId="34" xfId="10" applyNumberFormat="1" applyFont="1" applyFill="1" applyBorder="1" applyAlignment="1">
      <alignment horizontal="center" vertical="center" wrapText="1"/>
    </xf>
    <xf numFmtId="10" fontId="22" fillId="5" borderId="108" xfId="10" applyNumberFormat="1" applyFont="1" applyFill="1" applyBorder="1" applyAlignment="1">
      <alignment horizontal="center" vertical="center" wrapText="1"/>
    </xf>
    <xf numFmtId="10" fontId="22" fillId="5" borderId="97" xfId="10" applyNumberFormat="1" applyFont="1" applyFill="1" applyBorder="1" applyAlignment="1">
      <alignment horizontal="center" vertical="center" wrapText="1"/>
    </xf>
    <xf numFmtId="10" fontId="22" fillId="5" borderId="107" xfId="10" applyNumberFormat="1" applyFont="1" applyFill="1" applyBorder="1" applyAlignment="1">
      <alignment horizontal="center" vertical="center" wrapText="1"/>
    </xf>
    <xf numFmtId="0" fontId="14" fillId="5" borderId="56" xfId="13" applyFont="1" applyFill="1" applyBorder="1" applyAlignment="1">
      <alignment horizontal="justify" vertical="center" wrapText="1"/>
    </xf>
    <xf numFmtId="0" fontId="6" fillId="0" borderId="63" xfId="10" applyFont="1" applyFill="1" applyBorder="1" applyAlignment="1">
      <alignment horizontal="center" vertical="center" wrapText="1"/>
    </xf>
    <xf numFmtId="0" fontId="14" fillId="5" borderId="63" xfId="10" applyFont="1" applyFill="1" applyBorder="1" applyAlignment="1">
      <alignment horizontal="center" vertical="center" wrapText="1"/>
    </xf>
    <xf numFmtId="0" fontId="14" fillId="5" borderId="137" xfId="0" applyFont="1" applyFill="1" applyBorder="1" applyAlignment="1">
      <alignment horizontal="left" vertical="center" wrapText="1"/>
    </xf>
    <xf numFmtId="10" fontId="18" fillId="5" borderId="33" xfId="10" applyNumberFormat="1" applyFont="1" applyFill="1" applyBorder="1" applyAlignment="1">
      <alignment horizontal="center" vertical="center" wrapText="1"/>
    </xf>
    <xf numFmtId="10" fontId="22" fillId="5" borderId="56" xfId="10" applyNumberFormat="1" applyFont="1" applyFill="1" applyBorder="1" applyAlignment="1" applyProtection="1">
      <alignment horizontal="center" vertical="center" wrapText="1"/>
      <protection locked="0"/>
    </xf>
    <xf numFmtId="0" fontId="14" fillId="5" borderId="152" xfId="0" applyFont="1" applyFill="1" applyBorder="1" applyAlignment="1">
      <alignment horizontal="left" vertical="top" wrapText="1"/>
    </xf>
    <xf numFmtId="0" fontId="14" fillId="5" borderId="132" xfId="0" applyFont="1" applyFill="1" applyBorder="1" applyAlignment="1">
      <alignment horizontal="left" vertical="top" wrapText="1"/>
    </xf>
    <xf numFmtId="10" fontId="18" fillId="5" borderId="56" xfId="10" applyNumberFormat="1" applyFont="1" applyFill="1" applyBorder="1" applyAlignment="1" applyProtection="1">
      <alignment horizontal="center" vertical="center" wrapText="1"/>
      <protection locked="0"/>
    </xf>
    <xf numFmtId="0" fontId="14" fillId="0" borderId="50" xfId="10" applyFont="1" applyBorder="1" applyAlignment="1">
      <alignment horizontal="center" vertical="center" wrapText="1"/>
    </xf>
    <xf numFmtId="10" fontId="18" fillId="5" borderId="32" xfId="10" applyNumberFormat="1" applyFont="1" applyFill="1" applyBorder="1" applyAlignment="1">
      <alignment horizontal="center" vertical="center" wrapText="1"/>
    </xf>
    <xf numFmtId="10" fontId="18" fillId="5" borderId="80" xfId="10" applyNumberFormat="1" applyFont="1" applyFill="1" applyBorder="1" applyAlignment="1">
      <alignment horizontal="center" vertical="center" wrapText="1"/>
    </xf>
    <xf numFmtId="10" fontId="22" fillId="8" borderId="8" xfId="10" applyNumberFormat="1" applyFont="1" applyFill="1" applyBorder="1" applyAlignment="1">
      <alignment horizontal="center" vertical="center" wrapText="1"/>
    </xf>
    <xf numFmtId="0" fontId="14" fillId="5" borderId="85" xfId="0" applyFont="1" applyFill="1" applyBorder="1" applyAlignment="1">
      <alignment horizontal="center" vertical="top" wrapText="1"/>
    </xf>
    <xf numFmtId="0" fontId="14" fillId="5" borderId="32" xfId="10" applyFont="1" applyFill="1" applyBorder="1" applyAlignment="1">
      <alignment horizontal="center" vertical="center" wrapText="1"/>
    </xf>
    <xf numFmtId="0" fontId="14" fillId="5" borderId="128" xfId="0" applyFont="1" applyFill="1" applyBorder="1" applyAlignment="1">
      <alignment horizontal="center" vertical="top" wrapText="1"/>
    </xf>
    <xf numFmtId="0" fontId="14" fillId="5" borderId="129" xfId="0" applyFont="1" applyFill="1" applyBorder="1" applyAlignment="1">
      <alignment horizontal="center" vertical="top" wrapText="1"/>
    </xf>
    <xf numFmtId="0" fontId="14" fillId="5" borderId="65" xfId="0" applyFont="1" applyFill="1" applyBorder="1" applyAlignment="1">
      <alignment horizontal="center" vertical="center" wrapText="1"/>
    </xf>
    <xf numFmtId="0" fontId="14" fillId="5" borderId="135" xfId="0" applyFont="1" applyFill="1" applyBorder="1" applyAlignment="1">
      <alignment horizontal="center" vertical="center" wrapText="1"/>
    </xf>
    <xf numFmtId="0" fontId="14" fillId="5" borderId="134" xfId="0" applyFont="1" applyFill="1" applyBorder="1" applyAlignment="1">
      <alignment horizontal="center" vertical="center" wrapText="1"/>
    </xf>
    <xf numFmtId="0" fontId="14" fillId="5" borderId="133" xfId="0" applyFont="1" applyFill="1" applyBorder="1" applyAlignment="1">
      <alignment horizontal="center" vertical="center" wrapText="1"/>
    </xf>
    <xf numFmtId="0" fontId="14" fillId="5" borderId="57" xfId="13" applyFont="1" applyFill="1" applyBorder="1" applyAlignment="1">
      <alignment horizontal="justify" vertical="center" wrapText="1"/>
    </xf>
    <xf numFmtId="10" fontId="18" fillId="5" borderId="63" xfId="10" applyNumberFormat="1" applyFont="1" applyFill="1" applyBorder="1" applyAlignment="1">
      <alignment horizontal="center" vertical="center" wrapText="1"/>
    </xf>
    <xf numFmtId="10" fontId="18" fillId="5" borderId="62" xfId="10" applyNumberFormat="1" applyFont="1" applyFill="1" applyBorder="1" applyAlignment="1">
      <alignment horizontal="center" vertical="center" wrapText="1"/>
    </xf>
    <xf numFmtId="49" fontId="14" fillId="5" borderId="57" xfId="13" applyNumberFormat="1" applyFont="1" applyFill="1" applyBorder="1" applyAlignment="1">
      <alignment horizontal="justify" vertical="center" wrapText="1"/>
    </xf>
    <xf numFmtId="10" fontId="18" fillId="5" borderId="2" xfId="10" applyNumberFormat="1" applyFont="1" applyFill="1" applyBorder="1" applyAlignment="1">
      <alignment horizontal="center" vertical="center" wrapText="1"/>
    </xf>
    <xf numFmtId="10" fontId="18" fillId="5" borderId="8" xfId="10" applyNumberFormat="1" applyFont="1" applyFill="1" applyBorder="1" applyAlignment="1">
      <alignment horizontal="center" vertical="center" wrapText="1"/>
    </xf>
    <xf numFmtId="0" fontId="15" fillId="5" borderId="26" xfId="10" applyFont="1" applyFill="1" applyBorder="1" applyAlignment="1">
      <alignment horizontal="center" vertical="center" wrapText="1"/>
    </xf>
    <xf numFmtId="0" fontId="15" fillId="5" borderId="79" xfId="10" applyFont="1" applyFill="1" applyBorder="1" applyAlignment="1">
      <alignment horizontal="center" vertical="center" wrapText="1"/>
    </xf>
    <xf numFmtId="0" fontId="14" fillId="5" borderId="81" xfId="10" applyFont="1" applyFill="1" applyBorder="1" applyAlignment="1">
      <alignment horizontal="center" vertical="center" wrapText="1"/>
    </xf>
    <xf numFmtId="0" fontId="14" fillId="5" borderId="33" xfId="10" applyFont="1" applyFill="1" applyBorder="1" applyAlignment="1">
      <alignment horizontal="center" vertical="center" wrapText="1"/>
    </xf>
    <xf numFmtId="0" fontId="14" fillId="5" borderId="31" xfId="10" applyFont="1" applyFill="1" applyBorder="1" applyAlignment="1">
      <alignment horizontal="center" vertical="center" wrapText="1"/>
    </xf>
    <xf numFmtId="10" fontId="18" fillId="5" borderId="56" xfId="10" applyNumberFormat="1" applyFont="1" applyFill="1" applyBorder="1" applyAlignment="1">
      <alignment horizontal="center" vertical="center" wrapText="1"/>
    </xf>
    <xf numFmtId="10" fontId="18" fillId="5" borderId="55" xfId="10" applyNumberFormat="1" applyFont="1" applyFill="1" applyBorder="1" applyAlignment="1">
      <alignment horizontal="center" vertical="center" wrapText="1"/>
    </xf>
    <xf numFmtId="0" fontId="12" fillId="2" borderId="3" xfId="10" applyFont="1" applyFill="1" applyBorder="1" applyAlignment="1">
      <alignment horizontal="center" vertical="center" wrapText="1"/>
    </xf>
    <xf numFmtId="0" fontId="7" fillId="0" borderId="4" xfId="10" applyFont="1" applyBorder="1"/>
    <xf numFmtId="0" fontId="7" fillId="0" borderId="27" xfId="10" applyFont="1" applyBorder="1"/>
    <xf numFmtId="0" fontId="6" fillId="0" borderId="76" xfId="13" applyFont="1" applyFill="1" applyBorder="1" applyAlignment="1">
      <alignment horizontal="center" vertical="center" wrapText="1"/>
    </xf>
    <xf numFmtId="0" fontId="6" fillId="0" borderId="66" xfId="13" applyFont="1" applyFill="1" applyBorder="1" applyAlignment="1">
      <alignment horizontal="center" vertical="center" wrapText="1"/>
    </xf>
    <xf numFmtId="0" fontId="14" fillId="5" borderId="58" xfId="13" applyFont="1" applyFill="1" applyBorder="1" applyAlignment="1">
      <alignment horizontal="justify" vertical="center" wrapText="1"/>
    </xf>
    <xf numFmtId="0" fontId="15" fillId="5" borderId="58" xfId="10" applyFont="1" applyFill="1" applyBorder="1" applyAlignment="1" applyProtection="1">
      <alignment horizontal="center" vertical="center" wrapText="1"/>
      <protection locked="0"/>
    </xf>
    <xf numFmtId="0" fontId="15" fillId="5" borderId="56" xfId="10" applyFont="1" applyFill="1" applyBorder="1" applyAlignment="1" applyProtection="1">
      <alignment horizontal="center" vertical="center" wrapText="1"/>
      <protection locked="0"/>
    </xf>
    <xf numFmtId="10" fontId="18" fillId="5" borderId="59" xfId="10" applyNumberFormat="1" applyFont="1" applyFill="1" applyBorder="1" applyAlignment="1" applyProtection="1">
      <alignment horizontal="center" vertical="center" wrapText="1"/>
      <protection locked="0"/>
    </xf>
    <xf numFmtId="10" fontId="18" fillId="5" borderId="55" xfId="10" applyNumberFormat="1" applyFont="1" applyFill="1" applyBorder="1" applyAlignment="1" applyProtection="1">
      <alignment horizontal="center" vertical="center" wrapText="1"/>
      <protection locked="0"/>
    </xf>
    <xf numFmtId="10" fontId="18" fillId="5" borderId="79" xfId="10" applyNumberFormat="1" applyFont="1" applyFill="1" applyBorder="1" applyAlignment="1">
      <alignment horizontal="center" vertical="center" wrapText="1"/>
    </xf>
    <xf numFmtId="0" fontId="14" fillId="5" borderId="2" xfId="10" applyFont="1" applyFill="1" applyBorder="1" applyAlignment="1">
      <alignment horizontal="center" vertical="center" wrapText="1"/>
    </xf>
    <xf numFmtId="0" fontId="14" fillId="5" borderId="96" xfId="10" applyFont="1" applyFill="1" applyBorder="1" applyAlignment="1">
      <alignment horizontal="center" vertical="center" wrapText="1"/>
    </xf>
    <xf numFmtId="0" fontId="12" fillId="19" borderId="153" xfId="10" applyFont="1" applyFill="1" applyBorder="1" applyAlignment="1">
      <alignment horizontal="center" vertical="center" wrapText="1"/>
    </xf>
    <xf numFmtId="0" fontId="12" fillId="19" borderId="154" xfId="10" applyFont="1" applyFill="1" applyBorder="1" applyAlignment="1">
      <alignment horizontal="center" vertical="center" wrapText="1"/>
    </xf>
    <xf numFmtId="0" fontId="6" fillId="0" borderId="1" xfId="10" applyFont="1" applyBorder="1"/>
    <xf numFmtId="0" fontId="7" fillId="0" borderId="2" xfId="10" applyFont="1" applyBorder="1"/>
    <xf numFmtId="0" fontId="7" fillId="0" borderId="7" xfId="10" applyFont="1" applyBorder="1"/>
    <xf numFmtId="0" fontId="7" fillId="0" borderId="8" xfId="10" applyFont="1" applyBorder="1"/>
    <xf numFmtId="0" fontId="7" fillId="0" borderId="14" xfId="10" applyFont="1" applyBorder="1"/>
    <xf numFmtId="0" fontId="7" fillId="0" borderId="15" xfId="10" applyFont="1" applyBorder="1"/>
    <xf numFmtId="0" fontId="8" fillId="2" borderId="3" xfId="10" applyFont="1" applyFill="1" applyBorder="1" applyAlignment="1">
      <alignment horizontal="center" vertical="center" wrapText="1"/>
    </xf>
    <xf numFmtId="0" fontId="7" fillId="0" borderId="5" xfId="10" applyFont="1" applyBorder="1"/>
    <xf numFmtId="0" fontId="8" fillId="2" borderId="9" xfId="10" applyFont="1" applyFill="1" applyBorder="1" applyAlignment="1">
      <alignment horizontal="center" vertical="center" wrapText="1"/>
    </xf>
    <xf numFmtId="0" fontId="7" fillId="0" borderId="10" xfId="10" applyFont="1" applyBorder="1"/>
    <xf numFmtId="0" fontId="7" fillId="0" borderId="11" xfId="10" applyFont="1" applyBorder="1"/>
    <xf numFmtId="0" fontId="13" fillId="2" borderId="9"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7" fillId="0" borderId="19" xfId="10" applyFont="1" applyBorder="1"/>
    <xf numFmtId="0" fontId="7" fillId="0" borderId="22" xfId="10" applyFont="1" applyBorder="1"/>
    <xf numFmtId="0" fontId="15" fillId="2" borderId="3" xfId="1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4" fillId="0" borderId="7" xfId="10" applyFont="1" applyFill="1" applyBorder="1" applyAlignment="1">
      <alignment horizontal="center" vertical="center" wrapText="1"/>
    </xf>
    <xf numFmtId="0" fontId="14" fillId="0" borderId="14" xfId="10" applyFont="1" applyFill="1" applyBorder="1" applyAlignment="1">
      <alignment horizontal="center" vertical="center" wrapText="1"/>
    </xf>
    <xf numFmtId="0" fontId="15" fillId="5" borderId="81" xfId="10" applyFont="1" applyFill="1" applyBorder="1" applyAlignment="1">
      <alignment horizontal="center" vertical="center" wrapText="1"/>
    </xf>
    <xf numFmtId="0" fontId="15" fillId="5" borderId="33" xfId="10" applyFont="1" applyFill="1" applyBorder="1" applyAlignment="1">
      <alignment horizontal="center" vertical="center" wrapText="1"/>
    </xf>
    <xf numFmtId="0" fontId="6" fillId="0" borderId="95" xfId="10" applyFont="1" applyFill="1" applyBorder="1" applyAlignment="1">
      <alignment horizontal="center" vertical="center" wrapText="1"/>
    </xf>
    <xf numFmtId="10" fontId="22" fillId="5" borderId="8" xfId="10" applyNumberFormat="1" applyFont="1" applyFill="1" applyBorder="1" applyAlignment="1">
      <alignment horizontal="center" vertical="center" wrapText="1"/>
    </xf>
    <xf numFmtId="0" fontId="14" fillId="0" borderId="58" xfId="0" applyFont="1" applyFill="1" applyBorder="1" applyAlignment="1">
      <alignment horizontal="center" vertical="center" wrapText="1"/>
    </xf>
    <xf numFmtId="0" fontId="7" fillId="0" borderId="56" xfId="0" applyFont="1" applyFill="1" applyBorder="1"/>
    <xf numFmtId="0" fontId="7" fillId="0" borderId="63" xfId="0" applyFont="1" applyFill="1" applyBorder="1"/>
    <xf numFmtId="1" fontId="14" fillId="0" borderId="58" xfId="0" applyNumberFormat="1" applyFont="1" applyFill="1" applyBorder="1" applyAlignment="1">
      <alignment horizontal="center" vertical="center" wrapText="1"/>
    </xf>
    <xf numFmtId="3" fontId="14" fillId="0" borderId="56" xfId="0" applyNumberFormat="1" applyFont="1" applyFill="1" applyBorder="1" applyAlignment="1">
      <alignment horizontal="center" vertical="center" wrapText="1"/>
    </xf>
    <xf numFmtId="0" fontId="15" fillId="4" borderId="99" xfId="0" applyFont="1" applyFill="1" applyBorder="1" applyAlignment="1">
      <alignment horizontal="center" vertical="center" wrapText="1"/>
    </xf>
    <xf numFmtId="0" fontId="7" fillId="0" borderId="60" xfId="0" applyFont="1" applyBorder="1"/>
    <xf numFmtId="0" fontId="7" fillId="0" borderId="100" xfId="0" applyFont="1" applyBorder="1"/>
    <xf numFmtId="0" fontId="7" fillId="0" borderId="0" xfId="0" applyFont="1" applyBorder="1" applyAlignment="1"/>
    <xf numFmtId="0" fontId="7" fillId="0" borderId="101" xfId="0" applyFont="1" applyBorder="1"/>
    <xf numFmtId="0" fontId="7" fillId="0" borderId="90" xfId="0" applyFont="1" applyBorder="1"/>
    <xf numFmtId="0" fontId="15" fillId="4" borderId="90" xfId="0" applyFont="1" applyFill="1" applyBorder="1" applyAlignment="1">
      <alignment horizontal="right"/>
    </xf>
    <xf numFmtId="0" fontId="7" fillId="0" borderId="124" xfId="0" applyFont="1" applyBorder="1"/>
    <xf numFmtId="10" fontId="23" fillId="5" borderId="0" xfId="13" applyNumberFormat="1" applyFont="1" applyFill="1" applyBorder="1" applyAlignment="1">
      <alignment horizontal="center" vertical="center"/>
    </xf>
    <xf numFmtId="0" fontId="7" fillId="0" borderId="64" xfId="0" applyFont="1" applyFill="1" applyBorder="1"/>
    <xf numFmtId="1" fontId="14" fillId="0" borderId="118" xfId="0" applyNumberFormat="1" applyFont="1" applyFill="1" applyBorder="1" applyAlignment="1">
      <alignment horizontal="center" vertical="center" wrapText="1"/>
    </xf>
    <xf numFmtId="0" fontId="7" fillId="0" borderId="57" xfId="0" applyFont="1" applyFill="1" applyBorder="1"/>
    <xf numFmtId="0" fontId="7" fillId="0" borderId="148" xfId="0" applyFont="1" applyFill="1" applyBorder="1"/>
    <xf numFmtId="176" fontId="14" fillId="0" borderId="56" xfId="0" applyNumberFormat="1" applyFont="1" applyFill="1" applyBorder="1" applyAlignment="1">
      <alignment horizontal="left" vertical="center" wrapText="1"/>
    </xf>
    <xf numFmtId="3" fontId="14" fillId="0" borderId="64" xfId="0" applyNumberFormat="1" applyFont="1" applyFill="1" applyBorder="1" applyAlignment="1">
      <alignment horizontal="center" vertical="center" wrapText="1"/>
    </xf>
    <xf numFmtId="3" fontId="14" fillId="0" borderId="58" xfId="0" applyNumberFormat="1" applyFont="1" applyFill="1" applyBorder="1" applyAlignment="1">
      <alignment horizontal="center" vertical="center"/>
    </xf>
    <xf numFmtId="3" fontId="14" fillId="0" borderId="59" xfId="0" applyNumberFormat="1" applyFont="1" applyFill="1" applyBorder="1" applyAlignment="1">
      <alignment horizontal="center" vertical="center"/>
    </xf>
    <xf numFmtId="3" fontId="14" fillId="0" borderId="55" xfId="0" applyNumberFormat="1" applyFont="1" applyFill="1" applyBorder="1" applyAlignment="1">
      <alignment horizontal="center" vertical="center"/>
    </xf>
    <xf numFmtId="3" fontId="14" fillId="0" borderId="68" xfId="0" applyNumberFormat="1" applyFont="1" applyFill="1" applyBorder="1" applyAlignment="1">
      <alignment horizontal="center" vertical="center"/>
    </xf>
    <xf numFmtId="0" fontId="14" fillId="0" borderId="117" xfId="0" applyFont="1" applyFill="1" applyBorder="1" applyAlignment="1">
      <alignment horizontal="center" vertical="center" wrapText="1"/>
    </xf>
    <xf numFmtId="0" fontId="7" fillId="0" borderId="119" xfId="0" applyFont="1" applyFill="1" applyBorder="1"/>
    <xf numFmtId="0" fontId="7" fillId="0" borderId="125" xfId="0" applyFont="1" applyFill="1" applyBorder="1"/>
    <xf numFmtId="3" fontId="14" fillId="0" borderId="58" xfId="0" applyNumberFormat="1" applyFont="1" applyFill="1" applyBorder="1" applyAlignment="1">
      <alignment horizontal="center" vertical="center" wrapText="1"/>
    </xf>
    <xf numFmtId="0" fontId="7" fillId="0" borderId="65" xfId="0" applyFont="1" applyFill="1" applyBorder="1"/>
    <xf numFmtId="3" fontId="14" fillId="0" borderId="63" xfId="0" applyNumberFormat="1" applyFont="1" applyFill="1" applyBorder="1" applyAlignment="1">
      <alignment horizontal="center" vertical="center" wrapText="1"/>
    </xf>
    <xf numFmtId="0" fontId="7" fillId="0" borderId="120" xfId="0" applyFont="1" applyFill="1" applyBorder="1"/>
    <xf numFmtId="176" fontId="14" fillId="0" borderId="56" xfId="0" applyNumberFormat="1" applyFont="1" applyFill="1" applyBorder="1" applyAlignment="1">
      <alignment horizontal="center" vertical="center" wrapText="1"/>
    </xf>
    <xf numFmtId="3" fontId="14" fillId="0" borderId="55" xfId="0" applyNumberFormat="1" applyFont="1" applyFill="1" applyBorder="1" applyAlignment="1">
      <alignment horizontal="center" vertical="center" wrapText="1"/>
    </xf>
    <xf numFmtId="3" fontId="14" fillId="0" borderId="68" xfId="0" applyNumberFormat="1" applyFont="1" applyFill="1" applyBorder="1" applyAlignment="1">
      <alignment horizontal="center" vertical="center" wrapText="1"/>
    </xf>
    <xf numFmtId="0" fontId="14" fillId="0" borderId="56" xfId="0" applyFont="1" applyFill="1" applyBorder="1" applyAlignment="1">
      <alignment horizontal="center"/>
    </xf>
    <xf numFmtId="0" fontId="14" fillId="0" borderId="63" xfId="0" applyFont="1" applyFill="1" applyBorder="1" applyAlignment="1">
      <alignment horizontal="center"/>
    </xf>
    <xf numFmtId="1" fontId="14" fillId="3" borderId="29" xfId="0" applyNumberFormat="1" applyFont="1" applyFill="1" applyBorder="1" applyAlignment="1">
      <alignment horizontal="center" vertical="center" wrapText="1"/>
    </xf>
    <xf numFmtId="0" fontId="7" fillId="0" borderId="51" xfId="0" applyFont="1" applyBorder="1"/>
    <xf numFmtId="4" fontId="14" fillId="0" borderId="56" xfId="0" applyNumberFormat="1" applyFont="1" applyFill="1" applyBorder="1" applyAlignment="1">
      <alignment horizontal="center" vertical="center" wrapText="1"/>
    </xf>
    <xf numFmtId="4" fontId="14" fillId="0" borderId="63" xfId="0" applyNumberFormat="1" applyFont="1" applyFill="1" applyBorder="1" applyAlignment="1">
      <alignment horizontal="center" vertical="center" wrapText="1"/>
    </xf>
    <xf numFmtId="4" fontId="14" fillId="0" borderId="55" xfId="0" applyNumberFormat="1" applyFont="1" applyFill="1" applyBorder="1" applyAlignment="1">
      <alignment horizontal="center" vertical="center" wrapText="1"/>
    </xf>
    <xf numFmtId="4" fontId="14" fillId="0" borderId="62" xfId="0" applyNumberFormat="1" applyFont="1" applyFill="1" applyBorder="1" applyAlignment="1">
      <alignment horizontal="center" vertical="center" wrapText="1"/>
    </xf>
    <xf numFmtId="1" fontId="14" fillId="5" borderId="56" xfId="0" applyNumberFormat="1" applyFont="1" applyFill="1" applyBorder="1" applyAlignment="1">
      <alignment horizontal="center" vertical="center" wrapText="1"/>
    </xf>
    <xf numFmtId="0" fontId="7" fillId="5" borderId="56" xfId="0" applyFont="1" applyFill="1" applyBorder="1"/>
    <xf numFmtId="0" fontId="7" fillId="5" borderId="63" xfId="0" applyFont="1" applyFill="1" applyBorder="1" applyAlignment="1">
      <alignment horizontal="center"/>
    </xf>
    <xf numFmtId="0" fontId="7" fillId="5" borderId="55" xfId="0" applyFont="1" applyFill="1" applyBorder="1" applyAlignment="1">
      <alignment horizontal="center"/>
    </xf>
    <xf numFmtId="0" fontId="7" fillId="5" borderId="62" xfId="0" applyFont="1" applyFill="1" applyBorder="1" applyAlignment="1">
      <alignment horizontal="center"/>
    </xf>
    <xf numFmtId="1" fontId="14" fillId="5" borderId="57" xfId="0" applyNumberFormat="1" applyFont="1" applyFill="1" applyBorder="1" applyAlignment="1">
      <alignment horizontal="center" vertical="center" wrapText="1"/>
    </xf>
    <xf numFmtId="0" fontId="14" fillId="0" borderId="56" xfId="0" applyFont="1" applyFill="1" applyBorder="1" applyAlignment="1">
      <alignment horizontal="center" vertical="center" wrapText="1"/>
    </xf>
    <xf numFmtId="3" fontId="14" fillId="5" borderId="56" xfId="0" applyNumberFormat="1" applyFont="1" applyFill="1" applyBorder="1" applyAlignment="1">
      <alignment horizontal="center" vertical="center" wrapText="1"/>
    </xf>
    <xf numFmtId="0" fontId="14" fillId="5" borderId="56" xfId="0" applyFont="1" applyFill="1" applyBorder="1" applyAlignment="1">
      <alignment horizontal="center" vertical="center" wrapText="1"/>
    </xf>
    <xf numFmtId="0" fontId="7" fillId="0" borderId="56" xfId="0" applyFont="1" applyFill="1" applyBorder="1" applyAlignment="1">
      <alignment horizontal="center"/>
    </xf>
    <xf numFmtId="1" fontId="14" fillId="5" borderId="58" xfId="0" applyNumberFormat="1" applyFont="1" applyFill="1" applyBorder="1" applyAlignment="1">
      <alignment horizontal="center" vertical="center" wrapText="1"/>
    </xf>
    <xf numFmtId="1" fontId="14" fillId="5" borderId="118" xfId="0" applyNumberFormat="1" applyFont="1" applyFill="1" applyBorder="1" applyAlignment="1">
      <alignment horizontal="center" vertical="center" wrapText="1"/>
    </xf>
    <xf numFmtId="0" fontId="14" fillId="5" borderId="58" xfId="0" applyFont="1" applyFill="1" applyBorder="1" applyAlignment="1">
      <alignment horizontal="center" vertical="center" wrapText="1"/>
    </xf>
    <xf numFmtId="0" fontId="7" fillId="5" borderId="58" xfId="0" applyFont="1" applyFill="1" applyBorder="1"/>
    <xf numFmtId="0" fontId="14" fillId="0" borderId="117" xfId="0" applyFont="1" applyFill="1" applyBorder="1" applyAlignment="1">
      <alignment horizontal="center" vertical="center"/>
    </xf>
    <xf numFmtId="0" fontId="14" fillId="0" borderId="59" xfId="0" applyFont="1" applyFill="1" applyBorder="1" applyAlignment="1">
      <alignment horizontal="center" vertical="center" wrapText="1"/>
    </xf>
    <xf numFmtId="0" fontId="14" fillId="0" borderId="55" xfId="0" applyFont="1" applyFill="1" applyBorder="1" applyAlignment="1">
      <alignment horizontal="center" vertical="center" wrapText="1"/>
    </xf>
    <xf numFmtId="3" fontId="14" fillId="5" borderId="58" xfId="0" applyNumberFormat="1" applyFont="1" applyFill="1" applyBorder="1" applyAlignment="1">
      <alignment horizontal="center" vertical="center" wrapText="1"/>
    </xf>
    <xf numFmtId="1" fontId="14" fillId="0" borderId="56" xfId="0" applyNumberFormat="1" applyFont="1" applyFill="1" applyBorder="1" applyAlignment="1">
      <alignment horizontal="center" vertical="center" wrapText="1"/>
    </xf>
    <xf numFmtId="1" fontId="14" fillId="0" borderId="57" xfId="0" applyNumberFormat="1" applyFont="1" applyFill="1" applyBorder="1" applyAlignment="1">
      <alignment horizontal="center" vertical="center" wrapText="1"/>
    </xf>
    <xf numFmtId="1" fontId="14" fillId="0" borderId="65" xfId="0" applyNumberFormat="1" applyFont="1" applyFill="1" applyBorder="1" applyAlignment="1">
      <alignment horizontal="center" vertical="center" wrapText="1"/>
    </xf>
    <xf numFmtId="0" fontId="14" fillId="0" borderId="119" xfId="0" applyFont="1" applyFill="1" applyBorder="1" applyAlignment="1">
      <alignment horizontal="center" vertical="center"/>
    </xf>
    <xf numFmtId="0" fontId="7" fillId="0" borderId="58" xfId="0" applyFont="1" applyFill="1" applyBorder="1"/>
    <xf numFmtId="0" fontId="7" fillId="0" borderId="59" xfId="0" applyFont="1" applyFill="1" applyBorder="1" applyAlignment="1">
      <alignment horizontal="center"/>
    </xf>
    <xf numFmtId="0" fontId="7" fillId="0" borderId="55" xfId="0" applyFont="1" applyFill="1" applyBorder="1" applyAlignment="1">
      <alignment horizontal="center"/>
    </xf>
    <xf numFmtId="0" fontId="7" fillId="0" borderId="68" xfId="0" applyFont="1" applyFill="1" applyBorder="1" applyAlignment="1">
      <alignment horizontal="center"/>
    </xf>
    <xf numFmtId="1" fontId="14" fillId="0" borderId="57" xfId="24" applyNumberFormat="1" applyFont="1" applyFill="1" applyBorder="1" applyAlignment="1">
      <alignment horizontal="center" vertical="center" wrapText="1"/>
    </xf>
    <xf numFmtId="0" fontId="14" fillId="0" borderId="57" xfId="24" applyFont="1" applyFill="1" applyBorder="1"/>
    <xf numFmtId="0" fontId="14" fillId="0" borderId="65" xfId="24" applyFont="1" applyFill="1" applyBorder="1"/>
    <xf numFmtId="176" fontId="14" fillId="0" borderId="63" xfId="24" applyNumberFormat="1" applyFont="1" applyFill="1" applyBorder="1" applyAlignment="1">
      <alignment horizontal="center" vertical="center" wrapText="1"/>
    </xf>
    <xf numFmtId="176" fontId="14" fillId="0" borderId="55" xfId="24" applyNumberFormat="1" applyFont="1" applyFill="1" applyBorder="1" applyAlignment="1">
      <alignment horizontal="center" vertical="center" wrapText="1"/>
    </xf>
    <xf numFmtId="176" fontId="14" fillId="0" borderId="62" xfId="24" applyNumberFormat="1" applyFont="1" applyFill="1" applyBorder="1" applyAlignment="1">
      <alignment horizontal="center" vertical="center" wrapText="1"/>
    </xf>
    <xf numFmtId="3" fontId="14" fillId="0" borderId="56" xfId="24" applyNumberFormat="1" applyFont="1" applyFill="1" applyBorder="1" applyAlignment="1">
      <alignment horizontal="center" vertical="center" wrapText="1"/>
    </xf>
    <xf numFmtId="0" fontId="14" fillId="0" borderId="56" xfId="24" applyFont="1" applyFill="1" applyBorder="1"/>
    <xf numFmtId="0" fontId="14" fillId="0" borderId="63" xfId="24" applyFont="1" applyFill="1" applyBorder="1"/>
    <xf numFmtId="3" fontId="14" fillId="0" borderId="63" xfId="24" applyNumberFormat="1" applyFont="1" applyFill="1" applyBorder="1" applyAlignment="1">
      <alignment horizontal="center" vertical="center" wrapText="1"/>
    </xf>
    <xf numFmtId="3" fontId="14" fillId="0" borderId="55" xfId="24" applyNumberFormat="1" applyFont="1" applyFill="1" applyBorder="1" applyAlignment="1">
      <alignment horizontal="center" vertical="center" wrapText="1"/>
    </xf>
    <xf numFmtId="3" fontId="14" fillId="0" borderId="62" xfId="24" applyNumberFormat="1" applyFont="1" applyFill="1" applyBorder="1" applyAlignment="1">
      <alignment horizontal="center" vertical="center" wrapText="1"/>
    </xf>
    <xf numFmtId="3" fontId="14" fillId="0" borderId="56" xfId="24" applyNumberFormat="1" applyFont="1" applyFill="1" applyBorder="1" applyAlignment="1">
      <alignment horizontal="center" vertical="center"/>
    </xf>
    <xf numFmtId="3" fontId="14" fillId="0" borderId="63" xfId="24" applyNumberFormat="1" applyFont="1" applyFill="1" applyBorder="1" applyAlignment="1">
      <alignment horizontal="center" vertical="center"/>
    </xf>
    <xf numFmtId="1" fontId="14" fillId="0" borderId="56" xfId="24" applyNumberFormat="1" applyFont="1" applyFill="1" applyBorder="1" applyAlignment="1">
      <alignment horizontal="center" vertical="center" wrapText="1"/>
    </xf>
    <xf numFmtId="0" fontId="14" fillId="0" borderId="56" xfId="24" applyFont="1" applyFill="1" applyBorder="1" applyAlignment="1">
      <alignment horizontal="center" vertical="center" wrapText="1"/>
    </xf>
    <xf numFmtId="176" fontId="14" fillId="0" borderId="56" xfId="24" applyNumberFormat="1" applyFont="1" applyFill="1" applyBorder="1" applyAlignment="1">
      <alignment horizontal="left" vertical="center" wrapText="1"/>
    </xf>
    <xf numFmtId="3" fontId="14" fillId="0" borderId="62" xfId="0" applyNumberFormat="1" applyFont="1" applyFill="1" applyBorder="1" applyAlignment="1">
      <alignment horizontal="center" vertical="center" wrapText="1"/>
    </xf>
    <xf numFmtId="3" fontId="14" fillId="0" borderId="56" xfId="0" applyNumberFormat="1" applyFont="1" applyFill="1" applyBorder="1" applyAlignment="1">
      <alignment horizontal="center" vertical="center"/>
    </xf>
    <xf numFmtId="0" fontId="14" fillId="0" borderId="119" xfId="0" applyFont="1" applyFill="1" applyBorder="1" applyAlignment="1">
      <alignment horizontal="center" vertical="center" wrapText="1"/>
    </xf>
    <xf numFmtId="0" fontId="14" fillId="0" borderId="120" xfId="0" applyFont="1" applyFill="1" applyBorder="1" applyAlignment="1">
      <alignment horizontal="center" vertical="center" wrapText="1"/>
    </xf>
    <xf numFmtId="4" fontId="14" fillId="0" borderId="56" xfId="24" applyNumberFormat="1" applyFont="1" applyFill="1" applyBorder="1" applyAlignment="1">
      <alignment horizontal="center" vertical="center" wrapText="1"/>
    </xf>
    <xf numFmtId="4" fontId="14" fillId="0" borderId="56" xfId="24" applyNumberFormat="1" applyFont="1" applyFill="1" applyBorder="1"/>
    <xf numFmtId="1" fontId="14" fillId="0" borderId="71" xfId="0" applyNumberFormat="1"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1" fontId="14" fillId="0" borderId="140" xfId="0" applyNumberFormat="1" applyFont="1" applyFill="1" applyBorder="1" applyAlignment="1">
      <alignment horizontal="center" vertical="center" wrapText="1"/>
    </xf>
    <xf numFmtId="1" fontId="14" fillId="0" borderId="77" xfId="0" applyNumberFormat="1" applyFont="1" applyFill="1" applyBorder="1" applyAlignment="1">
      <alignment horizontal="center" vertical="center" wrapText="1"/>
    </xf>
    <xf numFmtId="1" fontId="14" fillId="0" borderId="130" xfId="0" applyNumberFormat="1" applyFont="1" applyFill="1" applyBorder="1" applyAlignment="1">
      <alignment horizontal="center" vertical="center" wrapText="1"/>
    </xf>
    <xf numFmtId="1" fontId="14" fillId="0" borderId="78" xfId="0" applyNumberFormat="1" applyFont="1" applyFill="1" applyBorder="1" applyAlignment="1">
      <alignment horizontal="center" vertical="center" wrapText="1"/>
    </xf>
    <xf numFmtId="1" fontId="14" fillId="0" borderId="74" xfId="24" applyNumberFormat="1" applyFont="1" applyFill="1" applyBorder="1" applyAlignment="1">
      <alignment horizontal="center" vertical="center" wrapText="1"/>
    </xf>
    <xf numFmtId="1" fontId="14" fillId="0" borderId="67" xfId="24" applyNumberFormat="1" applyFont="1" applyFill="1" applyBorder="1" applyAlignment="1">
      <alignment horizontal="center" vertical="center" wrapText="1"/>
    </xf>
    <xf numFmtId="1" fontId="14" fillId="0" borderId="75" xfId="24" applyNumberFormat="1" applyFont="1" applyFill="1" applyBorder="1" applyAlignment="1">
      <alignment horizontal="center" vertical="center" wrapText="1"/>
    </xf>
    <xf numFmtId="1" fontId="14" fillId="0" borderId="71" xfId="24" applyNumberFormat="1" applyFont="1" applyFill="1" applyBorder="1" applyAlignment="1">
      <alignment horizontal="center" vertical="center" wrapText="1"/>
    </xf>
    <xf numFmtId="1" fontId="14" fillId="0" borderId="0" xfId="24" applyNumberFormat="1" applyFont="1" applyFill="1" applyBorder="1" applyAlignment="1">
      <alignment horizontal="center" vertical="center" wrapText="1"/>
    </xf>
    <xf numFmtId="1" fontId="14" fillId="0" borderId="140" xfId="24" applyNumberFormat="1" applyFont="1" applyFill="1" applyBorder="1" applyAlignment="1">
      <alignment horizontal="center" vertical="center" wrapText="1"/>
    </xf>
    <xf numFmtId="1" fontId="14" fillId="0" borderId="77" xfId="24" applyNumberFormat="1" applyFont="1" applyFill="1" applyBorder="1" applyAlignment="1">
      <alignment horizontal="center" vertical="center" wrapText="1"/>
    </xf>
    <xf numFmtId="1" fontId="14" fillId="0" borderId="130" xfId="24" applyNumberFormat="1" applyFont="1" applyFill="1" applyBorder="1" applyAlignment="1">
      <alignment horizontal="center" vertical="center" wrapText="1"/>
    </xf>
    <xf numFmtId="1" fontId="14" fillId="0" borderId="78" xfId="24" applyNumberFormat="1" applyFont="1" applyFill="1" applyBorder="1" applyAlignment="1">
      <alignment horizontal="center" vertical="center" wrapText="1"/>
    </xf>
    <xf numFmtId="3" fontId="14" fillId="14" borderId="56" xfId="0" applyNumberFormat="1" applyFont="1" applyFill="1" applyBorder="1" applyAlignment="1">
      <alignment horizontal="center" vertical="center" wrapText="1"/>
    </xf>
    <xf numFmtId="0" fontId="7" fillId="14" borderId="56" xfId="0" applyFont="1" applyFill="1" applyBorder="1"/>
    <xf numFmtId="0" fontId="7" fillId="14" borderId="63" xfId="0" applyFont="1" applyFill="1" applyBorder="1"/>
    <xf numFmtId="0" fontId="14" fillId="14" borderId="56" xfId="0" applyFont="1" applyFill="1" applyBorder="1" applyAlignment="1">
      <alignment horizontal="center" vertical="center" wrapText="1"/>
    </xf>
    <xf numFmtId="0" fontId="7" fillId="7" borderId="55" xfId="0" applyFont="1" applyFill="1" applyBorder="1" applyAlignment="1">
      <alignment horizontal="center" vertical="center"/>
    </xf>
    <xf numFmtId="0" fontId="35" fillId="7" borderId="63" xfId="0" applyFont="1" applyFill="1" applyBorder="1" applyAlignment="1">
      <alignment horizontal="left" vertical="center" wrapText="1"/>
    </xf>
    <xf numFmtId="0" fontId="35" fillId="7" borderId="68" xfId="0" applyFont="1" applyFill="1" applyBorder="1" applyAlignment="1">
      <alignment horizontal="left" vertical="center" wrapText="1"/>
    </xf>
    <xf numFmtId="0" fontId="7" fillId="0" borderId="63" xfId="0" applyFont="1" applyBorder="1" applyAlignment="1">
      <alignment horizontal="center"/>
    </xf>
    <xf numFmtId="0" fontId="7" fillId="0" borderId="55" xfId="0" applyFont="1" applyBorder="1" applyAlignment="1">
      <alignment horizontal="center"/>
    </xf>
    <xf numFmtId="0" fontId="14" fillId="14" borderId="63" xfId="0" applyFont="1" applyFill="1" applyBorder="1" applyAlignment="1">
      <alignment horizontal="center" vertical="center" wrapText="1"/>
    </xf>
    <xf numFmtId="0" fontId="14" fillId="14" borderId="55" xfId="0" applyFont="1" applyFill="1" applyBorder="1" applyAlignment="1">
      <alignment horizontal="center" vertical="center" wrapText="1"/>
    </xf>
    <xf numFmtId="0" fontId="14" fillId="14" borderId="62" xfId="0" applyFont="1" applyFill="1" applyBorder="1" applyAlignment="1">
      <alignment horizontal="center" vertical="center" wrapText="1"/>
    </xf>
    <xf numFmtId="0" fontId="14" fillId="16" borderId="56" xfId="0" applyFont="1" applyFill="1" applyBorder="1" applyAlignment="1">
      <alignment horizontal="center" vertical="center" wrapText="1"/>
    </xf>
    <xf numFmtId="0" fontId="7" fillId="16" borderId="56" xfId="0" applyFont="1" applyFill="1" applyBorder="1"/>
    <xf numFmtId="0" fontId="7" fillId="16" borderId="63" xfId="0" applyFont="1" applyFill="1" applyBorder="1"/>
    <xf numFmtId="0" fontId="7" fillId="5" borderId="63" xfId="0" applyFont="1" applyFill="1" applyBorder="1"/>
    <xf numFmtId="3" fontId="14" fillId="5" borderId="63" xfId="0" applyNumberFormat="1" applyFont="1" applyFill="1" applyBorder="1" applyAlignment="1">
      <alignment horizontal="center" vertical="center" wrapText="1"/>
    </xf>
    <xf numFmtId="3" fontId="14" fillId="5" borderId="55" xfId="0" applyNumberFormat="1" applyFont="1" applyFill="1" applyBorder="1" applyAlignment="1">
      <alignment horizontal="center" vertical="center" wrapText="1"/>
    </xf>
    <xf numFmtId="3" fontId="14" fillId="5" borderId="62" xfId="0" applyNumberFormat="1" applyFont="1" applyFill="1" applyBorder="1" applyAlignment="1">
      <alignment horizontal="center" vertical="center" wrapText="1"/>
    </xf>
    <xf numFmtId="3" fontId="14" fillId="5" borderId="56" xfId="0" applyNumberFormat="1" applyFont="1" applyFill="1" applyBorder="1" applyAlignment="1">
      <alignment horizontal="center" vertical="center"/>
    </xf>
    <xf numFmtId="0" fontId="7" fillId="5" borderId="57" xfId="0" applyFont="1" applyFill="1" applyBorder="1"/>
    <xf numFmtId="0" fontId="7" fillId="5" borderId="65" xfId="0" applyFont="1" applyFill="1" applyBorder="1"/>
    <xf numFmtId="176" fontId="14" fillId="5" borderId="56" xfId="0" applyNumberFormat="1" applyFont="1" applyFill="1" applyBorder="1" applyAlignment="1">
      <alignment horizontal="left" vertical="center" wrapText="1"/>
    </xf>
    <xf numFmtId="1" fontId="14" fillId="5" borderId="56" xfId="24" applyNumberFormat="1" applyFont="1" applyFill="1" applyBorder="1" applyAlignment="1">
      <alignment horizontal="center" vertical="center" wrapText="1"/>
    </xf>
    <xf numFmtId="0" fontId="14" fillId="5" borderId="56" xfId="24" applyFont="1" applyFill="1" applyBorder="1"/>
    <xf numFmtId="1" fontId="14" fillId="5" borderId="57" xfId="24" applyNumberFormat="1" applyFont="1" applyFill="1" applyBorder="1" applyAlignment="1">
      <alignment horizontal="center" vertical="center" wrapText="1"/>
    </xf>
    <xf numFmtId="0" fontId="14" fillId="5" borderId="57" xfId="24" applyFont="1" applyFill="1" applyBorder="1"/>
    <xf numFmtId="3" fontId="14" fillId="5" borderId="56" xfId="24" applyNumberFormat="1" applyFont="1" applyFill="1" applyBorder="1" applyAlignment="1">
      <alignment horizontal="center" vertical="center" wrapText="1"/>
    </xf>
    <xf numFmtId="0" fontId="14" fillId="5" borderId="56" xfId="24" applyFont="1" applyFill="1" applyBorder="1" applyAlignment="1">
      <alignment horizontal="center" vertical="center" wrapText="1"/>
    </xf>
    <xf numFmtId="176" fontId="14" fillId="5" borderId="56" xfId="24" applyNumberFormat="1" applyFont="1" applyFill="1" applyBorder="1" applyAlignment="1">
      <alignment horizontal="left" vertical="center" wrapText="1"/>
    </xf>
    <xf numFmtId="0" fontId="14" fillId="5" borderId="56" xfId="24" applyFont="1" applyFill="1" applyBorder="1" applyAlignment="1">
      <alignment horizontal="center"/>
    </xf>
    <xf numFmtId="0" fontId="14" fillId="5" borderId="117" xfId="0" applyFont="1" applyFill="1" applyBorder="1" applyAlignment="1">
      <alignment horizontal="center" vertical="center" wrapText="1"/>
    </xf>
    <xf numFmtId="0" fontId="7" fillId="5" borderId="119" xfId="0" applyFont="1" applyFill="1" applyBorder="1"/>
    <xf numFmtId="0" fontId="7" fillId="5" borderId="120" xfId="0" applyFont="1" applyFill="1" applyBorder="1"/>
    <xf numFmtId="3" fontId="14" fillId="5" borderId="63" xfId="24" applyNumberFormat="1" applyFont="1" applyFill="1" applyBorder="1" applyAlignment="1">
      <alignment horizontal="center" vertical="center" wrapText="1"/>
    </xf>
    <xf numFmtId="3" fontId="14" fillId="5" borderId="55" xfId="24" applyNumberFormat="1" applyFont="1" applyFill="1" applyBorder="1" applyAlignment="1">
      <alignment horizontal="center" vertical="center" wrapText="1"/>
    </xf>
    <xf numFmtId="3" fontId="14" fillId="5" borderId="62" xfId="24" applyNumberFormat="1" applyFont="1" applyFill="1" applyBorder="1" applyAlignment="1">
      <alignment horizontal="center" vertical="center" wrapText="1"/>
    </xf>
    <xf numFmtId="0" fontId="14" fillId="5" borderId="58" xfId="24" applyFont="1" applyFill="1" applyBorder="1" applyAlignment="1">
      <alignment horizontal="center" vertical="center" wrapText="1"/>
    </xf>
    <xf numFmtId="0" fontId="14" fillId="5" borderId="63" xfId="24" applyFont="1" applyFill="1" applyBorder="1"/>
    <xf numFmtId="3" fontId="14" fillId="5" borderId="57" xfId="0" applyNumberFormat="1" applyFont="1" applyFill="1" applyBorder="1" applyAlignment="1">
      <alignment horizontal="center" vertical="center" wrapText="1"/>
    </xf>
    <xf numFmtId="3" fontId="14" fillId="5" borderId="56" xfId="0" applyNumberFormat="1" applyFont="1" applyFill="1" applyBorder="1" applyAlignment="1">
      <alignment vertical="center" wrapText="1"/>
    </xf>
    <xf numFmtId="0" fontId="14" fillId="5" borderId="142"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141"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55" xfId="0" applyFont="1" applyFill="1" applyBorder="1" applyAlignment="1">
      <alignment horizontal="center" vertical="center" wrapText="1"/>
    </xf>
    <xf numFmtId="0" fontId="14" fillId="5" borderId="68" xfId="0" applyFont="1" applyFill="1" applyBorder="1" applyAlignment="1">
      <alignment horizontal="center" vertical="center" wrapText="1"/>
    </xf>
    <xf numFmtId="176" fontId="14" fillId="5" borderId="56" xfId="0" applyNumberFormat="1" applyFont="1" applyFill="1" applyBorder="1" applyAlignment="1">
      <alignment horizontal="center" vertical="center" wrapText="1"/>
    </xf>
    <xf numFmtId="0" fontId="7" fillId="5" borderId="56" xfId="0" applyFont="1" applyFill="1" applyBorder="1" applyAlignment="1">
      <alignment wrapText="1"/>
    </xf>
    <xf numFmtId="1" fontId="7" fillId="5" borderId="56" xfId="0" applyNumberFormat="1" applyFont="1" applyFill="1" applyBorder="1" applyAlignment="1">
      <alignment wrapText="1"/>
    </xf>
    <xf numFmtId="3" fontId="14" fillId="5" borderId="118" xfId="0" applyNumberFormat="1" applyFont="1" applyFill="1" applyBorder="1" applyAlignment="1">
      <alignment horizontal="center" vertical="center" wrapText="1"/>
    </xf>
    <xf numFmtId="3" fontId="14" fillId="5" borderId="65" xfId="0" applyNumberFormat="1" applyFont="1" applyFill="1" applyBorder="1" applyAlignment="1">
      <alignment horizontal="center" vertical="center" wrapText="1"/>
    </xf>
    <xf numFmtId="3" fontId="14" fillId="5" borderId="121" xfId="0" applyNumberFormat="1" applyFont="1" applyFill="1" applyBorder="1" applyAlignment="1">
      <alignment horizontal="center" vertical="center" wrapText="1"/>
    </xf>
    <xf numFmtId="3" fontId="14" fillId="5" borderId="134" xfId="0" applyNumberFormat="1" applyFont="1" applyFill="1" applyBorder="1" applyAlignment="1">
      <alignment horizontal="center" vertical="center" wrapText="1"/>
    </xf>
    <xf numFmtId="0" fontId="7" fillId="5" borderId="63" xfId="0" applyFont="1" applyFill="1" applyBorder="1" applyAlignment="1">
      <alignment vertical="center" wrapText="1"/>
    </xf>
    <xf numFmtId="0" fontId="7" fillId="5" borderId="55" xfId="0" applyFont="1" applyFill="1" applyBorder="1" applyAlignment="1">
      <alignment vertical="center"/>
    </xf>
    <xf numFmtId="0" fontId="7" fillId="5" borderId="68" xfId="0" applyFont="1" applyFill="1" applyBorder="1" applyAlignment="1">
      <alignment vertical="center"/>
    </xf>
    <xf numFmtId="1" fontId="7" fillId="5" borderId="63" xfId="0" applyNumberFormat="1" applyFont="1" applyFill="1" applyBorder="1" applyAlignment="1">
      <alignment vertical="center" wrapText="1"/>
    </xf>
    <xf numFmtId="1" fontId="14" fillId="5" borderId="63" xfId="0" applyNumberFormat="1" applyFont="1" applyFill="1" applyBorder="1" applyAlignment="1">
      <alignment horizontal="center" vertical="center" wrapText="1"/>
    </xf>
    <xf numFmtId="1" fontId="14" fillId="5" borderId="55" xfId="0" applyNumberFormat="1" applyFont="1" applyFill="1" applyBorder="1" applyAlignment="1">
      <alignment horizontal="center" vertical="center" wrapText="1"/>
    </xf>
    <xf numFmtId="1" fontId="14" fillId="5" borderId="62" xfId="0" applyNumberFormat="1"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62" xfId="0" applyFont="1" applyFill="1" applyBorder="1" applyAlignment="1">
      <alignment horizontal="center" vertical="center" wrapText="1"/>
    </xf>
    <xf numFmtId="0" fontId="40" fillId="5" borderId="58" xfId="26" applyFont="1" applyFill="1" applyBorder="1" applyAlignment="1">
      <alignment horizontal="center" vertical="center" wrapText="1"/>
    </xf>
    <xf numFmtId="0" fontId="40" fillId="5" borderId="56" xfId="26" applyFont="1" applyFill="1" applyBorder="1" applyAlignment="1">
      <alignment horizontal="center" vertical="center" wrapText="1"/>
    </xf>
    <xf numFmtId="0" fontId="40" fillId="5" borderId="64" xfId="26" applyFont="1" applyFill="1" applyBorder="1" applyAlignment="1">
      <alignment horizontal="center" vertical="center" wrapText="1"/>
    </xf>
    <xf numFmtId="1" fontId="40" fillId="5" borderId="58" xfId="26" applyNumberFormat="1" applyFont="1" applyFill="1" applyBorder="1" applyAlignment="1">
      <alignment horizontal="center" vertical="center" wrapText="1"/>
    </xf>
    <xf numFmtId="1" fontId="40" fillId="5" borderId="56" xfId="26" applyNumberFormat="1" applyFont="1" applyFill="1" applyBorder="1" applyAlignment="1">
      <alignment horizontal="center" vertical="center" wrapText="1"/>
    </xf>
    <xf numFmtId="1" fontId="40" fillId="5" borderId="64" xfId="26" applyNumberFormat="1" applyFont="1" applyFill="1" applyBorder="1" applyAlignment="1">
      <alignment horizontal="center" vertical="center" wrapText="1"/>
    </xf>
    <xf numFmtId="0" fontId="7" fillId="5" borderId="58" xfId="0" applyFont="1" applyFill="1" applyBorder="1" applyAlignment="1">
      <alignment wrapText="1"/>
    </xf>
    <xf numFmtId="1" fontId="7" fillId="5" borderId="58" xfId="0" applyNumberFormat="1" applyFont="1" applyFill="1" applyBorder="1" applyAlignment="1">
      <alignment wrapText="1"/>
    </xf>
    <xf numFmtId="1" fontId="14" fillId="5" borderId="59" xfId="0" applyNumberFormat="1" applyFont="1" applyFill="1" applyBorder="1" applyAlignment="1">
      <alignment horizontal="center" vertical="center" wrapText="1"/>
    </xf>
    <xf numFmtId="1" fontId="14" fillId="5" borderId="68" xfId="0" applyNumberFormat="1" applyFont="1" applyFill="1" applyBorder="1" applyAlignment="1">
      <alignment horizontal="center" vertical="center" wrapText="1"/>
    </xf>
    <xf numFmtId="0" fontId="15" fillId="4" borderId="91" xfId="0" applyFont="1" applyFill="1" applyBorder="1" applyAlignment="1">
      <alignment horizontal="center" vertical="center" wrapText="1"/>
    </xf>
    <xf numFmtId="0" fontId="7" fillId="0" borderId="113" xfId="0" applyFont="1" applyBorder="1"/>
    <xf numFmtId="0" fontId="7" fillId="0" borderId="92" xfId="0" applyFont="1" applyBorder="1"/>
    <xf numFmtId="0" fontId="15" fillId="4" borderId="114" xfId="0" applyFont="1" applyFill="1" applyBorder="1" applyAlignment="1">
      <alignment horizontal="center" vertical="center" wrapText="1"/>
    </xf>
    <xf numFmtId="0" fontId="7" fillId="0" borderId="114" xfId="0" applyFont="1" applyBorder="1"/>
    <xf numFmtId="0" fontId="7" fillId="0" borderId="115" xfId="0" applyFont="1" applyBorder="1"/>
    <xf numFmtId="0" fontId="7" fillId="0" borderId="116" xfId="0" applyFont="1" applyBorder="1"/>
    <xf numFmtId="0" fontId="15" fillId="4" borderId="109" xfId="0" applyFont="1" applyFill="1" applyBorder="1" applyAlignment="1">
      <alignment horizontal="center" vertical="center" wrapText="1"/>
    </xf>
    <xf numFmtId="0" fontId="7" fillId="0" borderId="84" xfId="0" applyFont="1" applyBorder="1"/>
    <xf numFmtId="0" fontId="15" fillId="4" borderId="110" xfId="0" applyFont="1" applyFill="1" applyBorder="1" applyAlignment="1">
      <alignment horizontal="center" vertical="center" wrapText="1"/>
    </xf>
    <xf numFmtId="0" fontId="7" fillId="0" borderId="21" xfId="0" applyFont="1" applyBorder="1"/>
    <xf numFmtId="0" fontId="15" fillId="4" borderId="111" xfId="0" applyFont="1" applyFill="1" applyBorder="1" applyAlignment="1">
      <alignment horizontal="center" vertical="center" wrapText="1"/>
    </xf>
    <xf numFmtId="0" fontId="7" fillId="0" borderId="47" xfId="0" applyFont="1" applyBorder="1"/>
    <xf numFmtId="0" fontId="15" fillId="4" borderId="112" xfId="0" applyFont="1" applyFill="1" applyBorder="1" applyAlignment="1">
      <alignment horizontal="center" vertical="center" wrapText="1"/>
    </xf>
    <xf numFmtId="0" fontId="15" fillId="4" borderId="80"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4" fillId="0" borderId="1" xfId="0" applyFont="1" applyBorder="1" applyAlignment="1">
      <alignment horizontal="center"/>
    </xf>
    <xf numFmtId="0" fontId="7" fillId="0" borderId="0" xfId="0" applyFont="1" applyAlignment="1"/>
    <xf numFmtId="0" fontId="15" fillId="4" borderId="3"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7" fillId="0" borderId="49" xfId="0" applyFont="1" applyBorder="1"/>
    <xf numFmtId="0" fontId="7" fillId="0" borderId="48" xfId="0" applyFont="1" applyBorder="1"/>
    <xf numFmtId="0" fontId="11" fillId="20" borderId="33" xfId="0" applyFont="1" applyFill="1" applyBorder="1" applyAlignment="1" applyProtection="1">
      <alignment horizontal="center" vertical="center"/>
    </xf>
    <xf numFmtId="174" fontId="11" fillId="20" borderId="33" xfId="8" applyNumberFormat="1" applyFont="1" applyFill="1" applyBorder="1" applyAlignment="1" applyProtection="1">
      <alignment horizontal="center" vertical="center"/>
    </xf>
    <xf numFmtId="0" fontId="11" fillId="20" borderId="42" xfId="0" applyFont="1" applyFill="1" applyBorder="1" applyAlignment="1" applyProtection="1">
      <alignment horizontal="center" vertical="center"/>
    </xf>
    <xf numFmtId="0" fontId="19" fillId="5" borderId="56" xfId="0" applyFont="1" applyFill="1" applyBorder="1" applyAlignment="1" applyProtection="1">
      <alignment vertical="top" wrapText="1"/>
    </xf>
    <xf numFmtId="0" fontId="26" fillId="20" borderId="56" xfId="0" applyFont="1" applyFill="1" applyBorder="1" applyAlignment="1" applyProtection="1">
      <alignment horizontal="center" vertical="center"/>
    </xf>
  </cellXfs>
  <cellStyles count="31">
    <cellStyle name="Millares" xfId="8" builtinId="3"/>
    <cellStyle name="Millares 2" xfId="14"/>
    <cellStyle name="Millares 2 2" xfId="2"/>
    <cellStyle name="Millares 2 2 2" xfId="15"/>
    <cellStyle name="Moneda 2" xfId="3"/>
    <cellStyle name="Moneda 2 2" xfId="16"/>
    <cellStyle name="Moneda 2 3" xfId="6"/>
    <cellStyle name="Moneda 2 3 2" xfId="9"/>
    <cellStyle name="Moneda 2 3 2 2" xfId="17"/>
    <cellStyle name="Moneda 2 3 3" xfId="18"/>
    <cellStyle name="Moneda 3" xfId="12"/>
    <cellStyle name="Moneda 3 2" xfId="25"/>
    <cellStyle name="Moneda 3 2 2" xfId="28"/>
    <cellStyle name="Moneda 3 3" xfId="29"/>
    <cellStyle name="Moneda 4" xfId="30"/>
    <cellStyle name="Normal" xfId="0" builtinId="0"/>
    <cellStyle name="Normal 2" xfId="4"/>
    <cellStyle name="Normal 2 2" xfId="13"/>
    <cellStyle name="Normal 3" xfId="10"/>
    <cellStyle name="Normal 3 2" xfId="5"/>
    <cellStyle name="Normal 3 2 2" xfId="11"/>
    <cellStyle name="Normal 3 2 2 2" xfId="27"/>
    <cellStyle name="Normal 3 2 3" xfId="24"/>
    <cellStyle name="Normal 4" xfId="19"/>
    <cellStyle name="Normal 4 2" xfId="20"/>
    <cellStyle name="Normal 5" xfId="21"/>
    <cellStyle name="Normal 5 2" xfId="22"/>
    <cellStyle name="Normal 5 2 2" xfId="23"/>
    <cellStyle name="Normal 5 2 3" xfId="26"/>
    <cellStyle name="Porcentaje" xfId="1" builtinId="5"/>
    <cellStyle name="Porcentaje 2" xfId="7"/>
  </cellStyles>
  <dxfs count="0"/>
  <tableStyles count="0" defaultTableStyle="TableStyleMedium2" defaultPivotStyle="PivotStyleLight16"/>
  <colors>
    <mruColors>
      <color rgb="FFFF66CC"/>
      <color rgb="FFFF33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3</xdr:col>
      <xdr:colOff>284390</xdr:colOff>
      <xdr:row>1</xdr:row>
      <xdr:rowOff>163284</xdr:rowOff>
    </xdr:from>
    <xdr:to>
      <xdr:col>6</xdr:col>
      <xdr:colOff>137433</xdr:colOff>
      <xdr:row>4</xdr:row>
      <xdr:rowOff>217713</xdr:rowOff>
    </xdr:to>
    <xdr:pic>
      <xdr:nvPicPr>
        <xdr:cNvPr id="2" name="image00.jp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11</xdr:col>
      <xdr:colOff>742950</xdr:colOff>
      <xdr:row>14</xdr:row>
      <xdr:rowOff>476250</xdr:rowOff>
    </xdr:to>
    <xdr:sp macro="" textlink="">
      <xdr:nvSpPr>
        <xdr:cNvPr id="1026" name="Rectangle 2" hidden="1">
          <a:extLst>
            <a:ext uri="{FF2B5EF4-FFF2-40B4-BE49-F238E27FC236}">
              <a16:creationId xmlns=""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10</xdr:col>
      <xdr:colOff>666750</xdr:colOff>
      <xdr:row>16</xdr:row>
      <xdr:rowOff>257175</xdr:rowOff>
    </xdr:to>
    <xdr:sp macro="" textlink="">
      <xdr:nvSpPr>
        <xdr:cNvPr id="3075" name="Rectangle 3" hidden="1">
          <a:extLst>
            <a:ext uri="{FF2B5EF4-FFF2-40B4-BE49-F238E27FC236}">
              <a16:creationId xmlns="" xmlns:a16="http://schemas.microsoft.com/office/drawing/2014/main" id="{00000000-0008-0000-0100-000003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3" name="AutoShape 3">
          <a:extLst>
            <a:ext uri="{FF2B5EF4-FFF2-40B4-BE49-F238E27FC236}">
              <a16:creationId xmlns="" xmlns:a16="http://schemas.microsoft.com/office/drawing/2014/main" id="{00000000-0008-0000-0100-000003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4" name="AutoShape 3">
          <a:extLst>
            <a:ext uri="{FF2B5EF4-FFF2-40B4-BE49-F238E27FC236}">
              <a16:creationId xmlns="" xmlns:a16="http://schemas.microsoft.com/office/drawing/2014/main" id="{00000000-0008-0000-0100-000004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5" name="AutoShape 3">
          <a:extLst>
            <a:ext uri="{FF2B5EF4-FFF2-40B4-BE49-F238E27FC236}">
              <a16:creationId xmlns="" xmlns:a16="http://schemas.microsoft.com/office/drawing/2014/main" id="{00000000-0008-0000-0100-000005000000}"/>
            </a:ext>
          </a:extLst>
        </xdr:cNvPr>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6" name="AutoShape 3">
          <a:extLst>
            <a:ext uri="{FF2B5EF4-FFF2-40B4-BE49-F238E27FC236}">
              <a16:creationId xmlns="" xmlns:a16="http://schemas.microsoft.com/office/drawing/2014/main" id="{00000000-0008-0000-0100-000006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7" name="AutoShape 3">
          <a:extLst>
            <a:ext uri="{FF2B5EF4-FFF2-40B4-BE49-F238E27FC236}">
              <a16:creationId xmlns="" xmlns:a16="http://schemas.microsoft.com/office/drawing/2014/main" id="{00000000-0008-0000-0100-000007000000}"/>
            </a:ext>
          </a:extLst>
        </xdr:cNvPr>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8" name="AutoShape 3">
          <a:extLst>
            <a:ext uri="{FF2B5EF4-FFF2-40B4-BE49-F238E27FC236}">
              <a16:creationId xmlns="" xmlns:a16="http://schemas.microsoft.com/office/drawing/2014/main" id="{00000000-0008-0000-0100-000008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9" name="AutoShape 3">
          <a:extLst>
            <a:ext uri="{FF2B5EF4-FFF2-40B4-BE49-F238E27FC236}">
              <a16:creationId xmlns="" xmlns:a16="http://schemas.microsoft.com/office/drawing/2014/main" id="{00000000-0008-0000-0100-000009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0" name="AutoShape 3">
          <a:extLst>
            <a:ext uri="{FF2B5EF4-FFF2-40B4-BE49-F238E27FC236}">
              <a16:creationId xmlns="" xmlns:a16="http://schemas.microsoft.com/office/drawing/2014/main" id="{00000000-0008-0000-0100-00000A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1" name="AutoShape 3">
          <a:extLst>
            <a:ext uri="{FF2B5EF4-FFF2-40B4-BE49-F238E27FC236}">
              <a16:creationId xmlns="" xmlns:a16="http://schemas.microsoft.com/office/drawing/2014/main" id="{00000000-0008-0000-0100-00000B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2" name="AutoShape 3">
          <a:extLst>
            <a:ext uri="{FF2B5EF4-FFF2-40B4-BE49-F238E27FC236}">
              <a16:creationId xmlns="" xmlns:a16="http://schemas.microsoft.com/office/drawing/2014/main" id="{00000000-0008-0000-0100-00000C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3" name="AutoShape 3">
          <a:extLst>
            <a:ext uri="{FF2B5EF4-FFF2-40B4-BE49-F238E27FC236}">
              <a16:creationId xmlns="" xmlns:a16="http://schemas.microsoft.com/office/drawing/2014/main" id="{00000000-0008-0000-0100-00000D000000}"/>
            </a:ext>
          </a:extLst>
        </xdr:cNvPr>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4" name="AutoShape 3">
          <a:extLst>
            <a:ext uri="{FF2B5EF4-FFF2-40B4-BE49-F238E27FC236}">
              <a16:creationId xmlns="" xmlns:a16="http://schemas.microsoft.com/office/drawing/2014/main" id="{00000000-0008-0000-0100-00000E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5" name="AutoShape 3">
          <a:extLst>
            <a:ext uri="{FF2B5EF4-FFF2-40B4-BE49-F238E27FC236}">
              <a16:creationId xmlns="" xmlns:a16="http://schemas.microsoft.com/office/drawing/2014/main" id="{00000000-0008-0000-0100-00000F000000}"/>
            </a:ext>
          </a:extLst>
        </xdr:cNvPr>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6" name="AutoShape 3">
          <a:extLst>
            <a:ext uri="{FF2B5EF4-FFF2-40B4-BE49-F238E27FC236}">
              <a16:creationId xmlns="" xmlns:a16="http://schemas.microsoft.com/office/drawing/2014/main" id="{00000000-0008-0000-0100-000010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10</xdr:col>
      <xdr:colOff>666750</xdr:colOff>
      <xdr:row>17</xdr:row>
      <xdr:rowOff>257175</xdr:rowOff>
    </xdr:to>
    <xdr:sp macro="" textlink="">
      <xdr:nvSpPr>
        <xdr:cNvPr id="17" name="AutoShape 3">
          <a:extLst>
            <a:ext uri="{FF2B5EF4-FFF2-40B4-BE49-F238E27FC236}">
              <a16:creationId xmlns="" xmlns:a16="http://schemas.microsoft.com/office/drawing/2014/main" id="{00000000-0008-0000-0100-000011000000}"/>
            </a:ext>
          </a:extLst>
        </xdr:cNvPr>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190500</xdr:rowOff>
    </xdr:from>
    <xdr:to>
      <xdr:col>1</xdr:col>
      <xdr:colOff>592667</xdr:colOff>
      <xdr:row>3</xdr:row>
      <xdr:rowOff>116417</xdr:rowOff>
    </xdr:to>
    <xdr:pic>
      <xdr:nvPicPr>
        <xdr:cNvPr id="2" name="image00.jp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14325" y="190500"/>
          <a:ext cx="1262592" cy="10795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885825</xdr:colOff>
      <xdr:row>0</xdr:row>
      <xdr:rowOff>9526</xdr:rowOff>
    </xdr:from>
    <xdr:to>
      <xdr:col>2</xdr:col>
      <xdr:colOff>704850</xdr:colOff>
      <xdr:row>3</xdr:row>
      <xdr:rowOff>82190</xdr:rowOff>
    </xdr:to>
    <xdr:pic>
      <xdr:nvPicPr>
        <xdr:cNvPr id="2" name="1 Imagen"/>
        <xdr:cNvPicPr>
          <a:picLocks noChangeAspect="1"/>
        </xdr:cNvPicPr>
      </xdr:nvPicPr>
      <xdr:blipFill>
        <a:blip xmlns:r="http://schemas.openxmlformats.org/officeDocument/2006/relationships" r:embed="rId1"/>
        <a:stretch>
          <a:fillRect/>
        </a:stretch>
      </xdr:blipFill>
      <xdr:spPr>
        <a:xfrm>
          <a:off x="1314450" y="9526"/>
          <a:ext cx="752475" cy="6441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Downloads/1141_Seg42017-23012018Final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A.MUNOZ/Downloads/1141%20-Segpl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ica.ortiz.SDA/Downloads/1141_Forma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Resumen"/>
    </sheetNames>
    <sheetDataSet>
      <sheetData sheetId="0" refreshError="1"/>
      <sheetData sheetId="1" refreshError="1">
        <row r="12">
          <cell r="Q12">
            <v>182178948</v>
          </cell>
        </row>
        <row r="15">
          <cell r="Q15">
            <v>0.2</v>
          </cell>
        </row>
        <row r="16">
          <cell r="Q16">
            <v>1000000000</v>
          </cell>
        </row>
        <row r="27">
          <cell r="Q27">
            <v>120</v>
          </cell>
        </row>
        <row r="28">
          <cell r="Q28">
            <v>996271850</v>
          </cell>
        </row>
        <row r="29">
          <cell r="Q29">
            <v>47</v>
          </cell>
        </row>
        <row r="30">
          <cell r="Q30">
            <v>263795085</v>
          </cell>
        </row>
        <row r="34">
          <cell r="Q34">
            <v>298569621</v>
          </cell>
        </row>
        <row r="36">
          <cell r="Q36">
            <v>65573517</v>
          </cell>
        </row>
        <row r="40">
          <cell r="Q40">
            <v>102639067</v>
          </cell>
        </row>
        <row r="42">
          <cell r="Q42">
            <v>14704074</v>
          </cell>
        </row>
        <row r="45">
          <cell r="Q45">
            <v>2627</v>
          </cell>
        </row>
        <row r="46">
          <cell r="Q46">
            <v>804524633</v>
          </cell>
        </row>
        <row r="48">
          <cell r="Q48">
            <v>105773637</v>
          </cell>
        </row>
        <row r="51">
          <cell r="Q51">
            <v>7910.66</v>
          </cell>
        </row>
        <row r="52">
          <cell r="Q52">
            <v>364740267</v>
          </cell>
        </row>
        <row r="54">
          <cell r="Q54">
            <v>179241931</v>
          </cell>
          <cell r="AM54">
            <v>179199239</v>
          </cell>
        </row>
        <row r="57">
          <cell r="Q57">
            <v>2030</v>
          </cell>
        </row>
        <row r="58">
          <cell r="Q58">
            <v>160793033</v>
          </cell>
        </row>
        <row r="60">
          <cell r="Q60">
            <v>29964766</v>
          </cell>
        </row>
        <row r="63">
          <cell r="Q63">
            <v>0.5</v>
          </cell>
        </row>
        <row r="64">
          <cell r="Q64">
            <v>250000000</v>
          </cell>
        </row>
        <row r="66">
          <cell r="Q66">
            <v>166837646</v>
          </cell>
        </row>
        <row r="69">
          <cell r="Q69">
            <v>11375079.609999999</v>
          </cell>
        </row>
        <row r="70">
          <cell r="Q70">
            <v>822392131</v>
          </cell>
        </row>
        <row r="72">
          <cell r="Q72">
            <v>290216168</v>
          </cell>
        </row>
        <row r="75">
          <cell r="P75">
            <v>1</v>
          </cell>
        </row>
        <row r="76">
          <cell r="P76">
            <v>100968000</v>
          </cell>
        </row>
        <row r="78">
          <cell r="Q78">
            <v>20174074</v>
          </cell>
        </row>
        <row r="81">
          <cell r="P81">
            <v>1</v>
          </cell>
        </row>
        <row r="82">
          <cell r="Q82">
            <v>316420834</v>
          </cell>
        </row>
        <row r="84">
          <cell r="Q84">
            <v>53169121</v>
          </cell>
        </row>
        <row r="87">
          <cell r="Q87">
            <v>0.25</v>
          </cell>
        </row>
        <row r="88">
          <cell r="Q88">
            <v>443255434</v>
          </cell>
        </row>
        <row r="90">
          <cell r="AM90">
            <v>200557722</v>
          </cell>
        </row>
        <row r="93">
          <cell r="Q93">
            <v>0.5</v>
          </cell>
        </row>
        <row r="94">
          <cell r="Q94">
            <v>350000000</v>
          </cell>
        </row>
        <row r="95">
          <cell r="Q95">
            <v>0.05</v>
          </cell>
        </row>
        <row r="96">
          <cell r="Q96">
            <v>245268594</v>
          </cell>
        </row>
        <row r="99">
          <cell r="Q99">
            <v>8028</v>
          </cell>
        </row>
        <row r="100">
          <cell r="Q100">
            <v>258978562</v>
          </cell>
        </row>
        <row r="105">
          <cell r="Q105">
            <v>0.4</v>
          </cell>
        </row>
        <row r="106">
          <cell r="Q106">
            <v>199362000</v>
          </cell>
        </row>
        <row r="112">
          <cell r="Q112">
            <v>231190370</v>
          </cell>
        </row>
        <row r="117">
          <cell r="Q117">
            <v>355398</v>
          </cell>
        </row>
        <row r="118">
          <cell r="Q118">
            <v>213000000</v>
          </cell>
        </row>
        <row r="123">
          <cell r="Q123">
            <v>30</v>
          </cell>
        </row>
        <row r="124">
          <cell r="Q124">
            <v>49965000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refreshError="1"/>
      <sheetData sheetId="1" refreshError="1">
        <row r="10">
          <cell r="AF10">
            <v>0</v>
          </cell>
        </row>
        <row r="52">
          <cell r="AF52">
            <v>196390000</v>
          </cell>
        </row>
        <row r="54">
          <cell r="AF54">
            <v>42892971</v>
          </cell>
        </row>
        <row r="58">
          <cell r="AF58">
            <v>94926500</v>
          </cell>
        </row>
        <row r="60">
          <cell r="AF60">
            <v>65520468</v>
          </cell>
        </row>
        <row r="102">
          <cell r="AF102">
            <v>147161156</v>
          </cell>
        </row>
        <row r="108">
          <cell r="AF108">
            <v>53565530</v>
          </cell>
        </row>
        <row r="114">
          <cell r="AF114">
            <v>2960618</v>
          </cell>
        </row>
        <row r="120">
          <cell r="AF120">
            <v>29420168</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Resumen"/>
      <sheetName val="Hoja1"/>
    </sheetNames>
    <sheetDataSet>
      <sheetData sheetId="0" refreshError="1"/>
      <sheetData sheetId="1" refreshError="1">
        <row r="16">
          <cell r="AF16">
            <v>213403500</v>
          </cell>
          <cell r="AG16">
            <v>429352500</v>
          </cell>
        </row>
        <row r="18">
          <cell r="AF18">
            <v>66552148</v>
          </cell>
          <cell r="AG18">
            <v>89742794</v>
          </cell>
        </row>
        <row r="22">
          <cell r="AF22">
            <v>0</v>
          </cell>
          <cell r="AG22">
            <v>0</v>
          </cell>
        </row>
        <row r="28">
          <cell r="AF28">
            <v>43220000</v>
          </cell>
          <cell r="AG28">
            <v>61710000</v>
          </cell>
        </row>
        <row r="30">
          <cell r="AF30">
            <v>17533097</v>
          </cell>
          <cell r="AG30">
            <v>47533097</v>
          </cell>
        </row>
        <row r="34">
          <cell r="AF34">
            <v>263232000</v>
          </cell>
          <cell r="AG34">
            <v>698210500</v>
          </cell>
        </row>
        <row r="36">
          <cell r="AF36">
            <v>257556993</v>
          </cell>
          <cell r="AG36">
            <v>263795085</v>
          </cell>
        </row>
        <row r="40">
          <cell r="AF40">
            <v>235666500</v>
          </cell>
          <cell r="AG40">
            <v>315121500</v>
          </cell>
        </row>
        <row r="42">
          <cell r="AF42">
            <v>65573517</v>
          </cell>
          <cell r="AG42">
            <v>65573517</v>
          </cell>
        </row>
        <row r="46">
          <cell r="AF46">
            <v>0</v>
          </cell>
          <cell r="AG46">
            <v>113400000</v>
          </cell>
        </row>
        <row r="48">
          <cell r="AF48">
            <v>6683670</v>
          </cell>
          <cell r="AG48">
            <v>14704074</v>
          </cell>
        </row>
        <row r="52">
          <cell r="AF52">
            <v>196390000</v>
          </cell>
          <cell r="AG52">
            <v>247700000</v>
          </cell>
        </row>
        <row r="54">
          <cell r="AF54">
            <v>42892971</v>
          </cell>
          <cell r="AG54">
            <v>59661260</v>
          </cell>
        </row>
        <row r="64">
          <cell r="AF64">
            <v>24234500</v>
          </cell>
          <cell r="AG64">
            <v>152377500</v>
          </cell>
        </row>
        <row r="66">
          <cell r="AF66">
            <v>29964766</v>
          </cell>
          <cell r="AG66">
            <v>29964766</v>
          </cell>
        </row>
        <row r="70">
          <cell r="AF70">
            <v>0</v>
          </cell>
        </row>
        <row r="72">
          <cell r="AF72">
            <v>100102588</v>
          </cell>
          <cell r="AG72">
            <v>100102588</v>
          </cell>
        </row>
        <row r="76">
          <cell r="AF76">
            <v>343934000</v>
          </cell>
          <cell r="AG76">
            <v>744468000</v>
          </cell>
        </row>
        <row r="78">
          <cell r="AF78">
            <v>137832253</v>
          </cell>
          <cell r="AG78">
            <v>168606787</v>
          </cell>
        </row>
        <row r="82">
          <cell r="AF82">
            <v>55222500</v>
          </cell>
          <cell r="AG82">
            <v>100968000</v>
          </cell>
        </row>
        <row r="84">
          <cell r="AF84">
            <v>16057782</v>
          </cell>
          <cell r="AG84">
            <v>20174074</v>
          </cell>
        </row>
        <row r="88">
          <cell r="AF88">
            <v>102852000</v>
          </cell>
          <cell r="AG88">
            <v>311738000</v>
          </cell>
        </row>
        <row r="90">
          <cell r="AF90">
            <v>53169121</v>
          </cell>
          <cell r="AG90">
            <v>53169121</v>
          </cell>
        </row>
        <row r="94">
          <cell r="AF94">
            <v>57119000</v>
          </cell>
          <cell r="AG94">
            <v>368379000</v>
          </cell>
        </row>
        <row r="96">
          <cell r="AG96">
            <v>105891644</v>
          </cell>
        </row>
        <row r="100">
          <cell r="AF100">
            <v>0</v>
          </cell>
          <cell r="AG100">
            <v>0</v>
          </cell>
        </row>
        <row r="102">
          <cell r="AG102">
            <v>147161156</v>
          </cell>
        </row>
        <row r="106">
          <cell r="AF106">
            <v>51851000</v>
          </cell>
          <cell r="AG106">
            <v>239789500</v>
          </cell>
        </row>
        <row r="108">
          <cell r="AG108">
            <v>89610819</v>
          </cell>
        </row>
        <row r="112">
          <cell r="AF112">
            <v>0</v>
          </cell>
          <cell r="AG112">
            <v>0</v>
          </cell>
        </row>
        <row r="114">
          <cell r="AG114">
            <v>65851301</v>
          </cell>
        </row>
        <row r="118">
          <cell r="AF118">
            <v>86440000</v>
          </cell>
          <cell r="AG118">
            <v>205141000</v>
          </cell>
        </row>
        <row r="120">
          <cell r="AG120">
            <v>35311699</v>
          </cell>
        </row>
        <row r="124">
          <cell r="AF124">
            <v>37540000</v>
          </cell>
          <cell r="AG124">
            <v>114070000</v>
          </cell>
        </row>
        <row r="126">
          <cell r="AG126">
            <v>59530422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01"/>
  <sheetViews>
    <sheetView tabSelected="1" topLeftCell="A12" zoomScale="64" zoomScaleNormal="64" zoomScaleSheetLayoutView="50" workbookViewId="0">
      <pane xSplit="12" ySplit="4" topLeftCell="O29" activePane="bottomRight" state="frozen"/>
      <selection activeCell="A12" sqref="A12"/>
      <selection pane="topRight" activeCell="M12" sqref="M12"/>
      <selection pane="bottomLeft" activeCell="A16" sqref="A16"/>
      <selection pane="bottomRight" activeCell="S30" sqref="S30"/>
    </sheetView>
  </sheetViews>
  <sheetFormatPr baseColWidth="10" defaultColWidth="15.140625" defaultRowHeight="15" customHeight="1" x14ac:dyDescent="0.25"/>
  <cols>
    <col min="1" max="1" width="6.7109375" customWidth="1"/>
    <col min="2" max="2" width="5.28515625" style="183" customWidth="1"/>
    <col min="3" max="3" width="8.140625" customWidth="1"/>
    <col min="4" max="4" width="7.7109375" customWidth="1"/>
    <col min="5" max="5" width="20.28515625" customWidth="1"/>
    <col min="6" max="6" width="6.5703125" customWidth="1"/>
    <col min="7" max="7" width="11.42578125" customWidth="1"/>
    <col min="8" max="8" width="14.42578125" customWidth="1"/>
    <col min="9" max="9" width="9.5703125" customWidth="1"/>
    <col min="10" max="10" width="15.28515625" customWidth="1"/>
    <col min="11" max="11" width="25.28515625" style="183" customWidth="1"/>
    <col min="12" max="12" width="17.140625" customWidth="1"/>
    <col min="13" max="13" width="18.28515625" customWidth="1"/>
    <col min="14" max="14" width="16.5703125" customWidth="1"/>
    <col min="15" max="15" width="16.5703125" style="183" customWidth="1"/>
    <col min="16" max="16" width="14.28515625" hidden="1" customWidth="1"/>
    <col min="17" max="17" width="2.42578125" hidden="1" customWidth="1"/>
    <col min="18" max="18" width="13.28515625" customWidth="1"/>
    <col min="19" max="19" width="12.28515625" style="423" customWidth="1"/>
    <col min="20" max="20" width="12.7109375" style="423" customWidth="1"/>
    <col min="21" max="21" width="11.140625" style="423" customWidth="1"/>
    <col min="22" max="22" width="12.5703125" style="423" customWidth="1"/>
    <col min="23" max="26" width="11.140625" style="423" customWidth="1"/>
    <col min="27" max="27" width="2.7109375" style="423" customWidth="1"/>
    <col min="28" max="28" width="13.140625" style="423" customWidth="1"/>
    <col min="29" max="32" width="11.140625" style="423" customWidth="1"/>
    <col min="33" max="33" width="2.42578125" style="423" customWidth="1"/>
    <col min="34" max="34" width="12.7109375" style="423" customWidth="1"/>
    <col min="35" max="37" width="11.140625" style="423" customWidth="1"/>
    <col min="38" max="38" width="14.28515625" style="423" customWidth="1"/>
    <col min="39" max="40" width="16.28515625" style="423" customWidth="1"/>
    <col min="41" max="41" width="18.85546875" style="423" customWidth="1"/>
    <col min="42" max="42" width="15.28515625" style="423" customWidth="1"/>
    <col min="43" max="43" width="12.42578125" style="423" customWidth="1"/>
    <col min="44" max="44" width="10.7109375" style="423" customWidth="1"/>
    <col min="45" max="45" width="65.28515625" style="423" customWidth="1"/>
    <col min="46" max="46" width="15.85546875" style="423" customWidth="1"/>
    <col min="47" max="51" width="16.85546875" style="423" customWidth="1"/>
    <col min="52" max="16384" width="15.140625" style="423"/>
  </cols>
  <sheetData>
    <row r="1" spans="1:51" customFormat="1" ht="1.5" customHeight="1" thickBot="1" x14ac:dyDescent="0.3">
      <c r="A1" s="1"/>
      <c r="B1" s="1"/>
      <c r="C1" s="1"/>
      <c r="D1" s="1"/>
      <c r="E1" s="1"/>
      <c r="F1" s="1"/>
      <c r="G1" s="1"/>
      <c r="H1" s="1"/>
      <c r="I1" s="1"/>
      <c r="J1" s="2"/>
      <c r="K1" s="2"/>
      <c r="L1" s="2"/>
      <c r="M1" s="2"/>
      <c r="N1" s="2"/>
      <c r="O1" s="2"/>
      <c r="P1" s="2"/>
      <c r="Q1" s="2"/>
      <c r="R1" s="2"/>
      <c r="S1" s="329"/>
      <c r="T1" s="329"/>
      <c r="U1" s="2"/>
      <c r="V1" s="2"/>
      <c r="W1" s="2"/>
      <c r="X1" s="2"/>
      <c r="Y1" s="2"/>
      <c r="Z1" s="2"/>
      <c r="AA1" s="2"/>
      <c r="AB1" s="2"/>
      <c r="AC1" s="2"/>
      <c r="AD1" s="2"/>
      <c r="AE1" s="2"/>
      <c r="AF1" s="2"/>
      <c r="AG1" s="2"/>
      <c r="AH1" s="2"/>
      <c r="AI1" s="2"/>
      <c r="AJ1" s="2"/>
      <c r="AK1" s="2"/>
      <c r="AL1" s="2"/>
      <c r="AM1" s="1"/>
      <c r="AN1" s="1"/>
      <c r="AO1" s="1"/>
      <c r="AP1" s="330"/>
      <c r="AQ1" s="1"/>
      <c r="AR1" s="1"/>
      <c r="AS1" s="330"/>
      <c r="AT1" s="330"/>
      <c r="AU1" s="330"/>
      <c r="AV1" s="1"/>
      <c r="AW1" s="1"/>
      <c r="AX1" s="3"/>
      <c r="AY1" s="3"/>
    </row>
    <row r="2" spans="1:51" customFormat="1" ht="38.25" customHeight="1" x14ac:dyDescent="0.25">
      <c r="A2" s="1002"/>
      <c r="B2" s="1003"/>
      <c r="C2" s="1004"/>
      <c r="D2" s="1004"/>
      <c r="E2" s="1004"/>
      <c r="F2" s="1004"/>
      <c r="G2" s="1005"/>
      <c r="H2" s="1019" t="s">
        <v>0</v>
      </c>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c r="AJ2" s="969"/>
      <c r="AK2" s="969"/>
      <c r="AL2" s="969"/>
      <c r="AM2" s="969"/>
      <c r="AN2" s="969"/>
      <c r="AO2" s="969"/>
      <c r="AP2" s="969"/>
      <c r="AQ2" s="969"/>
      <c r="AR2" s="969"/>
      <c r="AS2" s="969"/>
      <c r="AT2" s="969"/>
      <c r="AU2" s="969"/>
      <c r="AV2" s="969"/>
      <c r="AW2" s="1020"/>
      <c r="AX2" s="3"/>
      <c r="AY2" s="3"/>
    </row>
    <row r="3" spans="1:51" customFormat="1" ht="28.5" customHeight="1" x14ac:dyDescent="0.25">
      <c r="A3" s="1006"/>
      <c r="B3" s="1007"/>
      <c r="C3" s="1008"/>
      <c r="D3" s="1008"/>
      <c r="E3" s="1008"/>
      <c r="F3" s="1008"/>
      <c r="G3" s="1009"/>
      <c r="H3" s="1018" t="s">
        <v>3</v>
      </c>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994"/>
      <c r="AU3" s="994"/>
      <c r="AV3" s="994"/>
      <c r="AW3" s="1021"/>
      <c r="AX3" s="3"/>
      <c r="AY3" s="3"/>
    </row>
    <row r="4" spans="1:51" customFormat="1" ht="27.75" customHeight="1" x14ac:dyDescent="0.25">
      <c r="A4" s="1006"/>
      <c r="B4" s="1007"/>
      <c r="C4" s="1008"/>
      <c r="D4" s="1008"/>
      <c r="E4" s="1008"/>
      <c r="F4" s="1008"/>
      <c r="G4" s="1009"/>
      <c r="H4" s="1018" t="s">
        <v>4</v>
      </c>
      <c r="I4" s="994"/>
      <c r="J4" s="994"/>
      <c r="K4" s="994"/>
      <c r="L4" s="994"/>
      <c r="M4" s="994"/>
      <c r="N4" s="994"/>
      <c r="O4" s="994"/>
      <c r="P4" s="994"/>
      <c r="Q4" s="994"/>
      <c r="R4" s="995"/>
      <c r="S4" s="1018" t="s">
        <v>5</v>
      </c>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1021"/>
      <c r="AX4" s="3"/>
      <c r="AY4" s="3"/>
    </row>
    <row r="5" spans="1:51" customFormat="1" ht="26.25" customHeight="1" x14ac:dyDescent="0.25">
      <c r="A5" s="1006"/>
      <c r="B5" s="1007"/>
      <c r="C5" s="1008"/>
      <c r="D5" s="1008"/>
      <c r="E5" s="1008"/>
      <c r="F5" s="1008"/>
      <c r="G5" s="1009"/>
      <c r="H5" s="1018" t="s">
        <v>8</v>
      </c>
      <c r="I5" s="994"/>
      <c r="J5" s="994"/>
      <c r="K5" s="994"/>
      <c r="L5" s="994"/>
      <c r="M5" s="994"/>
      <c r="N5" s="994"/>
      <c r="O5" s="994"/>
      <c r="P5" s="994"/>
      <c r="Q5" s="994"/>
      <c r="R5" s="995"/>
      <c r="S5" s="1018" t="s">
        <v>9</v>
      </c>
      <c r="T5" s="994"/>
      <c r="U5" s="994"/>
      <c r="V5" s="994"/>
      <c r="W5" s="994"/>
      <c r="X5" s="994"/>
      <c r="Y5" s="994"/>
      <c r="Z5" s="994"/>
      <c r="AA5" s="994"/>
      <c r="AB5" s="994"/>
      <c r="AC5" s="994"/>
      <c r="AD5" s="994"/>
      <c r="AE5" s="994"/>
      <c r="AF5" s="994"/>
      <c r="AG5" s="994"/>
      <c r="AH5" s="994"/>
      <c r="AI5" s="994"/>
      <c r="AJ5" s="994"/>
      <c r="AK5" s="994"/>
      <c r="AL5" s="994"/>
      <c r="AM5" s="994"/>
      <c r="AN5" s="994"/>
      <c r="AO5" s="994"/>
      <c r="AP5" s="994"/>
      <c r="AQ5" s="994"/>
      <c r="AR5" s="994"/>
      <c r="AS5" s="994"/>
      <c r="AT5" s="994"/>
      <c r="AU5" s="994"/>
      <c r="AV5" s="994"/>
      <c r="AW5" s="1021"/>
      <c r="AX5" s="3"/>
      <c r="AY5" s="3"/>
    </row>
    <row r="6" spans="1:51" customFormat="1" ht="15.75" customHeight="1" x14ac:dyDescent="0.25">
      <c r="A6" s="4"/>
      <c r="B6" s="5"/>
      <c r="C6" s="5"/>
      <c r="D6" s="5"/>
      <c r="E6" s="5"/>
      <c r="F6" s="5"/>
      <c r="G6" s="5"/>
      <c r="H6" s="5"/>
      <c r="I6" s="5"/>
      <c r="J6" s="6"/>
      <c r="K6" s="6"/>
      <c r="L6" s="6"/>
      <c r="M6" s="6"/>
      <c r="N6" s="6"/>
      <c r="O6" s="6"/>
      <c r="P6" s="6"/>
      <c r="Q6" s="6"/>
      <c r="R6" s="6"/>
      <c r="S6" s="523"/>
      <c r="T6" s="523"/>
      <c r="U6" s="523"/>
      <c r="V6" s="523"/>
      <c r="W6" s="523"/>
      <c r="X6" s="523"/>
      <c r="Y6" s="523"/>
      <c r="Z6" s="523"/>
      <c r="AA6" s="523"/>
      <c r="AB6" s="523"/>
      <c r="AC6" s="523"/>
      <c r="AD6" s="523"/>
      <c r="AE6" s="523"/>
      <c r="AF6" s="523"/>
      <c r="AG6" s="523"/>
      <c r="AH6" s="523"/>
      <c r="AI6" s="523"/>
      <c r="AJ6" s="523"/>
      <c r="AK6" s="523"/>
      <c r="AL6" s="523"/>
      <c r="AM6" s="524"/>
      <c r="AN6" s="524"/>
      <c r="AO6" s="524"/>
      <c r="AP6" s="524"/>
      <c r="AQ6" s="524"/>
      <c r="AR6" s="524"/>
      <c r="AS6" s="524"/>
      <c r="AT6" s="524"/>
      <c r="AU6" s="524"/>
      <c r="AV6" s="524"/>
      <c r="AW6" s="525"/>
      <c r="AX6" s="3"/>
      <c r="AY6" s="3"/>
    </row>
    <row r="7" spans="1:51" customFormat="1" ht="30" customHeight="1" x14ac:dyDescent="0.25">
      <c r="A7" s="1016" t="s">
        <v>10</v>
      </c>
      <c r="B7" s="1017"/>
      <c r="C7" s="994"/>
      <c r="D7" s="994"/>
      <c r="E7" s="994"/>
      <c r="F7" s="994"/>
      <c r="G7" s="994"/>
      <c r="H7" s="994"/>
      <c r="I7" s="994"/>
      <c r="J7" s="994"/>
      <c r="K7" s="994"/>
      <c r="L7" s="994"/>
      <c r="M7" s="994"/>
      <c r="N7" s="994"/>
      <c r="O7" s="994"/>
      <c r="P7" s="994"/>
      <c r="Q7" s="994"/>
      <c r="R7" s="995"/>
      <c r="S7" s="1022" t="s">
        <v>11</v>
      </c>
      <c r="T7" s="1023"/>
      <c r="U7" s="1023"/>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4"/>
      <c r="AX7" s="3"/>
      <c r="AY7" s="3"/>
    </row>
    <row r="8" spans="1:51" customFormat="1" ht="30" customHeight="1" thickBot="1" x14ac:dyDescent="0.3">
      <c r="A8" s="989"/>
      <c r="B8" s="990"/>
      <c r="C8" s="991"/>
      <c r="D8" s="991"/>
      <c r="E8" s="991"/>
      <c r="F8" s="991"/>
      <c r="G8" s="991"/>
      <c r="H8" s="991"/>
      <c r="I8" s="991"/>
      <c r="J8" s="991"/>
      <c r="K8" s="991"/>
      <c r="L8" s="991"/>
      <c r="M8" s="991"/>
      <c r="N8" s="991"/>
      <c r="O8" s="991"/>
      <c r="P8" s="991"/>
      <c r="Q8" s="991"/>
      <c r="R8" s="992"/>
      <c r="S8" s="986" t="s">
        <v>13</v>
      </c>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8"/>
      <c r="AX8" s="3"/>
      <c r="AY8" s="3"/>
    </row>
    <row r="9" spans="1:51" customFormat="1" ht="36" customHeight="1" thickBot="1" x14ac:dyDescent="0.3">
      <c r="A9" s="10"/>
      <c r="B9" s="11"/>
      <c r="C9" s="11"/>
      <c r="D9" s="11"/>
      <c r="E9" s="11"/>
      <c r="F9" s="12"/>
      <c r="G9" s="12"/>
      <c r="H9" s="12"/>
      <c r="I9" s="12"/>
      <c r="J9" s="12"/>
      <c r="K9" s="12"/>
      <c r="L9" s="12"/>
      <c r="M9" s="12"/>
      <c r="N9" s="12"/>
      <c r="O9" s="12"/>
      <c r="P9" s="12"/>
      <c r="Q9" s="12"/>
      <c r="R9" s="12"/>
      <c r="S9" s="526"/>
      <c r="T9" s="526"/>
      <c r="U9" s="526"/>
      <c r="V9" s="526"/>
      <c r="W9" s="526"/>
      <c r="X9" s="526"/>
      <c r="Y9" s="526"/>
      <c r="Z9" s="526"/>
      <c r="AA9" s="526"/>
      <c r="AB9" s="526"/>
      <c r="AC9" s="526"/>
      <c r="AD9" s="526"/>
      <c r="AE9" s="526"/>
      <c r="AF9" s="526"/>
      <c r="AG9" s="526"/>
      <c r="AH9" s="526"/>
      <c r="AI9" s="526"/>
      <c r="AJ9" s="526"/>
      <c r="AK9" s="526"/>
      <c r="AL9" s="526"/>
      <c r="AM9" s="524"/>
      <c r="AN9" s="524"/>
      <c r="AO9" s="524"/>
      <c r="AP9" s="524"/>
      <c r="AQ9" s="524"/>
      <c r="AR9" s="524"/>
      <c r="AS9" s="524"/>
      <c r="AT9" s="524"/>
      <c r="AU9" s="524"/>
      <c r="AV9" s="524"/>
      <c r="AW9" s="525"/>
      <c r="AX9" s="3"/>
      <c r="AY9" s="3"/>
    </row>
    <row r="10" spans="1:51" customFormat="1" ht="70.5" customHeight="1" x14ac:dyDescent="0.25">
      <c r="A10" s="978" t="s">
        <v>413</v>
      </c>
      <c r="B10" s="978"/>
      <c r="C10" s="978"/>
      <c r="D10" s="979" t="s">
        <v>17</v>
      </c>
      <c r="E10" s="980"/>
      <c r="F10" s="968" t="s">
        <v>18</v>
      </c>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70"/>
      <c r="AQ10" s="966" t="s">
        <v>20</v>
      </c>
      <c r="AR10" s="966" t="s">
        <v>23</v>
      </c>
      <c r="AS10" s="966" t="s">
        <v>24</v>
      </c>
      <c r="AT10" s="966" t="s">
        <v>25</v>
      </c>
      <c r="AU10" s="966" t="s">
        <v>26</v>
      </c>
      <c r="AV10" s="966" t="s">
        <v>27</v>
      </c>
      <c r="AW10" s="981" t="s">
        <v>28</v>
      </c>
      <c r="AX10" s="15"/>
      <c r="AY10" s="15"/>
    </row>
    <row r="11" spans="1:51" customFormat="1" ht="45.75" customHeight="1" x14ac:dyDescent="0.25">
      <c r="A11" s="1011" t="s">
        <v>414</v>
      </c>
      <c r="B11" s="1011" t="s">
        <v>29</v>
      </c>
      <c r="C11" s="1014" t="s">
        <v>415</v>
      </c>
      <c r="D11" s="1010" t="s">
        <v>35</v>
      </c>
      <c r="E11" s="1010" t="s">
        <v>36</v>
      </c>
      <c r="F11" s="972" t="s">
        <v>37</v>
      </c>
      <c r="G11" s="972" t="s">
        <v>43</v>
      </c>
      <c r="H11" s="972" t="s">
        <v>46</v>
      </c>
      <c r="I11" s="972" t="s">
        <v>47</v>
      </c>
      <c r="J11" s="972" t="s">
        <v>48</v>
      </c>
      <c r="K11" s="996" t="s">
        <v>49</v>
      </c>
      <c r="L11" s="997"/>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997"/>
      <c r="AK11" s="997"/>
      <c r="AL11" s="998"/>
      <c r="AM11" s="993" t="s">
        <v>51</v>
      </c>
      <c r="AN11" s="994"/>
      <c r="AO11" s="994"/>
      <c r="AP11" s="995"/>
      <c r="AQ11" s="971"/>
      <c r="AR11" s="971"/>
      <c r="AS11" s="967"/>
      <c r="AT11" s="967"/>
      <c r="AU11" s="967"/>
      <c r="AV11" s="971"/>
      <c r="AW11" s="982"/>
      <c r="AX11" s="17"/>
      <c r="AY11" s="17"/>
    </row>
    <row r="12" spans="1:51" customFormat="1" ht="51" customHeight="1" x14ac:dyDescent="0.25">
      <c r="A12" s="1012"/>
      <c r="B12" s="1012"/>
      <c r="C12" s="978"/>
      <c r="D12" s="971"/>
      <c r="E12" s="971"/>
      <c r="F12" s="971"/>
      <c r="G12" s="971"/>
      <c r="H12" s="971"/>
      <c r="I12" s="971"/>
      <c r="J12" s="973"/>
      <c r="K12" s="1001">
        <v>2016</v>
      </c>
      <c r="L12" s="1001"/>
      <c r="M12" s="1001"/>
      <c r="N12" s="1001"/>
      <c r="O12" s="999">
        <v>2017</v>
      </c>
      <c r="P12" s="999"/>
      <c r="Q12" s="999"/>
      <c r="R12" s="999"/>
      <c r="S12" s="999"/>
      <c r="T12" s="1000"/>
      <c r="U12" s="993">
        <v>2018</v>
      </c>
      <c r="V12" s="999"/>
      <c r="W12" s="999"/>
      <c r="X12" s="999"/>
      <c r="Y12" s="999"/>
      <c r="Z12" s="1000"/>
      <c r="AA12" s="993">
        <v>2019</v>
      </c>
      <c r="AB12" s="999"/>
      <c r="AC12" s="999"/>
      <c r="AD12" s="999"/>
      <c r="AE12" s="999"/>
      <c r="AF12" s="1000"/>
      <c r="AG12" s="993">
        <v>2020</v>
      </c>
      <c r="AH12" s="999"/>
      <c r="AI12" s="999"/>
      <c r="AJ12" s="999"/>
      <c r="AK12" s="999"/>
      <c r="AL12" s="1000"/>
      <c r="AM12" s="972" t="s">
        <v>55</v>
      </c>
      <c r="AN12" s="972" t="s">
        <v>56</v>
      </c>
      <c r="AO12" s="972" t="s">
        <v>66</v>
      </c>
      <c r="AP12" s="972" t="s">
        <v>71</v>
      </c>
      <c r="AQ12" s="971"/>
      <c r="AR12" s="971"/>
      <c r="AS12" s="967"/>
      <c r="AT12" s="967"/>
      <c r="AU12" s="967"/>
      <c r="AV12" s="971"/>
      <c r="AW12" s="982"/>
      <c r="AX12" s="17"/>
      <c r="AY12" s="17"/>
    </row>
    <row r="13" spans="1:51" customFormat="1" ht="51" customHeight="1" thickBot="1" x14ac:dyDescent="0.3">
      <c r="A13" s="1013"/>
      <c r="B13" s="1013"/>
      <c r="C13" s="1015"/>
      <c r="D13" s="971"/>
      <c r="E13" s="971"/>
      <c r="F13" s="971"/>
      <c r="G13" s="971"/>
      <c r="H13" s="971"/>
      <c r="I13" s="971"/>
      <c r="J13" s="971"/>
      <c r="K13" s="266" t="s">
        <v>407</v>
      </c>
      <c r="L13" s="266" t="s">
        <v>408</v>
      </c>
      <c r="M13" s="266" t="s">
        <v>409</v>
      </c>
      <c r="N13" s="266" t="s">
        <v>76</v>
      </c>
      <c r="O13" s="266" t="s">
        <v>410</v>
      </c>
      <c r="P13" s="266" t="s">
        <v>411</v>
      </c>
      <c r="Q13" s="266" t="s">
        <v>412</v>
      </c>
      <c r="R13" s="266" t="s">
        <v>408</v>
      </c>
      <c r="S13" s="328" t="s">
        <v>409</v>
      </c>
      <c r="T13" s="328" t="s">
        <v>76</v>
      </c>
      <c r="U13" s="266" t="s">
        <v>410</v>
      </c>
      <c r="V13" s="266" t="s">
        <v>411</v>
      </c>
      <c r="W13" s="266" t="s">
        <v>412</v>
      </c>
      <c r="X13" s="266" t="s">
        <v>408</v>
      </c>
      <c r="Y13" s="266" t="s">
        <v>409</v>
      </c>
      <c r="Z13" s="266" t="s">
        <v>76</v>
      </c>
      <c r="AA13" s="266" t="s">
        <v>410</v>
      </c>
      <c r="AB13" s="266" t="s">
        <v>411</v>
      </c>
      <c r="AC13" s="266" t="s">
        <v>412</v>
      </c>
      <c r="AD13" s="266" t="s">
        <v>408</v>
      </c>
      <c r="AE13" s="266" t="s">
        <v>409</v>
      </c>
      <c r="AF13" s="266" t="s">
        <v>76</v>
      </c>
      <c r="AG13" s="266" t="s">
        <v>410</v>
      </c>
      <c r="AH13" s="266" t="s">
        <v>411</v>
      </c>
      <c r="AI13" s="266" t="s">
        <v>412</v>
      </c>
      <c r="AJ13" s="266" t="s">
        <v>408</v>
      </c>
      <c r="AK13" s="266" t="s">
        <v>409</v>
      </c>
      <c r="AL13" s="266" t="s">
        <v>76</v>
      </c>
      <c r="AM13" s="971"/>
      <c r="AN13" s="971"/>
      <c r="AO13" s="971"/>
      <c r="AP13" s="971"/>
      <c r="AQ13" s="971"/>
      <c r="AR13" s="971"/>
      <c r="AS13" s="967"/>
      <c r="AT13" s="967"/>
      <c r="AU13" s="967"/>
      <c r="AV13" s="971"/>
      <c r="AW13" s="982"/>
      <c r="AX13" s="17"/>
      <c r="AY13" s="17"/>
    </row>
    <row r="14" spans="1:51" s="20" customFormat="1" ht="111" customHeight="1" x14ac:dyDescent="0.25">
      <c r="A14" s="983">
        <v>40</v>
      </c>
      <c r="B14" s="983">
        <v>181</v>
      </c>
      <c r="C14" s="974" t="s">
        <v>218</v>
      </c>
      <c r="D14" s="527">
        <v>475</v>
      </c>
      <c r="E14" s="528" t="s">
        <v>80</v>
      </c>
      <c r="F14" s="346">
        <v>374</v>
      </c>
      <c r="G14" s="529" t="s">
        <v>81</v>
      </c>
      <c r="H14" s="347" t="s">
        <v>83</v>
      </c>
      <c r="I14" s="346" t="s">
        <v>84</v>
      </c>
      <c r="J14" s="348">
        <v>100</v>
      </c>
      <c r="K14" s="348"/>
      <c r="L14" s="349">
        <v>0</v>
      </c>
      <c r="M14" s="348">
        <v>0</v>
      </c>
      <c r="N14" s="348">
        <v>0</v>
      </c>
      <c r="O14" s="348"/>
      <c r="P14" s="530">
        <v>25</v>
      </c>
      <c r="Q14" s="530">
        <v>25</v>
      </c>
      <c r="R14" s="531">
        <v>25</v>
      </c>
      <c r="S14" s="532">
        <v>25</v>
      </c>
      <c r="T14" s="532">
        <f>+INVERSIÓN!R123</f>
        <v>25</v>
      </c>
      <c r="U14" s="532"/>
      <c r="V14" s="530">
        <v>25</v>
      </c>
      <c r="W14" s="530"/>
      <c r="X14" s="530"/>
      <c r="Y14" s="532"/>
      <c r="Z14" s="532"/>
      <c r="AA14" s="532"/>
      <c r="AB14" s="530">
        <v>25</v>
      </c>
      <c r="AC14" s="530"/>
      <c r="AD14" s="530"/>
      <c r="AE14" s="532"/>
      <c r="AF14" s="532"/>
      <c r="AG14" s="532"/>
      <c r="AH14" s="530">
        <v>25</v>
      </c>
      <c r="AI14" s="349"/>
      <c r="AJ14" s="349"/>
      <c r="AK14" s="348"/>
      <c r="AL14" s="348"/>
      <c r="AM14" s="533">
        <v>6.25</v>
      </c>
      <c r="AN14" s="533">
        <v>12.5</v>
      </c>
      <c r="AO14" s="534">
        <v>18.75</v>
      </c>
      <c r="AP14" s="532">
        <f>+INVERSIÓN!AM123</f>
        <v>25</v>
      </c>
      <c r="AQ14" s="535">
        <f>AP14/S14</f>
        <v>1</v>
      </c>
      <c r="AR14" s="535">
        <f>+AP14/J14</f>
        <v>0.25</v>
      </c>
      <c r="AS14" s="536" t="str">
        <f>+INVERSIÓN!AP123</f>
        <v xml:space="preserve">Se priorizaron las acciones competencia de la SEGAE 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y/o lineamientos ambientales emitidos a 79 proyectos e instrumentos de planeamiento urbano y 7 proyectos inscritos en el programa Bogotá Construcción Sostenible (12Planes Parciales de Desarrollo, 7 Planes Parciales de Renovación Urbana, 23 Planes de Implantación, 2 Planes de Regularización y Manejo, 13 Compatibilidad de Usos de Vivienda, 22Diseños Paisajísticos de Parques y Zonas Verdes, 7 proyectos de Bogotá Construcción Sostenible); estos criterios de sostenibilidad ambiental aportan directamente al cumplimiento de las estrategias del Plan de Acción así: Movilidad Sostenible 14 proyectos, Consumo Responsable de Agua Potable 48 proyectos, Permeabilidad y Drenajes Sostenibles 26 proyectos, Calidad de Aire y Salud Ambiental 34 proyectos, Gestión de Infraestructuras Verdes y Servicios Ecosistémicos 83 proyectos, Gestión de Residuos Sólidos 41 proyectos, Residuos de la Construcción y la Demolición (RCD) 38 proyectos, Eficiencia Energética y Energía Renovable 46 proyectos, Edificaciones y Viviendas Urbanas y Rurales Sostenible 31 proyectos. Por otra parte, en revisión realizada por la SEGAE, SRHS, SCAAV, SSFFS, SER y SCASP,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las metas del Plan de Acción - Resol 1319 de 2015(Consumo responsable de agua potable (m2), permeabilidad y drenajes sostenibles (m3), gestión de infraestructuras verdes y servicios ecosistémicos).
</v>
      </c>
      <c r="AT14" s="537" t="str">
        <f>+INVERSIÓN!AQ123</f>
        <v>NINGUNO</v>
      </c>
      <c r="AU14" s="537" t="str">
        <f>+INVERSIÓN!AR123</f>
        <v>N/A</v>
      </c>
      <c r="AV14" s="412" t="str">
        <f>+INVERSIÓN!AS123</f>
        <v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v>
      </c>
      <c r="AW14" s="412" t="str">
        <f>+INVERSIÓN!AT123</f>
        <v>Comunicaciones oficiales Externas e Internas, FOREST y matriz de seguimiento al plan de accion en el archivo de gestión de la SEGAE</v>
      </c>
      <c r="AX14" s="19"/>
      <c r="AY14" s="19"/>
    </row>
    <row r="15" spans="1:51" s="21" customFormat="1" ht="109.5" customHeight="1" x14ac:dyDescent="0.2">
      <c r="A15" s="984"/>
      <c r="B15" s="984"/>
      <c r="C15" s="975"/>
      <c r="D15" s="538">
        <v>522</v>
      </c>
      <c r="E15" s="539" t="s">
        <v>88</v>
      </c>
      <c r="F15" s="350">
        <v>529</v>
      </c>
      <c r="G15" s="351" t="s">
        <v>89</v>
      </c>
      <c r="H15" s="351" t="s">
        <v>90</v>
      </c>
      <c r="I15" s="352" t="s">
        <v>84</v>
      </c>
      <c r="J15" s="540">
        <f>+N15+T15+V15+AB15+AH15</f>
        <v>800</v>
      </c>
      <c r="K15" s="540"/>
      <c r="L15" s="541">
        <v>100</v>
      </c>
      <c r="M15" s="540">
        <v>100</v>
      </c>
      <c r="N15" s="540">
        <v>100</v>
      </c>
      <c r="O15" s="542"/>
      <c r="P15" s="543">
        <v>200</v>
      </c>
      <c r="Q15" s="543">
        <v>200</v>
      </c>
      <c r="R15" s="544">
        <v>200</v>
      </c>
      <c r="S15" s="542">
        <f>+INVERSIÓN!Q9</f>
        <v>211</v>
      </c>
      <c r="T15" s="542">
        <f>+INVERSIÓN!R9</f>
        <v>211</v>
      </c>
      <c r="U15" s="542"/>
      <c r="V15" s="543">
        <f>+INVERSIÓN!T9</f>
        <v>200</v>
      </c>
      <c r="W15" s="543"/>
      <c r="X15" s="543"/>
      <c r="Y15" s="542"/>
      <c r="Z15" s="542"/>
      <c r="AA15" s="542"/>
      <c r="AB15" s="543">
        <f>+INVERSIÓN!Z9</f>
        <v>200</v>
      </c>
      <c r="AC15" s="543"/>
      <c r="AD15" s="543"/>
      <c r="AE15" s="542"/>
      <c r="AF15" s="542"/>
      <c r="AG15" s="542"/>
      <c r="AH15" s="543">
        <f>+INVERSIÓN!AF9</f>
        <v>89</v>
      </c>
      <c r="AI15" s="545"/>
      <c r="AJ15" s="545"/>
      <c r="AK15" s="353"/>
      <c r="AL15" s="353"/>
      <c r="AM15" s="546">
        <v>63</v>
      </c>
      <c r="AN15" s="546">
        <v>113</v>
      </c>
      <c r="AO15" s="546">
        <v>163</v>
      </c>
      <c r="AP15" s="353">
        <f>+INVERSIÓN!AM9</f>
        <v>211</v>
      </c>
      <c r="AQ15" s="535">
        <f>AP15/S15</f>
        <v>1</v>
      </c>
      <c r="AR15" s="535">
        <f t="shared" ref="AR15:AR29" si="0">+AP15/J15</f>
        <v>0.26374999999999998</v>
      </c>
      <c r="AS15" s="547" t="str">
        <f>+INVERSIÓN!AP9</f>
        <v>Se incorporaron criterios de sostenibilidad ambiental a doscientos once (211) proyectos de diferentes escalas, tanto en espacio público como en privado, promoviendo la construcción sostenible y el ecourbanismo en la ciudad. Los proyectos a los cuales se les incorporó criterios de sostenibilidad corresponden a: Once (11) Planes Parciales de Desarrollo, tres (3) planes parciales de renovación urbana, un (1) plan parcial de regularización y manejo, siete (7) Planes de Implantación, doce (12) proyectos de compatibilidad de usos de vivienda en suelo restringido, un (1) proyecto de regularización de barrio, ciento treinta y dos (132) proyectos de diseño paisajístico de parques y zonas verdes, cinco (5) proyectos pre - reconocidos como ecoeficientes por el Programa Bogotá Construcción Sostenible y treinta y nueve (39) tramos de proyectos viales de la caja de vivienda popular.</v>
      </c>
      <c r="AT15" s="548" t="str">
        <f>+INVERSIÓN!AQ9</f>
        <v>NINGUNO</v>
      </c>
      <c r="AU15" s="548" t="str">
        <f>+INVERSIÓN!AR9</f>
        <v>N/A</v>
      </c>
      <c r="AV15" s="374" t="str">
        <f>+INVERSIÓN!AS9</f>
        <v>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v>
      </c>
      <c r="AW15" s="374" t="str">
        <f>+INVERSIÓN!AT9</f>
        <v>Oficios FOREST, Actas, Archivo de Gestión SEGAE.</v>
      </c>
    </row>
    <row r="16" spans="1:51" s="20" customFormat="1" ht="89.25" customHeight="1" x14ac:dyDescent="0.25">
      <c r="A16" s="984"/>
      <c r="B16" s="984"/>
      <c r="C16" s="975"/>
      <c r="D16" s="549">
        <v>523</v>
      </c>
      <c r="E16" s="550" t="s">
        <v>94</v>
      </c>
      <c r="F16" s="354">
        <v>530</v>
      </c>
      <c r="G16" s="551" t="s">
        <v>95</v>
      </c>
      <c r="H16" s="355" t="s">
        <v>90</v>
      </c>
      <c r="I16" s="356" t="s">
        <v>189</v>
      </c>
      <c r="J16" s="357">
        <v>1</v>
      </c>
      <c r="K16" s="358"/>
      <c r="L16" s="359">
        <v>0</v>
      </c>
      <c r="M16" s="360">
        <v>0</v>
      </c>
      <c r="N16" s="361">
        <v>0</v>
      </c>
      <c r="O16" s="361"/>
      <c r="P16" s="552">
        <v>0</v>
      </c>
      <c r="Q16" s="552">
        <v>0</v>
      </c>
      <c r="R16" s="492">
        <v>0</v>
      </c>
      <c r="S16" s="553">
        <v>0</v>
      </c>
      <c r="T16" s="553">
        <v>0</v>
      </c>
      <c r="U16" s="553"/>
      <c r="V16" s="552">
        <v>0.2</v>
      </c>
      <c r="W16" s="552"/>
      <c r="X16" s="552"/>
      <c r="Y16" s="553"/>
      <c r="Z16" s="553"/>
      <c r="AA16" s="553"/>
      <c r="AB16" s="552">
        <v>0.6</v>
      </c>
      <c r="AC16" s="554"/>
      <c r="AD16" s="554"/>
      <c r="AE16" s="384"/>
      <c r="AF16" s="384"/>
      <c r="AG16" s="384"/>
      <c r="AH16" s="552">
        <v>1</v>
      </c>
      <c r="AI16" s="555"/>
      <c r="AJ16" s="556"/>
      <c r="AK16" s="557"/>
      <c r="AL16" s="557"/>
      <c r="AM16" s="558">
        <v>0</v>
      </c>
      <c r="AN16" s="558" t="s">
        <v>233</v>
      </c>
      <c r="AO16" s="558">
        <v>0</v>
      </c>
      <c r="AP16" s="558">
        <v>0</v>
      </c>
      <c r="AQ16" s="535">
        <v>0</v>
      </c>
      <c r="AR16" s="535">
        <f t="shared" si="0"/>
        <v>0</v>
      </c>
      <c r="AS16" s="559" t="s">
        <v>86</v>
      </c>
      <c r="AT16" s="559" t="s">
        <v>86</v>
      </c>
      <c r="AU16" s="559" t="s">
        <v>86</v>
      </c>
      <c r="AV16" s="414" t="str">
        <f>+INVERSIÓN!AS15</f>
        <v>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v>
      </c>
      <c r="AW16" s="414" t="str">
        <f>+INVERSIÓN!AT15</f>
        <v>Archivo de Gestión SEGAE</v>
      </c>
      <c r="AX16" s="19"/>
    </row>
    <row r="17" spans="1:51" s="20" customFormat="1" ht="81" customHeight="1" x14ac:dyDescent="0.25">
      <c r="A17" s="984"/>
      <c r="B17" s="984"/>
      <c r="C17" s="975"/>
      <c r="D17" s="375">
        <v>476</v>
      </c>
      <c r="E17" s="376" t="s">
        <v>102</v>
      </c>
      <c r="F17" s="362">
        <v>375</v>
      </c>
      <c r="G17" s="376" t="s">
        <v>103</v>
      </c>
      <c r="H17" s="363" t="s">
        <v>90</v>
      </c>
      <c r="I17" s="362" t="s">
        <v>189</v>
      </c>
      <c r="J17" s="357">
        <f>+AH17</f>
        <v>0</v>
      </c>
      <c r="K17" s="358"/>
      <c r="L17" s="359">
        <v>0</v>
      </c>
      <c r="M17" s="361">
        <v>0</v>
      </c>
      <c r="N17" s="480">
        <v>0</v>
      </c>
      <c r="O17" s="480"/>
      <c r="P17" s="364">
        <v>0.2</v>
      </c>
      <c r="Q17" s="364">
        <v>0.2</v>
      </c>
      <c r="R17" s="492">
        <v>0.2</v>
      </c>
      <c r="S17" s="553">
        <f>+INVERSIÓN!Q15</f>
        <v>0.2</v>
      </c>
      <c r="T17" s="560">
        <f>+INVERSIÓN!R15</f>
        <v>0.12</v>
      </c>
      <c r="U17" s="365"/>
      <c r="V17" s="552">
        <v>1</v>
      </c>
      <c r="W17" s="364"/>
      <c r="X17" s="364"/>
      <c r="Y17" s="365"/>
      <c r="Z17" s="365"/>
      <c r="AA17" s="365"/>
      <c r="AB17" s="552"/>
      <c r="AC17" s="554"/>
      <c r="AD17" s="554"/>
      <c r="AE17" s="384"/>
      <c r="AF17" s="384"/>
      <c r="AG17" s="384"/>
      <c r="AH17" s="554"/>
      <c r="AI17" s="561"/>
      <c r="AJ17" s="562"/>
      <c r="AK17" s="563"/>
      <c r="AL17" s="563"/>
      <c r="AM17" s="564">
        <v>0</v>
      </c>
      <c r="AN17" s="564" t="s">
        <v>233</v>
      </c>
      <c r="AO17" s="564">
        <v>0.12</v>
      </c>
      <c r="AP17" s="564">
        <f>+INVERSIÓN!AM15</f>
        <v>0.12</v>
      </c>
      <c r="AQ17" s="535">
        <f t="shared" ref="AQ17:AQ31" si="1">AP17/S17</f>
        <v>0.6</v>
      </c>
      <c r="AR17" s="535">
        <v>0</v>
      </c>
      <c r="AS17" s="547" t="str">
        <f>+INVERSIÓN!AP15</f>
        <v xml:space="preserve">Realizada la coordinación entre la Secretaría Distrital de Ambiente (SDA) y La Empresa de Acueducto de Bogotá (EAB ESP) y seleccionado el sitio en donde se implantará el proyecto, La EAB ESP envió viabilidad para el convenio interadministrativo de Cooperación el día 4/07/2017 bajo radicado 2017ER125902, y el primer semestre de 2017 se elaboró el DTS y los estudios previos cuyo objeto es: “Aunar recursos físicos, técnicos, financieros y humanos entre la Secretaría Distrital de Ambiente y la EAB-ESP para elaborar los diseños paisajísticos e ingeniería de detalle y primera fase de las obras para conformar un sistema urbano de drenaje sostenible en la zona de meandros del Rio Tunjuelo que supla permanentemente las necesidades hídricas del mismo”, para poder contratar los diseños del SUDS. Lo que corresponde a un 0,12% de ejecución.
Pese a lo anterior, la suscripción del convenio No. 1353 en mención fue realizado el 24/11/2017 y para la firma de acta de inicio la SDA se está a la espera de que EAB-ESP realice la apertura de la cuenta bancaria para la consignación de los recursos por parte de la SDA.
</v>
      </c>
      <c r="AT17" s="548" t="str">
        <f>+INVERSIÓN!AQ15</f>
        <v>En el último trimestre, no se logró un avance en la elaboraron de los diseños del proyecto, generando retrasos en lo programado en la meta para la presente vigencia.</v>
      </c>
      <c r="AU17" s="548" t="str">
        <f>+INVERSIÓN!AR15</f>
        <v>Se dará inicio a los diseños paisajísticos e ingeniería de detalle en el primer trimestre del 2018, ajustando el cronograma de entrega de los diseños , lo anterior con el fin de garantizar el inicio de  la primera fase de las obras para conformar un sistema urbano de drenaje sostenible en el último trimestre de 2018.</v>
      </c>
      <c r="AV17" s="374" t="str">
        <f>+INVERSIÓN!AS15</f>
        <v>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v>
      </c>
      <c r="AW17" s="374" t="str">
        <f>+INVERSIÓN!AT15</f>
        <v>Archivo de Gestión SEGAE</v>
      </c>
      <c r="AX17" s="19"/>
      <c r="AY17" s="19"/>
    </row>
    <row r="18" spans="1:51" s="37" customFormat="1" ht="81" customHeight="1" x14ac:dyDescent="0.25">
      <c r="A18" s="984"/>
      <c r="B18" s="984"/>
      <c r="C18" s="975"/>
      <c r="D18" s="375">
        <v>477</v>
      </c>
      <c r="E18" s="376" t="s">
        <v>105</v>
      </c>
      <c r="F18" s="375">
        <v>376</v>
      </c>
      <c r="G18" s="377" t="s">
        <v>106</v>
      </c>
      <c r="H18" s="377" t="s">
        <v>107</v>
      </c>
      <c r="I18" s="375" t="s">
        <v>84</v>
      </c>
      <c r="J18" s="557">
        <f>+N18+P18+V18+AB18+AH18</f>
        <v>20000</v>
      </c>
      <c r="K18" s="557"/>
      <c r="L18" s="565">
        <v>2500</v>
      </c>
      <c r="M18" s="375">
        <v>2591</v>
      </c>
      <c r="N18" s="566">
        <v>2591</v>
      </c>
      <c r="O18" s="567"/>
      <c r="P18" s="352">
        <v>5000</v>
      </c>
      <c r="Q18" s="352">
        <v>5000</v>
      </c>
      <c r="R18" s="375">
        <v>5000</v>
      </c>
      <c r="S18" s="398">
        <f>+INVERSIÓN!Q21</f>
        <v>5000</v>
      </c>
      <c r="T18" s="398">
        <f>+INVERSIÓN!R21</f>
        <v>5000</v>
      </c>
      <c r="U18" s="352"/>
      <c r="V18" s="352">
        <v>4909</v>
      </c>
      <c r="W18" s="352"/>
      <c r="X18" s="352"/>
      <c r="Y18" s="352"/>
      <c r="Z18" s="352"/>
      <c r="AA18" s="352"/>
      <c r="AB18" s="352">
        <v>5000</v>
      </c>
      <c r="AC18" s="352"/>
      <c r="AD18" s="352"/>
      <c r="AE18" s="352"/>
      <c r="AF18" s="352"/>
      <c r="AG18" s="352"/>
      <c r="AH18" s="352">
        <v>2500</v>
      </c>
      <c r="AI18" s="568"/>
      <c r="AJ18" s="375"/>
      <c r="AK18" s="375"/>
      <c r="AL18" s="375"/>
      <c r="AM18" s="569">
        <v>1279</v>
      </c>
      <c r="AN18" s="569">
        <v>2745</v>
      </c>
      <c r="AO18" s="570">
        <v>3961</v>
      </c>
      <c r="AP18" s="375">
        <f>+INVERSIÓN!AM21</f>
        <v>5000</v>
      </c>
      <c r="AQ18" s="535">
        <f t="shared" si="1"/>
        <v>1</v>
      </c>
      <c r="AR18" s="535">
        <f t="shared" si="0"/>
        <v>0.25</v>
      </c>
      <c r="AS18" s="548" t="str">
        <f>+INVERSIÓN!AP21</f>
        <v>Durante la vigencia 2017 se ha realizado el acompañamiento a 5002 m2 de infraestructura vegetada,  correspondientes a 3931 m2 de jardín vertical y 1071 m2 en techo verde, en proyectos existentes en espacio público y privado de las localidades de Candelaria (425 m2), Santa Fé (627.15 m2), Chapinero (888 m2), Barrios unidos (126 m2), Engativá (398 m2), Puente Aranda (102 m2), Usaquén (1100 m2), Fontibón (363 m2), Suba (445 m2) y Teusaquillo (526 m2) de la Ciudad de Bogotá.</v>
      </c>
      <c r="AT18" s="571" t="str">
        <f>+INVERSIÓN!AQ21</f>
        <v>NINGUNO</v>
      </c>
      <c r="AU18" s="571" t="str">
        <f>+INVERSIÓN!AR21</f>
        <v>N/A</v>
      </c>
      <c r="AV18" s="413" t="str">
        <f>+INVERSIÓN!AS21</f>
        <v>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v>
      </c>
      <c r="AW18" s="413" t="str">
        <f>+INVERSIÓN!AT21</f>
        <v>Matriz de reporte, archivo de gestión SEGAE.</v>
      </c>
      <c r="AX18" s="26"/>
      <c r="AY18" s="26"/>
    </row>
    <row r="19" spans="1:51" s="20" customFormat="1" ht="84.75" customHeight="1" x14ac:dyDescent="0.25">
      <c r="A19" s="984"/>
      <c r="B19" s="984"/>
      <c r="C19" s="975"/>
      <c r="D19" s="549">
        <v>478</v>
      </c>
      <c r="E19" s="376" t="s">
        <v>112</v>
      </c>
      <c r="F19" s="367">
        <v>377</v>
      </c>
      <c r="G19" s="368" t="s">
        <v>113</v>
      </c>
      <c r="H19" s="369" t="s">
        <v>114</v>
      </c>
      <c r="I19" s="354" t="s">
        <v>84</v>
      </c>
      <c r="J19" s="366">
        <f>+M19+P19+V19+AB19+AH19</f>
        <v>547</v>
      </c>
      <c r="K19" s="366"/>
      <c r="L19" s="362">
        <v>0</v>
      </c>
      <c r="M19" s="362">
        <v>60</v>
      </c>
      <c r="N19" s="572">
        <v>13</v>
      </c>
      <c r="O19" s="352"/>
      <c r="P19" s="352">
        <v>167</v>
      </c>
      <c r="Q19" s="352">
        <v>167</v>
      </c>
      <c r="R19" s="375">
        <v>167</v>
      </c>
      <c r="S19" s="573">
        <f>+INVERSIÓN!Q31</f>
        <v>167</v>
      </c>
      <c r="T19" s="573">
        <f>+INVERSIÓN!AM31</f>
        <v>150</v>
      </c>
      <c r="U19" s="573">
        <f>+INVERSIÓN!S27</f>
        <v>0</v>
      </c>
      <c r="V19" s="573">
        <v>130</v>
      </c>
      <c r="W19" s="573">
        <f>+INVERSIÓN!U27</f>
        <v>0</v>
      </c>
      <c r="X19" s="573">
        <f>+INVERSIÓN!V27</f>
        <v>0</v>
      </c>
      <c r="Y19" s="573">
        <f>+INVERSIÓN!W27</f>
        <v>0</v>
      </c>
      <c r="Z19" s="573">
        <f>+INVERSIÓN!X27</f>
        <v>0</v>
      </c>
      <c r="AA19" s="573">
        <f>+INVERSIÓN!Y27</f>
        <v>0</v>
      </c>
      <c r="AB19" s="573">
        <f>+INVERSIÓN!Z27</f>
        <v>130</v>
      </c>
      <c r="AC19" s="573">
        <f>+INVERSIÓN!AA27</f>
        <v>0</v>
      </c>
      <c r="AD19" s="573">
        <f>+INVERSIÓN!AB27</f>
        <v>0</v>
      </c>
      <c r="AE19" s="573">
        <f>+INVERSIÓN!AC27</f>
        <v>0</v>
      </c>
      <c r="AF19" s="573">
        <f>+INVERSIÓN!AD27</f>
        <v>0</v>
      </c>
      <c r="AG19" s="573">
        <f>+INVERSIÓN!AF27</f>
        <v>60</v>
      </c>
      <c r="AH19" s="573">
        <f>+INVERSIÓN!AF27</f>
        <v>60</v>
      </c>
      <c r="AI19" s="573">
        <f>+INVERSIÓN!AG27</f>
        <v>0</v>
      </c>
      <c r="AJ19" s="573">
        <f>+INVERSIÓN!AH27</f>
        <v>0</v>
      </c>
      <c r="AK19" s="573">
        <f>+INVERSIÓN!AI27</f>
        <v>0</v>
      </c>
      <c r="AL19" s="573">
        <f>+INVERSIÓN!AJ27</f>
        <v>0</v>
      </c>
      <c r="AM19" s="370">
        <v>0</v>
      </c>
      <c r="AN19" s="371">
        <v>0</v>
      </c>
      <c r="AO19" s="574">
        <v>11</v>
      </c>
      <c r="AP19" s="375">
        <f>+INVERSIÓN!AM31</f>
        <v>150</v>
      </c>
      <c r="AQ19" s="535">
        <f t="shared" si="1"/>
        <v>0.89820359281437123</v>
      </c>
      <c r="AR19" s="535">
        <f t="shared" si="0"/>
        <v>0.27422303473491771</v>
      </c>
      <c r="AS19" s="575" t="str">
        <f>+INVERSIÓN!AP27</f>
        <v>Se realizó la evaluación de las empresas postuladas al Programa de Excelencia Ambiental Distrital - PREAD, y algunas empresas del Programa Gestión Ambiental Empresarial, de las cuales 139 obtuvieron un nivel entre muy bueno y excelente de acuerdo a la escala de validación del IDAE durante el trimestre, para un total de 150 durante todo el año. 
Adicionalmente se inició la recolección de la información de 300 empresas participantes del Programa Gestión Ambiental Empresarial durante el Ciclo del año 2017, las cuales serán medidas con el Índice durante el primer trimestre de 2018, de acuerdo a lo contemplado en el plan de trabajo; y se continuará con la validación de los indicadores de consumo de agua, energía y de generación de residuos peligrosos de este grupo de empresas.
Finalmente, se continuará desarrollando la herramienta electónica para la captura y consolidación de información, la cual será culminada durante el primer trimestre del año 2018.</v>
      </c>
      <c r="AT19" s="576" t="str">
        <f>+INVERSIÓN!AQ27</f>
        <v xml:space="preserve">El reporte del presente trimestre mide el desempeño ambiental de las empresas postuladas al PREAD, a este programa se inscribieron en total 157 organizaciones de las cuales, 117 fueron reconocidas, esto debido a incumplimientos normativos o retiros voluntarios de las mismas, reduciendo el número de empresas a las cuales se les mediría el Índice, afectando el cumplimiento de la meta establecida. </v>
      </c>
      <c r="AU19" s="576" t="str">
        <f>+INVERSIÓN!AR27</f>
        <v>Durante el primer trimestre del 2018 se culminará el desarrollo de la Herramienta GAE. A su vez, durante el segundo trimestre del año se realizará la medición del IDAE a todas las empresas participantes en el año 2017. Finalmente, durante el año 2018 se continuará con la medición del IDAE a las empresas nuevas participantes del Programa de Excelencia Ambiental Distrital - PREAD junto a todas aquellas que hacen reportes a través del RUA, información que debe ser entregada por todas las organizaciones industriales, que requieran de algún trámite ante la autoridad ambiental.</v>
      </c>
      <c r="AV19" s="454" t="str">
        <f>+INVERSIÓN!AS27</f>
        <v>A través de IDAE, se podrá visualizar de forma gráfica, a través de Sistemas de Información Geográfica, el mejoramiento ambiental de las organizaciones, las cuales a partir de estrategias de autogestión y autorregulación, desarrollan actividades en torno al cumplimiento de los trámites ambientales aplicables, la implementación de Sistemas de Gestión Ambiental y la formulación e implementación de proyectos que permitan la mejora en la eficiencia en el uso de los recursos, medida a través de eco indicadores, lo cual permitirá a la ciudad contar con información para la toma de decisiones que sigan promoviendo el mejoramiento ambiental de las organizaciones y los sectores productivos.</v>
      </c>
      <c r="AW19" s="382" t="str">
        <f>+INVERSIÓN!AT27</f>
        <v>Matriz de seguimiento y reporte del indice en el Archivo de Gestión SEGAE</v>
      </c>
      <c r="AX19" s="28"/>
      <c r="AY19" s="28"/>
    </row>
    <row r="20" spans="1:51" s="28" customFormat="1" ht="88.5" customHeight="1" x14ac:dyDescent="0.25">
      <c r="A20" s="984"/>
      <c r="B20" s="984"/>
      <c r="C20" s="975"/>
      <c r="D20" s="577">
        <v>479</v>
      </c>
      <c r="E20" s="578" t="s">
        <v>115</v>
      </c>
      <c r="F20" s="372">
        <v>378</v>
      </c>
      <c r="G20" s="373" t="s">
        <v>116</v>
      </c>
      <c r="H20" s="373" t="s">
        <v>209</v>
      </c>
      <c r="I20" s="352" t="s">
        <v>117</v>
      </c>
      <c r="J20" s="579">
        <f>+AH20</f>
        <v>1</v>
      </c>
      <c r="K20" s="580"/>
      <c r="L20" s="581">
        <v>0.1</v>
      </c>
      <c r="M20" s="581">
        <v>0.1</v>
      </c>
      <c r="N20" s="582">
        <v>0.1</v>
      </c>
      <c r="O20" s="582"/>
      <c r="P20" s="582">
        <v>0.25</v>
      </c>
      <c r="Q20" s="583">
        <v>0.25</v>
      </c>
      <c r="R20" s="584">
        <v>0.25</v>
      </c>
      <c r="S20" s="584">
        <v>0.25</v>
      </c>
      <c r="T20" s="584">
        <v>0.25</v>
      </c>
      <c r="U20" s="583"/>
      <c r="V20" s="582">
        <v>0.5</v>
      </c>
      <c r="W20" s="352"/>
      <c r="X20" s="352"/>
      <c r="Y20" s="352"/>
      <c r="Z20" s="352"/>
      <c r="AA20" s="352"/>
      <c r="AB20" s="582">
        <v>0.75</v>
      </c>
      <c r="AC20" s="352"/>
      <c r="AD20" s="352"/>
      <c r="AE20" s="352"/>
      <c r="AF20" s="352"/>
      <c r="AG20" s="352"/>
      <c r="AH20" s="585">
        <v>1</v>
      </c>
      <c r="AI20" s="352"/>
      <c r="AJ20" s="352"/>
      <c r="AK20" s="352"/>
      <c r="AL20" s="352"/>
      <c r="AM20" s="586">
        <v>0.05</v>
      </c>
      <c r="AN20" s="586">
        <v>0.18</v>
      </c>
      <c r="AO20" s="587">
        <v>0.19</v>
      </c>
      <c r="AP20" s="588">
        <v>0.25</v>
      </c>
      <c r="AQ20" s="535">
        <f t="shared" si="1"/>
        <v>1</v>
      </c>
      <c r="AR20" s="535">
        <f>+AP20/J20</f>
        <v>0.25</v>
      </c>
      <c r="AS20" s="589" t="s">
        <v>501</v>
      </c>
      <c r="AT20" s="590" t="s">
        <v>214</v>
      </c>
      <c r="AU20" s="590" t="s">
        <v>86</v>
      </c>
      <c r="AV20" s="453" t="s">
        <v>235</v>
      </c>
      <c r="AW20" s="452" t="s">
        <v>101</v>
      </c>
    </row>
    <row r="21" spans="1:51" s="20" customFormat="1" ht="75.75" customHeight="1" x14ac:dyDescent="0.25">
      <c r="A21" s="984"/>
      <c r="B21" s="984"/>
      <c r="C21" s="975"/>
      <c r="D21" s="1472">
        <v>469</v>
      </c>
      <c r="E21" s="591" t="s">
        <v>120</v>
      </c>
      <c r="F21" s="375">
        <v>368</v>
      </c>
      <c r="G21" s="377" t="s">
        <v>121</v>
      </c>
      <c r="H21" s="375" t="s">
        <v>122</v>
      </c>
      <c r="I21" s="375" t="s">
        <v>84</v>
      </c>
      <c r="J21" s="563">
        <f>+T21+V21+AB21+AH21+N21</f>
        <v>24999.66</v>
      </c>
      <c r="K21" s="563">
        <f>1390+7911</f>
        <v>9301</v>
      </c>
      <c r="L21" s="389">
        <v>1000</v>
      </c>
      <c r="M21" s="389">
        <v>1390</v>
      </c>
      <c r="N21" s="389">
        <v>1390</v>
      </c>
      <c r="O21" s="389"/>
      <c r="P21" s="389">
        <v>7000</v>
      </c>
      <c r="Q21" s="390">
        <v>7000</v>
      </c>
      <c r="R21" s="389">
        <v>7000</v>
      </c>
      <c r="S21" s="389">
        <f>+INVERSIÓN!Q51</f>
        <v>7910.66</v>
      </c>
      <c r="T21" s="389">
        <f>+INVERSIÓN!R51</f>
        <v>7910.66</v>
      </c>
      <c r="U21" s="390"/>
      <c r="V21" s="389">
        <f>+INVERSIÓN!T51</f>
        <v>6610</v>
      </c>
      <c r="W21" s="389"/>
      <c r="X21" s="389"/>
      <c r="Y21" s="389"/>
      <c r="Z21" s="389"/>
      <c r="AA21" s="389"/>
      <c r="AB21" s="389">
        <f>+INVERSIÓN!Z51</f>
        <v>6089</v>
      </c>
      <c r="AC21" s="389"/>
      <c r="AD21" s="389"/>
      <c r="AE21" s="389"/>
      <c r="AF21" s="389"/>
      <c r="AG21" s="389"/>
      <c r="AH21" s="389">
        <f>+INVERSIÓN!AF51</f>
        <v>3000</v>
      </c>
      <c r="AI21" s="375"/>
      <c r="AJ21" s="375"/>
      <c r="AK21" s="375"/>
      <c r="AL21" s="375"/>
      <c r="AM21" s="569">
        <v>1368</v>
      </c>
      <c r="AN21" s="569">
        <v>3379</v>
      </c>
      <c r="AO21" s="569">
        <v>5265.41</v>
      </c>
      <c r="AP21" s="592">
        <f>+INVERSIÓN!AM51</f>
        <v>7910.66</v>
      </c>
      <c r="AQ21" s="535">
        <f t="shared" si="1"/>
        <v>1</v>
      </c>
      <c r="AR21" s="535">
        <f t="shared" si="0"/>
        <v>0.31643070345756702</v>
      </c>
      <c r="AS21" s="1473" t="str">
        <f>+INVERSIÓN!AP51</f>
        <v>En cumplimiento a la meta del plan de desarrollo  y en cumplimiento a la resolución 1326 de 2017, Decretos Distritales 442 de 2015 y 265 de 2016 se adelantaron actividades para la promoción y divulgación de los diferentes sistemas de recolección selectiva y gestión ambiental de llantas usadas, estas actividades se desarrollaron mediante sensibilizaciones a establecimientos acopiadores de llantas en diferentes localidades con el apoyo de entidades distritales. Se participó en jornadas distritales de recolección de llantas usadas en espacio público, en donde intervinieron sistemas posconsumo de llantas, secretarías de ambiente y gobierno, así como UAESP y los distintos operadores de aseo de la ciudad.
Se llevó a cabo la primera jornada de llantaton destinada a establecimientos, en donde se entregó el respectivo certificado de aprovechamiento. Además mediante el visor geográfico ambiental de la SDA se informa a la ciudadanía los puntos de entrega habilitados por los programas de recolección selectiva y gestión ambiental de llantas usadas. Se actualizó el procedimiento de registro web de acopiadores de llantas con el fin de verificar de manera correcta la información que se requiere, así mismo se crea el perfil de gestores de llantas con el cual se da cumplimiento a lo estipulado en la resolución 1326 de 2017 del Ministerio de Ambiente y Desarrollo Sostenible.
Trimestralmente se reporta información de llantas usadas gestionadas por los diferentes sistemas posconsumos en la ciudad, está información se verifica mediante a certificados de aprovechamiento emitidos por estos sistemas, el uso del material proveniente de las llantas usadas de la ciudad es destinado principalmente para el aprovechamiento energético, granulo de caucho reciclado (GCR) el cual se aprovecha en vías, parques , láminas para piso, etc.
Para el último trimestre del año  se reportaron en total de 2645 Ton para un total reportado de 7911 Ton de llantas recolectadas y  aprovechadas durante el  año 2017. 
Cabe señalar que el aumento de la programación de la magnitud  se debe a la realización de un mayor numero de campañas  que se han venido gestionando por medio de la SDA  con otros actores de orden Distrital y los programas poscosumo,  enfocadas en  promover y realizar  el aprovechamiento de llantas en la ciudad  han dado  como resultado valores mayores a lo proyectados para esta meta.</v>
      </c>
      <c r="AT21" s="593" t="str">
        <f>+INVERSIÓN!AQ51</f>
        <v>NINGUNO</v>
      </c>
      <c r="AU21" s="593" t="str">
        <f>+INVERSIÓN!AR51</f>
        <v>N/A</v>
      </c>
      <c r="AV21" s="416" t="str">
        <f>+INVERSIÓN!AS51</f>
        <v>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v>
      </c>
      <c r="AW21" s="416" t="str">
        <f>+INVERSIÓN!AT51</f>
        <v>Constancias y Certificados de aprovechamiento provenientes de programas postconsumo y gestores.</v>
      </c>
      <c r="AX21" s="28"/>
      <c r="AY21" s="28"/>
    </row>
    <row r="22" spans="1:51" s="20" customFormat="1" ht="75.75" customHeight="1" x14ac:dyDescent="0.25">
      <c r="A22" s="984"/>
      <c r="B22" s="984"/>
      <c r="C22" s="975"/>
      <c r="D22" s="1470">
        <v>471</v>
      </c>
      <c r="E22" s="376" t="s">
        <v>124</v>
      </c>
      <c r="F22" s="375">
        <v>370</v>
      </c>
      <c r="G22" s="376" t="s">
        <v>125</v>
      </c>
      <c r="H22" s="377" t="s">
        <v>126</v>
      </c>
      <c r="I22" s="378" t="s">
        <v>189</v>
      </c>
      <c r="J22" s="379">
        <v>1</v>
      </c>
      <c r="K22" s="379"/>
      <c r="L22" s="380">
        <v>4</v>
      </c>
      <c r="M22" s="380">
        <v>0.1</v>
      </c>
      <c r="N22" s="380">
        <v>0.1</v>
      </c>
      <c r="O22" s="380"/>
      <c r="P22" s="380">
        <v>0.3</v>
      </c>
      <c r="Q22" s="594">
        <v>1</v>
      </c>
      <c r="R22" s="595">
        <v>1</v>
      </c>
      <c r="S22" s="595">
        <v>1</v>
      </c>
      <c r="T22" s="595">
        <v>1</v>
      </c>
      <c r="U22" s="390"/>
      <c r="V22" s="380"/>
      <c r="W22" s="380"/>
      <c r="X22" s="380"/>
      <c r="Y22" s="380"/>
      <c r="Z22" s="380"/>
      <c r="AA22" s="380"/>
      <c r="AB22" s="380"/>
      <c r="AC22" s="380"/>
      <c r="AD22" s="380"/>
      <c r="AE22" s="380"/>
      <c r="AF22" s="380"/>
      <c r="AG22" s="380"/>
      <c r="AH22" s="380"/>
      <c r="AI22" s="375"/>
      <c r="AJ22" s="375"/>
      <c r="AK22" s="375"/>
      <c r="AL22" s="375"/>
      <c r="AM22" s="380">
        <v>0.2</v>
      </c>
      <c r="AN22" s="380">
        <v>0.7</v>
      </c>
      <c r="AO22" s="596">
        <v>0.7</v>
      </c>
      <c r="AP22" s="596">
        <v>1</v>
      </c>
      <c r="AQ22" s="535">
        <f t="shared" si="1"/>
        <v>1</v>
      </c>
      <c r="AR22" s="535">
        <f t="shared" si="0"/>
        <v>1</v>
      </c>
      <c r="AS22" s="597" t="s">
        <v>511</v>
      </c>
      <c r="AT22" s="590" t="s">
        <v>214</v>
      </c>
      <c r="AU22" s="590" t="s">
        <v>86</v>
      </c>
      <c r="AV22" s="381" t="s">
        <v>236</v>
      </c>
      <c r="AW22" s="382" t="s">
        <v>416</v>
      </c>
      <c r="AX22" s="28"/>
      <c r="AY22" s="28"/>
    </row>
    <row r="23" spans="1:51" s="20" customFormat="1" ht="69" customHeight="1" x14ac:dyDescent="0.25">
      <c r="A23" s="984"/>
      <c r="B23" s="984"/>
      <c r="C23" s="975"/>
      <c r="D23" s="549">
        <v>521</v>
      </c>
      <c r="E23" s="598" t="s">
        <v>133</v>
      </c>
      <c r="F23" s="375">
        <v>528</v>
      </c>
      <c r="G23" s="376" t="s">
        <v>136</v>
      </c>
      <c r="H23" s="368" t="s">
        <v>122</v>
      </c>
      <c r="I23" s="383" t="s">
        <v>84</v>
      </c>
      <c r="J23" s="384">
        <f>+N23+T23+V23+AB23+AH23</f>
        <v>32000</v>
      </c>
      <c r="K23" s="385"/>
      <c r="L23" s="386">
        <v>4000</v>
      </c>
      <c r="M23" s="387">
        <v>4667</v>
      </c>
      <c r="N23" s="388">
        <f>+INVERSIÓN!L99</f>
        <v>4667</v>
      </c>
      <c r="O23" s="388"/>
      <c r="P23" s="389">
        <v>8000</v>
      </c>
      <c r="Q23" s="390">
        <v>8000</v>
      </c>
      <c r="R23" s="389">
        <v>8000</v>
      </c>
      <c r="S23" s="389">
        <f>+INVERSIÓN!Q99</f>
        <v>8028</v>
      </c>
      <c r="T23" s="389">
        <f>+INVERSIÓN!R99</f>
        <v>8028</v>
      </c>
      <c r="U23" s="390"/>
      <c r="V23" s="389">
        <f>+INVERSIÓN!T99</f>
        <v>7333</v>
      </c>
      <c r="W23" s="389"/>
      <c r="X23" s="389"/>
      <c r="Y23" s="389"/>
      <c r="Z23" s="389"/>
      <c r="AA23" s="389"/>
      <c r="AB23" s="389">
        <f>+INVERSIÓN!Z99</f>
        <v>8000</v>
      </c>
      <c r="AC23" s="389"/>
      <c r="AD23" s="389"/>
      <c r="AE23" s="389"/>
      <c r="AF23" s="389"/>
      <c r="AG23" s="389"/>
      <c r="AH23" s="389">
        <f>+INVERSIÓN!AF99</f>
        <v>3972</v>
      </c>
      <c r="AI23" s="375"/>
      <c r="AJ23" s="375"/>
      <c r="AK23" s="375"/>
      <c r="AL23" s="375"/>
      <c r="AM23" s="569">
        <v>28.5</v>
      </c>
      <c r="AN23" s="569">
        <v>4206</v>
      </c>
      <c r="AO23" s="574">
        <v>6383</v>
      </c>
      <c r="AP23" s="599">
        <f>+INVERSIÓN!AM99</f>
        <v>8028</v>
      </c>
      <c r="AQ23" s="535">
        <f t="shared" si="1"/>
        <v>1</v>
      </c>
      <c r="AR23" s="535">
        <f t="shared" si="0"/>
        <v>0.25087500000000001</v>
      </c>
      <c r="AS23" s="547" t="str">
        <f>+INVERSIÓN!AP99</f>
        <v>En el período de enero a diciembre de 2017 la SDA controló un total acumulado de 8028,1 toneladas de Residuos Peligrosos (infecciosos, químicos y administrativos) en el sector salud y afines generadas en el Distrito Capital, donde se realizaron en total acumulado de 333 visitas de Seguimiento y Control a establecimientos generadores de residuos hospitalarios y similares con su respectiva actuación técnica, generando 567 oficios de requerimiento, y 25 Concepto técnico y 30 Informes Técnicos, 82 oficios de requerimientos por análisis  caracterización con RESOL 631 de 2015 y 32 caracterizaciones fueron vinculadas a permiso de vertimientos.
Por último, se analizaron 169 Informes de gestión con su respectiva actuación</v>
      </c>
      <c r="AT23" s="548" t="str">
        <f>+INVERSIÓN!AQ99</f>
        <v>NINGUNO</v>
      </c>
      <c r="AU23" s="571" t="str">
        <f>+INVERSIÓN!AR99</f>
        <v>N/A</v>
      </c>
      <c r="AV23" s="374" t="str">
        <f>+INVERSIÓN!AS99</f>
        <v xml:space="preserve">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v>
      </c>
      <c r="AW23" s="374" t="str">
        <f>+INVERSIÓN!AT99</f>
        <v>Expedientes SRHS - SCASP
Archivo Hospitalarios
Informes Técnicos 
Bases de Datos</v>
      </c>
      <c r="AX23" s="28"/>
      <c r="AY23" s="28"/>
    </row>
    <row r="24" spans="1:51" s="20" customFormat="1" ht="78.75" customHeight="1" x14ac:dyDescent="0.25">
      <c r="A24" s="984"/>
      <c r="B24" s="984"/>
      <c r="C24" s="975"/>
      <c r="D24" s="1470">
        <v>470</v>
      </c>
      <c r="E24" s="600" t="s">
        <v>210</v>
      </c>
      <c r="F24" s="367">
        <v>546</v>
      </c>
      <c r="G24" s="391" t="s">
        <v>211</v>
      </c>
      <c r="H24" s="352" t="s">
        <v>142</v>
      </c>
      <c r="I24" s="351" t="s">
        <v>193</v>
      </c>
      <c r="J24" s="384">
        <v>25</v>
      </c>
      <c r="K24" s="385"/>
      <c r="L24" s="386"/>
      <c r="M24" s="601"/>
      <c r="N24" s="602"/>
      <c r="O24" s="602"/>
      <c r="P24" s="603">
        <v>0.25</v>
      </c>
      <c r="Q24" s="603">
        <v>0.25</v>
      </c>
      <c r="R24" s="604">
        <v>0.25</v>
      </c>
      <c r="S24" s="604">
        <v>0.25</v>
      </c>
      <c r="T24" s="603">
        <v>0.25</v>
      </c>
      <c r="U24" s="390"/>
      <c r="V24" s="603">
        <v>0.25</v>
      </c>
      <c r="W24" s="603">
        <v>0.25</v>
      </c>
      <c r="X24" s="603">
        <v>0.25</v>
      </c>
      <c r="Y24" s="603">
        <v>0.25</v>
      </c>
      <c r="Z24" s="603">
        <v>0.25</v>
      </c>
      <c r="AA24" s="603"/>
      <c r="AB24" s="603">
        <v>0.25</v>
      </c>
      <c r="AC24" s="603">
        <v>0.25</v>
      </c>
      <c r="AD24" s="603">
        <v>0.25</v>
      </c>
      <c r="AE24" s="603">
        <v>0.25</v>
      </c>
      <c r="AF24" s="603">
        <v>0.25</v>
      </c>
      <c r="AG24" s="603"/>
      <c r="AH24" s="603">
        <v>0.25</v>
      </c>
      <c r="AI24" s="367"/>
      <c r="AJ24" s="367"/>
      <c r="AK24" s="367"/>
      <c r="AL24" s="367"/>
      <c r="AM24" s="605">
        <v>3.8E-3</v>
      </c>
      <c r="AN24" s="605">
        <v>3.8E-3</v>
      </c>
      <c r="AO24" s="605">
        <v>3.8E-3</v>
      </c>
      <c r="AP24" s="603">
        <v>0.25</v>
      </c>
      <c r="AQ24" s="535">
        <f t="shared" si="1"/>
        <v>1</v>
      </c>
      <c r="AR24" s="535">
        <f t="shared" si="0"/>
        <v>0.01</v>
      </c>
      <c r="AS24" s="606" t="s">
        <v>510</v>
      </c>
      <c r="AT24" s="607" t="s">
        <v>214</v>
      </c>
      <c r="AU24" s="590" t="s">
        <v>86</v>
      </c>
      <c r="AV24" s="450" t="s">
        <v>212</v>
      </c>
      <c r="AW24" s="382" t="s">
        <v>213</v>
      </c>
      <c r="AX24" s="28"/>
      <c r="AY24" s="28"/>
    </row>
    <row r="25" spans="1:51" s="20" customFormat="1" ht="90" customHeight="1" x14ac:dyDescent="0.25">
      <c r="A25" s="984"/>
      <c r="B25" s="984"/>
      <c r="C25" s="975"/>
      <c r="D25" s="367">
        <v>474</v>
      </c>
      <c r="E25" s="550" t="s">
        <v>140</v>
      </c>
      <c r="F25" s="367">
        <v>373</v>
      </c>
      <c r="G25" s="391" t="s">
        <v>141</v>
      </c>
      <c r="H25" s="372" t="s">
        <v>142</v>
      </c>
      <c r="I25" s="392" t="s">
        <v>189</v>
      </c>
      <c r="J25" s="393">
        <v>1</v>
      </c>
      <c r="K25" s="393"/>
      <c r="L25" s="367">
        <v>0</v>
      </c>
      <c r="M25" s="394">
        <v>0.1</v>
      </c>
      <c r="N25" s="394">
        <v>0.1</v>
      </c>
      <c r="O25" s="394"/>
      <c r="P25" s="394">
        <v>0.35</v>
      </c>
      <c r="Q25" s="394">
        <v>0.35</v>
      </c>
      <c r="R25" s="608">
        <v>0.35</v>
      </c>
      <c r="S25" s="609">
        <v>0.35</v>
      </c>
      <c r="T25" s="609">
        <v>0.35</v>
      </c>
      <c r="U25" s="394"/>
      <c r="V25" s="394">
        <v>0.57999999999999996</v>
      </c>
      <c r="W25" s="394"/>
      <c r="X25" s="394"/>
      <c r="Y25" s="394"/>
      <c r="Z25" s="394"/>
      <c r="AA25" s="394"/>
      <c r="AB25" s="394">
        <v>0.83</v>
      </c>
      <c r="AC25" s="367"/>
      <c r="AD25" s="367"/>
      <c r="AE25" s="367"/>
      <c r="AF25" s="367"/>
      <c r="AG25" s="367"/>
      <c r="AH25" s="603">
        <v>1</v>
      </c>
      <c r="AI25" s="367"/>
      <c r="AJ25" s="367"/>
      <c r="AK25" s="367"/>
      <c r="AL25" s="367"/>
      <c r="AM25" s="605">
        <v>0.20449999999999999</v>
      </c>
      <c r="AN25" s="610">
        <v>0.255</v>
      </c>
      <c r="AO25" s="611">
        <v>0.315</v>
      </c>
      <c r="AP25" s="611">
        <v>0.35</v>
      </c>
      <c r="AQ25" s="535">
        <f t="shared" si="1"/>
        <v>1</v>
      </c>
      <c r="AR25" s="535">
        <f t="shared" si="0"/>
        <v>0.35</v>
      </c>
      <c r="AS25" s="606" t="s">
        <v>512</v>
      </c>
      <c r="AT25" s="607" t="s">
        <v>214</v>
      </c>
      <c r="AU25" s="590" t="s">
        <v>86</v>
      </c>
      <c r="AV25" s="451" t="s">
        <v>203</v>
      </c>
      <c r="AW25" s="382" t="s">
        <v>139</v>
      </c>
      <c r="AX25" s="28"/>
      <c r="AY25" s="28"/>
    </row>
    <row r="26" spans="1:51" s="20" customFormat="1" ht="95.25" customHeight="1" x14ac:dyDescent="0.25">
      <c r="A26" s="984"/>
      <c r="B26" s="984"/>
      <c r="C26" s="976"/>
      <c r="D26" s="352">
        <v>480</v>
      </c>
      <c r="E26" s="395" t="s">
        <v>144</v>
      </c>
      <c r="F26" s="352">
        <v>379</v>
      </c>
      <c r="G26" s="395" t="s">
        <v>145</v>
      </c>
      <c r="H26" s="352" t="s">
        <v>122</v>
      </c>
      <c r="I26" s="352" t="s">
        <v>84</v>
      </c>
      <c r="J26" s="384">
        <f>+N26+T26+V26+AB26+AH26</f>
        <v>31999999.609999999</v>
      </c>
      <c r="K26" s="384"/>
      <c r="L26" s="396">
        <v>4000000</v>
      </c>
      <c r="M26" s="396">
        <v>4112722</v>
      </c>
      <c r="N26" s="397">
        <f>+INVERSIÓN!L69</f>
        <v>4112722</v>
      </c>
      <c r="O26" s="397"/>
      <c r="P26" s="398">
        <v>8000000</v>
      </c>
      <c r="Q26" s="352">
        <v>8000000</v>
      </c>
      <c r="R26" s="612">
        <v>8000000</v>
      </c>
      <c r="S26" s="573">
        <f>+INVERSIÓN!Q69</f>
        <v>11375079.609999999</v>
      </c>
      <c r="T26" s="573">
        <f>+INVERSIÓN!R69</f>
        <v>11375079.609999999</v>
      </c>
      <c r="U26" s="352"/>
      <c r="V26" s="398">
        <f>+INVERSIÓN!T69</f>
        <v>7887278</v>
      </c>
      <c r="W26" s="352"/>
      <c r="X26" s="352"/>
      <c r="Y26" s="352"/>
      <c r="Z26" s="352"/>
      <c r="AA26" s="352"/>
      <c r="AB26" s="398">
        <f>+INVERSIÓN!Z69</f>
        <v>5655000</v>
      </c>
      <c r="AC26" s="352"/>
      <c r="AD26" s="352"/>
      <c r="AE26" s="352"/>
      <c r="AF26" s="352"/>
      <c r="AG26" s="352"/>
      <c r="AH26" s="398">
        <f>+INVERSIÓN!AF69</f>
        <v>2969920</v>
      </c>
      <c r="AI26" s="352"/>
      <c r="AJ26" s="352"/>
      <c r="AK26" s="352"/>
      <c r="AL26" s="352"/>
      <c r="AM26" s="586">
        <v>1562371.83</v>
      </c>
      <c r="AN26" s="586">
        <v>4271112.7779999999</v>
      </c>
      <c r="AO26" s="613">
        <v>7430602</v>
      </c>
      <c r="AP26" s="398">
        <f>+INVERSIÓN!AM69</f>
        <v>11375079.609999999</v>
      </c>
      <c r="AQ26" s="535">
        <f t="shared" si="1"/>
        <v>1</v>
      </c>
      <c r="AR26" s="535">
        <f t="shared" si="0"/>
        <v>0.35547124214480574</v>
      </c>
      <c r="AS26" s="614" t="str">
        <f>+INVERSIÓN!AP69</f>
        <v xml:space="preserve">Se realizó un control de 11,375,080 Ton de Residuos de Construcción y Demolición  - RCD. En el periodo comprendido entre enero y Diciembre de 2017 se realizaron 885 visitas de seguimiento y control a  obras de infraestructura en el perímetro urbano del Distrito Capital que permitieron controlar la disposición adecuada de 11,375,079,61 toneladas de RCD.
Además entre enero y diciembre de 2017 se realizó la revisión de 689 Planes de gestión de RCD, de los cuales se aprobarón 184 planes presentados por obras mayores a 5.000 m2 que causan impactos ambientales en la ciudad, así mismo se generaron 109  Informes técnicos (Sitios de disposición final, Clasificación de impacto ambiental) y/o Conceptos técnicos por incumplimiento en obras en las diferentes obligaciones estipuladas en la Resolución 01115 de 2012, 0932 de 2015 y Resolución 1138 de 2013. 
Lo anterior se produce como resultado a la labor realizada por la SDA en cuanto a la implementación de un modelo eficiente y sostenible de gestión de los RCD en la ciudad en el cual se fortalecieron las actividades de evaluación control y seguimiento ambiental a los generadores de RCD en Bogotá que desarrollan proyectos constructivos públicas y privadas que se desarrollan en Bogotá, de tal forma que se incluyeron actividades de promoción y capacitación socializando la normatividad ambiental existente, al sector de la construcción y diferentes actores de la cadena sobre la disposición adecuada de los RCD generados en el D.C. 
Lo anterior genero un incremento de las obras inscritas en el aplicativo web de la entidad, que en comparación con años anteriores, para el 2017 se tuvo un total 890 obras nuevas, que gracias al control realizado reportaron la certificaciones de la adecuada disposición de los RCD se obtuvieron resultados sobresalientes.
</v>
      </c>
      <c r="AT26" s="593" t="str">
        <f>+INVERSIÓN!AQ69</f>
        <v>NINGUNO</v>
      </c>
      <c r="AU26" s="593" t="str">
        <f>+INVERSIÓN!AR69</f>
        <v>N/A</v>
      </c>
      <c r="AV26" s="417" t="str">
        <f>+INVERSIÓN!AS69</f>
        <v>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v>
      </c>
      <c r="AW26" s="417" t="str">
        <f>+INVERSIÓN!AT69</f>
        <v>Actas de seguimiento ambiental en obras y/u otros informes de sitios de disposición final y/o aprovechamiento autorizados, reportes de los generadores, bases de datos.</v>
      </c>
      <c r="AX26" s="28"/>
      <c r="AY26" s="28"/>
    </row>
    <row r="27" spans="1:51" s="20" customFormat="1" ht="86.25" customHeight="1" x14ac:dyDescent="0.25">
      <c r="A27" s="984"/>
      <c r="B27" s="984"/>
      <c r="C27" s="976"/>
      <c r="D27" s="352">
        <v>481</v>
      </c>
      <c r="E27" s="395" t="s">
        <v>149</v>
      </c>
      <c r="F27" s="352"/>
      <c r="G27" s="395" t="s">
        <v>150</v>
      </c>
      <c r="H27" s="352" t="s">
        <v>142</v>
      </c>
      <c r="I27" s="352" t="s">
        <v>117</v>
      </c>
      <c r="J27" s="384">
        <v>25</v>
      </c>
      <c r="K27" s="384"/>
      <c r="L27" s="396">
        <v>15</v>
      </c>
      <c r="M27" s="399">
        <v>15.13</v>
      </c>
      <c r="N27" s="399">
        <v>15.13</v>
      </c>
      <c r="O27" s="399"/>
      <c r="P27" s="483">
        <v>0.2</v>
      </c>
      <c r="Q27" s="483">
        <v>0.2</v>
      </c>
      <c r="R27" s="483">
        <v>0.2</v>
      </c>
      <c r="S27" s="483">
        <f>+INVERSIÓN!Q87</f>
        <v>0.25</v>
      </c>
      <c r="T27" s="615">
        <f>+INVERSIÓN!AM87</f>
        <v>0.3034</v>
      </c>
      <c r="U27" s="352"/>
      <c r="V27" s="398">
        <v>25</v>
      </c>
      <c r="W27" s="352"/>
      <c r="X27" s="352"/>
      <c r="Y27" s="352"/>
      <c r="Z27" s="352"/>
      <c r="AA27" s="352"/>
      <c r="AB27" s="398">
        <v>25</v>
      </c>
      <c r="AC27" s="352"/>
      <c r="AD27" s="352"/>
      <c r="AE27" s="352"/>
      <c r="AF27" s="352"/>
      <c r="AG27" s="352"/>
      <c r="AH27" s="398">
        <v>25</v>
      </c>
      <c r="AI27" s="352"/>
      <c r="AJ27" s="352"/>
      <c r="AK27" s="352"/>
      <c r="AL27" s="352"/>
      <c r="AM27" s="483">
        <v>0.11940000000000001</v>
      </c>
      <c r="AN27" s="483">
        <v>0.15390000000000001</v>
      </c>
      <c r="AO27" s="616">
        <v>0.22170000000000001</v>
      </c>
      <c r="AP27" s="617">
        <f>+INVERSIÓN!AM87</f>
        <v>0.3034</v>
      </c>
      <c r="AQ27" s="535">
        <f t="shared" si="1"/>
        <v>1.2136</v>
      </c>
      <c r="AR27" s="535">
        <f t="shared" si="0"/>
        <v>1.2136000000000001E-2</v>
      </c>
      <c r="AS27" s="559" t="str">
        <f>+INVERSIÓN!AP87</f>
        <v xml:space="preserve">En el periodo comprendido entre enero y diciembre del año 2017  se controló la aplicación de  técnicas de aprovechamiento y tratamiento de RCD para un  total 2.339.085,99 Ton. equivalente al 30,34% del 20% establecido para la meta estipulada.
Estos valores se obtienen con base en los reportes generados por el seguimiento realizado a las obras y al aplicativo Web de la Entidad y teniendo en cuenta las siguientes variables: -El número de obras inscritas, el área en metros cuadrados de construcción que para el año 2017 y 2016 , calculado según la base de datos  soporte de la SCASP y el  % de reutilización de Obra teniendo en cuenta un coeficiente de volumen de construcción de 0.60 m3/m2 de materiales de obra requerido.
Considerando lo anterior el valor total de rcd reutilizados o aprovechados a controlar  en las obras es de 1.541.574   equivale a un 20% el cual corresponde a la meta establecida para la vigencia 2017 acorde con la norma.
Para el periodo comprendido entre enero y diciembre de 2017 se realizó la revisión de 689 Planes de Gestión-RCD y se dio la aprobación a 184 planes presentados por obras mayores a 5.000 m2 que causan impactos ambientales en la ciudad, mediante el desarrollo del aplicativo web de la entidad donde reposan dichos documentos.
El incremento en la ejecución de la meta se produce como resultado a la labor realizada por la SDA en cuanto a la implementación de un modelo eficiente y sostenible de gestión de los RCD en la ciudad en el cual se fortalecieron las actividades de evaluación control y seguimiento ambiental a los generadores de RCD en Bogotá que desarrollan proyectos constructivos públicas y privadas que se desarrollan en Bogotá, de tal forma que se incluyeron actividades de promoción y capacitación socializando la normatividad ambiental existente, al sector de la construcción y diferentes actores de la cadena sobre lel tratameiento y aprovechamiento  de los RCD generados en el D.C. 
Lo anterior genero un incremento de las obras inscritas en el aplicativo web de la entidad, que en comparación con años anteriores, para el 2017 se tuvo un total 890 obras nuevas, que gracias al control realizado reportaron la certificaciones del aprovechamiento de los RCD.
</v>
      </c>
      <c r="AT27" s="618" t="str">
        <f>+INVERSIÓN!AQ87</f>
        <v>NINGUNO</v>
      </c>
      <c r="AU27" s="618" t="str">
        <f>+INVERSIÓN!AR87</f>
        <v>N/A</v>
      </c>
      <c r="AV27" s="414" t="str">
        <f>+INVERSIÓN!AS87</f>
        <v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v>
      </c>
      <c r="AW27" s="414" t="str">
        <f>+INVERSIÓN!AT87</f>
        <v>Actas de seguimiento ambiental en obras y/u otros informes de sitios de disposición final y/o aprovechamiento autorizados, reportes de los generadores, bases de datos.</v>
      </c>
      <c r="AX27" s="28"/>
      <c r="AY27" s="28"/>
    </row>
    <row r="28" spans="1:51" s="20" customFormat="1" ht="71.25" customHeight="1" x14ac:dyDescent="0.25">
      <c r="A28" s="984"/>
      <c r="B28" s="984"/>
      <c r="C28" s="975"/>
      <c r="D28" s="1470">
        <v>429</v>
      </c>
      <c r="E28" s="598" t="s">
        <v>199</v>
      </c>
      <c r="F28" s="549">
        <v>366</v>
      </c>
      <c r="G28" s="619" t="s">
        <v>151</v>
      </c>
      <c r="H28" s="567" t="s">
        <v>142</v>
      </c>
      <c r="I28" s="620" t="s">
        <v>217</v>
      </c>
      <c r="J28" s="621">
        <f>+N28+T28+V28+AB28+AH28</f>
        <v>1700</v>
      </c>
      <c r="K28" s="621"/>
      <c r="L28" s="621">
        <v>100</v>
      </c>
      <c r="M28" s="621">
        <v>394</v>
      </c>
      <c r="N28" s="1471">
        <v>394</v>
      </c>
      <c r="O28" s="621"/>
      <c r="P28" s="621">
        <v>340</v>
      </c>
      <c r="Q28" s="622">
        <v>340</v>
      </c>
      <c r="R28" s="400">
        <v>340</v>
      </c>
      <c r="S28" s="623">
        <v>421</v>
      </c>
      <c r="T28" s="624">
        <v>421</v>
      </c>
      <c r="U28" s="625"/>
      <c r="V28" s="626">
        <v>286</v>
      </c>
      <c r="W28" s="621"/>
      <c r="X28" s="621"/>
      <c r="Y28" s="621"/>
      <c r="Z28" s="621"/>
      <c r="AA28" s="621"/>
      <c r="AB28" s="621">
        <v>425</v>
      </c>
      <c r="AC28" s="621"/>
      <c r="AD28" s="621"/>
      <c r="AE28" s="621"/>
      <c r="AF28" s="621"/>
      <c r="AG28" s="621"/>
      <c r="AH28" s="621">
        <v>174</v>
      </c>
      <c r="AI28" s="621"/>
      <c r="AJ28" s="621"/>
      <c r="AK28" s="621"/>
      <c r="AL28" s="621"/>
      <c r="AM28" s="627">
        <v>26</v>
      </c>
      <c r="AN28" s="627">
        <v>130</v>
      </c>
      <c r="AO28" s="628">
        <v>184</v>
      </c>
      <c r="AP28" s="624">
        <f>+AO28+237</f>
        <v>421</v>
      </c>
      <c r="AQ28" s="535">
        <f t="shared" si="1"/>
        <v>1</v>
      </c>
      <c r="AR28" s="535">
        <f t="shared" si="0"/>
        <v>0.24764705882352941</v>
      </c>
      <c r="AS28" s="629" t="s">
        <v>527</v>
      </c>
      <c r="AT28" s="607" t="s">
        <v>214</v>
      </c>
      <c r="AU28" s="590" t="s">
        <v>86</v>
      </c>
      <c r="AV28" s="449" t="s">
        <v>155</v>
      </c>
      <c r="AW28" s="418" t="s">
        <v>215</v>
      </c>
      <c r="AX28" s="28"/>
      <c r="AY28" s="28"/>
    </row>
    <row r="29" spans="1:51" s="29" customFormat="1" ht="77.25" customHeight="1" x14ac:dyDescent="0.25">
      <c r="A29" s="984"/>
      <c r="B29" s="984"/>
      <c r="C29" s="975"/>
      <c r="D29" s="350">
        <v>520</v>
      </c>
      <c r="E29" s="395" t="s">
        <v>156</v>
      </c>
      <c r="F29" s="350">
        <v>527</v>
      </c>
      <c r="G29" s="402" t="s">
        <v>157</v>
      </c>
      <c r="H29" s="350" t="s">
        <v>122</v>
      </c>
      <c r="I29" s="350" t="s">
        <v>84</v>
      </c>
      <c r="J29" s="353">
        <f>+N29+S29+V29+AB29+AH29</f>
        <v>15000</v>
      </c>
      <c r="K29" s="353"/>
      <c r="L29" s="630">
        <v>1000</v>
      </c>
      <c r="M29" s="630">
        <v>1028</v>
      </c>
      <c r="N29" s="631">
        <v>1028</v>
      </c>
      <c r="O29" s="631"/>
      <c r="P29" s="408">
        <v>2250</v>
      </c>
      <c r="Q29" s="408">
        <v>2250</v>
      </c>
      <c r="R29" s="389">
        <v>2250</v>
      </c>
      <c r="S29" s="632">
        <f>+INVERSIÓN!Q45</f>
        <v>2627</v>
      </c>
      <c r="T29" s="632">
        <f>+INVERSIÓN!R45</f>
        <v>2427</v>
      </c>
      <c r="U29" s="408"/>
      <c r="V29" s="633">
        <f>+INVERSIÓN!T45</f>
        <v>4500</v>
      </c>
      <c r="W29" s="350"/>
      <c r="X29" s="350"/>
      <c r="Y29" s="350"/>
      <c r="Z29" s="350"/>
      <c r="AA29" s="350"/>
      <c r="AB29" s="573">
        <f>+INVERSIÓN!Z45</f>
        <v>4595</v>
      </c>
      <c r="AC29" s="350"/>
      <c r="AD29" s="350"/>
      <c r="AE29" s="350"/>
      <c r="AF29" s="350"/>
      <c r="AG29" s="350"/>
      <c r="AH29" s="634">
        <f>+INVERSIÓN!AF45</f>
        <v>2250</v>
      </c>
      <c r="AI29" s="350"/>
      <c r="AJ29" s="350"/>
      <c r="AK29" s="350"/>
      <c r="AL29" s="350"/>
      <c r="AM29" s="635">
        <v>363.12</v>
      </c>
      <c r="AN29" s="635">
        <v>1021.48</v>
      </c>
      <c r="AO29" s="635">
        <v>1591.87</v>
      </c>
      <c r="AP29" s="636">
        <f>+INVERSIÓN!AM45</f>
        <v>2427</v>
      </c>
      <c r="AQ29" s="535">
        <f t="shared" si="1"/>
        <v>0.92386752950133233</v>
      </c>
      <c r="AR29" s="535">
        <f t="shared" si="0"/>
        <v>0.1618</v>
      </c>
      <c r="AS29" s="637" t="s">
        <v>565</v>
      </c>
      <c r="AT29" s="638" t="str">
        <f>+INVERSIÓN!AQ45</f>
        <v>NINGUNO</v>
      </c>
      <c r="AU29" s="638" t="str">
        <f>+INVERSIÓN!AR45</f>
        <v>N/A</v>
      </c>
      <c r="AV29" s="482" t="str">
        <f>+INVERSIÓN!AS45</f>
        <v>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v>
      </c>
      <c r="AW29" s="482" t="str">
        <f>+INVERSIÓN!AT45</f>
        <v>Base de datos, constancias y certificados de disposición final.</v>
      </c>
    </row>
    <row r="30" spans="1:51" s="29" customFormat="1" ht="84" customHeight="1" x14ac:dyDescent="0.25">
      <c r="A30" s="984"/>
      <c r="B30" s="984"/>
      <c r="C30" s="976"/>
      <c r="D30" s="1474">
        <v>472</v>
      </c>
      <c r="E30" s="639" t="s">
        <v>159</v>
      </c>
      <c r="F30" s="404">
        <v>371</v>
      </c>
      <c r="G30" s="401" t="s">
        <v>197</v>
      </c>
      <c r="H30" s="402" t="s">
        <v>122</v>
      </c>
      <c r="I30" s="350" t="s">
        <v>84</v>
      </c>
      <c r="J30" s="353">
        <v>800000</v>
      </c>
      <c r="K30" s="403"/>
      <c r="L30" s="404">
        <v>0</v>
      </c>
      <c r="M30" s="405">
        <v>106549</v>
      </c>
      <c r="N30" s="406">
        <f>+INVERSIÓN!L117</f>
        <v>106549</v>
      </c>
      <c r="O30" s="406">
        <f>N30+AO30</f>
        <v>381888</v>
      </c>
      <c r="P30" s="405">
        <v>350000</v>
      </c>
      <c r="Q30" s="407">
        <v>350000</v>
      </c>
      <c r="R30" s="602">
        <v>350000</v>
      </c>
      <c r="S30" s="640">
        <f>+INVERSIÓN!Q117</f>
        <v>355398</v>
      </c>
      <c r="T30" s="640">
        <f>+INVERSIÓN!R117</f>
        <v>355398</v>
      </c>
      <c r="U30" s="408"/>
      <c r="V30" s="641">
        <f>+INVERSIÓN!T117</f>
        <v>120000</v>
      </c>
      <c r="W30" s="404"/>
      <c r="X30" s="404"/>
      <c r="Y30" s="404"/>
      <c r="Z30" s="404"/>
      <c r="AA30" s="404"/>
      <c r="AB30" s="405">
        <f>+INVERSIÓN!Z117</f>
        <v>120000</v>
      </c>
      <c r="AC30" s="404"/>
      <c r="AD30" s="404"/>
      <c r="AE30" s="404"/>
      <c r="AF30" s="404"/>
      <c r="AG30" s="404"/>
      <c r="AH30" s="405">
        <f>+INVERSIÓN!AF117</f>
        <v>98053</v>
      </c>
      <c r="AI30" s="404"/>
      <c r="AJ30" s="404"/>
      <c r="AK30" s="404"/>
      <c r="AL30" s="404"/>
      <c r="AM30" s="642">
        <v>0</v>
      </c>
      <c r="AN30" s="642">
        <v>116438</v>
      </c>
      <c r="AO30" s="642">
        <v>275339</v>
      </c>
      <c r="AP30" s="405">
        <f>+INVERSIÓN!AM117</f>
        <v>355398</v>
      </c>
      <c r="AQ30" s="535">
        <f t="shared" si="1"/>
        <v>1</v>
      </c>
      <c r="AR30" s="535">
        <f>+AP30/J30</f>
        <v>0.44424750000000002</v>
      </c>
      <c r="AS30" s="643" t="str">
        <f>+INVERSIÓN!AP117</f>
        <v xml:space="preserve">Se diligenció la ficha de seguimiento de reducción de emisiones de GEI para el proyecto quema de biogás en el RSDJ, del proyecto Plazas de mercado y del proyecto Operación PTAR Salitre. De acuerdo al avance de los proyectos, se obtuvo como resultado que mediante la implementación del proyecto “Extracción, tratamiento y aprovechamiento del Biogás proveniente del Relleno Sanitario Doña Juana-RSDJ” según la información disponible suministrada por  la UAESP en el periodo enero-octubre de 2017, se estimó una reducción de  300.440 tCO2eq (toneladas de Dióxido de Carbono Equivalente) por el tratamiento de metano en la planta de biogás. Adicionalmente, con la ejecución del proyecto "Ruta selectiva de residuos orgánicos en las Plazas de Mercado Distritales" ejecutado en el periodo de marzo - agosto de 2017, según la información suministrada por el IPES  se estimó una reducción de 154  tCO2eq por el tratamiento de 724,55 toneladas de residuos orgánicos; y finalmente el proyecto "Operación de la planta de tratamiento de aguas esiduales" tiene un aporte de reducción de 54.804 tCO2eq por el vólumen del biogas tratado en los biodigestores de la planta, reportado en el périodo comprendido de enero a noviembre de 2017. Por lo anterior, se logró en total la reducción de 355.398 tCO2eq con los proyectos mencionados.
Se actualizaron las fichas de proyectos de reducción de emisiones GEI que hacen parte del Plan de acción encaminado a la reducción de GEI acorde a la revisión de las metas a corto plazo del Plan Distrital de Gestión de Riesgos y Cambio Climático - PDGRCC, realizada con las entidades responsables, tales como: Empresa de Acueducto y Alcantarillado de Bogotá-EAAB, CODENSA, Secretaría Distrital de Movilidad - SDM, Unidad Administrativa Especial de Servicios Públicos-UAESP, Subdirección de Ecosistemas y Ruralidad SER-SDA, Subdirección de Calidad del Aire, Auditiva y Visual SCAAV-SDA. </v>
      </c>
      <c r="AT30" s="644" t="s">
        <v>86</v>
      </c>
      <c r="AU30" s="593" t="str">
        <f>+INVERSIÓN!AR117</f>
        <v>N/A</v>
      </c>
      <c r="AV30" s="415" t="str">
        <f>+INVERSIÓN!AS117</f>
        <v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v>
      </c>
      <c r="AW30" s="415" t="str">
        <f>+INVERSIÓN!AT117</f>
        <v>Fichas de Proyectos y de Seguimiento por módulos de ASUS, Energía y Residuos</v>
      </c>
    </row>
    <row r="31" spans="1:51" s="29" customFormat="1" ht="76.5" customHeight="1" thickBot="1" x14ac:dyDescent="0.3">
      <c r="A31" s="985"/>
      <c r="B31" s="985"/>
      <c r="C31" s="977"/>
      <c r="D31" s="645">
        <v>473</v>
      </c>
      <c r="E31" s="639" t="s">
        <v>165</v>
      </c>
      <c r="F31" s="646">
        <v>372</v>
      </c>
      <c r="G31" s="402" t="s">
        <v>169</v>
      </c>
      <c r="H31" s="350" t="s">
        <v>142</v>
      </c>
      <c r="I31" s="409" t="s">
        <v>84</v>
      </c>
      <c r="J31" s="485">
        <f>+N31+T31+V31+AB31+AH31</f>
        <v>1</v>
      </c>
      <c r="K31" s="410"/>
      <c r="L31" s="411">
        <v>0</v>
      </c>
      <c r="M31" s="411">
        <v>13.3</v>
      </c>
      <c r="N31" s="484">
        <v>0.13300000000000001</v>
      </c>
      <c r="O31" s="411"/>
      <c r="P31" s="484">
        <v>6.0999999999999999E-2</v>
      </c>
      <c r="Q31" s="484">
        <v>6.0999999999999999E-2</v>
      </c>
      <c r="R31" s="484">
        <v>6.0999999999999999E-2</v>
      </c>
      <c r="S31" s="484">
        <v>6.0999999999999999E-2</v>
      </c>
      <c r="T31" s="484">
        <v>6.0999999999999999E-2</v>
      </c>
      <c r="U31" s="411"/>
      <c r="V31" s="484">
        <v>0.375</v>
      </c>
      <c r="W31" s="411"/>
      <c r="X31" s="411"/>
      <c r="Y31" s="411"/>
      <c r="Z31" s="411"/>
      <c r="AA31" s="411"/>
      <c r="AB31" s="484">
        <v>0.375</v>
      </c>
      <c r="AC31" s="411"/>
      <c r="AD31" s="411"/>
      <c r="AE31" s="411"/>
      <c r="AF31" s="411"/>
      <c r="AG31" s="411"/>
      <c r="AH31" s="484">
        <v>5.6000000000000001E-2</v>
      </c>
      <c r="AI31" s="411"/>
      <c r="AJ31" s="411"/>
      <c r="AK31" s="411"/>
      <c r="AL31" s="411"/>
      <c r="AM31" s="647">
        <v>3.0000000000000001E-3</v>
      </c>
      <c r="AN31" s="648">
        <v>1.9300000000000001E-2</v>
      </c>
      <c r="AO31" s="648">
        <v>1.9300000000000001E-2</v>
      </c>
      <c r="AP31" s="648">
        <f>1.94%+AO31+AN31+AM31</f>
        <v>6.0999999999999999E-2</v>
      </c>
      <c r="AQ31" s="535">
        <f t="shared" si="1"/>
        <v>1</v>
      </c>
      <c r="AR31" s="535">
        <f>+AP31/J31</f>
        <v>6.0999999999999999E-2</v>
      </c>
      <c r="AS31" s="649" t="s">
        <v>528</v>
      </c>
      <c r="AT31" s="644" t="s">
        <v>86</v>
      </c>
      <c r="AU31" s="644" t="s">
        <v>86</v>
      </c>
      <c r="AV31" s="419" t="s">
        <v>241</v>
      </c>
      <c r="AW31" s="420" t="s">
        <v>216</v>
      </c>
    </row>
    <row r="32" spans="1:51" customFormat="1" ht="90.75" customHeight="1" thickBot="1" x14ac:dyDescent="0.35">
      <c r="A32" s="963" t="s">
        <v>422</v>
      </c>
      <c r="B32" s="964"/>
      <c r="C32" s="96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5"/>
      <c r="AX32" s="3"/>
      <c r="AY32" s="3"/>
    </row>
    <row r="33" spans="1:51" x14ac:dyDescent="0.25">
      <c r="A33" s="3"/>
      <c r="B33" s="3"/>
      <c r="C33" s="3"/>
      <c r="D33" s="3"/>
      <c r="E33" s="3"/>
      <c r="F33" s="3"/>
      <c r="G33" s="3"/>
      <c r="H33" s="3"/>
      <c r="I33" s="3"/>
      <c r="J33" s="13"/>
      <c r="K33" s="13"/>
      <c r="L33" s="13"/>
      <c r="M33" s="13"/>
      <c r="N33" s="13"/>
      <c r="O33" s="13"/>
      <c r="P33" s="13"/>
      <c r="Q33" s="13"/>
      <c r="R33" s="13"/>
      <c r="S33" s="421"/>
      <c r="T33" s="421"/>
      <c r="U33" s="421"/>
      <c r="V33" s="421"/>
      <c r="W33" s="421"/>
      <c r="X33" s="421"/>
      <c r="Y33" s="421"/>
      <c r="Z33" s="421"/>
      <c r="AA33" s="421"/>
      <c r="AB33" s="421"/>
      <c r="AC33" s="421"/>
      <c r="AD33" s="421"/>
      <c r="AE33" s="421"/>
      <c r="AF33" s="421"/>
      <c r="AG33" s="421"/>
      <c r="AH33" s="421"/>
      <c r="AI33" s="421"/>
      <c r="AJ33" s="421"/>
      <c r="AK33" s="421"/>
      <c r="AL33" s="421"/>
      <c r="AM33" s="422"/>
      <c r="AN33" s="422"/>
      <c r="AO33" s="422"/>
      <c r="AP33" s="422"/>
      <c r="AQ33" s="422"/>
      <c r="AR33" s="422"/>
      <c r="AS33" s="422"/>
      <c r="AT33" s="422"/>
      <c r="AU33" s="422"/>
      <c r="AV33" s="422"/>
      <c r="AW33" s="422"/>
      <c r="AX33" s="422"/>
      <c r="AY33" s="422"/>
    </row>
    <row r="34" spans="1:51" x14ac:dyDescent="0.25">
      <c r="A34" s="3"/>
      <c r="B34" s="3"/>
      <c r="C34" s="3"/>
      <c r="D34" s="3"/>
      <c r="E34" s="3"/>
      <c r="F34" s="3"/>
      <c r="G34" s="3"/>
      <c r="H34" s="3"/>
      <c r="I34" s="3"/>
      <c r="J34" s="13"/>
      <c r="K34" s="13"/>
      <c r="L34" s="13"/>
      <c r="M34" s="13"/>
      <c r="N34" s="13"/>
      <c r="O34" s="13"/>
      <c r="P34" s="13"/>
      <c r="Q34" s="13"/>
      <c r="R34" s="13"/>
      <c r="S34" s="421"/>
      <c r="T34" s="421"/>
      <c r="U34" s="421"/>
      <c r="V34" s="421"/>
      <c r="W34" s="421"/>
      <c r="X34" s="421"/>
      <c r="Y34" s="421"/>
      <c r="Z34" s="421"/>
      <c r="AA34" s="421"/>
      <c r="AB34" s="421"/>
      <c r="AC34" s="421"/>
      <c r="AD34" s="421"/>
      <c r="AE34" s="421"/>
      <c r="AF34" s="421"/>
      <c r="AG34" s="421"/>
      <c r="AH34" s="421"/>
      <c r="AI34" s="421"/>
      <c r="AJ34" s="421"/>
      <c r="AK34" s="421"/>
      <c r="AL34" s="421"/>
      <c r="AM34" s="422"/>
      <c r="AN34" s="422"/>
      <c r="AO34" s="422"/>
      <c r="AP34" s="422"/>
      <c r="AQ34" s="422"/>
      <c r="AR34" s="422"/>
      <c r="AS34" s="422"/>
      <c r="AT34" s="422"/>
      <c r="AU34" s="422"/>
      <c r="AV34" s="422"/>
      <c r="AW34" s="422"/>
      <c r="AX34" s="422"/>
      <c r="AY34" s="422"/>
    </row>
    <row r="35" spans="1:51" x14ac:dyDescent="0.25">
      <c r="A35" s="3"/>
      <c r="B35" s="3"/>
      <c r="C35" s="3"/>
      <c r="D35" s="3"/>
      <c r="E35" s="3"/>
      <c r="F35" s="3"/>
      <c r="G35" s="3"/>
      <c r="H35" s="3"/>
      <c r="I35" s="3"/>
      <c r="J35" s="13"/>
      <c r="K35" s="13"/>
      <c r="L35" s="13"/>
      <c r="M35" s="13"/>
      <c r="N35" s="13"/>
      <c r="O35" s="13"/>
      <c r="P35" s="13"/>
      <c r="Q35" s="13"/>
      <c r="R35" s="13"/>
      <c r="S35" s="421"/>
      <c r="T35" s="421"/>
      <c r="U35" s="421"/>
      <c r="V35" s="421"/>
      <c r="W35" s="421"/>
      <c r="X35" s="421"/>
      <c r="Y35" s="421"/>
      <c r="Z35" s="421"/>
      <c r="AA35" s="421"/>
      <c r="AB35" s="421"/>
      <c r="AC35" s="421"/>
      <c r="AD35" s="421"/>
      <c r="AE35" s="421"/>
      <c r="AF35" s="421"/>
      <c r="AG35" s="421"/>
      <c r="AH35" s="421"/>
      <c r="AI35" s="421"/>
      <c r="AJ35" s="421"/>
      <c r="AK35" s="421"/>
      <c r="AL35" s="421"/>
      <c r="AM35" s="422"/>
      <c r="AN35" s="422"/>
      <c r="AO35" s="422"/>
      <c r="AP35" s="422"/>
      <c r="AQ35" s="422"/>
      <c r="AR35" s="422"/>
      <c r="AS35" s="422"/>
      <c r="AT35" s="422"/>
      <c r="AU35" s="422"/>
      <c r="AV35" s="422"/>
      <c r="AW35" s="422"/>
      <c r="AX35" s="422"/>
      <c r="AY35" s="422"/>
    </row>
    <row r="36" spans="1:51" x14ac:dyDescent="0.25">
      <c r="A36" s="3"/>
      <c r="B36" s="3"/>
      <c r="C36" s="3"/>
      <c r="D36" s="3"/>
      <c r="E36" s="3"/>
      <c r="F36" s="3"/>
      <c r="G36" s="3"/>
      <c r="H36" s="3"/>
      <c r="I36" s="3"/>
      <c r="J36" s="13"/>
      <c r="K36" s="13"/>
      <c r="L36" s="13"/>
      <c r="M36" s="13"/>
      <c r="N36" s="13"/>
      <c r="O36" s="13"/>
      <c r="P36" s="13"/>
      <c r="Q36" s="13"/>
      <c r="R36" s="13"/>
      <c r="S36" s="421"/>
      <c r="T36" s="421"/>
      <c r="U36" s="421"/>
      <c r="V36" s="421"/>
      <c r="W36" s="421"/>
      <c r="X36" s="421"/>
      <c r="Y36" s="421"/>
      <c r="Z36" s="421"/>
      <c r="AA36" s="421"/>
      <c r="AB36" s="421"/>
      <c r="AC36" s="421"/>
      <c r="AD36" s="421"/>
      <c r="AE36" s="421"/>
      <c r="AF36" s="421"/>
      <c r="AG36" s="421"/>
      <c r="AH36" s="421"/>
      <c r="AI36" s="421"/>
      <c r="AJ36" s="421"/>
      <c r="AK36" s="421"/>
      <c r="AL36" s="421"/>
      <c r="AM36" s="422"/>
      <c r="AN36" s="422"/>
      <c r="AO36" s="422"/>
      <c r="AP36" s="422"/>
      <c r="AQ36" s="422"/>
      <c r="AR36" s="422"/>
      <c r="AS36" s="422"/>
      <c r="AT36" s="422"/>
      <c r="AU36" s="422"/>
      <c r="AV36" s="422"/>
      <c r="AW36" s="422"/>
      <c r="AX36" s="422"/>
      <c r="AY36" s="422"/>
    </row>
    <row r="37" spans="1:51" x14ac:dyDescent="0.25">
      <c r="A37" s="3"/>
      <c r="B37" s="3"/>
      <c r="C37" s="3"/>
      <c r="D37" s="3"/>
      <c r="E37" s="3"/>
      <c r="F37" s="3"/>
      <c r="G37" s="3"/>
      <c r="H37" s="3"/>
      <c r="I37" s="3"/>
      <c r="J37" s="13"/>
      <c r="K37" s="13"/>
      <c r="L37" s="13"/>
      <c r="M37" s="13"/>
      <c r="N37" s="13"/>
      <c r="O37" s="13"/>
      <c r="P37" s="13"/>
      <c r="Q37" s="13"/>
      <c r="R37" s="13"/>
      <c r="S37" s="421"/>
      <c r="T37" s="421"/>
      <c r="U37" s="421"/>
      <c r="V37" s="421"/>
      <c r="W37" s="421"/>
      <c r="X37" s="421"/>
      <c r="Y37" s="421"/>
      <c r="Z37" s="421"/>
      <c r="AA37" s="421"/>
      <c r="AB37" s="421"/>
      <c r="AC37" s="421"/>
      <c r="AD37" s="421"/>
      <c r="AE37" s="421"/>
      <c r="AF37" s="421"/>
      <c r="AG37" s="421"/>
      <c r="AH37" s="421"/>
      <c r="AI37" s="421"/>
      <c r="AJ37" s="421"/>
      <c r="AK37" s="421"/>
      <c r="AL37" s="421"/>
      <c r="AM37" s="422"/>
      <c r="AN37" s="422"/>
      <c r="AO37" s="422"/>
      <c r="AP37" s="422"/>
      <c r="AQ37" s="422"/>
      <c r="AR37" s="422"/>
      <c r="AS37" s="422"/>
      <c r="AT37" s="422"/>
      <c r="AU37" s="422"/>
      <c r="AV37" s="422"/>
      <c r="AW37" s="422"/>
      <c r="AX37" s="422"/>
      <c r="AY37" s="422"/>
    </row>
    <row r="38" spans="1:51" x14ac:dyDescent="0.25">
      <c r="A38" s="3"/>
      <c r="B38" s="3"/>
      <c r="C38" s="3"/>
      <c r="D38" s="3"/>
      <c r="E38" s="3"/>
      <c r="F38" s="3"/>
      <c r="G38" s="3"/>
      <c r="H38" s="3"/>
      <c r="I38" s="3"/>
      <c r="J38" s="13"/>
      <c r="K38" s="13"/>
      <c r="L38" s="13"/>
      <c r="M38" s="13"/>
      <c r="N38" s="13"/>
      <c r="O38" s="13"/>
      <c r="P38" s="13"/>
      <c r="Q38" s="13"/>
      <c r="R38" s="13"/>
      <c r="S38" s="421"/>
      <c r="T38" s="421"/>
      <c r="U38" s="421"/>
      <c r="V38" s="421"/>
      <c r="W38" s="421"/>
      <c r="X38" s="421"/>
      <c r="Y38" s="421"/>
      <c r="Z38" s="421"/>
      <c r="AA38" s="421"/>
      <c r="AB38" s="421"/>
      <c r="AC38" s="421"/>
      <c r="AD38" s="421"/>
      <c r="AE38" s="421"/>
      <c r="AF38" s="421"/>
      <c r="AG38" s="421"/>
      <c r="AH38" s="421"/>
      <c r="AI38" s="421"/>
      <c r="AJ38" s="421"/>
      <c r="AK38" s="421"/>
      <c r="AL38" s="421"/>
      <c r="AM38" s="422"/>
      <c r="AN38" s="422"/>
      <c r="AO38" s="422"/>
      <c r="AP38" s="422"/>
      <c r="AQ38" s="422"/>
      <c r="AR38" s="422"/>
      <c r="AS38" s="422"/>
      <c r="AT38" s="422"/>
      <c r="AU38" s="422"/>
      <c r="AV38" s="422"/>
      <c r="AW38" s="422"/>
      <c r="AX38" s="422"/>
      <c r="AY38" s="422"/>
    </row>
    <row r="39" spans="1:51" x14ac:dyDescent="0.25">
      <c r="A39" s="3"/>
      <c r="B39" s="3"/>
      <c r="C39" s="3"/>
      <c r="D39" s="3"/>
      <c r="E39" s="3"/>
      <c r="F39" s="3"/>
      <c r="G39" s="3"/>
      <c r="H39" s="3"/>
      <c r="I39" s="3"/>
      <c r="J39" s="13"/>
      <c r="K39" s="13"/>
      <c r="L39" s="13"/>
      <c r="M39" s="13"/>
      <c r="N39" s="13"/>
      <c r="O39" s="13"/>
      <c r="P39" s="13"/>
      <c r="Q39" s="13"/>
      <c r="R39" s="13"/>
      <c r="S39" s="421"/>
      <c r="T39" s="421"/>
      <c r="U39" s="421"/>
      <c r="V39" s="421"/>
      <c r="W39" s="421"/>
      <c r="X39" s="421"/>
      <c r="Y39" s="421"/>
      <c r="Z39" s="421"/>
      <c r="AA39" s="421"/>
      <c r="AB39" s="421"/>
      <c r="AC39" s="421"/>
      <c r="AD39" s="421"/>
      <c r="AE39" s="421"/>
      <c r="AF39" s="421"/>
      <c r="AG39" s="421"/>
      <c r="AH39" s="421"/>
      <c r="AI39" s="421"/>
      <c r="AJ39" s="421"/>
      <c r="AK39" s="421"/>
      <c r="AL39" s="421"/>
      <c r="AM39" s="422"/>
      <c r="AN39" s="422"/>
      <c r="AO39" s="422"/>
      <c r="AP39" s="422"/>
      <c r="AQ39" s="422"/>
      <c r="AR39" s="422"/>
      <c r="AS39" s="422"/>
      <c r="AT39" s="422"/>
      <c r="AU39" s="422"/>
      <c r="AV39" s="422"/>
      <c r="AW39" s="422"/>
      <c r="AX39" s="422"/>
      <c r="AY39" s="422"/>
    </row>
    <row r="40" spans="1:51" x14ac:dyDescent="0.25">
      <c r="A40" s="3"/>
      <c r="B40" s="3"/>
      <c r="C40" s="3"/>
      <c r="D40" s="3"/>
      <c r="E40" s="3"/>
      <c r="F40" s="3"/>
      <c r="G40" s="3"/>
      <c r="H40" s="3"/>
      <c r="I40" s="3"/>
      <c r="J40" s="13"/>
      <c r="K40" s="13"/>
      <c r="L40" s="13"/>
      <c r="M40" s="13"/>
      <c r="N40" s="13"/>
      <c r="O40" s="13"/>
      <c r="P40" s="13"/>
      <c r="Q40" s="13"/>
      <c r="R40" s="13"/>
      <c r="S40" s="421"/>
      <c r="T40" s="421"/>
      <c r="U40" s="421"/>
      <c r="V40" s="421"/>
      <c r="W40" s="421"/>
      <c r="X40" s="421"/>
      <c r="Y40" s="421"/>
      <c r="Z40" s="421"/>
      <c r="AA40" s="421"/>
      <c r="AB40" s="421"/>
      <c r="AC40" s="421"/>
      <c r="AD40" s="421"/>
      <c r="AE40" s="421"/>
      <c r="AF40" s="421"/>
      <c r="AG40" s="421"/>
      <c r="AH40" s="421"/>
      <c r="AI40" s="421"/>
      <c r="AJ40" s="421"/>
      <c r="AK40" s="421"/>
      <c r="AL40" s="421"/>
      <c r="AM40" s="422"/>
      <c r="AN40" s="422"/>
      <c r="AO40" s="422"/>
      <c r="AP40" s="422"/>
      <c r="AQ40" s="422"/>
      <c r="AR40" s="422"/>
      <c r="AS40" s="422"/>
      <c r="AT40" s="422"/>
      <c r="AU40" s="422"/>
      <c r="AV40" s="422"/>
      <c r="AW40" s="422"/>
      <c r="AX40" s="422"/>
      <c r="AY40" s="422"/>
    </row>
    <row r="41" spans="1:51" x14ac:dyDescent="0.25">
      <c r="A41" s="3"/>
      <c r="B41" s="3"/>
      <c r="C41" s="3"/>
      <c r="D41" s="3"/>
      <c r="E41" s="3"/>
      <c r="F41" s="3"/>
      <c r="G41" s="3"/>
      <c r="H41" s="3"/>
      <c r="I41" s="3"/>
      <c r="J41" s="13"/>
      <c r="K41" s="13"/>
      <c r="L41" s="13"/>
      <c r="M41" s="13"/>
      <c r="N41" s="13"/>
      <c r="O41" s="13"/>
      <c r="P41" s="13"/>
      <c r="Q41" s="13"/>
      <c r="R41" s="13"/>
      <c r="S41" s="421"/>
      <c r="T41" s="421"/>
      <c r="U41" s="421"/>
      <c r="V41" s="421"/>
      <c r="W41" s="421"/>
      <c r="X41" s="421"/>
      <c r="Y41" s="421"/>
      <c r="Z41" s="421"/>
      <c r="AA41" s="421"/>
      <c r="AB41" s="421"/>
      <c r="AC41" s="421"/>
      <c r="AD41" s="421"/>
      <c r="AE41" s="421"/>
      <c r="AF41" s="421"/>
      <c r="AG41" s="421"/>
      <c r="AH41" s="421"/>
      <c r="AI41" s="421"/>
      <c r="AJ41" s="421"/>
      <c r="AK41" s="421"/>
      <c r="AL41" s="421"/>
      <c r="AM41" s="422"/>
      <c r="AN41" s="422"/>
      <c r="AO41" s="422"/>
      <c r="AP41" s="422"/>
      <c r="AQ41" s="422"/>
      <c r="AR41" s="422"/>
      <c r="AS41" s="422"/>
      <c r="AT41" s="422"/>
      <c r="AU41" s="422"/>
      <c r="AV41" s="422"/>
      <c r="AW41" s="422"/>
      <c r="AX41" s="422"/>
      <c r="AY41" s="422"/>
    </row>
    <row r="42" spans="1:51" x14ac:dyDescent="0.25">
      <c r="A42" s="3"/>
      <c r="B42" s="3"/>
      <c r="C42" s="3"/>
      <c r="D42" s="3"/>
      <c r="E42" s="3"/>
      <c r="F42" s="3"/>
      <c r="G42" s="3"/>
      <c r="H42" s="3"/>
      <c r="I42" s="3"/>
      <c r="J42" s="13"/>
      <c r="K42" s="13"/>
      <c r="L42" s="13"/>
      <c r="M42" s="13"/>
      <c r="N42" s="13"/>
      <c r="O42" s="13"/>
      <c r="P42" s="13"/>
      <c r="Q42" s="13"/>
      <c r="R42" s="13"/>
      <c r="S42" s="421"/>
      <c r="T42" s="421"/>
      <c r="U42" s="421"/>
      <c r="V42" s="421"/>
      <c r="W42" s="421"/>
      <c r="X42" s="421"/>
      <c r="Y42" s="421"/>
      <c r="Z42" s="421"/>
      <c r="AA42" s="421"/>
      <c r="AB42" s="421"/>
      <c r="AC42" s="421"/>
      <c r="AD42" s="421"/>
      <c r="AE42" s="421"/>
      <c r="AF42" s="421"/>
      <c r="AG42" s="421"/>
      <c r="AH42" s="421"/>
      <c r="AI42" s="421"/>
      <c r="AJ42" s="421"/>
      <c r="AK42" s="421"/>
      <c r="AL42" s="421"/>
      <c r="AM42" s="422"/>
      <c r="AN42" s="422"/>
      <c r="AO42" s="422"/>
      <c r="AP42" s="422"/>
      <c r="AQ42" s="422"/>
      <c r="AR42" s="422"/>
      <c r="AS42" s="422"/>
      <c r="AT42" s="422"/>
      <c r="AU42" s="422"/>
      <c r="AV42" s="422"/>
      <c r="AW42" s="422"/>
      <c r="AX42" s="422"/>
      <c r="AY42" s="422"/>
    </row>
    <row r="43" spans="1:51" x14ac:dyDescent="0.25">
      <c r="A43" s="3"/>
      <c r="B43" s="3"/>
      <c r="C43" s="3"/>
      <c r="D43" s="3"/>
      <c r="E43" s="3"/>
      <c r="F43" s="3"/>
      <c r="G43" s="3"/>
      <c r="H43" s="3"/>
      <c r="I43" s="3"/>
      <c r="J43" s="13"/>
      <c r="K43" s="13"/>
      <c r="L43" s="13"/>
      <c r="M43" s="13"/>
      <c r="N43" s="13"/>
      <c r="O43" s="13"/>
      <c r="P43" s="13"/>
      <c r="Q43" s="13"/>
      <c r="R43" s="13"/>
      <c r="S43" s="421"/>
      <c r="T43" s="421"/>
      <c r="U43" s="421"/>
      <c r="V43" s="421"/>
      <c r="W43" s="421"/>
      <c r="X43" s="421"/>
      <c r="Y43" s="421"/>
      <c r="Z43" s="421"/>
      <c r="AA43" s="421"/>
      <c r="AB43" s="421"/>
      <c r="AC43" s="421"/>
      <c r="AD43" s="421"/>
      <c r="AE43" s="421"/>
      <c r="AF43" s="421"/>
      <c r="AG43" s="421"/>
      <c r="AH43" s="421"/>
      <c r="AI43" s="421"/>
      <c r="AJ43" s="421"/>
      <c r="AK43" s="421"/>
      <c r="AL43" s="421"/>
      <c r="AM43" s="422"/>
      <c r="AN43" s="422"/>
      <c r="AO43" s="422"/>
      <c r="AP43" s="422"/>
      <c r="AQ43" s="422"/>
      <c r="AR43" s="422"/>
      <c r="AS43" s="422"/>
      <c r="AT43" s="422"/>
      <c r="AU43" s="422"/>
      <c r="AV43" s="422"/>
      <c r="AW43" s="422"/>
      <c r="AX43" s="422"/>
      <c r="AY43" s="422"/>
    </row>
    <row r="44" spans="1:51" x14ac:dyDescent="0.25">
      <c r="A44" s="3"/>
      <c r="B44" s="3"/>
      <c r="C44" s="3"/>
      <c r="D44" s="3"/>
      <c r="E44" s="3"/>
      <c r="F44" s="3"/>
      <c r="G44" s="3"/>
      <c r="H44" s="3"/>
      <c r="I44" s="3"/>
      <c r="J44" s="13"/>
      <c r="K44" s="13"/>
      <c r="L44" s="13"/>
      <c r="M44" s="13"/>
      <c r="N44" s="13"/>
      <c r="O44" s="13"/>
      <c r="P44" s="13"/>
      <c r="Q44" s="13"/>
      <c r="R44" s="13"/>
      <c r="S44" s="421"/>
      <c r="T44" s="421"/>
      <c r="U44" s="421"/>
      <c r="V44" s="421"/>
      <c r="W44" s="421"/>
      <c r="X44" s="421"/>
      <c r="Y44" s="421"/>
      <c r="Z44" s="421"/>
      <c r="AA44" s="421"/>
      <c r="AB44" s="421"/>
      <c r="AC44" s="421"/>
      <c r="AD44" s="421"/>
      <c r="AE44" s="421"/>
      <c r="AF44" s="421"/>
      <c r="AG44" s="421"/>
      <c r="AH44" s="421"/>
      <c r="AI44" s="421"/>
      <c r="AJ44" s="421"/>
      <c r="AK44" s="421"/>
      <c r="AL44" s="421"/>
      <c r="AM44" s="422"/>
      <c r="AN44" s="422"/>
      <c r="AO44" s="422"/>
      <c r="AP44" s="422"/>
      <c r="AQ44" s="422"/>
      <c r="AR44" s="422"/>
      <c r="AS44" s="422"/>
      <c r="AT44" s="422"/>
      <c r="AU44" s="422"/>
      <c r="AV44" s="422"/>
      <c r="AW44" s="422"/>
      <c r="AX44" s="422"/>
      <c r="AY44" s="422"/>
    </row>
    <row r="45" spans="1:51" x14ac:dyDescent="0.25">
      <c r="A45" s="3"/>
      <c r="B45" s="3"/>
      <c r="C45" s="3"/>
      <c r="D45" s="3"/>
      <c r="E45" s="3"/>
      <c r="F45" s="3"/>
      <c r="G45" s="3"/>
      <c r="H45" s="3"/>
      <c r="I45" s="3"/>
      <c r="J45" s="13"/>
      <c r="K45" s="13"/>
      <c r="L45" s="13"/>
      <c r="M45" s="13"/>
      <c r="N45" s="13"/>
      <c r="O45" s="13"/>
      <c r="P45" s="13"/>
      <c r="Q45" s="13"/>
      <c r="R45" s="13"/>
      <c r="S45" s="421"/>
      <c r="T45" s="421"/>
      <c r="U45" s="421"/>
      <c r="V45" s="421"/>
      <c r="W45" s="421"/>
      <c r="X45" s="421"/>
      <c r="Y45" s="421"/>
      <c r="Z45" s="421"/>
      <c r="AA45" s="421"/>
      <c r="AB45" s="421"/>
      <c r="AC45" s="421"/>
      <c r="AD45" s="421"/>
      <c r="AE45" s="421"/>
      <c r="AF45" s="421"/>
      <c r="AG45" s="421"/>
      <c r="AH45" s="421"/>
      <c r="AI45" s="421"/>
      <c r="AJ45" s="421"/>
      <c r="AK45" s="421"/>
      <c r="AL45" s="421"/>
      <c r="AM45" s="422"/>
      <c r="AN45" s="422"/>
      <c r="AO45" s="422"/>
      <c r="AP45" s="422"/>
      <c r="AQ45" s="422"/>
      <c r="AR45" s="422"/>
      <c r="AS45" s="422"/>
      <c r="AT45" s="422"/>
      <c r="AU45" s="422"/>
      <c r="AV45" s="422"/>
      <c r="AW45" s="422"/>
      <c r="AX45" s="422"/>
      <c r="AY45" s="422"/>
    </row>
    <row r="46" spans="1:51" x14ac:dyDescent="0.25">
      <c r="A46" s="3"/>
      <c r="B46" s="3"/>
      <c r="C46" s="3"/>
      <c r="D46" s="3"/>
      <c r="E46" s="3"/>
      <c r="F46" s="3"/>
      <c r="G46" s="3"/>
      <c r="H46" s="3"/>
      <c r="I46" s="3"/>
      <c r="J46" s="13"/>
      <c r="K46" s="13"/>
      <c r="L46" s="13"/>
      <c r="M46" s="13"/>
      <c r="N46" s="13"/>
      <c r="O46" s="13"/>
      <c r="P46" s="13"/>
      <c r="Q46" s="13"/>
      <c r="R46" s="13"/>
      <c r="S46" s="421"/>
      <c r="T46" s="421"/>
      <c r="U46" s="421"/>
      <c r="V46" s="421"/>
      <c r="W46" s="421"/>
      <c r="X46" s="421"/>
      <c r="Y46" s="421"/>
      <c r="Z46" s="421"/>
      <c r="AA46" s="421"/>
      <c r="AB46" s="421"/>
      <c r="AC46" s="421"/>
      <c r="AD46" s="421"/>
      <c r="AE46" s="421"/>
      <c r="AF46" s="421"/>
      <c r="AG46" s="421"/>
      <c r="AH46" s="421"/>
      <c r="AI46" s="421"/>
      <c r="AJ46" s="421"/>
      <c r="AK46" s="421"/>
      <c r="AL46" s="421"/>
      <c r="AM46" s="422"/>
      <c r="AN46" s="422"/>
      <c r="AO46" s="422"/>
      <c r="AP46" s="422"/>
      <c r="AQ46" s="422"/>
      <c r="AR46" s="422"/>
      <c r="AS46" s="422"/>
      <c r="AT46" s="422"/>
      <c r="AU46" s="422"/>
      <c r="AV46" s="422"/>
      <c r="AW46" s="422"/>
      <c r="AX46" s="422"/>
      <c r="AY46" s="422"/>
    </row>
    <row r="47" spans="1:51" x14ac:dyDescent="0.25">
      <c r="A47" s="3"/>
      <c r="B47" s="3"/>
      <c r="C47" s="3"/>
      <c r="D47" s="3"/>
      <c r="E47" s="3"/>
      <c r="F47" s="3"/>
      <c r="G47" s="3"/>
      <c r="H47" s="3"/>
      <c r="I47" s="3"/>
      <c r="J47" s="13"/>
      <c r="K47" s="13"/>
      <c r="L47" s="13"/>
      <c r="M47" s="13"/>
      <c r="N47" s="13"/>
      <c r="O47" s="13"/>
      <c r="P47" s="13"/>
      <c r="Q47" s="13"/>
      <c r="R47" s="13"/>
      <c r="S47" s="421"/>
      <c r="T47" s="421"/>
      <c r="U47" s="421"/>
      <c r="V47" s="421"/>
      <c r="W47" s="421"/>
      <c r="X47" s="421"/>
      <c r="Y47" s="421"/>
      <c r="Z47" s="421"/>
      <c r="AA47" s="421"/>
      <c r="AB47" s="421"/>
      <c r="AC47" s="421"/>
      <c r="AD47" s="421"/>
      <c r="AE47" s="421"/>
      <c r="AF47" s="421"/>
      <c r="AG47" s="421"/>
      <c r="AH47" s="421"/>
      <c r="AI47" s="421"/>
      <c r="AJ47" s="421"/>
      <c r="AK47" s="421"/>
      <c r="AL47" s="421"/>
      <c r="AM47" s="422"/>
      <c r="AN47" s="422"/>
      <c r="AO47" s="422"/>
      <c r="AP47" s="422"/>
      <c r="AQ47" s="422"/>
      <c r="AR47" s="422"/>
      <c r="AS47" s="422"/>
      <c r="AT47" s="422"/>
      <c r="AU47" s="422"/>
      <c r="AV47" s="422"/>
      <c r="AW47" s="422"/>
      <c r="AX47" s="422"/>
      <c r="AY47" s="422"/>
    </row>
    <row r="48" spans="1:51" x14ac:dyDescent="0.25">
      <c r="A48" s="3"/>
      <c r="B48" s="3"/>
      <c r="C48" s="3"/>
      <c r="D48" s="3"/>
      <c r="E48" s="3"/>
      <c r="F48" s="3"/>
      <c r="G48" s="3"/>
      <c r="H48" s="3"/>
      <c r="I48" s="3"/>
      <c r="J48" s="13"/>
      <c r="K48" s="13"/>
      <c r="L48" s="13"/>
      <c r="M48" s="13"/>
      <c r="N48" s="13"/>
      <c r="O48" s="13"/>
      <c r="P48" s="13"/>
      <c r="Q48" s="13"/>
      <c r="R48" s="13"/>
      <c r="S48" s="421"/>
      <c r="T48" s="421"/>
      <c r="U48" s="421"/>
      <c r="V48" s="421"/>
      <c r="W48" s="421"/>
      <c r="X48" s="421"/>
      <c r="Y48" s="421"/>
      <c r="Z48" s="421"/>
      <c r="AA48" s="421"/>
      <c r="AB48" s="421"/>
      <c r="AC48" s="421"/>
      <c r="AD48" s="421"/>
      <c r="AE48" s="421"/>
      <c r="AF48" s="421"/>
      <c r="AG48" s="421"/>
      <c r="AH48" s="421"/>
      <c r="AI48" s="421"/>
      <c r="AJ48" s="421"/>
      <c r="AK48" s="421"/>
      <c r="AL48" s="421"/>
      <c r="AM48" s="422"/>
      <c r="AN48" s="422"/>
      <c r="AO48" s="422"/>
      <c r="AP48" s="422"/>
      <c r="AQ48" s="422"/>
      <c r="AR48" s="422"/>
      <c r="AS48" s="422"/>
      <c r="AT48" s="422"/>
      <c r="AU48" s="422"/>
      <c r="AV48" s="422"/>
      <c r="AW48" s="422"/>
      <c r="AX48" s="422"/>
      <c r="AY48" s="422"/>
    </row>
    <row r="49" spans="1:51" x14ac:dyDescent="0.25">
      <c r="A49" s="3"/>
      <c r="B49" s="3"/>
      <c r="C49" s="3"/>
      <c r="D49" s="3"/>
      <c r="E49" s="3"/>
      <c r="F49" s="3"/>
      <c r="G49" s="3"/>
      <c r="H49" s="3"/>
      <c r="I49" s="3"/>
      <c r="J49" s="13"/>
      <c r="K49" s="13"/>
      <c r="L49" s="13"/>
      <c r="M49" s="13"/>
      <c r="N49" s="13"/>
      <c r="O49" s="13"/>
      <c r="P49" s="13"/>
      <c r="Q49" s="13"/>
      <c r="R49" s="13"/>
      <c r="S49" s="421"/>
      <c r="T49" s="421"/>
      <c r="U49" s="421"/>
      <c r="V49" s="421"/>
      <c r="W49" s="421"/>
      <c r="X49" s="421"/>
      <c r="Y49" s="421"/>
      <c r="Z49" s="421"/>
      <c r="AA49" s="421"/>
      <c r="AB49" s="421"/>
      <c r="AC49" s="421"/>
      <c r="AD49" s="421"/>
      <c r="AE49" s="421"/>
      <c r="AF49" s="421"/>
      <c r="AG49" s="421"/>
      <c r="AH49" s="421"/>
      <c r="AI49" s="421"/>
      <c r="AJ49" s="421"/>
      <c r="AK49" s="421"/>
      <c r="AL49" s="421"/>
      <c r="AM49" s="422"/>
      <c r="AN49" s="422"/>
      <c r="AO49" s="422"/>
      <c r="AP49" s="422"/>
      <c r="AQ49" s="422"/>
      <c r="AR49" s="422"/>
      <c r="AS49" s="422"/>
      <c r="AT49" s="422"/>
      <c r="AU49" s="422"/>
      <c r="AV49" s="422"/>
      <c r="AW49" s="422"/>
      <c r="AX49" s="422"/>
      <c r="AY49" s="422"/>
    </row>
    <row r="50" spans="1:51" x14ac:dyDescent="0.25">
      <c r="A50" s="3"/>
      <c r="B50" s="3"/>
      <c r="C50" s="3"/>
      <c r="D50" s="3"/>
      <c r="E50" s="3"/>
      <c r="F50" s="3"/>
      <c r="G50" s="3"/>
      <c r="H50" s="3"/>
      <c r="I50" s="3"/>
      <c r="J50" s="13"/>
      <c r="K50" s="13"/>
      <c r="L50" s="13"/>
      <c r="M50" s="13"/>
      <c r="N50" s="13"/>
      <c r="O50" s="13"/>
      <c r="P50" s="13"/>
      <c r="Q50" s="13"/>
      <c r="R50" s="13"/>
      <c r="S50" s="421"/>
      <c r="T50" s="421"/>
      <c r="U50" s="421"/>
      <c r="V50" s="421"/>
      <c r="W50" s="421"/>
      <c r="X50" s="421"/>
      <c r="Y50" s="421"/>
      <c r="Z50" s="421"/>
      <c r="AA50" s="421"/>
      <c r="AB50" s="421"/>
      <c r="AC50" s="421"/>
      <c r="AD50" s="421"/>
      <c r="AE50" s="421"/>
      <c r="AF50" s="421"/>
      <c r="AG50" s="421"/>
      <c r="AH50" s="421"/>
      <c r="AI50" s="421"/>
      <c r="AJ50" s="421"/>
      <c r="AK50" s="421"/>
      <c r="AL50" s="421"/>
      <c r="AM50" s="422"/>
      <c r="AN50" s="422"/>
      <c r="AO50" s="422"/>
      <c r="AP50" s="422"/>
      <c r="AQ50" s="422"/>
      <c r="AR50" s="422"/>
      <c r="AS50" s="422"/>
      <c r="AT50" s="422"/>
      <c r="AU50" s="422"/>
      <c r="AV50" s="422"/>
      <c r="AW50" s="422"/>
      <c r="AX50" s="422"/>
      <c r="AY50" s="422"/>
    </row>
    <row r="51" spans="1:51" x14ac:dyDescent="0.25">
      <c r="A51" s="3"/>
      <c r="B51" s="3"/>
      <c r="C51" s="3"/>
      <c r="D51" s="3"/>
      <c r="E51" s="3"/>
      <c r="F51" s="3"/>
      <c r="G51" s="3"/>
      <c r="H51" s="3"/>
      <c r="I51" s="3"/>
      <c r="J51" s="13"/>
      <c r="K51" s="13"/>
      <c r="L51" s="13"/>
      <c r="M51" s="13"/>
      <c r="N51" s="13"/>
      <c r="O51" s="13"/>
      <c r="P51" s="13"/>
      <c r="Q51" s="13"/>
      <c r="R51" s="13"/>
      <c r="S51" s="421"/>
      <c r="T51" s="421"/>
      <c r="U51" s="421"/>
      <c r="V51" s="421"/>
      <c r="W51" s="421"/>
      <c r="X51" s="421"/>
      <c r="Y51" s="421"/>
      <c r="Z51" s="421"/>
      <c r="AA51" s="421"/>
      <c r="AB51" s="421"/>
      <c r="AC51" s="421"/>
      <c r="AD51" s="421"/>
      <c r="AE51" s="421"/>
      <c r="AF51" s="421"/>
      <c r="AG51" s="421"/>
      <c r="AH51" s="421"/>
      <c r="AI51" s="421"/>
      <c r="AJ51" s="421"/>
      <c r="AK51" s="421"/>
      <c r="AL51" s="421"/>
      <c r="AM51" s="422"/>
      <c r="AN51" s="422"/>
      <c r="AO51" s="422"/>
      <c r="AP51" s="422"/>
      <c r="AQ51" s="422"/>
      <c r="AR51" s="422"/>
      <c r="AS51" s="422"/>
      <c r="AT51" s="422"/>
      <c r="AU51" s="422"/>
      <c r="AV51" s="422"/>
      <c r="AW51" s="422"/>
      <c r="AX51" s="422"/>
      <c r="AY51" s="422"/>
    </row>
    <row r="52" spans="1:51" x14ac:dyDescent="0.25">
      <c r="A52" s="3"/>
      <c r="B52" s="3"/>
      <c r="C52" s="3"/>
      <c r="D52" s="3"/>
      <c r="E52" s="3"/>
      <c r="F52" s="3"/>
      <c r="G52" s="3"/>
      <c r="H52" s="3"/>
      <c r="I52" s="3"/>
      <c r="J52" s="13"/>
      <c r="K52" s="13"/>
      <c r="L52" s="13"/>
      <c r="M52" s="13"/>
      <c r="N52" s="13"/>
      <c r="O52" s="13"/>
      <c r="P52" s="13"/>
      <c r="Q52" s="13"/>
      <c r="R52" s="13"/>
      <c r="S52" s="421"/>
      <c r="T52" s="421"/>
      <c r="U52" s="421"/>
      <c r="V52" s="421"/>
      <c r="W52" s="421"/>
      <c r="X52" s="421"/>
      <c r="Y52" s="421"/>
      <c r="Z52" s="421"/>
      <c r="AA52" s="421"/>
      <c r="AB52" s="421"/>
      <c r="AC52" s="421"/>
      <c r="AD52" s="421"/>
      <c r="AE52" s="421"/>
      <c r="AF52" s="421"/>
      <c r="AG52" s="421"/>
      <c r="AH52" s="421"/>
      <c r="AI52" s="421"/>
      <c r="AJ52" s="421"/>
      <c r="AK52" s="421"/>
      <c r="AL52" s="421"/>
      <c r="AM52" s="422"/>
      <c r="AN52" s="422"/>
      <c r="AO52" s="422"/>
      <c r="AP52" s="422"/>
      <c r="AQ52" s="422"/>
      <c r="AR52" s="422"/>
      <c r="AS52" s="422"/>
      <c r="AT52" s="422"/>
      <c r="AU52" s="422"/>
      <c r="AV52" s="422"/>
      <c r="AW52" s="422"/>
      <c r="AX52" s="422"/>
      <c r="AY52" s="422"/>
    </row>
    <row r="53" spans="1:51" x14ac:dyDescent="0.25">
      <c r="A53" s="3"/>
      <c r="B53" s="3"/>
      <c r="C53" s="3"/>
      <c r="D53" s="3"/>
      <c r="E53" s="3"/>
      <c r="F53" s="3"/>
      <c r="G53" s="3"/>
      <c r="H53" s="3"/>
      <c r="I53" s="3"/>
      <c r="J53" s="13"/>
      <c r="K53" s="13"/>
      <c r="L53" s="13"/>
      <c r="M53" s="13"/>
      <c r="N53" s="13"/>
      <c r="O53" s="13"/>
      <c r="P53" s="13"/>
      <c r="Q53" s="13"/>
      <c r="R53" s="13"/>
      <c r="S53" s="421"/>
      <c r="T53" s="421"/>
      <c r="U53" s="421"/>
      <c r="V53" s="421"/>
      <c r="W53" s="421"/>
      <c r="X53" s="421"/>
      <c r="Y53" s="421"/>
      <c r="Z53" s="421"/>
      <c r="AA53" s="421"/>
      <c r="AB53" s="421"/>
      <c r="AC53" s="421"/>
      <c r="AD53" s="421"/>
      <c r="AE53" s="421"/>
      <c r="AF53" s="421"/>
      <c r="AG53" s="421"/>
      <c r="AH53" s="421"/>
      <c r="AI53" s="421"/>
      <c r="AJ53" s="421"/>
      <c r="AK53" s="421"/>
      <c r="AL53" s="421"/>
      <c r="AM53" s="422"/>
      <c r="AN53" s="422"/>
      <c r="AO53" s="422"/>
      <c r="AP53" s="422"/>
      <c r="AQ53" s="422"/>
      <c r="AR53" s="422"/>
      <c r="AS53" s="422"/>
      <c r="AT53" s="422"/>
      <c r="AU53" s="422"/>
      <c r="AV53" s="422"/>
      <c r="AW53" s="422"/>
      <c r="AX53" s="422"/>
      <c r="AY53" s="422"/>
    </row>
    <row r="54" spans="1:51" x14ac:dyDescent="0.25">
      <c r="A54" s="3"/>
      <c r="B54" s="3"/>
      <c r="C54" s="3"/>
      <c r="D54" s="3"/>
      <c r="E54" s="3"/>
      <c r="F54" s="3"/>
      <c r="G54" s="3"/>
      <c r="H54" s="3"/>
      <c r="I54" s="3"/>
      <c r="J54" s="13"/>
      <c r="K54" s="13"/>
      <c r="L54" s="13"/>
      <c r="M54" s="13"/>
      <c r="N54" s="13"/>
      <c r="O54" s="13"/>
      <c r="P54" s="13"/>
      <c r="Q54" s="13"/>
      <c r="R54" s="13"/>
      <c r="S54" s="421"/>
      <c r="T54" s="421"/>
      <c r="U54" s="421"/>
      <c r="V54" s="421"/>
      <c r="W54" s="421"/>
      <c r="X54" s="421"/>
      <c r="Y54" s="421"/>
      <c r="Z54" s="421"/>
      <c r="AA54" s="421"/>
      <c r="AB54" s="421"/>
      <c r="AC54" s="421"/>
      <c r="AD54" s="421"/>
      <c r="AE54" s="421"/>
      <c r="AF54" s="421"/>
      <c r="AG54" s="421"/>
      <c r="AH54" s="421"/>
      <c r="AI54" s="421"/>
      <c r="AJ54" s="421"/>
      <c r="AK54" s="421"/>
      <c r="AL54" s="421"/>
      <c r="AM54" s="422"/>
      <c r="AN54" s="422"/>
      <c r="AO54" s="422"/>
      <c r="AP54" s="422"/>
      <c r="AQ54" s="422"/>
      <c r="AR54" s="422"/>
      <c r="AS54" s="422"/>
      <c r="AT54" s="422"/>
      <c r="AU54" s="422"/>
      <c r="AV54" s="422"/>
      <c r="AW54" s="422"/>
      <c r="AX54" s="422"/>
      <c r="AY54" s="422"/>
    </row>
    <row r="55" spans="1:51" x14ac:dyDescent="0.25">
      <c r="A55" s="3"/>
      <c r="B55" s="3"/>
      <c r="C55" s="3"/>
      <c r="D55" s="3"/>
      <c r="E55" s="3"/>
      <c r="F55" s="3"/>
      <c r="G55" s="3"/>
      <c r="H55" s="3"/>
      <c r="I55" s="3"/>
      <c r="J55" s="13"/>
      <c r="K55" s="13"/>
      <c r="L55" s="13"/>
      <c r="M55" s="13"/>
      <c r="N55" s="13"/>
      <c r="O55" s="13"/>
      <c r="P55" s="13"/>
      <c r="Q55" s="13"/>
      <c r="R55" s="13"/>
      <c r="S55" s="421"/>
      <c r="T55" s="421"/>
      <c r="U55" s="421"/>
      <c r="V55" s="421"/>
      <c r="W55" s="421"/>
      <c r="X55" s="421"/>
      <c r="Y55" s="421"/>
      <c r="Z55" s="421"/>
      <c r="AA55" s="421"/>
      <c r="AB55" s="421"/>
      <c r="AC55" s="421"/>
      <c r="AD55" s="421"/>
      <c r="AE55" s="421"/>
      <c r="AF55" s="421"/>
      <c r="AG55" s="421"/>
      <c r="AH55" s="421"/>
      <c r="AI55" s="421"/>
      <c r="AJ55" s="421"/>
      <c r="AK55" s="421"/>
      <c r="AL55" s="421"/>
      <c r="AM55" s="422"/>
      <c r="AN55" s="422"/>
      <c r="AO55" s="422"/>
      <c r="AP55" s="422"/>
      <c r="AQ55" s="422"/>
      <c r="AR55" s="422"/>
      <c r="AS55" s="422"/>
      <c r="AT55" s="422"/>
      <c r="AU55" s="422"/>
      <c r="AV55" s="422"/>
      <c r="AW55" s="422"/>
      <c r="AX55" s="422"/>
      <c r="AY55" s="422"/>
    </row>
    <row r="56" spans="1:51" x14ac:dyDescent="0.25">
      <c r="A56" s="3"/>
      <c r="B56" s="3"/>
      <c r="C56" s="3"/>
      <c r="D56" s="3"/>
      <c r="E56" s="3"/>
      <c r="F56" s="3"/>
      <c r="G56" s="3"/>
      <c r="H56" s="3"/>
      <c r="I56" s="3"/>
      <c r="J56" s="13"/>
      <c r="K56" s="13"/>
      <c r="L56" s="13"/>
      <c r="M56" s="13"/>
      <c r="N56" s="13"/>
      <c r="O56" s="13"/>
      <c r="P56" s="13"/>
      <c r="Q56" s="13"/>
      <c r="R56" s="13"/>
      <c r="S56" s="421"/>
      <c r="T56" s="421"/>
      <c r="U56" s="421"/>
      <c r="V56" s="421"/>
      <c r="W56" s="421"/>
      <c r="X56" s="421"/>
      <c r="Y56" s="421"/>
      <c r="Z56" s="421"/>
      <c r="AA56" s="421"/>
      <c r="AB56" s="421"/>
      <c r="AC56" s="421"/>
      <c r="AD56" s="421"/>
      <c r="AE56" s="421"/>
      <c r="AF56" s="421"/>
      <c r="AG56" s="421"/>
      <c r="AH56" s="421"/>
      <c r="AI56" s="421"/>
      <c r="AJ56" s="421"/>
      <c r="AK56" s="421"/>
      <c r="AL56" s="421"/>
      <c r="AM56" s="422"/>
      <c r="AN56" s="422"/>
      <c r="AO56" s="422"/>
      <c r="AP56" s="422"/>
      <c r="AQ56" s="422"/>
      <c r="AR56" s="422"/>
      <c r="AS56" s="422"/>
      <c r="AT56" s="422"/>
      <c r="AU56" s="422"/>
      <c r="AV56" s="422"/>
      <c r="AW56" s="422"/>
      <c r="AX56" s="422"/>
      <c r="AY56" s="422"/>
    </row>
    <row r="57" spans="1:51" x14ac:dyDescent="0.25">
      <c r="A57" s="3"/>
      <c r="B57" s="3"/>
      <c r="C57" s="3"/>
      <c r="D57" s="3"/>
      <c r="E57" s="3"/>
      <c r="F57" s="3"/>
      <c r="G57" s="3"/>
      <c r="H57" s="3"/>
      <c r="I57" s="3"/>
      <c r="J57" s="13"/>
      <c r="K57" s="13"/>
      <c r="L57" s="13"/>
      <c r="M57" s="13"/>
      <c r="N57" s="13"/>
      <c r="O57" s="13"/>
      <c r="P57" s="13"/>
      <c r="Q57" s="13"/>
      <c r="R57" s="13"/>
      <c r="S57" s="421"/>
      <c r="T57" s="421"/>
      <c r="U57" s="421"/>
      <c r="V57" s="421"/>
      <c r="W57" s="421"/>
      <c r="X57" s="421"/>
      <c r="Y57" s="421"/>
      <c r="Z57" s="421"/>
      <c r="AA57" s="421"/>
      <c r="AB57" s="421"/>
      <c r="AC57" s="421"/>
      <c r="AD57" s="421"/>
      <c r="AE57" s="421"/>
      <c r="AF57" s="421"/>
      <c r="AG57" s="421"/>
      <c r="AH57" s="421"/>
      <c r="AI57" s="421"/>
      <c r="AJ57" s="421"/>
      <c r="AK57" s="421"/>
      <c r="AL57" s="421"/>
      <c r="AM57" s="422"/>
      <c r="AN57" s="422"/>
      <c r="AO57" s="422"/>
      <c r="AP57" s="422"/>
      <c r="AQ57" s="422"/>
      <c r="AR57" s="422"/>
      <c r="AS57" s="422"/>
      <c r="AT57" s="422"/>
      <c r="AU57" s="422"/>
      <c r="AV57" s="422"/>
      <c r="AW57" s="422"/>
      <c r="AX57" s="422"/>
      <c r="AY57" s="422"/>
    </row>
    <row r="58" spans="1:51" x14ac:dyDescent="0.25">
      <c r="A58" s="3"/>
      <c r="B58" s="3"/>
      <c r="C58" s="3"/>
      <c r="D58" s="3"/>
      <c r="E58" s="3"/>
      <c r="F58" s="3"/>
      <c r="G58" s="3"/>
      <c r="H58" s="3"/>
      <c r="I58" s="3"/>
      <c r="J58" s="13"/>
      <c r="K58" s="13"/>
      <c r="L58" s="13"/>
      <c r="M58" s="13"/>
      <c r="N58" s="13"/>
      <c r="O58" s="13"/>
      <c r="P58" s="13"/>
      <c r="Q58" s="13"/>
      <c r="R58" s="13"/>
      <c r="S58" s="421"/>
      <c r="T58" s="421"/>
      <c r="U58" s="421"/>
      <c r="V58" s="421"/>
      <c r="W58" s="421"/>
      <c r="X58" s="421"/>
      <c r="Y58" s="421"/>
      <c r="Z58" s="421"/>
      <c r="AA58" s="421"/>
      <c r="AB58" s="421"/>
      <c r="AC58" s="421"/>
      <c r="AD58" s="421"/>
      <c r="AE58" s="421"/>
      <c r="AF58" s="421"/>
      <c r="AG58" s="421"/>
      <c r="AH58" s="421"/>
      <c r="AI58" s="421"/>
      <c r="AJ58" s="421"/>
      <c r="AK58" s="421"/>
      <c r="AL58" s="421"/>
      <c r="AM58" s="422"/>
      <c r="AN58" s="422"/>
      <c r="AO58" s="422"/>
      <c r="AP58" s="422"/>
      <c r="AQ58" s="422"/>
      <c r="AR58" s="422"/>
      <c r="AS58" s="422"/>
      <c r="AT58" s="422"/>
      <c r="AU58" s="422"/>
      <c r="AV58" s="422"/>
      <c r="AW58" s="422"/>
      <c r="AX58" s="422"/>
      <c r="AY58" s="422"/>
    </row>
    <row r="59" spans="1:51" x14ac:dyDescent="0.25">
      <c r="A59" s="3"/>
      <c r="B59" s="3"/>
      <c r="C59" s="3"/>
      <c r="D59" s="3"/>
      <c r="E59" s="3"/>
      <c r="F59" s="3"/>
      <c r="G59" s="3"/>
      <c r="H59" s="3"/>
      <c r="I59" s="3"/>
      <c r="J59" s="13"/>
      <c r="K59" s="13"/>
      <c r="L59" s="13"/>
      <c r="M59" s="13"/>
      <c r="N59" s="13"/>
      <c r="O59" s="13"/>
      <c r="P59" s="13"/>
      <c r="Q59" s="13"/>
      <c r="R59" s="13"/>
      <c r="S59" s="421"/>
      <c r="T59" s="421"/>
      <c r="U59" s="421"/>
      <c r="V59" s="421"/>
      <c r="W59" s="421"/>
      <c r="X59" s="421"/>
      <c r="Y59" s="421"/>
      <c r="Z59" s="421"/>
      <c r="AA59" s="421"/>
      <c r="AB59" s="421"/>
      <c r="AC59" s="421"/>
      <c r="AD59" s="421"/>
      <c r="AE59" s="421"/>
      <c r="AF59" s="421"/>
      <c r="AG59" s="421"/>
      <c r="AH59" s="421"/>
      <c r="AI59" s="421"/>
      <c r="AJ59" s="421"/>
      <c r="AK59" s="421"/>
      <c r="AL59" s="421"/>
      <c r="AM59" s="422"/>
      <c r="AN59" s="422"/>
      <c r="AO59" s="422"/>
      <c r="AP59" s="422"/>
      <c r="AQ59" s="422"/>
      <c r="AR59" s="422"/>
      <c r="AS59" s="422"/>
      <c r="AT59" s="422"/>
      <c r="AU59" s="422"/>
      <c r="AV59" s="422"/>
      <c r="AW59" s="422"/>
      <c r="AX59" s="422"/>
      <c r="AY59" s="422"/>
    </row>
    <row r="60" spans="1:51" x14ac:dyDescent="0.25">
      <c r="A60" s="3"/>
      <c r="B60" s="3"/>
      <c r="C60" s="3"/>
      <c r="D60" s="3"/>
      <c r="E60" s="3"/>
      <c r="F60" s="3"/>
      <c r="G60" s="3"/>
      <c r="H60" s="3"/>
      <c r="I60" s="3"/>
      <c r="J60" s="13"/>
      <c r="K60" s="13"/>
      <c r="L60" s="13"/>
      <c r="M60" s="13"/>
      <c r="N60" s="13"/>
      <c r="O60" s="13"/>
      <c r="P60" s="13"/>
      <c r="Q60" s="13"/>
      <c r="R60" s="13"/>
      <c r="S60" s="421"/>
      <c r="T60" s="421"/>
      <c r="U60" s="421"/>
      <c r="V60" s="421"/>
      <c r="W60" s="421"/>
      <c r="X60" s="421"/>
      <c r="Y60" s="421"/>
      <c r="Z60" s="421"/>
      <c r="AA60" s="421"/>
      <c r="AB60" s="421"/>
      <c r="AC60" s="421"/>
      <c r="AD60" s="421"/>
      <c r="AE60" s="421"/>
      <c r="AF60" s="421"/>
      <c r="AG60" s="421"/>
      <c r="AH60" s="421"/>
      <c r="AI60" s="421"/>
      <c r="AJ60" s="421"/>
      <c r="AK60" s="421"/>
      <c r="AL60" s="421"/>
      <c r="AM60" s="422"/>
      <c r="AN60" s="422"/>
      <c r="AO60" s="422"/>
      <c r="AP60" s="422"/>
      <c r="AQ60" s="422"/>
      <c r="AR60" s="422"/>
      <c r="AS60" s="422"/>
      <c r="AT60" s="422"/>
      <c r="AU60" s="422"/>
      <c r="AV60" s="422"/>
      <c r="AW60" s="422"/>
      <c r="AX60" s="422"/>
      <c r="AY60" s="422"/>
    </row>
    <row r="61" spans="1:51" x14ac:dyDescent="0.25">
      <c r="A61" s="3"/>
      <c r="B61" s="3"/>
      <c r="C61" s="3"/>
      <c r="D61" s="3"/>
      <c r="E61" s="3"/>
      <c r="F61" s="3"/>
      <c r="G61" s="3"/>
      <c r="H61" s="3"/>
      <c r="I61" s="3"/>
      <c r="J61" s="13"/>
      <c r="K61" s="13"/>
      <c r="L61" s="13"/>
      <c r="M61" s="13"/>
      <c r="N61" s="13"/>
      <c r="O61" s="13"/>
      <c r="P61" s="13"/>
      <c r="Q61" s="13"/>
      <c r="R61" s="13"/>
      <c r="S61" s="421"/>
      <c r="T61" s="421"/>
      <c r="U61" s="421"/>
      <c r="V61" s="421"/>
      <c r="W61" s="421"/>
      <c r="X61" s="421"/>
      <c r="Y61" s="421"/>
      <c r="Z61" s="421"/>
      <c r="AA61" s="421"/>
      <c r="AB61" s="421"/>
      <c r="AC61" s="421"/>
      <c r="AD61" s="421"/>
      <c r="AE61" s="421"/>
      <c r="AF61" s="421"/>
      <c r="AG61" s="421"/>
      <c r="AH61" s="421"/>
      <c r="AI61" s="421"/>
      <c r="AJ61" s="421"/>
      <c r="AK61" s="421"/>
      <c r="AL61" s="421"/>
      <c r="AM61" s="422"/>
      <c r="AN61" s="422"/>
      <c r="AO61" s="422"/>
      <c r="AP61" s="422"/>
      <c r="AQ61" s="422"/>
      <c r="AR61" s="422"/>
      <c r="AS61" s="422"/>
      <c r="AT61" s="422"/>
      <c r="AU61" s="422"/>
      <c r="AV61" s="422"/>
      <c r="AW61" s="422"/>
      <c r="AX61" s="422"/>
      <c r="AY61" s="422"/>
    </row>
    <row r="62" spans="1:51" x14ac:dyDescent="0.25">
      <c r="A62" s="3"/>
      <c r="B62" s="3"/>
      <c r="C62" s="3"/>
      <c r="D62" s="3"/>
      <c r="E62" s="3"/>
      <c r="F62" s="3"/>
      <c r="G62" s="3"/>
      <c r="H62" s="3"/>
      <c r="I62" s="3"/>
      <c r="J62" s="13"/>
      <c r="K62" s="13"/>
      <c r="L62" s="13"/>
      <c r="M62" s="13"/>
      <c r="N62" s="13"/>
      <c r="O62" s="13"/>
      <c r="P62" s="13"/>
      <c r="Q62" s="13"/>
      <c r="R62" s="13"/>
      <c r="S62" s="421"/>
      <c r="T62" s="421"/>
      <c r="U62" s="421"/>
      <c r="V62" s="421"/>
      <c r="W62" s="421"/>
      <c r="X62" s="421"/>
      <c r="Y62" s="421"/>
      <c r="Z62" s="421"/>
      <c r="AA62" s="421"/>
      <c r="AB62" s="421"/>
      <c r="AC62" s="421"/>
      <c r="AD62" s="421"/>
      <c r="AE62" s="421"/>
      <c r="AF62" s="421"/>
      <c r="AG62" s="421"/>
      <c r="AH62" s="421"/>
      <c r="AI62" s="421"/>
      <c r="AJ62" s="421"/>
      <c r="AK62" s="421"/>
      <c r="AL62" s="421"/>
      <c r="AM62" s="422"/>
      <c r="AN62" s="422"/>
      <c r="AO62" s="422"/>
      <c r="AP62" s="422"/>
      <c r="AQ62" s="422"/>
      <c r="AR62" s="422"/>
      <c r="AS62" s="422"/>
      <c r="AT62" s="422"/>
      <c r="AU62" s="422"/>
      <c r="AV62" s="422"/>
      <c r="AW62" s="422"/>
      <c r="AX62" s="422"/>
      <c r="AY62" s="422"/>
    </row>
    <row r="63" spans="1:51" x14ac:dyDescent="0.25">
      <c r="A63" s="3"/>
      <c r="B63" s="3"/>
      <c r="C63" s="3"/>
      <c r="D63" s="3"/>
      <c r="E63" s="3"/>
      <c r="F63" s="3"/>
      <c r="G63" s="3"/>
      <c r="H63" s="3"/>
      <c r="I63" s="3"/>
      <c r="J63" s="13"/>
      <c r="K63" s="13"/>
      <c r="L63" s="13"/>
      <c r="M63" s="13"/>
      <c r="N63" s="13"/>
      <c r="O63" s="13"/>
      <c r="P63" s="13"/>
      <c r="Q63" s="13"/>
      <c r="R63" s="13"/>
      <c r="S63" s="421"/>
      <c r="T63" s="421"/>
      <c r="U63" s="421"/>
      <c r="V63" s="421"/>
      <c r="W63" s="421"/>
      <c r="X63" s="421"/>
      <c r="Y63" s="421"/>
      <c r="Z63" s="421"/>
      <c r="AA63" s="421"/>
      <c r="AB63" s="421"/>
      <c r="AC63" s="421"/>
      <c r="AD63" s="421"/>
      <c r="AE63" s="421"/>
      <c r="AF63" s="421"/>
      <c r="AG63" s="421"/>
      <c r="AH63" s="421"/>
      <c r="AI63" s="421"/>
      <c r="AJ63" s="421"/>
      <c r="AK63" s="421"/>
      <c r="AL63" s="421"/>
      <c r="AM63" s="422"/>
      <c r="AN63" s="422"/>
      <c r="AO63" s="422"/>
      <c r="AP63" s="422"/>
      <c r="AQ63" s="422"/>
      <c r="AR63" s="422"/>
      <c r="AS63" s="422"/>
      <c r="AT63" s="422"/>
      <c r="AU63" s="422"/>
      <c r="AV63" s="422"/>
      <c r="AW63" s="422"/>
      <c r="AX63" s="422"/>
      <c r="AY63" s="422"/>
    </row>
    <row r="64" spans="1:51" x14ac:dyDescent="0.25">
      <c r="A64" s="3"/>
      <c r="B64" s="3"/>
      <c r="C64" s="3"/>
      <c r="D64" s="3"/>
      <c r="E64" s="3"/>
      <c r="F64" s="3"/>
      <c r="G64" s="3"/>
      <c r="H64" s="3"/>
      <c r="I64" s="3"/>
      <c r="J64" s="13"/>
      <c r="K64" s="13"/>
      <c r="L64" s="13"/>
      <c r="M64" s="13"/>
      <c r="N64" s="13"/>
      <c r="O64" s="13"/>
      <c r="P64" s="13"/>
      <c r="Q64" s="13"/>
      <c r="R64" s="13"/>
      <c r="S64" s="421"/>
      <c r="T64" s="421"/>
      <c r="U64" s="421"/>
      <c r="V64" s="421"/>
      <c r="W64" s="421"/>
      <c r="X64" s="421"/>
      <c r="Y64" s="421"/>
      <c r="Z64" s="421"/>
      <c r="AA64" s="421"/>
      <c r="AB64" s="421"/>
      <c r="AC64" s="421"/>
      <c r="AD64" s="421"/>
      <c r="AE64" s="421"/>
      <c r="AF64" s="421"/>
      <c r="AG64" s="421"/>
      <c r="AH64" s="421"/>
      <c r="AI64" s="421"/>
      <c r="AJ64" s="421"/>
      <c r="AK64" s="421"/>
      <c r="AL64" s="421"/>
      <c r="AM64" s="422"/>
      <c r="AN64" s="422"/>
      <c r="AO64" s="422"/>
      <c r="AP64" s="422"/>
      <c r="AQ64" s="422"/>
      <c r="AR64" s="422"/>
      <c r="AS64" s="422"/>
      <c r="AT64" s="422"/>
      <c r="AU64" s="422"/>
      <c r="AV64" s="422"/>
      <c r="AW64" s="422"/>
      <c r="AX64" s="422"/>
      <c r="AY64" s="422"/>
    </row>
    <row r="65" spans="1:51" x14ac:dyDescent="0.25">
      <c r="A65" s="3"/>
      <c r="B65" s="3"/>
      <c r="C65" s="3"/>
      <c r="D65" s="3"/>
      <c r="E65" s="3"/>
      <c r="F65" s="3"/>
      <c r="G65" s="3"/>
      <c r="H65" s="3"/>
      <c r="I65" s="3"/>
      <c r="J65" s="13"/>
      <c r="K65" s="13"/>
      <c r="L65" s="13"/>
      <c r="M65" s="13"/>
      <c r="N65" s="13"/>
      <c r="O65" s="13"/>
      <c r="P65" s="13"/>
      <c r="Q65" s="13"/>
      <c r="R65" s="13"/>
      <c r="S65" s="421"/>
      <c r="T65" s="421"/>
      <c r="U65" s="421"/>
      <c r="V65" s="421"/>
      <c r="W65" s="421"/>
      <c r="X65" s="421"/>
      <c r="Y65" s="421"/>
      <c r="Z65" s="421"/>
      <c r="AA65" s="421"/>
      <c r="AB65" s="421"/>
      <c r="AC65" s="421"/>
      <c r="AD65" s="421"/>
      <c r="AE65" s="421"/>
      <c r="AF65" s="421"/>
      <c r="AG65" s="421"/>
      <c r="AH65" s="421"/>
      <c r="AI65" s="421"/>
      <c r="AJ65" s="421"/>
      <c r="AK65" s="421"/>
      <c r="AL65" s="421"/>
      <c r="AM65" s="422"/>
      <c r="AN65" s="422"/>
      <c r="AO65" s="422"/>
      <c r="AP65" s="422"/>
      <c r="AQ65" s="422"/>
      <c r="AR65" s="422"/>
      <c r="AS65" s="422"/>
      <c r="AT65" s="422"/>
      <c r="AU65" s="422"/>
      <c r="AV65" s="422"/>
      <c r="AW65" s="422"/>
      <c r="AX65" s="422"/>
      <c r="AY65" s="422"/>
    </row>
    <row r="66" spans="1:51" x14ac:dyDescent="0.25">
      <c r="A66" s="3"/>
      <c r="B66" s="3"/>
      <c r="C66" s="3"/>
      <c r="D66" s="3"/>
      <c r="E66" s="3"/>
      <c r="F66" s="3"/>
      <c r="G66" s="3"/>
      <c r="H66" s="3"/>
      <c r="I66" s="3"/>
      <c r="J66" s="13"/>
      <c r="K66" s="13"/>
      <c r="L66" s="13"/>
      <c r="M66" s="13"/>
      <c r="N66" s="13"/>
      <c r="O66" s="13"/>
      <c r="P66" s="13"/>
      <c r="Q66" s="13"/>
      <c r="R66" s="13"/>
      <c r="S66" s="421"/>
      <c r="T66" s="421"/>
      <c r="U66" s="421"/>
      <c r="V66" s="421"/>
      <c r="W66" s="421"/>
      <c r="X66" s="421"/>
      <c r="Y66" s="421"/>
      <c r="Z66" s="421"/>
      <c r="AA66" s="421"/>
      <c r="AB66" s="421"/>
      <c r="AC66" s="421"/>
      <c r="AD66" s="421"/>
      <c r="AE66" s="421"/>
      <c r="AF66" s="421"/>
      <c r="AG66" s="421"/>
      <c r="AH66" s="421"/>
      <c r="AI66" s="421"/>
      <c r="AJ66" s="421"/>
      <c r="AK66" s="421"/>
      <c r="AL66" s="421"/>
      <c r="AM66" s="422"/>
      <c r="AN66" s="422"/>
      <c r="AO66" s="422"/>
      <c r="AP66" s="422"/>
      <c r="AQ66" s="422"/>
      <c r="AR66" s="422"/>
      <c r="AS66" s="422"/>
      <c r="AT66" s="422"/>
      <c r="AU66" s="422"/>
      <c r="AV66" s="422"/>
      <c r="AW66" s="422"/>
      <c r="AX66" s="422"/>
      <c r="AY66" s="422"/>
    </row>
    <row r="67" spans="1:51" x14ac:dyDescent="0.25">
      <c r="A67" s="3"/>
      <c r="B67" s="3"/>
      <c r="C67" s="3"/>
      <c r="D67" s="3"/>
      <c r="E67" s="3"/>
      <c r="F67" s="3"/>
      <c r="G67" s="3"/>
      <c r="H67" s="3"/>
      <c r="I67" s="3"/>
      <c r="J67" s="13"/>
      <c r="K67" s="13"/>
      <c r="L67" s="13"/>
      <c r="M67" s="13"/>
      <c r="N67" s="13"/>
      <c r="O67" s="13"/>
      <c r="P67" s="13"/>
      <c r="Q67" s="13"/>
      <c r="R67" s="13"/>
      <c r="S67" s="421"/>
      <c r="T67" s="421"/>
      <c r="U67" s="421"/>
      <c r="V67" s="421"/>
      <c r="W67" s="421"/>
      <c r="X67" s="421"/>
      <c r="Y67" s="421"/>
      <c r="Z67" s="421"/>
      <c r="AA67" s="421"/>
      <c r="AB67" s="421"/>
      <c r="AC67" s="421"/>
      <c r="AD67" s="421"/>
      <c r="AE67" s="421"/>
      <c r="AF67" s="421"/>
      <c r="AG67" s="421"/>
      <c r="AH67" s="421"/>
      <c r="AI67" s="421"/>
      <c r="AJ67" s="421"/>
      <c r="AK67" s="421"/>
      <c r="AL67" s="421"/>
      <c r="AM67" s="422"/>
      <c r="AN67" s="422"/>
      <c r="AO67" s="422"/>
      <c r="AP67" s="422"/>
      <c r="AQ67" s="422"/>
      <c r="AR67" s="422"/>
      <c r="AS67" s="422"/>
      <c r="AT67" s="422"/>
      <c r="AU67" s="422"/>
      <c r="AV67" s="422"/>
      <c r="AW67" s="422"/>
      <c r="AX67" s="422"/>
      <c r="AY67" s="422"/>
    </row>
    <row r="68" spans="1:51" x14ac:dyDescent="0.25">
      <c r="A68" s="3"/>
      <c r="B68" s="3"/>
      <c r="C68" s="3"/>
      <c r="D68" s="3"/>
      <c r="E68" s="3"/>
      <c r="F68" s="3"/>
      <c r="G68" s="3"/>
      <c r="H68" s="3"/>
      <c r="I68" s="3"/>
      <c r="J68" s="13"/>
      <c r="K68" s="13"/>
      <c r="L68" s="13"/>
      <c r="M68" s="13"/>
      <c r="N68" s="13"/>
      <c r="O68" s="13"/>
      <c r="P68" s="13"/>
      <c r="Q68" s="13"/>
      <c r="R68" s="13"/>
      <c r="S68" s="421"/>
      <c r="T68" s="421"/>
      <c r="U68" s="421"/>
      <c r="V68" s="421"/>
      <c r="W68" s="421"/>
      <c r="X68" s="421"/>
      <c r="Y68" s="421"/>
      <c r="Z68" s="421"/>
      <c r="AA68" s="421"/>
      <c r="AB68" s="421"/>
      <c r="AC68" s="421"/>
      <c r="AD68" s="421"/>
      <c r="AE68" s="421"/>
      <c r="AF68" s="421"/>
      <c r="AG68" s="421"/>
      <c r="AH68" s="421"/>
      <c r="AI68" s="421"/>
      <c r="AJ68" s="421"/>
      <c r="AK68" s="421"/>
      <c r="AL68" s="421"/>
      <c r="AM68" s="422"/>
      <c r="AN68" s="422"/>
      <c r="AO68" s="422"/>
      <c r="AP68" s="422"/>
      <c r="AQ68" s="422"/>
      <c r="AR68" s="422"/>
      <c r="AS68" s="422"/>
      <c r="AT68" s="422"/>
      <c r="AU68" s="422"/>
      <c r="AV68" s="422"/>
      <c r="AW68" s="422"/>
      <c r="AX68" s="422"/>
      <c r="AY68" s="422"/>
    </row>
    <row r="69" spans="1:51" x14ac:dyDescent="0.25">
      <c r="A69" s="3"/>
      <c r="B69" s="3"/>
      <c r="C69" s="3"/>
      <c r="D69" s="3"/>
      <c r="E69" s="3"/>
      <c r="F69" s="3"/>
      <c r="G69" s="3"/>
      <c r="H69" s="3"/>
      <c r="I69" s="3"/>
      <c r="J69" s="13"/>
      <c r="K69" s="13"/>
      <c r="L69" s="13"/>
      <c r="M69" s="13"/>
      <c r="N69" s="13"/>
      <c r="O69" s="13"/>
      <c r="P69" s="13"/>
      <c r="Q69" s="13"/>
      <c r="R69" s="13"/>
      <c r="S69" s="421"/>
      <c r="T69" s="421"/>
      <c r="U69" s="421"/>
      <c r="V69" s="421"/>
      <c r="W69" s="421"/>
      <c r="X69" s="421"/>
      <c r="Y69" s="421"/>
      <c r="Z69" s="421"/>
      <c r="AA69" s="421"/>
      <c r="AB69" s="421"/>
      <c r="AC69" s="421"/>
      <c r="AD69" s="421"/>
      <c r="AE69" s="421"/>
      <c r="AF69" s="421"/>
      <c r="AG69" s="421"/>
      <c r="AH69" s="421"/>
      <c r="AI69" s="421"/>
      <c r="AJ69" s="421"/>
      <c r="AK69" s="421"/>
      <c r="AL69" s="421"/>
      <c r="AM69" s="422"/>
      <c r="AN69" s="422"/>
      <c r="AO69" s="422"/>
      <c r="AP69" s="422"/>
      <c r="AQ69" s="422"/>
      <c r="AR69" s="422"/>
      <c r="AS69" s="422"/>
      <c r="AT69" s="422"/>
      <c r="AU69" s="422"/>
      <c r="AV69" s="422"/>
      <c r="AW69" s="422"/>
      <c r="AX69" s="422"/>
      <c r="AY69" s="422"/>
    </row>
    <row r="70" spans="1:51" x14ac:dyDescent="0.25">
      <c r="A70" s="3"/>
      <c r="B70" s="3"/>
      <c r="C70" s="3"/>
      <c r="D70" s="3"/>
      <c r="E70" s="3"/>
      <c r="F70" s="3"/>
      <c r="G70" s="3"/>
      <c r="H70" s="3"/>
      <c r="I70" s="3"/>
      <c r="J70" s="13"/>
      <c r="K70" s="13"/>
      <c r="L70" s="13"/>
      <c r="M70" s="13"/>
      <c r="N70" s="13"/>
      <c r="O70" s="13"/>
      <c r="P70" s="13"/>
      <c r="Q70" s="13"/>
      <c r="R70" s="13"/>
      <c r="S70" s="421"/>
      <c r="T70" s="421"/>
      <c r="U70" s="421"/>
      <c r="V70" s="421"/>
      <c r="W70" s="421"/>
      <c r="X70" s="421"/>
      <c r="Y70" s="421"/>
      <c r="Z70" s="421"/>
      <c r="AA70" s="421"/>
      <c r="AB70" s="421"/>
      <c r="AC70" s="421"/>
      <c r="AD70" s="421"/>
      <c r="AE70" s="421"/>
      <c r="AF70" s="421"/>
      <c r="AG70" s="421"/>
      <c r="AH70" s="421"/>
      <c r="AI70" s="421"/>
      <c r="AJ70" s="421"/>
      <c r="AK70" s="421"/>
      <c r="AL70" s="421"/>
      <c r="AM70" s="422"/>
      <c r="AN70" s="422"/>
      <c r="AO70" s="422"/>
      <c r="AP70" s="422"/>
      <c r="AQ70" s="422"/>
      <c r="AR70" s="422"/>
      <c r="AS70" s="422"/>
      <c r="AT70" s="422"/>
      <c r="AU70" s="422"/>
      <c r="AV70" s="422"/>
      <c r="AW70" s="422"/>
      <c r="AX70" s="422"/>
      <c r="AY70" s="422"/>
    </row>
    <row r="71" spans="1:51" x14ac:dyDescent="0.25">
      <c r="A71" s="3"/>
      <c r="B71" s="3"/>
      <c r="C71" s="3"/>
      <c r="D71" s="3"/>
      <c r="E71" s="3"/>
      <c r="F71" s="3"/>
      <c r="G71" s="3"/>
      <c r="H71" s="3"/>
      <c r="I71" s="3"/>
      <c r="J71" s="13"/>
      <c r="K71" s="13"/>
      <c r="L71" s="13"/>
      <c r="M71" s="13"/>
      <c r="N71" s="13"/>
      <c r="O71" s="13"/>
      <c r="P71" s="13"/>
      <c r="Q71" s="13"/>
      <c r="R71" s="13"/>
      <c r="S71" s="421"/>
      <c r="T71" s="421"/>
      <c r="U71" s="421"/>
      <c r="V71" s="421"/>
      <c r="W71" s="421"/>
      <c r="X71" s="421"/>
      <c r="Y71" s="421"/>
      <c r="Z71" s="421"/>
      <c r="AA71" s="421"/>
      <c r="AB71" s="421"/>
      <c r="AC71" s="421"/>
      <c r="AD71" s="421"/>
      <c r="AE71" s="421"/>
      <c r="AF71" s="421"/>
      <c r="AG71" s="421"/>
      <c r="AH71" s="421"/>
      <c r="AI71" s="421"/>
      <c r="AJ71" s="421"/>
      <c r="AK71" s="421"/>
      <c r="AL71" s="421"/>
      <c r="AM71" s="422"/>
      <c r="AN71" s="422"/>
      <c r="AO71" s="422"/>
      <c r="AP71" s="422"/>
      <c r="AQ71" s="422"/>
      <c r="AR71" s="422"/>
      <c r="AS71" s="422"/>
      <c r="AT71" s="422"/>
      <c r="AU71" s="422"/>
      <c r="AV71" s="422"/>
      <c r="AW71" s="422"/>
      <c r="AX71" s="422"/>
      <c r="AY71" s="422"/>
    </row>
    <row r="72" spans="1:51" x14ac:dyDescent="0.25">
      <c r="A72" s="3"/>
      <c r="B72" s="3"/>
      <c r="C72" s="3"/>
      <c r="D72" s="3"/>
      <c r="E72" s="3"/>
      <c r="F72" s="3"/>
      <c r="G72" s="3"/>
      <c r="H72" s="3"/>
      <c r="I72" s="3"/>
      <c r="J72" s="13"/>
      <c r="K72" s="13"/>
      <c r="L72" s="13"/>
      <c r="M72" s="13"/>
      <c r="N72" s="13"/>
      <c r="O72" s="13"/>
      <c r="P72" s="13"/>
      <c r="Q72" s="13"/>
      <c r="R72" s="13"/>
      <c r="S72" s="421"/>
      <c r="T72" s="421"/>
      <c r="U72" s="421"/>
      <c r="V72" s="421"/>
      <c r="W72" s="421"/>
      <c r="X72" s="421"/>
      <c r="Y72" s="421"/>
      <c r="Z72" s="421"/>
      <c r="AA72" s="421"/>
      <c r="AB72" s="421"/>
      <c r="AC72" s="421"/>
      <c r="AD72" s="421"/>
      <c r="AE72" s="421"/>
      <c r="AF72" s="421"/>
      <c r="AG72" s="421"/>
      <c r="AH72" s="421"/>
      <c r="AI72" s="421"/>
      <c r="AJ72" s="421"/>
      <c r="AK72" s="421"/>
      <c r="AL72" s="421"/>
      <c r="AM72" s="422"/>
      <c r="AN72" s="422"/>
      <c r="AO72" s="422"/>
      <c r="AP72" s="422"/>
      <c r="AQ72" s="422"/>
      <c r="AR72" s="422"/>
      <c r="AS72" s="422"/>
      <c r="AT72" s="422"/>
      <c r="AU72" s="422"/>
      <c r="AV72" s="422"/>
      <c r="AW72" s="422"/>
      <c r="AX72" s="422"/>
      <c r="AY72" s="422"/>
    </row>
    <row r="73" spans="1:51" x14ac:dyDescent="0.25">
      <c r="A73" s="3"/>
      <c r="B73" s="3"/>
      <c r="C73" s="3"/>
      <c r="D73" s="3"/>
      <c r="E73" s="3"/>
      <c r="F73" s="3"/>
      <c r="G73" s="3"/>
      <c r="H73" s="3"/>
      <c r="I73" s="3"/>
      <c r="J73" s="13"/>
      <c r="K73" s="13"/>
      <c r="L73" s="13"/>
      <c r="M73" s="13"/>
      <c r="N73" s="13"/>
      <c r="O73" s="13"/>
      <c r="P73" s="13"/>
      <c r="Q73" s="13"/>
      <c r="R73" s="13"/>
      <c r="S73" s="421"/>
      <c r="T73" s="421"/>
      <c r="U73" s="421"/>
      <c r="V73" s="421"/>
      <c r="W73" s="421"/>
      <c r="X73" s="421"/>
      <c r="Y73" s="421"/>
      <c r="Z73" s="421"/>
      <c r="AA73" s="421"/>
      <c r="AB73" s="421"/>
      <c r="AC73" s="421"/>
      <c r="AD73" s="421"/>
      <c r="AE73" s="421"/>
      <c r="AF73" s="421"/>
      <c r="AG73" s="421"/>
      <c r="AH73" s="421"/>
      <c r="AI73" s="421"/>
      <c r="AJ73" s="421"/>
      <c r="AK73" s="421"/>
      <c r="AL73" s="421"/>
      <c r="AM73" s="422"/>
      <c r="AN73" s="422"/>
      <c r="AO73" s="422"/>
      <c r="AP73" s="422"/>
      <c r="AQ73" s="422"/>
      <c r="AR73" s="422"/>
      <c r="AS73" s="422"/>
      <c r="AT73" s="422"/>
      <c r="AU73" s="422"/>
      <c r="AV73" s="422"/>
      <c r="AW73" s="422"/>
      <c r="AX73" s="422"/>
      <c r="AY73" s="422"/>
    </row>
    <row r="74" spans="1:51" x14ac:dyDescent="0.25">
      <c r="A74" s="3"/>
      <c r="B74" s="3"/>
      <c r="C74" s="3"/>
      <c r="D74" s="3"/>
      <c r="E74" s="3"/>
      <c r="F74" s="3"/>
      <c r="G74" s="3"/>
      <c r="H74" s="3"/>
      <c r="I74" s="3"/>
      <c r="J74" s="13"/>
      <c r="K74" s="13"/>
      <c r="L74" s="13"/>
      <c r="M74" s="13"/>
      <c r="N74" s="13"/>
      <c r="O74" s="13"/>
      <c r="P74" s="13"/>
      <c r="Q74" s="13"/>
      <c r="R74" s="13"/>
      <c r="S74" s="421"/>
      <c r="T74" s="421"/>
      <c r="U74" s="421"/>
      <c r="V74" s="421"/>
      <c r="W74" s="421"/>
      <c r="X74" s="421"/>
      <c r="Y74" s="421"/>
      <c r="Z74" s="421"/>
      <c r="AA74" s="421"/>
      <c r="AB74" s="421"/>
      <c r="AC74" s="421"/>
      <c r="AD74" s="421"/>
      <c r="AE74" s="421"/>
      <c r="AF74" s="421"/>
      <c r="AG74" s="421"/>
      <c r="AH74" s="421"/>
      <c r="AI74" s="421"/>
      <c r="AJ74" s="421"/>
      <c r="AK74" s="421"/>
      <c r="AL74" s="421"/>
      <c r="AM74" s="422"/>
      <c r="AN74" s="422"/>
      <c r="AO74" s="422"/>
      <c r="AP74" s="422"/>
      <c r="AQ74" s="422"/>
      <c r="AR74" s="422"/>
      <c r="AS74" s="422"/>
      <c r="AT74" s="422"/>
      <c r="AU74" s="422"/>
      <c r="AV74" s="422"/>
      <c r="AW74" s="422"/>
      <c r="AX74" s="422"/>
      <c r="AY74" s="422"/>
    </row>
    <row r="75" spans="1:51" x14ac:dyDescent="0.25">
      <c r="A75" s="3"/>
      <c r="B75" s="3"/>
      <c r="C75" s="3"/>
      <c r="D75" s="3"/>
      <c r="E75" s="3"/>
      <c r="F75" s="3"/>
      <c r="G75" s="3"/>
      <c r="H75" s="3"/>
      <c r="I75" s="3"/>
      <c r="J75" s="13"/>
      <c r="K75" s="13"/>
      <c r="L75" s="13"/>
      <c r="M75" s="13"/>
      <c r="N75" s="13"/>
      <c r="O75" s="13"/>
      <c r="P75" s="13"/>
      <c r="Q75" s="13"/>
      <c r="R75" s="13"/>
      <c r="S75" s="421"/>
      <c r="T75" s="421"/>
      <c r="U75" s="421"/>
      <c r="V75" s="421"/>
      <c r="W75" s="421"/>
      <c r="X75" s="421"/>
      <c r="Y75" s="421"/>
      <c r="Z75" s="421"/>
      <c r="AA75" s="421"/>
      <c r="AB75" s="421"/>
      <c r="AC75" s="421"/>
      <c r="AD75" s="421"/>
      <c r="AE75" s="421"/>
      <c r="AF75" s="421"/>
      <c r="AG75" s="421"/>
      <c r="AH75" s="421"/>
      <c r="AI75" s="421"/>
      <c r="AJ75" s="421"/>
      <c r="AK75" s="421"/>
      <c r="AL75" s="421"/>
      <c r="AM75" s="422"/>
      <c r="AN75" s="422"/>
      <c r="AO75" s="422"/>
      <c r="AP75" s="422"/>
      <c r="AQ75" s="422"/>
      <c r="AR75" s="422"/>
      <c r="AS75" s="422"/>
      <c r="AT75" s="422"/>
      <c r="AU75" s="422"/>
      <c r="AV75" s="422"/>
      <c r="AW75" s="422"/>
      <c r="AX75" s="422"/>
      <c r="AY75" s="422"/>
    </row>
    <row r="76" spans="1:51" x14ac:dyDescent="0.25">
      <c r="A76" s="3"/>
      <c r="B76" s="3"/>
      <c r="C76" s="3"/>
      <c r="D76" s="3"/>
      <c r="E76" s="3"/>
      <c r="F76" s="3"/>
      <c r="G76" s="3"/>
      <c r="H76" s="3"/>
      <c r="I76" s="3"/>
      <c r="J76" s="13"/>
      <c r="K76" s="13"/>
      <c r="L76" s="13"/>
      <c r="M76" s="13"/>
      <c r="N76" s="13"/>
      <c r="O76" s="13"/>
      <c r="P76" s="13"/>
      <c r="Q76" s="13"/>
      <c r="R76" s="13"/>
      <c r="S76" s="421"/>
      <c r="T76" s="421"/>
      <c r="U76" s="421"/>
      <c r="V76" s="421"/>
      <c r="W76" s="421"/>
      <c r="X76" s="421"/>
      <c r="Y76" s="421"/>
      <c r="Z76" s="421"/>
      <c r="AA76" s="421"/>
      <c r="AB76" s="421"/>
      <c r="AC76" s="421"/>
      <c r="AD76" s="421"/>
      <c r="AE76" s="421"/>
      <c r="AF76" s="421"/>
      <c r="AG76" s="421"/>
      <c r="AH76" s="421"/>
      <c r="AI76" s="421"/>
      <c r="AJ76" s="421"/>
      <c r="AK76" s="421"/>
      <c r="AL76" s="421"/>
      <c r="AM76" s="422"/>
      <c r="AN76" s="422"/>
      <c r="AO76" s="422"/>
      <c r="AP76" s="422"/>
      <c r="AQ76" s="422"/>
      <c r="AR76" s="422"/>
      <c r="AS76" s="422"/>
      <c r="AT76" s="422"/>
      <c r="AU76" s="422"/>
      <c r="AV76" s="422"/>
      <c r="AW76" s="422"/>
      <c r="AX76" s="422"/>
      <c r="AY76" s="422"/>
    </row>
    <row r="77" spans="1:51" x14ac:dyDescent="0.25">
      <c r="A77" s="3"/>
      <c r="B77" s="3"/>
      <c r="C77" s="3"/>
      <c r="D77" s="3"/>
      <c r="E77" s="3"/>
      <c r="F77" s="3"/>
      <c r="G77" s="3"/>
      <c r="H77" s="3"/>
      <c r="I77" s="3"/>
      <c r="J77" s="13"/>
      <c r="K77" s="13"/>
      <c r="L77" s="13"/>
      <c r="M77" s="13"/>
      <c r="N77" s="13"/>
      <c r="O77" s="13"/>
      <c r="P77" s="13"/>
      <c r="Q77" s="13"/>
      <c r="R77" s="13"/>
      <c r="S77" s="421"/>
      <c r="T77" s="421"/>
      <c r="U77" s="421"/>
      <c r="V77" s="421"/>
      <c r="W77" s="421"/>
      <c r="X77" s="421"/>
      <c r="Y77" s="421"/>
      <c r="Z77" s="421"/>
      <c r="AA77" s="421"/>
      <c r="AB77" s="421"/>
      <c r="AC77" s="421"/>
      <c r="AD77" s="421"/>
      <c r="AE77" s="421"/>
      <c r="AF77" s="421"/>
      <c r="AG77" s="421"/>
      <c r="AH77" s="421"/>
      <c r="AI77" s="421"/>
      <c r="AJ77" s="421"/>
      <c r="AK77" s="421"/>
      <c r="AL77" s="421"/>
      <c r="AM77" s="422"/>
      <c r="AN77" s="422"/>
      <c r="AO77" s="422"/>
      <c r="AP77" s="422"/>
      <c r="AQ77" s="422"/>
      <c r="AR77" s="422"/>
      <c r="AS77" s="422"/>
      <c r="AT77" s="422"/>
      <c r="AU77" s="422"/>
      <c r="AV77" s="422"/>
      <c r="AW77" s="422"/>
      <c r="AX77" s="422"/>
      <c r="AY77" s="422"/>
    </row>
    <row r="78" spans="1:51" x14ac:dyDescent="0.25">
      <c r="A78" s="3"/>
      <c r="B78" s="3"/>
      <c r="C78" s="3"/>
      <c r="D78" s="3"/>
      <c r="E78" s="3"/>
      <c r="F78" s="3"/>
      <c r="G78" s="3"/>
      <c r="H78" s="3"/>
      <c r="I78" s="3"/>
      <c r="J78" s="13"/>
      <c r="K78" s="13"/>
      <c r="L78" s="13"/>
      <c r="M78" s="13"/>
      <c r="N78" s="13"/>
      <c r="O78" s="13"/>
      <c r="P78" s="13"/>
      <c r="Q78" s="13"/>
      <c r="R78" s="13"/>
      <c r="S78" s="421"/>
      <c r="T78" s="421"/>
      <c r="U78" s="421"/>
      <c r="V78" s="421"/>
      <c r="W78" s="421"/>
      <c r="X78" s="421"/>
      <c r="Y78" s="421"/>
      <c r="Z78" s="421"/>
      <c r="AA78" s="421"/>
      <c r="AB78" s="421"/>
      <c r="AC78" s="421"/>
      <c r="AD78" s="421"/>
      <c r="AE78" s="421"/>
      <c r="AF78" s="421"/>
      <c r="AG78" s="421"/>
      <c r="AH78" s="421"/>
      <c r="AI78" s="421"/>
      <c r="AJ78" s="421"/>
      <c r="AK78" s="421"/>
      <c r="AL78" s="421"/>
      <c r="AM78" s="422"/>
      <c r="AN78" s="422"/>
      <c r="AO78" s="422"/>
      <c r="AP78" s="422"/>
      <c r="AQ78" s="422"/>
      <c r="AR78" s="422"/>
      <c r="AS78" s="422"/>
      <c r="AT78" s="422"/>
      <c r="AU78" s="422"/>
      <c r="AV78" s="422"/>
      <c r="AW78" s="422"/>
      <c r="AX78" s="422"/>
      <c r="AY78" s="422"/>
    </row>
    <row r="79" spans="1:51" x14ac:dyDescent="0.25">
      <c r="A79" s="3"/>
      <c r="B79" s="3"/>
      <c r="C79" s="3"/>
      <c r="D79" s="3"/>
      <c r="E79" s="3"/>
      <c r="F79" s="3"/>
      <c r="G79" s="3"/>
      <c r="H79" s="3"/>
      <c r="I79" s="3"/>
      <c r="J79" s="13"/>
      <c r="K79" s="13"/>
      <c r="L79" s="13"/>
      <c r="M79" s="13"/>
      <c r="N79" s="13"/>
      <c r="O79" s="13"/>
      <c r="P79" s="13"/>
      <c r="Q79" s="13"/>
      <c r="R79" s="13"/>
      <c r="S79" s="421"/>
      <c r="T79" s="421"/>
      <c r="U79" s="421"/>
      <c r="V79" s="421"/>
      <c r="W79" s="421"/>
      <c r="X79" s="421"/>
      <c r="Y79" s="421"/>
      <c r="Z79" s="421"/>
      <c r="AA79" s="421"/>
      <c r="AB79" s="421"/>
      <c r="AC79" s="421"/>
      <c r="AD79" s="421"/>
      <c r="AE79" s="421"/>
      <c r="AF79" s="421"/>
      <c r="AG79" s="421"/>
      <c r="AH79" s="421"/>
      <c r="AI79" s="421"/>
      <c r="AJ79" s="421"/>
      <c r="AK79" s="421"/>
      <c r="AL79" s="421"/>
      <c r="AM79" s="422"/>
      <c r="AN79" s="422"/>
      <c r="AO79" s="422"/>
      <c r="AP79" s="422"/>
      <c r="AQ79" s="422"/>
      <c r="AR79" s="422"/>
      <c r="AS79" s="422"/>
      <c r="AT79" s="422"/>
      <c r="AU79" s="422"/>
      <c r="AV79" s="422"/>
      <c r="AW79" s="422"/>
      <c r="AX79" s="422"/>
      <c r="AY79" s="422"/>
    </row>
    <row r="80" spans="1:51" x14ac:dyDescent="0.25">
      <c r="A80" s="3"/>
      <c r="B80" s="3"/>
      <c r="C80" s="3"/>
      <c r="D80" s="3"/>
      <c r="E80" s="3"/>
      <c r="F80" s="3"/>
      <c r="G80" s="3"/>
      <c r="H80" s="3"/>
      <c r="I80" s="3"/>
      <c r="J80" s="13"/>
      <c r="K80" s="13"/>
      <c r="L80" s="13"/>
      <c r="M80" s="13"/>
      <c r="N80" s="13"/>
      <c r="O80" s="13"/>
      <c r="P80" s="13"/>
      <c r="Q80" s="13"/>
      <c r="R80" s="13"/>
      <c r="S80" s="421"/>
      <c r="T80" s="421"/>
      <c r="U80" s="421"/>
      <c r="V80" s="421"/>
      <c r="W80" s="421"/>
      <c r="X80" s="421"/>
      <c r="Y80" s="421"/>
      <c r="Z80" s="421"/>
      <c r="AA80" s="421"/>
      <c r="AB80" s="421"/>
      <c r="AC80" s="421"/>
      <c r="AD80" s="421"/>
      <c r="AE80" s="421"/>
      <c r="AF80" s="421"/>
      <c r="AG80" s="421"/>
      <c r="AH80" s="421"/>
      <c r="AI80" s="421"/>
      <c r="AJ80" s="421"/>
      <c r="AK80" s="421"/>
      <c r="AL80" s="421"/>
      <c r="AM80" s="422"/>
      <c r="AN80" s="422"/>
      <c r="AO80" s="422"/>
      <c r="AP80" s="422"/>
      <c r="AQ80" s="422"/>
      <c r="AR80" s="422"/>
      <c r="AS80" s="422"/>
      <c r="AT80" s="422"/>
      <c r="AU80" s="422"/>
      <c r="AV80" s="422"/>
      <c r="AW80" s="422"/>
      <c r="AX80" s="422"/>
      <c r="AY80" s="422"/>
    </row>
    <row r="81" spans="1:51" x14ac:dyDescent="0.25">
      <c r="A81" s="3"/>
      <c r="B81" s="3"/>
      <c r="C81" s="3"/>
      <c r="D81" s="3"/>
      <c r="E81" s="3"/>
      <c r="F81" s="3"/>
      <c r="G81" s="3"/>
      <c r="H81" s="3"/>
      <c r="I81" s="3"/>
      <c r="J81" s="13"/>
      <c r="K81" s="13"/>
      <c r="L81" s="13"/>
      <c r="M81" s="13"/>
      <c r="N81" s="13"/>
      <c r="O81" s="13"/>
      <c r="P81" s="13"/>
      <c r="Q81" s="13"/>
      <c r="R81" s="13"/>
      <c r="S81" s="421"/>
      <c r="T81" s="421"/>
      <c r="U81" s="421"/>
      <c r="V81" s="421"/>
      <c r="W81" s="421"/>
      <c r="X81" s="421"/>
      <c r="Y81" s="421"/>
      <c r="Z81" s="421"/>
      <c r="AA81" s="421"/>
      <c r="AB81" s="421"/>
      <c r="AC81" s="421"/>
      <c r="AD81" s="421"/>
      <c r="AE81" s="421"/>
      <c r="AF81" s="421"/>
      <c r="AG81" s="421"/>
      <c r="AH81" s="421"/>
      <c r="AI81" s="421"/>
      <c r="AJ81" s="421"/>
      <c r="AK81" s="421"/>
      <c r="AL81" s="421"/>
      <c r="AM81" s="422"/>
      <c r="AN81" s="422"/>
      <c r="AO81" s="422"/>
      <c r="AP81" s="422"/>
      <c r="AQ81" s="422"/>
      <c r="AR81" s="422"/>
      <c r="AS81" s="422"/>
      <c r="AT81" s="422"/>
      <c r="AU81" s="422"/>
      <c r="AV81" s="422"/>
      <c r="AW81" s="422"/>
      <c r="AX81" s="422"/>
      <c r="AY81" s="422"/>
    </row>
    <row r="82" spans="1:51" x14ac:dyDescent="0.25">
      <c r="A82" s="3"/>
      <c r="B82" s="3"/>
      <c r="C82" s="3"/>
      <c r="D82" s="3"/>
      <c r="E82" s="3"/>
      <c r="F82" s="3"/>
      <c r="G82" s="3"/>
      <c r="H82" s="3"/>
      <c r="I82" s="3"/>
      <c r="J82" s="13"/>
      <c r="K82" s="13"/>
      <c r="L82" s="13"/>
      <c r="M82" s="13"/>
      <c r="N82" s="13"/>
      <c r="O82" s="13"/>
      <c r="P82" s="13"/>
      <c r="Q82" s="13"/>
      <c r="R82" s="13"/>
      <c r="S82" s="421"/>
      <c r="T82" s="421"/>
      <c r="U82" s="421"/>
      <c r="V82" s="421"/>
      <c r="W82" s="421"/>
      <c r="X82" s="421"/>
      <c r="Y82" s="421"/>
      <c r="Z82" s="421"/>
      <c r="AA82" s="421"/>
      <c r="AB82" s="421"/>
      <c r="AC82" s="421"/>
      <c r="AD82" s="421"/>
      <c r="AE82" s="421"/>
      <c r="AF82" s="421"/>
      <c r="AG82" s="421"/>
      <c r="AH82" s="421"/>
      <c r="AI82" s="421"/>
      <c r="AJ82" s="421"/>
      <c r="AK82" s="421"/>
      <c r="AL82" s="421"/>
      <c r="AM82" s="422"/>
      <c r="AN82" s="422"/>
      <c r="AO82" s="422"/>
      <c r="AP82" s="422"/>
      <c r="AQ82" s="422"/>
      <c r="AR82" s="422"/>
      <c r="AS82" s="422"/>
      <c r="AT82" s="422"/>
      <c r="AU82" s="422"/>
      <c r="AV82" s="422"/>
      <c r="AW82" s="422"/>
      <c r="AX82" s="422"/>
      <c r="AY82" s="422"/>
    </row>
    <row r="83" spans="1:51" x14ac:dyDescent="0.25">
      <c r="A83" s="3"/>
      <c r="B83" s="3"/>
      <c r="C83" s="3"/>
      <c r="D83" s="3"/>
      <c r="E83" s="3"/>
      <c r="F83" s="3"/>
      <c r="G83" s="3"/>
      <c r="H83" s="3"/>
      <c r="I83" s="3"/>
      <c r="J83" s="13"/>
      <c r="K83" s="13"/>
      <c r="L83" s="13"/>
      <c r="M83" s="13"/>
      <c r="N83" s="13"/>
      <c r="O83" s="13"/>
      <c r="P83" s="13"/>
      <c r="Q83" s="13"/>
      <c r="R83" s="13"/>
      <c r="S83" s="421"/>
      <c r="T83" s="421"/>
      <c r="U83" s="421"/>
      <c r="V83" s="421"/>
      <c r="W83" s="421"/>
      <c r="X83" s="421"/>
      <c r="Y83" s="421"/>
      <c r="Z83" s="421"/>
      <c r="AA83" s="421"/>
      <c r="AB83" s="421"/>
      <c r="AC83" s="421"/>
      <c r="AD83" s="421"/>
      <c r="AE83" s="421"/>
      <c r="AF83" s="421"/>
      <c r="AG83" s="421"/>
      <c r="AH83" s="421"/>
      <c r="AI83" s="421"/>
      <c r="AJ83" s="421"/>
      <c r="AK83" s="421"/>
      <c r="AL83" s="421"/>
      <c r="AM83" s="422"/>
      <c r="AN83" s="422"/>
      <c r="AO83" s="422"/>
      <c r="AP83" s="422"/>
      <c r="AQ83" s="422"/>
      <c r="AR83" s="422"/>
      <c r="AS83" s="422"/>
      <c r="AT83" s="422"/>
      <c r="AU83" s="422"/>
      <c r="AV83" s="422"/>
      <c r="AW83" s="422"/>
      <c r="AX83" s="422"/>
      <c r="AY83" s="422"/>
    </row>
    <row r="84" spans="1:51" x14ac:dyDescent="0.25">
      <c r="A84" s="3"/>
      <c r="B84" s="3"/>
      <c r="C84" s="3"/>
      <c r="D84" s="3"/>
      <c r="E84" s="3"/>
      <c r="F84" s="3"/>
      <c r="G84" s="3"/>
      <c r="H84" s="3"/>
      <c r="I84" s="3"/>
      <c r="J84" s="13"/>
      <c r="K84" s="13"/>
      <c r="L84" s="13"/>
      <c r="M84" s="13"/>
      <c r="N84" s="13"/>
      <c r="O84" s="13"/>
      <c r="P84" s="13"/>
      <c r="Q84" s="13"/>
      <c r="R84" s="13"/>
      <c r="S84" s="421"/>
      <c r="T84" s="421"/>
      <c r="U84" s="421"/>
      <c r="V84" s="421"/>
      <c r="W84" s="421"/>
      <c r="X84" s="421"/>
      <c r="Y84" s="421"/>
      <c r="Z84" s="421"/>
      <c r="AA84" s="421"/>
      <c r="AB84" s="421"/>
      <c r="AC84" s="421"/>
      <c r="AD84" s="421"/>
      <c r="AE84" s="421"/>
      <c r="AF84" s="421"/>
      <c r="AG84" s="421"/>
      <c r="AH84" s="421"/>
      <c r="AI84" s="421"/>
      <c r="AJ84" s="421"/>
      <c r="AK84" s="421"/>
      <c r="AL84" s="421"/>
      <c r="AM84" s="422"/>
      <c r="AN84" s="422"/>
      <c r="AO84" s="422"/>
      <c r="AP84" s="422"/>
      <c r="AQ84" s="422"/>
      <c r="AR84" s="422"/>
      <c r="AS84" s="422"/>
      <c r="AT84" s="422"/>
      <c r="AU84" s="422"/>
      <c r="AV84" s="422"/>
      <c r="AW84" s="422"/>
      <c r="AX84" s="422"/>
      <c r="AY84" s="422"/>
    </row>
    <row r="85" spans="1:51" x14ac:dyDescent="0.25">
      <c r="A85" s="3"/>
      <c r="B85" s="3"/>
      <c r="C85" s="3"/>
      <c r="D85" s="3"/>
      <c r="E85" s="3"/>
      <c r="F85" s="3"/>
      <c r="G85" s="3"/>
      <c r="H85" s="3"/>
      <c r="I85" s="3"/>
      <c r="J85" s="13"/>
      <c r="K85" s="13"/>
      <c r="L85" s="13"/>
      <c r="M85" s="13"/>
      <c r="N85" s="13"/>
      <c r="O85" s="13"/>
      <c r="P85" s="13"/>
      <c r="Q85" s="13"/>
      <c r="R85" s="13"/>
      <c r="S85" s="421"/>
      <c r="T85" s="421"/>
      <c r="U85" s="421"/>
      <c r="V85" s="421"/>
      <c r="W85" s="421"/>
      <c r="X85" s="421"/>
      <c r="Y85" s="421"/>
      <c r="Z85" s="421"/>
      <c r="AA85" s="421"/>
      <c r="AB85" s="421"/>
      <c r="AC85" s="421"/>
      <c r="AD85" s="421"/>
      <c r="AE85" s="421"/>
      <c r="AF85" s="421"/>
      <c r="AG85" s="421"/>
      <c r="AH85" s="421"/>
      <c r="AI85" s="421"/>
      <c r="AJ85" s="421"/>
      <c r="AK85" s="421"/>
      <c r="AL85" s="421"/>
      <c r="AM85" s="422"/>
      <c r="AN85" s="422"/>
      <c r="AO85" s="422"/>
      <c r="AP85" s="422"/>
      <c r="AQ85" s="422"/>
      <c r="AR85" s="422"/>
      <c r="AS85" s="422"/>
      <c r="AT85" s="422"/>
      <c r="AU85" s="422"/>
      <c r="AV85" s="422"/>
      <c r="AW85" s="422"/>
      <c r="AX85" s="422"/>
      <c r="AY85" s="422"/>
    </row>
    <row r="86" spans="1:51" x14ac:dyDescent="0.25">
      <c r="A86" s="3"/>
      <c r="B86" s="3"/>
      <c r="C86" s="3"/>
      <c r="D86" s="3"/>
      <c r="E86" s="3"/>
      <c r="F86" s="3"/>
      <c r="G86" s="3"/>
      <c r="H86" s="3"/>
      <c r="I86" s="3"/>
      <c r="J86" s="13"/>
      <c r="K86" s="13"/>
      <c r="L86" s="13"/>
      <c r="M86" s="13"/>
      <c r="N86" s="13"/>
      <c r="O86" s="13"/>
      <c r="P86" s="13"/>
      <c r="Q86" s="13"/>
      <c r="R86" s="13"/>
      <c r="S86" s="421"/>
      <c r="T86" s="421"/>
      <c r="U86" s="421"/>
      <c r="V86" s="421"/>
      <c r="W86" s="421"/>
      <c r="X86" s="421"/>
      <c r="Y86" s="421"/>
      <c r="Z86" s="421"/>
      <c r="AA86" s="421"/>
      <c r="AB86" s="421"/>
      <c r="AC86" s="421"/>
      <c r="AD86" s="421"/>
      <c r="AE86" s="421"/>
      <c r="AF86" s="421"/>
      <c r="AG86" s="421"/>
      <c r="AH86" s="421"/>
      <c r="AI86" s="421"/>
      <c r="AJ86" s="421"/>
      <c r="AK86" s="421"/>
      <c r="AL86" s="421"/>
      <c r="AM86" s="422"/>
      <c r="AN86" s="422"/>
      <c r="AO86" s="422"/>
      <c r="AP86" s="422"/>
      <c r="AQ86" s="422"/>
      <c r="AR86" s="422"/>
      <c r="AS86" s="422"/>
      <c r="AT86" s="422"/>
      <c r="AU86" s="422"/>
      <c r="AV86" s="422"/>
      <c r="AW86" s="422"/>
      <c r="AX86" s="422"/>
      <c r="AY86" s="422"/>
    </row>
    <row r="87" spans="1:51" x14ac:dyDescent="0.25">
      <c r="A87" s="3"/>
      <c r="B87" s="3"/>
      <c r="C87" s="3"/>
      <c r="D87" s="3"/>
      <c r="E87" s="3"/>
      <c r="F87" s="3"/>
      <c r="G87" s="3"/>
      <c r="H87" s="3"/>
      <c r="I87" s="3"/>
      <c r="J87" s="13"/>
      <c r="K87" s="13"/>
      <c r="L87" s="13"/>
      <c r="M87" s="13"/>
      <c r="N87" s="13"/>
      <c r="O87" s="13"/>
      <c r="P87" s="13"/>
      <c r="Q87" s="13"/>
      <c r="R87" s="13"/>
      <c r="S87" s="421"/>
      <c r="T87" s="421"/>
      <c r="U87" s="421"/>
      <c r="V87" s="421"/>
      <c r="W87" s="421"/>
      <c r="X87" s="421"/>
      <c r="Y87" s="421"/>
      <c r="Z87" s="421"/>
      <c r="AA87" s="421"/>
      <c r="AB87" s="421"/>
      <c r="AC87" s="421"/>
      <c r="AD87" s="421"/>
      <c r="AE87" s="421"/>
      <c r="AF87" s="421"/>
      <c r="AG87" s="421"/>
      <c r="AH87" s="421"/>
      <c r="AI87" s="421"/>
      <c r="AJ87" s="421"/>
      <c r="AK87" s="421"/>
      <c r="AL87" s="421"/>
      <c r="AM87" s="422"/>
      <c r="AN87" s="422"/>
      <c r="AO87" s="422"/>
      <c r="AP87" s="422"/>
      <c r="AQ87" s="422"/>
      <c r="AR87" s="422"/>
      <c r="AS87" s="422"/>
      <c r="AT87" s="422"/>
      <c r="AU87" s="422"/>
      <c r="AV87" s="422"/>
      <c r="AW87" s="422"/>
      <c r="AX87" s="422"/>
      <c r="AY87" s="422"/>
    </row>
    <row r="88" spans="1:51" x14ac:dyDescent="0.25">
      <c r="A88" s="3"/>
      <c r="B88" s="3"/>
      <c r="C88" s="3"/>
      <c r="D88" s="3"/>
      <c r="E88" s="3"/>
      <c r="F88" s="3"/>
      <c r="G88" s="3"/>
      <c r="H88" s="3"/>
      <c r="I88" s="3"/>
      <c r="J88" s="13"/>
      <c r="K88" s="13"/>
      <c r="L88" s="13"/>
      <c r="M88" s="13"/>
      <c r="N88" s="13"/>
      <c r="O88" s="13"/>
      <c r="P88" s="13"/>
      <c r="Q88" s="13"/>
      <c r="R88" s="13"/>
      <c r="S88" s="421"/>
      <c r="T88" s="421"/>
      <c r="U88" s="421"/>
      <c r="V88" s="421"/>
      <c r="W88" s="421"/>
      <c r="X88" s="421"/>
      <c r="Y88" s="421"/>
      <c r="Z88" s="421"/>
      <c r="AA88" s="421"/>
      <c r="AB88" s="421"/>
      <c r="AC88" s="421"/>
      <c r="AD88" s="421"/>
      <c r="AE88" s="421"/>
      <c r="AF88" s="421"/>
      <c r="AG88" s="421"/>
      <c r="AH88" s="421"/>
      <c r="AI88" s="421"/>
      <c r="AJ88" s="421"/>
      <c r="AK88" s="421"/>
      <c r="AL88" s="421"/>
      <c r="AM88" s="422"/>
      <c r="AN88" s="422"/>
      <c r="AO88" s="422"/>
      <c r="AP88" s="422"/>
      <c r="AQ88" s="422"/>
      <c r="AR88" s="422"/>
      <c r="AS88" s="422"/>
      <c r="AT88" s="422"/>
      <c r="AU88" s="422"/>
      <c r="AV88" s="422"/>
      <c r="AW88" s="422"/>
      <c r="AX88" s="422"/>
      <c r="AY88" s="422"/>
    </row>
    <row r="89" spans="1:51" x14ac:dyDescent="0.25">
      <c r="A89" s="3"/>
      <c r="B89" s="3"/>
      <c r="C89" s="3"/>
      <c r="D89" s="3"/>
      <c r="E89" s="3"/>
      <c r="F89" s="3"/>
      <c r="G89" s="3"/>
      <c r="H89" s="3"/>
      <c r="I89" s="3"/>
      <c r="J89" s="13"/>
      <c r="K89" s="13"/>
      <c r="L89" s="13"/>
      <c r="M89" s="13"/>
      <c r="N89" s="13"/>
      <c r="O89" s="13"/>
      <c r="P89" s="13"/>
      <c r="Q89" s="13"/>
      <c r="R89" s="13"/>
      <c r="S89" s="421"/>
      <c r="T89" s="421"/>
      <c r="U89" s="421"/>
      <c r="V89" s="421"/>
      <c r="W89" s="421"/>
      <c r="X89" s="421"/>
      <c r="Y89" s="421"/>
      <c r="Z89" s="421"/>
      <c r="AA89" s="421"/>
      <c r="AB89" s="421"/>
      <c r="AC89" s="421"/>
      <c r="AD89" s="421"/>
      <c r="AE89" s="421"/>
      <c r="AF89" s="421"/>
      <c r="AG89" s="421"/>
      <c r="AH89" s="421"/>
      <c r="AI89" s="421"/>
      <c r="AJ89" s="421"/>
      <c r="AK89" s="421"/>
      <c r="AL89" s="421"/>
      <c r="AM89" s="422"/>
      <c r="AN89" s="422"/>
      <c r="AO89" s="422"/>
      <c r="AP89" s="422"/>
      <c r="AQ89" s="422"/>
      <c r="AR89" s="422"/>
      <c r="AS89" s="422"/>
      <c r="AT89" s="422"/>
      <c r="AU89" s="422"/>
      <c r="AV89" s="422"/>
      <c r="AW89" s="422"/>
      <c r="AX89" s="422"/>
      <c r="AY89" s="422"/>
    </row>
    <row r="90" spans="1:51" x14ac:dyDescent="0.25">
      <c r="A90" s="3"/>
      <c r="B90" s="3"/>
      <c r="C90" s="3"/>
      <c r="D90" s="3"/>
      <c r="E90" s="3"/>
      <c r="F90" s="3"/>
      <c r="G90" s="3"/>
      <c r="H90" s="3"/>
      <c r="I90" s="3"/>
      <c r="J90" s="13"/>
      <c r="K90" s="13"/>
      <c r="L90" s="13"/>
      <c r="M90" s="13"/>
      <c r="N90" s="13"/>
      <c r="O90" s="13"/>
      <c r="P90" s="13"/>
      <c r="Q90" s="13"/>
      <c r="R90" s="13"/>
      <c r="S90" s="421"/>
      <c r="T90" s="421"/>
      <c r="U90" s="421"/>
      <c r="V90" s="421"/>
      <c r="W90" s="421"/>
      <c r="X90" s="421"/>
      <c r="Y90" s="421"/>
      <c r="Z90" s="421"/>
      <c r="AA90" s="421"/>
      <c r="AB90" s="421"/>
      <c r="AC90" s="421"/>
      <c r="AD90" s="421"/>
      <c r="AE90" s="421"/>
      <c r="AF90" s="421"/>
      <c r="AG90" s="421"/>
      <c r="AH90" s="421"/>
      <c r="AI90" s="421"/>
      <c r="AJ90" s="421"/>
      <c r="AK90" s="421"/>
      <c r="AL90" s="421"/>
      <c r="AM90" s="422"/>
      <c r="AN90" s="422"/>
      <c r="AO90" s="422"/>
      <c r="AP90" s="422"/>
      <c r="AQ90" s="422"/>
      <c r="AR90" s="422"/>
      <c r="AS90" s="422"/>
      <c r="AT90" s="422"/>
      <c r="AU90" s="422"/>
      <c r="AV90" s="422"/>
      <c r="AW90" s="422"/>
      <c r="AX90" s="422"/>
      <c r="AY90" s="422"/>
    </row>
    <row r="91" spans="1:51" x14ac:dyDescent="0.25">
      <c r="A91" s="3"/>
      <c r="B91" s="3"/>
      <c r="C91" s="3"/>
      <c r="D91" s="3"/>
      <c r="E91" s="3"/>
      <c r="F91" s="3"/>
      <c r="G91" s="3"/>
      <c r="H91" s="3"/>
      <c r="I91" s="3"/>
      <c r="J91" s="13"/>
      <c r="K91" s="13"/>
      <c r="L91" s="13"/>
      <c r="M91" s="13"/>
      <c r="N91" s="13"/>
      <c r="O91" s="13"/>
      <c r="P91" s="13"/>
      <c r="Q91" s="13"/>
      <c r="R91" s="13"/>
      <c r="S91" s="421"/>
      <c r="T91" s="421"/>
      <c r="U91" s="421"/>
      <c r="V91" s="421"/>
      <c r="W91" s="421"/>
      <c r="X91" s="421"/>
      <c r="Y91" s="421"/>
      <c r="Z91" s="421"/>
      <c r="AA91" s="421"/>
      <c r="AB91" s="421"/>
      <c r="AC91" s="421"/>
      <c r="AD91" s="421"/>
      <c r="AE91" s="421"/>
      <c r="AF91" s="421"/>
      <c r="AG91" s="421"/>
      <c r="AH91" s="421"/>
      <c r="AI91" s="421"/>
      <c r="AJ91" s="421"/>
      <c r="AK91" s="421"/>
      <c r="AL91" s="421"/>
      <c r="AM91" s="422"/>
      <c r="AN91" s="422"/>
      <c r="AO91" s="422"/>
      <c r="AP91" s="422"/>
      <c r="AQ91" s="422"/>
      <c r="AR91" s="422"/>
      <c r="AS91" s="422"/>
      <c r="AT91" s="422"/>
      <c r="AU91" s="422"/>
      <c r="AV91" s="422"/>
      <c r="AW91" s="422"/>
      <c r="AX91" s="422"/>
      <c r="AY91" s="422"/>
    </row>
    <row r="92" spans="1:51" x14ac:dyDescent="0.25">
      <c r="A92" s="3"/>
      <c r="B92" s="3"/>
      <c r="C92" s="3"/>
      <c r="D92" s="3"/>
      <c r="E92" s="3"/>
      <c r="F92" s="3"/>
      <c r="G92" s="3"/>
      <c r="H92" s="3"/>
      <c r="I92" s="3"/>
      <c r="J92" s="13"/>
      <c r="K92" s="13"/>
      <c r="L92" s="13"/>
      <c r="M92" s="13"/>
      <c r="N92" s="13"/>
      <c r="O92" s="13"/>
      <c r="P92" s="13"/>
      <c r="Q92" s="13"/>
      <c r="R92" s="13"/>
      <c r="S92" s="421"/>
      <c r="T92" s="421"/>
      <c r="U92" s="421"/>
      <c r="V92" s="421"/>
      <c r="W92" s="421"/>
      <c r="X92" s="421"/>
      <c r="Y92" s="421"/>
      <c r="Z92" s="421"/>
      <c r="AA92" s="421"/>
      <c r="AB92" s="421"/>
      <c r="AC92" s="421"/>
      <c r="AD92" s="421"/>
      <c r="AE92" s="421"/>
      <c r="AF92" s="421"/>
      <c r="AG92" s="421"/>
      <c r="AH92" s="421"/>
      <c r="AI92" s="421"/>
      <c r="AJ92" s="421"/>
      <c r="AK92" s="421"/>
      <c r="AL92" s="421"/>
      <c r="AM92" s="422"/>
      <c r="AN92" s="422"/>
      <c r="AO92" s="422"/>
      <c r="AP92" s="422"/>
      <c r="AQ92" s="422"/>
      <c r="AR92" s="422"/>
      <c r="AS92" s="422"/>
      <c r="AT92" s="422"/>
      <c r="AU92" s="422"/>
      <c r="AV92" s="422"/>
      <c r="AW92" s="422"/>
      <c r="AX92" s="422"/>
      <c r="AY92" s="422"/>
    </row>
    <row r="93" spans="1:51" x14ac:dyDescent="0.25">
      <c r="A93" s="3"/>
      <c r="B93" s="3"/>
      <c r="C93" s="3"/>
      <c r="D93" s="3"/>
      <c r="E93" s="3"/>
      <c r="F93" s="3"/>
      <c r="G93" s="3"/>
      <c r="H93" s="3"/>
      <c r="I93" s="3"/>
      <c r="J93" s="13"/>
      <c r="K93" s="13"/>
      <c r="L93" s="13"/>
      <c r="M93" s="13"/>
      <c r="N93" s="13"/>
      <c r="O93" s="13"/>
      <c r="P93" s="13"/>
      <c r="Q93" s="13"/>
      <c r="R93" s="13"/>
      <c r="S93" s="421"/>
      <c r="T93" s="421"/>
      <c r="U93" s="421"/>
      <c r="V93" s="421"/>
      <c r="W93" s="421"/>
      <c r="X93" s="421"/>
      <c r="Y93" s="421"/>
      <c r="Z93" s="421"/>
      <c r="AA93" s="421"/>
      <c r="AB93" s="421"/>
      <c r="AC93" s="421"/>
      <c r="AD93" s="421"/>
      <c r="AE93" s="421"/>
      <c r="AF93" s="421"/>
      <c r="AG93" s="421"/>
      <c r="AH93" s="421"/>
      <c r="AI93" s="421"/>
      <c r="AJ93" s="421"/>
      <c r="AK93" s="421"/>
      <c r="AL93" s="421"/>
      <c r="AM93" s="422"/>
      <c r="AN93" s="422"/>
      <c r="AO93" s="422"/>
      <c r="AP93" s="422"/>
      <c r="AQ93" s="422"/>
      <c r="AR93" s="422"/>
      <c r="AS93" s="422"/>
      <c r="AT93" s="422"/>
      <c r="AU93" s="422"/>
      <c r="AV93" s="422"/>
      <c r="AW93" s="422"/>
      <c r="AX93" s="422"/>
      <c r="AY93" s="422"/>
    </row>
    <row r="94" spans="1:51" x14ac:dyDescent="0.25">
      <c r="A94" s="3"/>
      <c r="B94" s="3"/>
      <c r="C94" s="3"/>
      <c r="D94" s="3"/>
      <c r="E94" s="3"/>
      <c r="F94" s="3"/>
      <c r="G94" s="3"/>
      <c r="H94" s="3"/>
      <c r="I94" s="3"/>
      <c r="J94" s="13"/>
      <c r="K94" s="13"/>
      <c r="L94" s="13"/>
      <c r="M94" s="13"/>
      <c r="N94" s="13"/>
      <c r="O94" s="13"/>
      <c r="P94" s="13"/>
      <c r="Q94" s="13"/>
      <c r="R94" s="13"/>
      <c r="S94" s="421"/>
      <c r="T94" s="421"/>
      <c r="U94" s="421"/>
      <c r="V94" s="421"/>
      <c r="W94" s="421"/>
      <c r="X94" s="421"/>
      <c r="Y94" s="421"/>
      <c r="Z94" s="421"/>
      <c r="AA94" s="421"/>
      <c r="AB94" s="421"/>
      <c r="AC94" s="421"/>
      <c r="AD94" s="421"/>
      <c r="AE94" s="421"/>
      <c r="AF94" s="421"/>
      <c r="AG94" s="421"/>
      <c r="AH94" s="421"/>
      <c r="AI94" s="421"/>
      <c r="AJ94" s="421"/>
      <c r="AK94" s="421"/>
      <c r="AL94" s="421"/>
      <c r="AM94" s="422"/>
      <c r="AN94" s="422"/>
      <c r="AO94" s="422"/>
      <c r="AP94" s="422"/>
      <c r="AQ94" s="422"/>
      <c r="AR94" s="422"/>
      <c r="AS94" s="422"/>
      <c r="AT94" s="422"/>
      <c r="AU94" s="422"/>
      <c r="AV94" s="422"/>
      <c r="AW94" s="422"/>
      <c r="AX94" s="422"/>
      <c r="AY94" s="422"/>
    </row>
    <row r="95" spans="1:51" x14ac:dyDescent="0.25">
      <c r="A95" s="3"/>
      <c r="B95" s="3"/>
      <c r="C95" s="3"/>
      <c r="D95" s="3"/>
      <c r="E95" s="3"/>
      <c r="F95" s="3"/>
      <c r="G95" s="3"/>
      <c r="H95" s="3"/>
      <c r="I95" s="3"/>
      <c r="J95" s="13"/>
      <c r="K95" s="13"/>
      <c r="L95" s="13"/>
      <c r="M95" s="13"/>
      <c r="N95" s="13"/>
      <c r="O95" s="13"/>
      <c r="P95" s="13"/>
      <c r="Q95" s="13"/>
      <c r="R95" s="13"/>
      <c r="S95" s="421"/>
      <c r="T95" s="421"/>
      <c r="U95" s="421"/>
      <c r="V95" s="421"/>
      <c r="W95" s="421"/>
      <c r="X95" s="421"/>
      <c r="Y95" s="421"/>
      <c r="Z95" s="421"/>
      <c r="AA95" s="421"/>
      <c r="AB95" s="421"/>
      <c r="AC95" s="421"/>
      <c r="AD95" s="421"/>
      <c r="AE95" s="421"/>
      <c r="AF95" s="421"/>
      <c r="AG95" s="421"/>
      <c r="AH95" s="421"/>
      <c r="AI95" s="421"/>
      <c r="AJ95" s="421"/>
      <c r="AK95" s="421"/>
      <c r="AL95" s="421"/>
      <c r="AM95" s="422"/>
      <c r="AN95" s="422"/>
      <c r="AO95" s="422"/>
      <c r="AP95" s="422"/>
      <c r="AQ95" s="422"/>
      <c r="AR95" s="422"/>
      <c r="AS95" s="422"/>
      <c r="AT95" s="422"/>
      <c r="AU95" s="422"/>
      <c r="AV95" s="422"/>
      <c r="AW95" s="422"/>
      <c r="AX95" s="422"/>
      <c r="AY95" s="422"/>
    </row>
    <row r="96" spans="1:51" x14ac:dyDescent="0.25">
      <c r="A96" s="3"/>
      <c r="B96" s="3"/>
      <c r="C96" s="3"/>
      <c r="D96" s="3"/>
      <c r="E96" s="3"/>
      <c r="F96" s="3"/>
      <c r="G96" s="3"/>
      <c r="H96" s="3"/>
      <c r="I96" s="3"/>
      <c r="J96" s="13"/>
      <c r="K96" s="13"/>
      <c r="L96" s="13"/>
      <c r="M96" s="13"/>
      <c r="N96" s="13"/>
      <c r="O96" s="13"/>
      <c r="P96" s="13"/>
      <c r="Q96" s="13"/>
      <c r="R96" s="13"/>
      <c r="S96" s="421"/>
      <c r="T96" s="421"/>
      <c r="U96" s="421"/>
      <c r="V96" s="421"/>
      <c r="W96" s="421"/>
      <c r="X96" s="421"/>
      <c r="Y96" s="421"/>
      <c r="Z96" s="421"/>
      <c r="AA96" s="421"/>
      <c r="AB96" s="421"/>
      <c r="AC96" s="421"/>
      <c r="AD96" s="421"/>
      <c r="AE96" s="421"/>
      <c r="AF96" s="421"/>
      <c r="AG96" s="421"/>
      <c r="AH96" s="421"/>
      <c r="AI96" s="421"/>
      <c r="AJ96" s="421"/>
      <c r="AK96" s="421"/>
      <c r="AL96" s="421"/>
      <c r="AM96" s="422"/>
      <c r="AN96" s="422"/>
      <c r="AO96" s="422"/>
      <c r="AP96" s="422"/>
      <c r="AQ96" s="422"/>
      <c r="AR96" s="422"/>
      <c r="AS96" s="422"/>
      <c r="AT96" s="422"/>
      <c r="AU96" s="422"/>
      <c r="AV96" s="422"/>
      <c r="AW96" s="422"/>
      <c r="AX96" s="422"/>
      <c r="AY96" s="422"/>
    </row>
    <row r="97" spans="1:51" x14ac:dyDescent="0.25">
      <c r="A97" s="3"/>
      <c r="B97" s="3"/>
      <c r="C97" s="3"/>
      <c r="D97" s="3"/>
      <c r="E97" s="3"/>
      <c r="F97" s="3"/>
      <c r="G97" s="3"/>
      <c r="H97" s="3"/>
      <c r="I97" s="3"/>
      <c r="J97" s="13"/>
      <c r="K97" s="13"/>
      <c r="L97" s="13"/>
      <c r="M97" s="13"/>
      <c r="N97" s="13"/>
      <c r="O97" s="13"/>
      <c r="P97" s="13"/>
      <c r="Q97" s="13"/>
      <c r="R97" s="13"/>
      <c r="S97" s="421"/>
      <c r="T97" s="421"/>
      <c r="U97" s="421"/>
      <c r="V97" s="421"/>
      <c r="W97" s="421"/>
      <c r="X97" s="421"/>
      <c r="Y97" s="421"/>
      <c r="Z97" s="421"/>
      <c r="AA97" s="421"/>
      <c r="AB97" s="421"/>
      <c r="AC97" s="421"/>
      <c r="AD97" s="421"/>
      <c r="AE97" s="421"/>
      <c r="AF97" s="421"/>
      <c r="AG97" s="421"/>
      <c r="AH97" s="421"/>
      <c r="AI97" s="421"/>
      <c r="AJ97" s="421"/>
      <c r="AK97" s="421"/>
      <c r="AL97" s="421"/>
      <c r="AM97" s="422"/>
      <c r="AN97" s="422"/>
      <c r="AO97" s="422"/>
      <c r="AP97" s="422"/>
      <c r="AQ97" s="422"/>
      <c r="AR97" s="422"/>
      <c r="AS97" s="422"/>
      <c r="AT97" s="422"/>
      <c r="AU97" s="422"/>
      <c r="AV97" s="422"/>
      <c r="AW97" s="422"/>
      <c r="AX97" s="422"/>
      <c r="AY97" s="422"/>
    </row>
    <row r="98" spans="1:51" x14ac:dyDescent="0.25">
      <c r="A98" s="3"/>
      <c r="B98" s="3"/>
      <c r="C98" s="3"/>
      <c r="D98" s="3"/>
      <c r="E98" s="3"/>
      <c r="F98" s="3"/>
      <c r="G98" s="3"/>
      <c r="H98" s="3"/>
      <c r="I98" s="3"/>
      <c r="J98" s="13"/>
      <c r="K98" s="13"/>
      <c r="L98" s="13"/>
      <c r="M98" s="13"/>
      <c r="N98" s="13"/>
      <c r="O98" s="13"/>
      <c r="P98" s="13"/>
      <c r="Q98" s="13"/>
      <c r="R98" s="13"/>
      <c r="S98" s="421"/>
      <c r="T98" s="421"/>
      <c r="U98" s="421"/>
      <c r="V98" s="421"/>
      <c r="W98" s="421"/>
      <c r="X98" s="421"/>
      <c r="Y98" s="421"/>
      <c r="Z98" s="421"/>
      <c r="AA98" s="421"/>
      <c r="AB98" s="421"/>
      <c r="AC98" s="421"/>
      <c r="AD98" s="421"/>
      <c r="AE98" s="421"/>
      <c r="AF98" s="421"/>
      <c r="AG98" s="421"/>
      <c r="AH98" s="421"/>
      <c r="AI98" s="421"/>
      <c r="AJ98" s="421"/>
      <c r="AK98" s="421"/>
      <c r="AL98" s="421"/>
      <c r="AM98" s="422"/>
      <c r="AN98" s="422"/>
      <c r="AO98" s="422"/>
      <c r="AP98" s="422"/>
      <c r="AQ98" s="422"/>
      <c r="AR98" s="422"/>
      <c r="AS98" s="422"/>
      <c r="AT98" s="422"/>
      <c r="AU98" s="422"/>
      <c r="AV98" s="422"/>
      <c r="AW98" s="422"/>
      <c r="AX98" s="422"/>
      <c r="AY98" s="422"/>
    </row>
    <row r="99" spans="1:51" x14ac:dyDescent="0.25">
      <c r="A99" s="3"/>
      <c r="B99" s="3"/>
      <c r="C99" s="3"/>
      <c r="D99" s="3"/>
      <c r="E99" s="3"/>
      <c r="F99" s="3"/>
      <c r="G99" s="3"/>
      <c r="H99" s="3"/>
      <c r="I99" s="3"/>
      <c r="J99" s="13"/>
      <c r="K99" s="13"/>
      <c r="L99" s="13"/>
      <c r="M99" s="13"/>
      <c r="N99" s="13"/>
      <c r="O99" s="13"/>
      <c r="P99" s="13"/>
      <c r="Q99" s="13"/>
      <c r="R99" s="13"/>
      <c r="S99" s="421"/>
      <c r="T99" s="421"/>
      <c r="U99" s="421"/>
      <c r="V99" s="421"/>
      <c r="W99" s="421"/>
      <c r="X99" s="421"/>
      <c r="Y99" s="421"/>
      <c r="Z99" s="421"/>
      <c r="AA99" s="421"/>
      <c r="AB99" s="421"/>
      <c r="AC99" s="421"/>
      <c r="AD99" s="421"/>
      <c r="AE99" s="421"/>
      <c r="AF99" s="421"/>
      <c r="AG99" s="421"/>
      <c r="AH99" s="421"/>
      <c r="AI99" s="421"/>
      <c r="AJ99" s="421"/>
      <c r="AK99" s="421"/>
      <c r="AL99" s="421"/>
      <c r="AM99" s="422"/>
      <c r="AN99" s="422"/>
      <c r="AO99" s="422"/>
      <c r="AP99" s="422"/>
      <c r="AQ99" s="422"/>
      <c r="AR99" s="422"/>
      <c r="AS99" s="422"/>
      <c r="AT99" s="422"/>
      <c r="AU99" s="422"/>
      <c r="AV99" s="422"/>
      <c r="AW99" s="422"/>
      <c r="AX99" s="422"/>
      <c r="AY99" s="422"/>
    </row>
    <row r="100" spans="1:51" x14ac:dyDescent="0.25">
      <c r="A100" s="3"/>
      <c r="B100" s="3"/>
      <c r="C100" s="3"/>
      <c r="D100" s="3"/>
      <c r="E100" s="3"/>
      <c r="F100" s="3"/>
      <c r="G100" s="3"/>
      <c r="H100" s="3"/>
      <c r="I100" s="3"/>
      <c r="J100" s="13"/>
      <c r="K100" s="13"/>
      <c r="L100" s="13"/>
      <c r="M100" s="13"/>
      <c r="N100" s="13"/>
      <c r="O100" s="13"/>
      <c r="P100" s="13"/>
      <c r="Q100" s="13"/>
      <c r="R100" s="13"/>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2"/>
      <c r="AN100" s="422"/>
      <c r="AO100" s="422"/>
      <c r="AP100" s="422"/>
      <c r="AQ100" s="422"/>
      <c r="AR100" s="422"/>
      <c r="AS100" s="422"/>
      <c r="AT100" s="422"/>
      <c r="AU100" s="422"/>
      <c r="AV100" s="422"/>
      <c r="AW100" s="422"/>
      <c r="AX100" s="422"/>
      <c r="AY100" s="422"/>
    </row>
    <row r="101" spans="1:51" x14ac:dyDescent="0.25">
      <c r="A101" s="3"/>
      <c r="B101" s="3"/>
      <c r="C101" s="3"/>
      <c r="D101" s="3"/>
      <c r="E101" s="3"/>
      <c r="F101" s="3"/>
      <c r="G101" s="3"/>
      <c r="H101" s="3"/>
      <c r="I101" s="3"/>
      <c r="J101" s="13"/>
      <c r="K101" s="13"/>
      <c r="L101" s="13"/>
      <c r="M101" s="13"/>
      <c r="N101" s="13"/>
      <c r="O101" s="13"/>
      <c r="P101" s="13"/>
      <c r="Q101" s="13"/>
      <c r="R101" s="13"/>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2"/>
      <c r="AN101" s="422"/>
      <c r="AO101" s="422"/>
      <c r="AP101" s="422"/>
      <c r="AQ101" s="422"/>
      <c r="AR101" s="422"/>
      <c r="AS101" s="422"/>
      <c r="AT101" s="422"/>
      <c r="AU101" s="422"/>
      <c r="AV101" s="422"/>
      <c r="AW101" s="422"/>
      <c r="AX101" s="422"/>
      <c r="AY101" s="422"/>
    </row>
    <row r="102" spans="1:51" x14ac:dyDescent="0.25">
      <c r="A102" s="3"/>
      <c r="B102" s="3"/>
      <c r="C102" s="3"/>
      <c r="D102" s="3"/>
      <c r="E102" s="3"/>
      <c r="F102" s="3"/>
      <c r="G102" s="3"/>
      <c r="H102" s="3"/>
      <c r="I102" s="3"/>
      <c r="J102" s="13"/>
      <c r="K102" s="13"/>
      <c r="L102" s="13"/>
      <c r="M102" s="13"/>
      <c r="N102" s="13"/>
      <c r="O102" s="13"/>
      <c r="P102" s="13"/>
      <c r="Q102" s="13"/>
      <c r="R102" s="13"/>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2"/>
      <c r="AN102" s="422"/>
      <c r="AO102" s="422"/>
      <c r="AP102" s="422"/>
      <c r="AQ102" s="422"/>
      <c r="AR102" s="422"/>
      <c r="AS102" s="422"/>
      <c r="AT102" s="422"/>
      <c r="AU102" s="422"/>
      <c r="AV102" s="422"/>
      <c r="AW102" s="422"/>
      <c r="AX102" s="422"/>
      <c r="AY102" s="422"/>
    </row>
    <row r="103" spans="1:51" x14ac:dyDescent="0.25">
      <c r="A103" s="3"/>
      <c r="B103" s="3"/>
      <c r="C103" s="3"/>
      <c r="D103" s="3"/>
      <c r="E103" s="3"/>
      <c r="F103" s="3"/>
      <c r="G103" s="3"/>
      <c r="H103" s="3"/>
      <c r="I103" s="3"/>
      <c r="J103" s="13"/>
      <c r="K103" s="13"/>
      <c r="L103" s="13"/>
      <c r="M103" s="13"/>
      <c r="N103" s="13"/>
      <c r="O103" s="13"/>
      <c r="P103" s="13"/>
      <c r="Q103" s="13"/>
      <c r="R103" s="13"/>
      <c r="S103" s="421"/>
      <c r="T103" s="421"/>
      <c r="U103" s="421"/>
      <c r="V103" s="421"/>
      <c r="W103" s="421"/>
      <c r="X103" s="421"/>
      <c r="Y103" s="421"/>
      <c r="Z103" s="421"/>
      <c r="AA103" s="421"/>
      <c r="AB103" s="421"/>
      <c r="AC103" s="421"/>
      <c r="AD103" s="421"/>
      <c r="AE103" s="421"/>
      <c r="AF103" s="421"/>
      <c r="AG103" s="421"/>
      <c r="AH103" s="421"/>
      <c r="AI103" s="421"/>
      <c r="AJ103" s="421"/>
      <c r="AK103" s="421"/>
      <c r="AL103" s="421"/>
      <c r="AM103" s="422"/>
      <c r="AN103" s="422"/>
      <c r="AO103" s="422"/>
      <c r="AP103" s="422"/>
      <c r="AQ103" s="422"/>
      <c r="AR103" s="422"/>
      <c r="AS103" s="422"/>
      <c r="AT103" s="422"/>
      <c r="AU103" s="422"/>
      <c r="AV103" s="422"/>
      <c r="AW103" s="422"/>
      <c r="AX103" s="422"/>
      <c r="AY103" s="422"/>
    </row>
    <row r="104" spans="1:51" x14ac:dyDescent="0.25">
      <c r="A104" s="3"/>
      <c r="B104" s="3"/>
      <c r="C104" s="3"/>
      <c r="D104" s="3"/>
      <c r="E104" s="3"/>
      <c r="F104" s="3"/>
      <c r="G104" s="3"/>
      <c r="H104" s="3"/>
      <c r="I104" s="3"/>
      <c r="J104" s="13"/>
      <c r="K104" s="13"/>
      <c r="L104" s="13"/>
      <c r="M104" s="13"/>
      <c r="N104" s="13"/>
      <c r="O104" s="13"/>
      <c r="P104" s="13"/>
      <c r="Q104" s="13"/>
      <c r="R104" s="13"/>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2"/>
      <c r="AN104" s="422"/>
      <c r="AO104" s="422"/>
      <c r="AP104" s="422"/>
      <c r="AQ104" s="422"/>
      <c r="AR104" s="422"/>
      <c r="AS104" s="422"/>
      <c r="AT104" s="422"/>
      <c r="AU104" s="422"/>
      <c r="AV104" s="422"/>
      <c r="AW104" s="422"/>
      <c r="AX104" s="422"/>
      <c r="AY104" s="422"/>
    </row>
    <row r="105" spans="1:51" x14ac:dyDescent="0.25">
      <c r="A105" s="3"/>
      <c r="B105" s="3"/>
      <c r="C105" s="3"/>
      <c r="D105" s="3"/>
      <c r="E105" s="3"/>
      <c r="F105" s="3"/>
      <c r="G105" s="3"/>
      <c r="H105" s="3"/>
      <c r="I105" s="3"/>
      <c r="J105" s="13"/>
      <c r="K105" s="13"/>
      <c r="L105" s="13"/>
      <c r="M105" s="13"/>
      <c r="N105" s="13"/>
      <c r="O105" s="13"/>
      <c r="P105" s="13"/>
      <c r="Q105" s="13"/>
      <c r="R105" s="13"/>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2"/>
      <c r="AN105" s="422"/>
      <c r="AO105" s="422"/>
      <c r="AP105" s="422"/>
      <c r="AQ105" s="422"/>
      <c r="AR105" s="422"/>
      <c r="AS105" s="422"/>
      <c r="AT105" s="422"/>
      <c r="AU105" s="422"/>
      <c r="AV105" s="422"/>
      <c r="AW105" s="422"/>
      <c r="AX105" s="422"/>
      <c r="AY105" s="422"/>
    </row>
    <row r="106" spans="1:51" x14ac:dyDescent="0.25">
      <c r="A106" s="3"/>
      <c r="B106" s="3"/>
      <c r="C106" s="3"/>
      <c r="D106" s="3"/>
      <c r="E106" s="3"/>
      <c r="F106" s="3"/>
      <c r="G106" s="3"/>
      <c r="H106" s="3"/>
      <c r="I106" s="3"/>
      <c r="J106" s="13"/>
      <c r="K106" s="13"/>
      <c r="L106" s="13"/>
      <c r="M106" s="13"/>
      <c r="N106" s="13"/>
      <c r="O106" s="13"/>
      <c r="P106" s="13"/>
      <c r="Q106" s="13"/>
      <c r="R106" s="13"/>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2"/>
      <c r="AN106" s="422"/>
      <c r="AO106" s="422"/>
      <c r="AP106" s="422"/>
      <c r="AQ106" s="422"/>
      <c r="AR106" s="422"/>
      <c r="AS106" s="422"/>
      <c r="AT106" s="422"/>
      <c r="AU106" s="422"/>
      <c r="AV106" s="422"/>
      <c r="AW106" s="422"/>
      <c r="AX106" s="422"/>
      <c r="AY106" s="422"/>
    </row>
    <row r="107" spans="1:51" x14ac:dyDescent="0.25">
      <c r="A107" s="3"/>
      <c r="B107" s="3"/>
      <c r="C107" s="3"/>
      <c r="D107" s="3"/>
      <c r="E107" s="3"/>
      <c r="F107" s="3"/>
      <c r="G107" s="3"/>
      <c r="H107" s="3"/>
      <c r="I107" s="3"/>
      <c r="J107" s="13"/>
      <c r="K107" s="13"/>
      <c r="L107" s="13"/>
      <c r="M107" s="13"/>
      <c r="N107" s="13"/>
      <c r="O107" s="13"/>
      <c r="P107" s="13"/>
      <c r="Q107" s="13"/>
      <c r="R107" s="13"/>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2"/>
      <c r="AN107" s="422"/>
      <c r="AO107" s="422"/>
      <c r="AP107" s="422"/>
      <c r="AQ107" s="422"/>
      <c r="AR107" s="422"/>
      <c r="AS107" s="422"/>
      <c r="AT107" s="422"/>
      <c r="AU107" s="422"/>
      <c r="AV107" s="422"/>
      <c r="AW107" s="422"/>
      <c r="AX107" s="422"/>
      <c r="AY107" s="422"/>
    </row>
    <row r="108" spans="1:51" x14ac:dyDescent="0.25">
      <c r="A108" s="3"/>
      <c r="B108" s="3"/>
      <c r="C108" s="3"/>
      <c r="D108" s="3"/>
      <c r="E108" s="3"/>
      <c r="F108" s="3"/>
      <c r="G108" s="3"/>
      <c r="H108" s="3"/>
      <c r="I108" s="3"/>
      <c r="J108" s="13"/>
      <c r="K108" s="13"/>
      <c r="L108" s="13"/>
      <c r="M108" s="13"/>
      <c r="N108" s="13"/>
      <c r="O108" s="13"/>
      <c r="P108" s="13"/>
      <c r="Q108" s="13"/>
      <c r="R108" s="13"/>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2"/>
      <c r="AN108" s="422"/>
      <c r="AO108" s="422"/>
      <c r="AP108" s="422"/>
      <c r="AQ108" s="422"/>
      <c r="AR108" s="422"/>
      <c r="AS108" s="422"/>
      <c r="AT108" s="422"/>
      <c r="AU108" s="422"/>
      <c r="AV108" s="422"/>
      <c r="AW108" s="422"/>
      <c r="AX108" s="422"/>
      <c r="AY108" s="422"/>
    </row>
    <row r="109" spans="1:51" x14ac:dyDescent="0.25">
      <c r="A109" s="3"/>
      <c r="B109" s="3"/>
      <c r="C109" s="3"/>
      <c r="D109" s="3"/>
      <c r="E109" s="3"/>
      <c r="F109" s="3"/>
      <c r="G109" s="3"/>
      <c r="H109" s="3"/>
      <c r="I109" s="3"/>
      <c r="J109" s="13"/>
      <c r="K109" s="13"/>
      <c r="L109" s="13"/>
      <c r="M109" s="13"/>
      <c r="N109" s="13"/>
      <c r="O109" s="13"/>
      <c r="P109" s="13"/>
      <c r="Q109" s="13"/>
      <c r="R109" s="13"/>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2"/>
      <c r="AN109" s="422"/>
      <c r="AO109" s="422"/>
      <c r="AP109" s="422"/>
      <c r="AQ109" s="422"/>
      <c r="AR109" s="422"/>
      <c r="AS109" s="422"/>
      <c r="AT109" s="422"/>
      <c r="AU109" s="422"/>
      <c r="AV109" s="422"/>
      <c r="AW109" s="422"/>
      <c r="AX109" s="422"/>
      <c r="AY109" s="422"/>
    </row>
    <row r="110" spans="1:51" x14ac:dyDescent="0.25">
      <c r="A110" s="3"/>
      <c r="B110" s="3"/>
      <c r="C110" s="3"/>
      <c r="D110" s="3"/>
      <c r="E110" s="3"/>
      <c r="F110" s="3"/>
      <c r="G110" s="3"/>
      <c r="H110" s="3"/>
      <c r="I110" s="3"/>
      <c r="J110" s="13"/>
      <c r="K110" s="13"/>
      <c r="L110" s="13"/>
      <c r="M110" s="13"/>
      <c r="N110" s="13"/>
      <c r="O110" s="13"/>
      <c r="P110" s="13"/>
      <c r="Q110" s="13"/>
      <c r="R110" s="13"/>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2"/>
      <c r="AN110" s="422"/>
      <c r="AO110" s="422"/>
      <c r="AP110" s="422"/>
      <c r="AQ110" s="422"/>
      <c r="AR110" s="422"/>
      <c r="AS110" s="422"/>
      <c r="AT110" s="422"/>
      <c r="AU110" s="422"/>
      <c r="AV110" s="422"/>
      <c r="AW110" s="422"/>
      <c r="AX110" s="422"/>
      <c r="AY110" s="422"/>
    </row>
    <row r="111" spans="1:51" x14ac:dyDescent="0.25">
      <c r="A111" s="3"/>
      <c r="B111" s="3"/>
      <c r="C111" s="3"/>
      <c r="D111" s="3"/>
      <c r="E111" s="3"/>
      <c r="F111" s="3"/>
      <c r="G111" s="3"/>
      <c r="H111" s="3"/>
      <c r="I111" s="3"/>
      <c r="J111" s="13"/>
      <c r="K111" s="13"/>
      <c r="L111" s="13"/>
      <c r="M111" s="13"/>
      <c r="N111" s="13"/>
      <c r="O111" s="13"/>
      <c r="P111" s="13"/>
      <c r="Q111" s="13"/>
      <c r="R111" s="13"/>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2"/>
      <c r="AN111" s="422"/>
      <c r="AO111" s="422"/>
      <c r="AP111" s="422"/>
      <c r="AQ111" s="422"/>
      <c r="AR111" s="422"/>
      <c r="AS111" s="422"/>
      <c r="AT111" s="422"/>
      <c r="AU111" s="422"/>
      <c r="AV111" s="422"/>
      <c r="AW111" s="422"/>
      <c r="AX111" s="422"/>
      <c r="AY111" s="422"/>
    </row>
    <row r="112" spans="1:51" x14ac:dyDescent="0.25">
      <c r="A112" s="3"/>
      <c r="B112" s="3"/>
      <c r="C112" s="3"/>
      <c r="D112" s="3"/>
      <c r="E112" s="3"/>
      <c r="F112" s="3"/>
      <c r="G112" s="3"/>
      <c r="H112" s="3"/>
      <c r="I112" s="3"/>
      <c r="J112" s="13"/>
      <c r="K112" s="13"/>
      <c r="L112" s="13"/>
      <c r="M112" s="13"/>
      <c r="N112" s="13"/>
      <c r="O112" s="13"/>
      <c r="P112" s="13"/>
      <c r="Q112" s="13"/>
      <c r="R112" s="13"/>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2"/>
      <c r="AN112" s="422"/>
      <c r="AO112" s="422"/>
      <c r="AP112" s="422"/>
      <c r="AQ112" s="422"/>
      <c r="AR112" s="422"/>
      <c r="AS112" s="422"/>
      <c r="AT112" s="422"/>
      <c r="AU112" s="422"/>
      <c r="AV112" s="422"/>
      <c r="AW112" s="422"/>
      <c r="AX112" s="422"/>
      <c r="AY112" s="422"/>
    </row>
    <row r="113" spans="1:51" x14ac:dyDescent="0.25">
      <c r="A113" s="3"/>
      <c r="B113" s="3"/>
      <c r="C113" s="3"/>
      <c r="D113" s="3"/>
      <c r="E113" s="3"/>
      <c r="F113" s="3"/>
      <c r="G113" s="3"/>
      <c r="H113" s="3"/>
      <c r="I113" s="3"/>
      <c r="J113" s="13"/>
      <c r="K113" s="13"/>
      <c r="L113" s="13"/>
      <c r="M113" s="13"/>
      <c r="N113" s="13"/>
      <c r="O113" s="13"/>
      <c r="P113" s="13"/>
      <c r="Q113" s="13"/>
      <c r="R113" s="13"/>
      <c r="S113" s="421"/>
      <c r="T113" s="421"/>
      <c r="U113" s="421"/>
      <c r="V113" s="421"/>
      <c r="W113" s="421"/>
      <c r="X113" s="421"/>
      <c r="Y113" s="421"/>
      <c r="Z113" s="421"/>
      <c r="AA113" s="421"/>
      <c r="AB113" s="421"/>
      <c r="AC113" s="421"/>
      <c r="AD113" s="421"/>
      <c r="AE113" s="421"/>
      <c r="AF113" s="421"/>
      <c r="AG113" s="421"/>
      <c r="AH113" s="421"/>
      <c r="AI113" s="421"/>
      <c r="AJ113" s="421"/>
      <c r="AK113" s="421"/>
      <c r="AL113" s="421"/>
      <c r="AM113" s="422"/>
      <c r="AN113" s="422"/>
      <c r="AO113" s="422"/>
      <c r="AP113" s="422"/>
      <c r="AQ113" s="422"/>
      <c r="AR113" s="422"/>
      <c r="AS113" s="422"/>
      <c r="AT113" s="422"/>
      <c r="AU113" s="422"/>
      <c r="AV113" s="422"/>
      <c r="AW113" s="422"/>
      <c r="AX113" s="422"/>
      <c r="AY113" s="422"/>
    </row>
    <row r="114" spans="1:51" x14ac:dyDescent="0.25">
      <c r="A114" s="3"/>
      <c r="B114" s="3"/>
      <c r="C114" s="3"/>
      <c r="D114" s="3"/>
      <c r="E114" s="3"/>
      <c r="F114" s="3"/>
      <c r="G114" s="3"/>
      <c r="H114" s="3"/>
      <c r="I114" s="3"/>
      <c r="J114" s="13"/>
      <c r="K114" s="13"/>
      <c r="L114" s="13"/>
      <c r="M114" s="13"/>
      <c r="N114" s="13"/>
      <c r="O114" s="13"/>
      <c r="P114" s="13"/>
      <c r="Q114" s="13"/>
      <c r="R114" s="13"/>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2"/>
      <c r="AN114" s="422"/>
      <c r="AO114" s="422"/>
      <c r="AP114" s="422"/>
      <c r="AQ114" s="422"/>
      <c r="AR114" s="422"/>
      <c r="AS114" s="422"/>
      <c r="AT114" s="422"/>
      <c r="AU114" s="422"/>
      <c r="AV114" s="422"/>
      <c r="AW114" s="422"/>
      <c r="AX114" s="422"/>
      <c r="AY114" s="422"/>
    </row>
    <row r="115" spans="1:51" x14ac:dyDescent="0.25">
      <c r="A115" s="3"/>
      <c r="B115" s="3"/>
      <c r="C115" s="3"/>
      <c r="D115" s="3"/>
      <c r="E115" s="3"/>
      <c r="F115" s="3"/>
      <c r="G115" s="3"/>
      <c r="H115" s="3"/>
      <c r="I115" s="3"/>
      <c r="J115" s="13"/>
      <c r="K115" s="13"/>
      <c r="L115" s="13"/>
      <c r="M115" s="13"/>
      <c r="N115" s="13"/>
      <c r="O115" s="13"/>
      <c r="P115" s="13"/>
      <c r="Q115" s="13"/>
      <c r="R115" s="13"/>
      <c r="S115" s="421"/>
      <c r="T115" s="421"/>
      <c r="U115" s="421"/>
      <c r="V115" s="421"/>
      <c r="W115" s="421"/>
      <c r="X115" s="421"/>
      <c r="Y115" s="421"/>
      <c r="Z115" s="421"/>
      <c r="AA115" s="421"/>
      <c r="AB115" s="421"/>
      <c r="AC115" s="421"/>
      <c r="AD115" s="421"/>
      <c r="AE115" s="421"/>
      <c r="AF115" s="421"/>
      <c r="AG115" s="421"/>
      <c r="AH115" s="421"/>
      <c r="AI115" s="421"/>
      <c r="AJ115" s="421"/>
      <c r="AK115" s="421"/>
      <c r="AL115" s="421"/>
      <c r="AM115" s="422"/>
      <c r="AN115" s="422"/>
      <c r="AO115" s="422"/>
      <c r="AP115" s="422"/>
      <c r="AQ115" s="422"/>
      <c r="AR115" s="422"/>
      <c r="AS115" s="422"/>
      <c r="AT115" s="422"/>
      <c r="AU115" s="422"/>
      <c r="AV115" s="422"/>
      <c r="AW115" s="422"/>
      <c r="AX115" s="422"/>
      <c r="AY115" s="422"/>
    </row>
    <row r="116" spans="1:51" x14ac:dyDescent="0.25">
      <c r="A116" s="3"/>
      <c r="B116" s="3"/>
      <c r="C116" s="3"/>
      <c r="D116" s="3"/>
      <c r="E116" s="3"/>
      <c r="F116" s="3"/>
      <c r="G116" s="3"/>
      <c r="H116" s="3"/>
      <c r="I116" s="3"/>
      <c r="J116" s="13"/>
      <c r="K116" s="13"/>
      <c r="L116" s="13"/>
      <c r="M116" s="13"/>
      <c r="N116" s="13"/>
      <c r="O116" s="13"/>
      <c r="P116" s="13"/>
      <c r="Q116" s="13"/>
      <c r="R116" s="13"/>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2"/>
      <c r="AN116" s="422"/>
      <c r="AO116" s="422"/>
      <c r="AP116" s="422"/>
      <c r="AQ116" s="422"/>
      <c r="AR116" s="422"/>
      <c r="AS116" s="422"/>
      <c r="AT116" s="422"/>
      <c r="AU116" s="422"/>
      <c r="AV116" s="422"/>
      <c r="AW116" s="422"/>
      <c r="AX116" s="422"/>
      <c r="AY116" s="422"/>
    </row>
    <row r="117" spans="1:51" x14ac:dyDescent="0.25">
      <c r="A117" s="3"/>
      <c r="B117" s="3"/>
      <c r="C117" s="3"/>
      <c r="D117" s="3"/>
      <c r="E117" s="3"/>
      <c r="F117" s="3"/>
      <c r="G117" s="3"/>
      <c r="H117" s="3"/>
      <c r="I117" s="3"/>
      <c r="J117" s="13"/>
      <c r="K117" s="13"/>
      <c r="L117" s="13"/>
      <c r="M117" s="13"/>
      <c r="N117" s="13"/>
      <c r="O117" s="13"/>
      <c r="P117" s="13"/>
      <c r="Q117" s="13"/>
      <c r="R117" s="13"/>
      <c r="S117" s="421"/>
      <c r="T117" s="421"/>
      <c r="U117" s="421"/>
      <c r="V117" s="421"/>
      <c r="W117" s="421"/>
      <c r="X117" s="421"/>
      <c r="Y117" s="421"/>
      <c r="Z117" s="421"/>
      <c r="AA117" s="421"/>
      <c r="AB117" s="421"/>
      <c r="AC117" s="421"/>
      <c r="AD117" s="421"/>
      <c r="AE117" s="421"/>
      <c r="AF117" s="421"/>
      <c r="AG117" s="421"/>
      <c r="AH117" s="421"/>
      <c r="AI117" s="421"/>
      <c r="AJ117" s="421"/>
      <c r="AK117" s="421"/>
      <c r="AL117" s="421"/>
      <c r="AM117" s="422"/>
      <c r="AN117" s="422"/>
      <c r="AO117" s="422"/>
      <c r="AP117" s="422"/>
      <c r="AQ117" s="422"/>
      <c r="AR117" s="422"/>
      <c r="AS117" s="422"/>
      <c r="AT117" s="422"/>
      <c r="AU117" s="422"/>
      <c r="AV117" s="422"/>
      <c r="AW117" s="422"/>
      <c r="AX117" s="422"/>
      <c r="AY117" s="422"/>
    </row>
    <row r="118" spans="1:51" x14ac:dyDescent="0.25">
      <c r="A118" s="3"/>
      <c r="B118" s="3"/>
      <c r="C118" s="3"/>
      <c r="D118" s="3"/>
      <c r="E118" s="3"/>
      <c r="F118" s="3"/>
      <c r="G118" s="3"/>
      <c r="H118" s="3"/>
      <c r="I118" s="3"/>
      <c r="J118" s="13"/>
      <c r="K118" s="13"/>
      <c r="L118" s="13"/>
      <c r="M118" s="13"/>
      <c r="N118" s="13"/>
      <c r="O118" s="13"/>
      <c r="P118" s="13"/>
      <c r="Q118" s="13"/>
      <c r="R118" s="13"/>
      <c r="S118" s="421"/>
      <c r="T118" s="421"/>
      <c r="U118" s="421"/>
      <c r="V118" s="421"/>
      <c r="W118" s="421"/>
      <c r="X118" s="421"/>
      <c r="Y118" s="421"/>
      <c r="Z118" s="421"/>
      <c r="AA118" s="421"/>
      <c r="AB118" s="421"/>
      <c r="AC118" s="421"/>
      <c r="AD118" s="421"/>
      <c r="AE118" s="421"/>
      <c r="AF118" s="421"/>
      <c r="AG118" s="421"/>
      <c r="AH118" s="421"/>
      <c r="AI118" s="421"/>
      <c r="AJ118" s="421"/>
      <c r="AK118" s="421"/>
      <c r="AL118" s="421"/>
      <c r="AM118" s="422"/>
      <c r="AN118" s="422"/>
      <c r="AO118" s="422"/>
      <c r="AP118" s="422"/>
      <c r="AQ118" s="422"/>
      <c r="AR118" s="422"/>
      <c r="AS118" s="422"/>
      <c r="AT118" s="422"/>
      <c r="AU118" s="422"/>
      <c r="AV118" s="422"/>
      <c r="AW118" s="422"/>
      <c r="AX118" s="422"/>
      <c r="AY118" s="422"/>
    </row>
    <row r="119" spans="1:51" x14ac:dyDescent="0.25">
      <c r="A119" s="3"/>
      <c r="B119" s="3"/>
      <c r="C119" s="3"/>
      <c r="D119" s="3"/>
      <c r="E119" s="3"/>
      <c r="F119" s="3"/>
      <c r="G119" s="3"/>
      <c r="H119" s="3"/>
      <c r="I119" s="3"/>
      <c r="J119" s="13"/>
      <c r="K119" s="13"/>
      <c r="L119" s="13"/>
      <c r="M119" s="13"/>
      <c r="N119" s="13"/>
      <c r="O119" s="13"/>
      <c r="P119" s="13"/>
      <c r="Q119" s="13"/>
      <c r="R119" s="13"/>
      <c r="S119" s="421"/>
      <c r="T119" s="421"/>
      <c r="U119" s="421"/>
      <c r="V119" s="421"/>
      <c r="W119" s="421"/>
      <c r="X119" s="421"/>
      <c r="Y119" s="421"/>
      <c r="Z119" s="421"/>
      <c r="AA119" s="421"/>
      <c r="AB119" s="421"/>
      <c r="AC119" s="421"/>
      <c r="AD119" s="421"/>
      <c r="AE119" s="421"/>
      <c r="AF119" s="421"/>
      <c r="AG119" s="421"/>
      <c r="AH119" s="421"/>
      <c r="AI119" s="421"/>
      <c r="AJ119" s="421"/>
      <c r="AK119" s="421"/>
      <c r="AL119" s="421"/>
      <c r="AM119" s="422"/>
      <c r="AN119" s="422"/>
      <c r="AO119" s="422"/>
      <c r="AP119" s="422"/>
      <c r="AQ119" s="422"/>
      <c r="AR119" s="422"/>
      <c r="AS119" s="422"/>
      <c r="AT119" s="422"/>
      <c r="AU119" s="422"/>
      <c r="AV119" s="422"/>
      <c r="AW119" s="422"/>
      <c r="AX119" s="422"/>
      <c r="AY119" s="422"/>
    </row>
    <row r="120" spans="1:51" x14ac:dyDescent="0.25">
      <c r="A120" s="3"/>
      <c r="B120" s="3"/>
      <c r="C120" s="3"/>
      <c r="D120" s="3"/>
      <c r="E120" s="3"/>
      <c r="F120" s="3"/>
      <c r="G120" s="3"/>
      <c r="H120" s="3"/>
      <c r="I120" s="3"/>
      <c r="J120" s="13"/>
      <c r="K120" s="13"/>
      <c r="L120" s="13"/>
      <c r="M120" s="13"/>
      <c r="N120" s="13"/>
      <c r="O120" s="13"/>
      <c r="P120" s="13"/>
      <c r="Q120" s="13"/>
      <c r="R120" s="13"/>
      <c r="S120" s="421"/>
      <c r="T120" s="421"/>
      <c r="U120" s="421"/>
      <c r="V120" s="421"/>
      <c r="W120" s="421"/>
      <c r="X120" s="421"/>
      <c r="Y120" s="421"/>
      <c r="Z120" s="421"/>
      <c r="AA120" s="421"/>
      <c r="AB120" s="421"/>
      <c r="AC120" s="421"/>
      <c r="AD120" s="421"/>
      <c r="AE120" s="421"/>
      <c r="AF120" s="421"/>
      <c r="AG120" s="421"/>
      <c r="AH120" s="421"/>
      <c r="AI120" s="421"/>
      <c r="AJ120" s="421"/>
      <c r="AK120" s="421"/>
      <c r="AL120" s="421"/>
      <c r="AM120" s="422"/>
      <c r="AN120" s="422"/>
      <c r="AO120" s="422"/>
      <c r="AP120" s="422"/>
      <c r="AQ120" s="422"/>
      <c r="AR120" s="422"/>
      <c r="AS120" s="422"/>
      <c r="AT120" s="422"/>
      <c r="AU120" s="422"/>
      <c r="AV120" s="422"/>
      <c r="AW120" s="422"/>
      <c r="AX120" s="422"/>
      <c r="AY120" s="422"/>
    </row>
    <row r="121" spans="1:51" x14ac:dyDescent="0.25">
      <c r="A121" s="3"/>
      <c r="B121" s="3"/>
      <c r="C121" s="3"/>
      <c r="D121" s="3"/>
      <c r="E121" s="3"/>
      <c r="F121" s="3"/>
      <c r="G121" s="3"/>
      <c r="H121" s="3"/>
      <c r="I121" s="3"/>
      <c r="J121" s="13"/>
      <c r="K121" s="13"/>
      <c r="L121" s="13"/>
      <c r="M121" s="13"/>
      <c r="N121" s="13"/>
      <c r="O121" s="13"/>
      <c r="P121" s="13"/>
      <c r="Q121" s="13"/>
      <c r="R121" s="13"/>
      <c r="S121" s="421"/>
      <c r="T121" s="421"/>
      <c r="U121" s="421"/>
      <c r="V121" s="421"/>
      <c r="W121" s="421"/>
      <c r="X121" s="421"/>
      <c r="Y121" s="421"/>
      <c r="Z121" s="421"/>
      <c r="AA121" s="421"/>
      <c r="AB121" s="421"/>
      <c r="AC121" s="421"/>
      <c r="AD121" s="421"/>
      <c r="AE121" s="421"/>
      <c r="AF121" s="421"/>
      <c r="AG121" s="421"/>
      <c r="AH121" s="421"/>
      <c r="AI121" s="421"/>
      <c r="AJ121" s="421"/>
      <c r="AK121" s="421"/>
      <c r="AL121" s="421"/>
      <c r="AM121" s="422"/>
      <c r="AN121" s="422"/>
      <c r="AO121" s="422"/>
      <c r="AP121" s="422"/>
      <c r="AQ121" s="422"/>
      <c r="AR121" s="422"/>
      <c r="AS121" s="422"/>
      <c r="AT121" s="422"/>
      <c r="AU121" s="422"/>
      <c r="AV121" s="422"/>
      <c r="AW121" s="422"/>
      <c r="AX121" s="422"/>
      <c r="AY121" s="422"/>
    </row>
    <row r="122" spans="1:51" x14ac:dyDescent="0.25">
      <c r="A122" s="3"/>
      <c r="B122" s="3"/>
      <c r="C122" s="3"/>
      <c r="D122" s="3"/>
      <c r="E122" s="3"/>
      <c r="F122" s="3"/>
      <c r="G122" s="3"/>
      <c r="H122" s="3"/>
      <c r="I122" s="3"/>
      <c r="J122" s="13"/>
      <c r="K122" s="13"/>
      <c r="L122" s="13"/>
      <c r="M122" s="13"/>
      <c r="N122" s="13"/>
      <c r="O122" s="13"/>
      <c r="P122" s="13"/>
      <c r="Q122" s="13"/>
      <c r="R122" s="13"/>
      <c r="S122" s="421"/>
      <c r="T122" s="421"/>
      <c r="U122" s="421"/>
      <c r="V122" s="421"/>
      <c r="W122" s="421"/>
      <c r="X122" s="421"/>
      <c r="Y122" s="421"/>
      <c r="Z122" s="421"/>
      <c r="AA122" s="421"/>
      <c r="AB122" s="421"/>
      <c r="AC122" s="421"/>
      <c r="AD122" s="421"/>
      <c r="AE122" s="421"/>
      <c r="AF122" s="421"/>
      <c r="AG122" s="421"/>
      <c r="AH122" s="421"/>
      <c r="AI122" s="421"/>
      <c r="AJ122" s="421"/>
      <c r="AK122" s="421"/>
      <c r="AL122" s="421"/>
      <c r="AM122" s="422"/>
      <c r="AN122" s="422"/>
      <c r="AO122" s="422"/>
      <c r="AP122" s="422"/>
      <c r="AQ122" s="422"/>
      <c r="AR122" s="422"/>
      <c r="AS122" s="422"/>
      <c r="AT122" s="422"/>
      <c r="AU122" s="422"/>
      <c r="AV122" s="422"/>
      <c r="AW122" s="422"/>
      <c r="AX122" s="422"/>
      <c r="AY122" s="422"/>
    </row>
    <row r="123" spans="1:51" x14ac:dyDescent="0.25">
      <c r="A123" s="3"/>
      <c r="B123" s="3"/>
      <c r="C123" s="3"/>
      <c r="D123" s="3"/>
      <c r="E123" s="3"/>
      <c r="F123" s="3"/>
      <c r="G123" s="3"/>
      <c r="H123" s="3"/>
      <c r="I123" s="3"/>
      <c r="J123" s="13"/>
      <c r="K123" s="13"/>
      <c r="L123" s="13"/>
      <c r="M123" s="13"/>
      <c r="N123" s="13"/>
      <c r="O123" s="13"/>
      <c r="P123" s="13"/>
      <c r="Q123" s="13"/>
      <c r="R123" s="13"/>
      <c r="S123" s="421"/>
      <c r="T123" s="421"/>
      <c r="U123" s="421"/>
      <c r="V123" s="421"/>
      <c r="W123" s="421"/>
      <c r="X123" s="421"/>
      <c r="Y123" s="421"/>
      <c r="Z123" s="421"/>
      <c r="AA123" s="421"/>
      <c r="AB123" s="421"/>
      <c r="AC123" s="421"/>
      <c r="AD123" s="421"/>
      <c r="AE123" s="421"/>
      <c r="AF123" s="421"/>
      <c r="AG123" s="421"/>
      <c r="AH123" s="421"/>
      <c r="AI123" s="421"/>
      <c r="AJ123" s="421"/>
      <c r="AK123" s="421"/>
      <c r="AL123" s="421"/>
      <c r="AM123" s="422"/>
      <c r="AN123" s="422"/>
      <c r="AO123" s="422"/>
      <c r="AP123" s="422"/>
      <c r="AQ123" s="422"/>
      <c r="AR123" s="422"/>
      <c r="AS123" s="422"/>
      <c r="AT123" s="422"/>
      <c r="AU123" s="422"/>
      <c r="AV123" s="422"/>
      <c r="AW123" s="422"/>
      <c r="AX123" s="422"/>
      <c r="AY123" s="422"/>
    </row>
    <row r="124" spans="1:51" x14ac:dyDescent="0.25">
      <c r="A124" s="3"/>
      <c r="B124" s="3"/>
      <c r="C124" s="3"/>
      <c r="D124" s="3"/>
      <c r="E124" s="3"/>
      <c r="F124" s="3"/>
      <c r="G124" s="3"/>
      <c r="H124" s="3"/>
      <c r="I124" s="3"/>
      <c r="J124" s="13"/>
      <c r="K124" s="13"/>
      <c r="L124" s="13"/>
      <c r="M124" s="13"/>
      <c r="N124" s="13"/>
      <c r="O124" s="13"/>
      <c r="P124" s="13"/>
      <c r="Q124" s="13"/>
      <c r="R124" s="13"/>
      <c r="S124" s="421"/>
      <c r="T124" s="421"/>
      <c r="U124" s="421"/>
      <c r="V124" s="421"/>
      <c r="W124" s="421"/>
      <c r="X124" s="421"/>
      <c r="Y124" s="421"/>
      <c r="Z124" s="421"/>
      <c r="AA124" s="421"/>
      <c r="AB124" s="421"/>
      <c r="AC124" s="421"/>
      <c r="AD124" s="421"/>
      <c r="AE124" s="421"/>
      <c r="AF124" s="421"/>
      <c r="AG124" s="421"/>
      <c r="AH124" s="421"/>
      <c r="AI124" s="421"/>
      <c r="AJ124" s="421"/>
      <c r="AK124" s="421"/>
      <c r="AL124" s="421"/>
      <c r="AM124" s="422"/>
      <c r="AN124" s="422"/>
      <c r="AO124" s="422"/>
      <c r="AP124" s="422"/>
      <c r="AQ124" s="422"/>
      <c r="AR124" s="422"/>
      <c r="AS124" s="422"/>
      <c r="AT124" s="422"/>
      <c r="AU124" s="422"/>
      <c r="AV124" s="422"/>
      <c r="AW124" s="422"/>
      <c r="AX124" s="422"/>
      <c r="AY124" s="422"/>
    </row>
    <row r="125" spans="1:51" x14ac:dyDescent="0.25">
      <c r="A125" s="3"/>
      <c r="B125" s="3"/>
      <c r="C125" s="3"/>
      <c r="D125" s="3"/>
      <c r="E125" s="3"/>
      <c r="F125" s="3"/>
      <c r="G125" s="3"/>
      <c r="H125" s="3"/>
      <c r="I125" s="3"/>
      <c r="J125" s="13"/>
      <c r="K125" s="13"/>
      <c r="L125" s="13"/>
      <c r="M125" s="13"/>
      <c r="N125" s="13"/>
      <c r="O125" s="13"/>
      <c r="P125" s="13"/>
      <c r="Q125" s="13"/>
      <c r="R125" s="13"/>
      <c r="S125" s="421"/>
      <c r="T125" s="421"/>
      <c r="U125" s="421"/>
      <c r="V125" s="421"/>
      <c r="W125" s="421"/>
      <c r="X125" s="421"/>
      <c r="Y125" s="421"/>
      <c r="Z125" s="421"/>
      <c r="AA125" s="421"/>
      <c r="AB125" s="421"/>
      <c r="AC125" s="421"/>
      <c r="AD125" s="421"/>
      <c r="AE125" s="421"/>
      <c r="AF125" s="421"/>
      <c r="AG125" s="421"/>
      <c r="AH125" s="421"/>
      <c r="AI125" s="421"/>
      <c r="AJ125" s="421"/>
      <c r="AK125" s="421"/>
      <c r="AL125" s="421"/>
      <c r="AM125" s="422"/>
      <c r="AN125" s="422"/>
      <c r="AO125" s="422"/>
      <c r="AP125" s="422"/>
      <c r="AQ125" s="422"/>
      <c r="AR125" s="422"/>
      <c r="AS125" s="422"/>
      <c r="AT125" s="422"/>
      <c r="AU125" s="422"/>
      <c r="AV125" s="422"/>
      <c r="AW125" s="422"/>
      <c r="AX125" s="422"/>
      <c r="AY125" s="422"/>
    </row>
    <row r="126" spans="1:51" x14ac:dyDescent="0.25">
      <c r="A126" s="3"/>
      <c r="B126" s="3"/>
      <c r="C126" s="3"/>
      <c r="D126" s="3"/>
      <c r="E126" s="3"/>
      <c r="F126" s="3"/>
      <c r="G126" s="3"/>
      <c r="H126" s="3"/>
      <c r="I126" s="3"/>
      <c r="J126" s="13"/>
      <c r="K126" s="13"/>
      <c r="L126" s="13"/>
      <c r="M126" s="13"/>
      <c r="N126" s="13"/>
      <c r="O126" s="13"/>
      <c r="P126" s="13"/>
      <c r="Q126" s="13"/>
      <c r="R126" s="13"/>
      <c r="S126" s="421"/>
      <c r="T126" s="421"/>
      <c r="U126" s="421"/>
      <c r="V126" s="421"/>
      <c r="W126" s="421"/>
      <c r="X126" s="421"/>
      <c r="Y126" s="421"/>
      <c r="Z126" s="421"/>
      <c r="AA126" s="421"/>
      <c r="AB126" s="421"/>
      <c r="AC126" s="421"/>
      <c r="AD126" s="421"/>
      <c r="AE126" s="421"/>
      <c r="AF126" s="421"/>
      <c r="AG126" s="421"/>
      <c r="AH126" s="421"/>
      <c r="AI126" s="421"/>
      <c r="AJ126" s="421"/>
      <c r="AK126" s="421"/>
      <c r="AL126" s="421"/>
      <c r="AM126" s="422"/>
      <c r="AN126" s="422"/>
      <c r="AO126" s="422"/>
      <c r="AP126" s="422"/>
      <c r="AQ126" s="422"/>
      <c r="AR126" s="422"/>
      <c r="AS126" s="422"/>
      <c r="AT126" s="422"/>
      <c r="AU126" s="422"/>
      <c r="AV126" s="422"/>
      <c r="AW126" s="422"/>
      <c r="AX126" s="422"/>
      <c r="AY126" s="422"/>
    </row>
    <row r="127" spans="1:51" x14ac:dyDescent="0.25">
      <c r="A127" s="3"/>
      <c r="B127" s="3"/>
      <c r="C127" s="3"/>
      <c r="D127" s="3"/>
      <c r="E127" s="3"/>
      <c r="F127" s="3"/>
      <c r="G127" s="3"/>
      <c r="H127" s="3"/>
      <c r="I127" s="3"/>
      <c r="J127" s="13"/>
      <c r="K127" s="13"/>
      <c r="L127" s="13"/>
      <c r="M127" s="13"/>
      <c r="N127" s="13"/>
      <c r="O127" s="13"/>
      <c r="P127" s="13"/>
      <c r="Q127" s="13"/>
      <c r="R127" s="13"/>
      <c r="S127" s="421"/>
      <c r="T127" s="421"/>
      <c r="U127" s="421"/>
      <c r="V127" s="421"/>
      <c r="W127" s="421"/>
      <c r="X127" s="421"/>
      <c r="Y127" s="421"/>
      <c r="Z127" s="421"/>
      <c r="AA127" s="421"/>
      <c r="AB127" s="421"/>
      <c r="AC127" s="421"/>
      <c r="AD127" s="421"/>
      <c r="AE127" s="421"/>
      <c r="AF127" s="421"/>
      <c r="AG127" s="421"/>
      <c r="AH127" s="421"/>
      <c r="AI127" s="421"/>
      <c r="AJ127" s="421"/>
      <c r="AK127" s="421"/>
      <c r="AL127" s="421"/>
      <c r="AM127" s="422"/>
      <c r="AN127" s="422"/>
      <c r="AO127" s="422"/>
      <c r="AP127" s="422"/>
      <c r="AQ127" s="422"/>
      <c r="AR127" s="422"/>
      <c r="AS127" s="422"/>
      <c r="AT127" s="422"/>
      <c r="AU127" s="422"/>
      <c r="AV127" s="422"/>
      <c r="AW127" s="422"/>
      <c r="AX127" s="422"/>
      <c r="AY127" s="422"/>
    </row>
    <row r="128" spans="1:51" x14ac:dyDescent="0.25">
      <c r="A128" s="3"/>
      <c r="B128" s="3"/>
      <c r="C128" s="3"/>
      <c r="D128" s="3"/>
      <c r="E128" s="3"/>
      <c r="F128" s="3"/>
      <c r="G128" s="3"/>
      <c r="H128" s="3"/>
      <c r="I128" s="3"/>
      <c r="J128" s="13"/>
      <c r="K128" s="13"/>
      <c r="L128" s="13"/>
      <c r="M128" s="13"/>
      <c r="N128" s="13"/>
      <c r="O128" s="13"/>
      <c r="P128" s="13"/>
      <c r="Q128" s="13"/>
      <c r="R128" s="13"/>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2"/>
      <c r="AN128" s="422"/>
      <c r="AO128" s="422"/>
      <c r="AP128" s="422"/>
      <c r="AQ128" s="422"/>
      <c r="AR128" s="422"/>
      <c r="AS128" s="422"/>
      <c r="AT128" s="422"/>
      <c r="AU128" s="422"/>
      <c r="AV128" s="422"/>
      <c r="AW128" s="422"/>
      <c r="AX128" s="422"/>
      <c r="AY128" s="422"/>
    </row>
    <row r="129" spans="1:51" x14ac:dyDescent="0.25">
      <c r="A129" s="3"/>
      <c r="B129" s="3"/>
      <c r="C129" s="3"/>
      <c r="D129" s="3"/>
      <c r="E129" s="3"/>
      <c r="F129" s="3"/>
      <c r="G129" s="3"/>
      <c r="H129" s="3"/>
      <c r="I129" s="3"/>
      <c r="J129" s="13"/>
      <c r="K129" s="13"/>
      <c r="L129" s="13"/>
      <c r="M129" s="13"/>
      <c r="N129" s="13"/>
      <c r="O129" s="13"/>
      <c r="P129" s="13"/>
      <c r="Q129" s="13"/>
      <c r="R129" s="13"/>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2"/>
      <c r="AN129" s="422"/>
      <c r="AO129" s="422"/>
      <c r="AP129" s="422"/>
      <c r="AQ129" s="422"/>
      <c r="AR129" s="422"/>
      <c r="AS129" s="422"/>
      <c r="AT129" s="422"/>
      <c r="AU129" s="422"/>
      <c r="AV129" s="422"/>
      <c r="AW129" s="422"/>
      <c r="AX129" s="422"/>
      <c r="AY129" s="422"/>
    </row>
    <row r="130" spans="1:51" x14ac:dyDescent="0.25">
      <c r="A130" s="3"/>
      <c r="B130" s="3"/>
      <c r="C130" s="3"/>
      <c r="D130" s="3"/>
      <c r="E130" s="3"/>
      <c r="F130" s="3"/>
      <c r="G130" s="3"/>
      <c r="H130" s="3"/>
      <c r="I130" s="3"/>
      <c r="J130" s="13"/>
      <c r="K130" s="13"/>
      <c r="L130" s="13"/>
      <c r="M130" s="13"/>
      <c r="N130" s="13"/>
      <c r="O130" s="13"/>
      <c r="P130" s="13"/>
      <c r="Q130" s="13"/>
      <c r="R130" s="13"/>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2"/>
      <c r="AN130" s="422"/>
      <c r="AO130" s="422"/>
      <c r="AP130" s="422"/>
      <c r="AQ130" s="422"/>
      <c r="AR130" s="422"/>
      <c r="AS130" s="422"/>
      <c r="AT130" s="422"/>
      <c r="AU130" s="422"/>
      <c r="AV130" s="422"/>
      <c r="AW130" s="422"/>
      <c r="AX130" s="422"/>
      <c r="AY130" s="422"/>
    </row>
    <row r="131" spans="1:51" x14ac:dyDescent="0.25">
      <c r="A131" s="3"/>
      <c r="B131" s="3"/>
      <c r="C131" s="3"/>
      <c r="D131" s="3"/>
      <c r="E131" s="3"/>
      <c r="F131" s="3"/>
      <c r="G131" s="3"/>
      <c r="H131" s="3"/>
      <c r="I131" s="3"/>
      <c r="J131" s="13"/>
      <c r="K131" s="13"/>
      <c r="L131" s="13"/>
      <c r="M131" s="13"/>
      <c r="N131" s="13"/>
      <c r="O131" s="13"/>
      <c r="P131" s="13"/>
      <c r="Q131" s="13"/>
      <c r="R131" s="13"/>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2"/>
      <c r="AN131" s="422"/>
      <c r="AO131" s="422"/>
      <c r="AP131" s="422"/>
      <c r="AQ131" s="422"/>
      <c r="AR131" s="422"/>
      <c r="AS131" s="422"/>
      <c r="AT131" s="422"/>
      <c r="AU131" s="422"/>
      <c r="AV131" s="422"/>
      <c r="AW131" s="422"/>
      <c r="AX131" s="422"/>
      <c r="AY131" s="422"/>
    </row>
    <row r="132" spans="1:51" x14ac:dyDescent="0.25">
      <c r="A132" s="3"/>
      <c r="B132" s="3"/>
      <c r="C132" s="3"/>
      <c r="D132" s="3"/>
      <c r="E132" s="3"/>
      <c r="F132" s="3"/>
      <c r="G132" s="3"/>
      <c r="H132" s="3"/>
      <c r="I132" s="3"/>
      <c r="J132" s="13"/>
      <c r="K132" s="13"/>
      <c r="L132" s="13"/>
      <c r="M132" s="13"/>
      <c r="N132" s="13"/>
      <c r="O132" s="13"/>
      <c r="P132" s="13"/>
      <c r="Q132" s="13"/>
      <c r="R132" s="13"/>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2"/>
      <c r="AN132" s="422"/>
      <c r="AO132" s="422"/>
      <c r="AP132" s="422"/>
      <c r="AQ132" s="422"/>
      <c r="AR132" s="422"/>
      <c r="AS132" s="422"/>
      <c r="AT132" s="422"/>
      <c r="AU132" s="422"/>
      <c r="AV132" s="422"/>
      <c r="AW132" s="422"/>
      <c r="AX132" s="422"/>
      <c r="AY132" s="422"/>
    </row>
    <row r="133" spans="1:51" x14ac:dyDescent="0.25">
      <c r="A133" s="3"/>
      <c r="B133" s="3"/>
      <c r="C133" s="3"/>
      <c r="D133" s="3"/>
      <c r="E133" s="3"/>
      <c r="F133" s="3"/>
      <c r="G133" s="3"/>
      <c r="H133" s="3"/>
      <c r="I133" s="3"/>
      <c r="J133" s="13"/>
      <c r="K133" s="13"/>
      <c r="L133" s="13"/>
      <c r="M133" s="13"/>
      <c r="N133" s="13"/>
      <c r="O133" s="13"/>
      <c r="P133" s="13"/>
      <c r="Q133" s="13"/>
      <c r="R133" s="13"/>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2"/>
      <c r="AN133" s="422"/>
      <c r="AO133" s="422"/>
      <c r="AP133" s="422"/>
      <c r="AQ133" s="422"/>
      <c r="AR133" s="422"/>
      <c r="AS133" s="422"/>
      <c r="AT133" s="422"/>
      <c r="AU133" s="422"/>
      <c r="AV133" s="422"/>
      <c r="AW133" s="422"/>
      <c r="AX133" s="422"/>
      <c r="AY133" s="422"/>
    </row>
    <row r="134" spans="1:51" x14ac:dyDescent="0.25">
      <c r="A134" s="3"/>
      <c r="B134" s="3"/>
      <c r="C134" s="3"/>
      <c r="D134" s="3"/>
      <c r="E134" s="3"/>
      <c r="F134" s="3"/>
      <c r="G134" s="3"/>
      <c r="H134" s="3"/>
      <c r="I134" s="3"/>
      <c r="J134" s="13"/>
      <c r="K134" s="13"/>
      <c r="L134" s="13"/>
      <c r="M134" s="13"/>
      <c r="N134" s="13"/>
      <c r="O134" s="13"/>
      <c r="P134" s="13"/>
      <c r="Q134" s="13"/>
      <c r="R134" s="13"/>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2"/>
      <c r="AN134" s="422"/>
      <c r="AO134" s="422"/>
      <c r="AP134" s="422"/>
      <c r="AQ134" s="422"/>
      <c r="AR134" s="422"/>
      <c r="AS134" s="422"/>
      <c r="AT134" s="422"/>
      <c r="AU134" s="422"/>
      <c r="AV134" s="422"/>
      <c r="AW134" s="422"/>
      <c r="AX134" s="422"/>
      <c r="AY134" s="422"/>
    </row>
    <row r="135" spans="1:51" x14ac:dyDescent="0.25">
      <c r="A135" s="3"/>
      <c r="B135" s="3"/>
      <c r="C135" s="3"/>
      <c r="D135" s="3"/>
      <c r="E135" s="3"/>
      <c r="F135" s="3"/>
      <c r="G135" s="3"/>
      <c r="H135" s="3"/>
      <c r="I135" s="3"/>
      <c r="J135" s="13"/>
      <c r="K135" s="13"/>
      <c r="L135" s="13"/>
      <c r="M135" s="13"/>
      <c r="N135" s="13"/>
      <c r="O135" s="13"/>
      <c r="P135" s="13"/>
      <c r="Q135" s="13"/>
      <c r="R135" s="13"/>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2"/>
      <c r="AN135" s="422"/>
      <c r="AO135" s="422"/>
      <c r="AP135" s="422"/>
      <c r="AQ135" s="422"/>
      <c r="AR135" s="422"/>
      <c r="AS135" s="422"/>
      <c r="AT135" s="422"/>
      <c r="AU135" s="422"/>
      <c r="AV135" s="422"/>
      <c r="AW135" s="422"/>
      <c r="AX135" s="422"/>
      <c r="AY135" s="422"/>
    </row>
    <row r="136" spans="1:51" x14ac:dyDescent="0.25">
      <c r="A136" s="3"/>
      <c r="B136" s="3"/>
      <c r="C136" s="3"/>
      <c r="D136" s="3"/>
      <c r="E136" s="3"/>
      <c r="F136" s="3"/>
      <c r="G136" s="3"/>
      <c r="H136" s="3"/>
      <c r="I136" s="3"/>
      <c r="J136" s="13"/>
      <c r="K136" s="13"/>
      <c r="L136" s="13"/>
      <c r="M136" s="13"/>
      <c r="N136" s="13"/>
      <c r="O136" s="13"/>
      <c r="P136" s="13"/>
      <c r="Q136" s="13"/>
      <c r="R136" s="13"/>
      <c r="S136" s="421"/>
      <c r="T136" s="421"/>
      <c r="U136" s="421"/>
      <c r="V136" s="421"/>
      <c r="W136" s="421"/>
      <c r="X136" s="421"/>
      <c r="Y136" s="421"/>
      <c r="Z136" s="421"/>
      <c r="AA136" s="421"/>
      <c r="AB136" s="421"/>
      <c r="AC136" s="421"/>
      <c r="AD136" s="421"/>
      <c r="AE136" s="421"/>
      <c r="AF136" s="421"/>
      <c r="AG136" s="421"/>
      <c r="AH136" s="421"/>
      <c r="AI136" s="421"/>
      <c r="AJ136" s="421"/>
      <c r="AK136" s="421"/>
      <c r="AL136" s="421"/>
      <c r="AM136" s="422"/>
      <c r="AN136" s="422"/>
      <c r="AO136" s="422"/>
      <c r="AP136" s="422"/>
      <c r="AQ136" s="422"/>
      <c r="AR136" s="422"/>
      <c r="AS136" s="422"/>
      <c r="AT136" s="422"/>
      <c r="AU136" s="422"/>
      <c r="AV136" s="422"/>
      <c r="AW136" s="422"/>
      <c r="AX136" s="422"/>
      <c r="AY136" s="422"/>
    </row>
    <row r="137" spans="1:51" x14ac:dyDescent="0.25">
      <c r="A137" s="3"/>
      <c r="B137" s="3"/>
      <c r="C137" s="3"/>
      <c r="D137" s="3"/>
      <c r="E137" s="3"/>
      <c r="F137" s="3"/>
      <c r="G137" s="3"/>
      <c r="H137" s="3"/>
      <c r="I137" s="3"/>
      <c r="J137" s="13"/>
      <c r="K137" s="13"/>
      <c r="L137" s="13"/>
      <c r="M137" s="13"/>
      <c r="N137" s="13"/>
      <c r="O137" s="13"/>
      <c r="P137" s="13"/>
      <c r="Q137" s="13"/>
      <c r="R137" s="13"/>
      <c r="S137" s="421"/>
      <c r="T137" s="421"/>
      <c r="U137" s="421"/>
      <c r="V137" s="421"/>
      <c r="W137" s="421"/>
      <c r="X137" s="421"/>
      <c r="Y137" s="421"/>
      <c r="Z137" s="421"/>
      <c r="AA137" s="421"/>
      <c r="AB137" s="421"/>
      <c r="AC137" s="421"/>
      <c r="AD137" s="421"/>
      <c r="AE137" s="421"/>
      <c r="AF137" s="421"/>
      <c r="AG137" s="421"/>
      <c r="AH137" s="421"/>
      <c r="AI137" s="421"/>
      <c r="AJ137" s="421"/>
      <c r="AK137" s="421"/>
      <c r="AL137" s="421"/>
      <c r="AM137" s="422"/>
      <c r="AN137" s="422"/>
      <c r="AO137" s="422"/>
      <c r="AP137" s="422"/>
      <c r="AQ137" s="422"/>
      <c r="AR137" s="422"/>
      <c r="AS137" s="422"/>
      <c r="AT137" s="422"/>
      <c r="AU137" s="422"/>
      <c r="AV137" s="422"/>
      <c r="AW137" s="422"/>
      <c r="AX137" s="422"/>
      <c r="AY137" s="422"/>
    </row>
    <row r="138" spans="1:51" x14ac:dyDescent="0.25">
      <c r="A138" s="3"/>
      <c r="B138" s="3"/>
      <c r="C138" s="3"/>
      <c r="D138" s="3"/>
      <c r="E138" s="3"/>
      <c r="F138" s="3"/>
      <c r="G138" s="3"/>
      <c r="H138" s="3"/>
      <c r="I138" s="3"/>
      <c r="J138" s="13"/>
      <c r="K138" s="13"/>
      <c r="L138" s="13"/>
      <c r="M138" s="13"/>
      <c r="N138" s="13"/>
      <c r="O138" s="13"/>
      <c r="P138" s="13"/>
      <c r="Q138" s="13"/>
      <c r="R138" s="13"/>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2"/>
      <c r="AN138" s="422"/>
      <c r="AO138" s="422"/>
      <c r="AP138" s="422"/>
      <c r="AQ138" s="422"/>
      <c r="AR138" s="422"/>
      <c r="AS138" s="422"/>
      <c r="AT138" s="422"/>
      <c r="AU138" s="422"/>
      <c r="AV138" s="422"/>
      <c r="AW138" s="422"/>
      <c r="AX138" s="422"/>
      <c r="AY138" s="422"/>
    </row>
    <row r="139" spans="1:51" x14ac:dyDescent="0.25">
      <c r="A139" s="3"/>
      <c r="B139" s="3"/>
      <c r="C139" s="3"/>
      <c r="D139" s="3"/>
      <c r="E139" s="3"/>
      <c r="F139" s="3"/>
      <c r="G139" s="3"/>
      <c r="H139" s="3"/>
      <c r="I139" s="3"/>
      <c r="J139" s="13"/>
      <c r="K139" s="13"/>
      <c r="L139" s="13"/>
      <c r="M139" s="13"/>
      <c r="N139" s="13"/>
      <c r="O139" s="13"/>
      <c r="P139" s="13"/>
      <c r="Q139" s="13"/>
      <c r="R139" s="13"/>
      <c r="S139" s="421"/>
      <c r="T139" s="421"/>
      <c r="U139" s="421"/>
      <c r="V139" s="421"/>
      <c r="W139" s="421"/>
      <c r="X139" s="421"/>
      <c r="Y139" s="421"/>
      <c r="Z139" s="421"/>
      <c r="AA139" s="421"/>
      <c r="AB139" s="421"/>
      <c r="AC139" s="421"/>
      <c r="AD139" s="421"/>
      <c r="AE139" s="421"/>
      <c r="AF139" s="421"/>
      <c r="AG139" s="421"/>
      <c r="AH139" s="421"/>
      <c r="AI139" s="421"/>
      <c r="AJ139" s="421"/>
      <c r="AK139" s="421"/>
      <c r="AL139" s="421"/>
      <c r="AM139" s="422"/>
      <c r="AN139" s="422"/>
      <c r="AO139" s="422"/>
      <c r="AP139" s="422"/>
      <c r="AQ139" s="422"/>
      <c r="AR139" s="422"/>
      <c r="AS139" s="422"/>
      <c r="AT139" s="422"/>
      <c r="AU139" s="422"/>
      <c r="AV139" s="422"/>
      <c r="AW139" s="422"/>
      <c r="AX139" s="422"/>
      <c r="AY139" s="422"/>
    </row>
    <row r="140" spans="1:51" x14ac:dyDescent="0.25">
      <c r="A140" s="3"/>
      <c r="B140" s="3"/>
      <c r="C140" s="3"/>
      <c r="D140" s="3"/>
      <c r="E140" s="3"/>
      <c r="F140" s="3"/>
      <c r="G140" s="3"/>
      <c r="H140" s="3"/>
      <c r="I140" s="3"/>
      <c r="J140" s="13"/>
      <c r="K140" s="13"/>
      <c r="L140" s="13"/>
      <c r="M140" s="13"/>
      <c r="N140" s="13"/>
      <c r="O140" s="13"/>
      <c r="P140" s="13"/>
      <c r="Q140" s="13"/>
      <c r="R140" s="13"/>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2"/>
      <c r="AN140" s="422"/>
      <c r="AO140" s="422"/>
      <c r="AP140" s="422"/>
      <c r="AQ140" s="422"/>
      <c r="AR140" s="422"/>
      <c r="AS140" s="422"/>
      <c r="AT140" s="422"/>
      <c r="AU140" s="422"/>
      <c r="AV140" s="422"/>
      <c r="AW140" s="422"/>
      <c r="AX140" s="422"/>
      <c r="AY140" s="422"/>
    </row>
    <row r="141" spans="1:51" x14ac:dyDescent="0.25">
      <c r="A141" s="3"/>
      <c r="B141" s="3"/>
      <c r="C141" s="3"/>
      <c r="D141" s="3"/>
      <c r="E141" s="3"/>
      <c r="F141" s="3"/>
      <c r="G141" s="3"/>
      <c r="H141" s="3"/>
      <c r="I141" s="3"/>
      <c r="J141" s="13"/>
      <c r="K141" s="13"/>
      <c r="L141" s="13"/>
      <c r="M141" s="13"/>
      <c r="N141" s="13"/>
      <c r="O141" s="13"/>
      <c r="P141" s="13"/>
      <c r="Q141" s="13"/>
      <c r="R141" s="13"/>
      <c r="S141" s="421"/>
      <c r="T141" s="421"/>
      <c r="U141" s="421"/>
      <c r="V141" s="421"/>
      <c r="W141" s="421"/>
      <c r="X141" s="421"/>
      <c r="Y141" s="421"/>
      <c r="Z141" s="421"/>
      <c r="AA141" s="421"/>
      <c r="AB141" s="421"/>
      <c r="AC141" s="421"/>
      <c r="AD141" s="421"/>
      <c r="AE141" s="421"/>
      <c r="AF141" s="421"/>
      <c r="AG141" s="421"/>
      <c r="AH141" s="421"/>
      <c r="AI141" s="421"/>
      <c r="AJ141" s="421"/>
      <c r="AK141" s="421"/>
      <c r="AL141" s="421"/>
      <c r="AM141" s="422"/>
      <c r="AN141" s="422"/>
      <c r="AO141" s="422"/>
      <c r="AP141" s="422"/>
      <c r="AQ141" s="422"/>
      <c r="AR141" s="422"/>
      <c r="AS141" s="422"/>
      <c r="AT141" s="422"/>
      <c r="AU141" s="422"/>
      <c r="AV141" s="422"/>
      <c r="AW141" s="422"/>
      <c r="AX141" s="422"/>
      <c r="AY141" s="422"/>
    </row>
    <row r="142" spans="1:51" x14ac:dyDescent="0.25">
      <c r="A142" s="3"/>
      <c r="B142" s="3"/>
      <c r="C142" s="3"/>
      <c r="D142" s="3"/>
      <c r="E142" s="3"/>
      <c r="F142" s="3"/>
      <c r="G142" s="3"/>
      <c r="H142" s="3"/>
      <c r="I142" s="3"/>
      <c r="J142" s="13"/>
      <c r="K142" s="13"/>
      <c r="L142" s="13"/>
      <c r="M142" s="13"/>
      <c r="N142" s="13"/>
      <c r="O142" s="13"/>
      <c r="P142" s="13"/>
      <c r="Q142" s="13"/>
      <c r="R142" s="13"/>
      <c r="S142" s="421"/>
      <c r="T142" s="421"/>
      <c r="U142" s="421"/>
      <c r="V142" s="421"/>
      <c r="W142" s="421"/>
      <c r="X142" s="421"/>
      <c r="Y142" s="421"/>
      <c r="Z142" s="421"/>
      <c r="AA142" s="421"/>
      <c r="AB142" s="421"/>
      <c r="AC142" s="421"/>
      <c r="AD142" s="421"/>
      <c r="AE142" s="421"/>
      <c r="AF142" s="421"/>
      <c r="AG142" s="421"/>
      <c r="AH142" s="421"/>
      <c r="AI142" s="421"/>
      <c r="AJ142" s="421"/>
      <c r="AK142" s="421"/>
      <c r="AL142" s="421"/>
      <c r="AM142" s="422"/>
      <c r="AN142" s="422"/>
      <c r="AO142" s="422"/>
      <c r="AP142" s="422"/>
      <c r="AQ142" s="422"/>
      <c r="AR142" s="422"/>
      <c r="AS142" s="422"/>
      <c r="AT142" s="422"/>
      <c r="AU142" s="422"/>
      <c r="AV142" s="422"/>
      <c r="AW142" s="422"/>
      <c r="AX142" s="422"/>
      <c r="AY142" s="422"/>
    </row>
    <row r="143" spans="1:51" x14ac:dyDescent="0.25">
      <c r="A143" s="3"/>
      <c r="B143" s="3"/>
      <c r="C143" s="3"/>
      <c r="D143" s="3"/>
      <c r="E143" s="3"/>
      <c r="F143" s="3"/>
      <c r="G143" s="3"/>
      <c r="H143" s="3"/>
      <c r="I143" s="3"/>
      <c r="J143" s="13"/>
      <c r="K143" s="13"/>
      <c r="L143" s="13"/>
      <c r="M143" s="13"/>
      <c r="N143" s="13"/>
      <c r="O143" s="13"/>
      <c r="P143" s="13"/>
      <c r="Q143" s="13"/>
      <c r="R143" s="13"/>
      <c r="S143" s="421"/>
      <c r="T143" s="421"/>
      <c r="U143" s="421"/>
      <c r="V143" s="421"/>
      <c r="W143" s="421"/>
      <c r="X143" s="421"/>
      <c r="Y143" s="421"/>
      <c r="Z143" s="421"/>
      <c r="AA143" s="421"/>
      <c r="AB143" s="421"/>
      <c r="AC143" s="421"/>
      <c r="AD143" s="421"/>
      <c r="AE143" s="421"/>
      <c r="AF143" s="421"/>
      <c r="AG143" s="421"/>
      <c r="AH143" s="421"/>
      <c r="AI143" s="421"/>
      <c r="AJ143" s="421"/>
      <c r="AK143" s="421"/>
      <c r="AL143" s="421"/>
      <c r="AM143" s="422"/>
      <c r="AN143" s="422"/>
      <c r="AO143" s="422"/>
      <c r="AP143" s="422"/>
      <c r="AQ143" s="422"/>
      <c r="AR143" s="422"/>
      <c r="AS143" s="422"/>
      <c r="AT143" s="422"/>
      <c r="AU143" s="422"/>
      <c r="AV143" s="422"/>
      <c r="AW143" s="422"/>
      <c r="AX143" s="422"/>
      <c r="AY143" s="422"/>
    </row>
    <row r="144" spans="1:51" x14ac:dyDescent="0.25">
      <c r="A144" s="3"/>
      <c r="B144" s="3"/>
      <c r="C144" s="3"/>
      <c r="D144" s="3"/>
      <c r="E144" s="3"/>
      <c r="F144" s="3"/>
      <c r="G144" s="3"/>
      <c r="H144" s="3"/>
      <c r="I144" s="3"/>
      <c r="J144" s="13"/>
      <c r="K144" s="13"/>
      <c r="L144" s="13"/>
      <c r="M144" s="13"/>
      <c r="N144" s="13"/>
      <c r="O144" s="13"/>
      <c r="P144" s="13"/>
      <c r="Q144" s="13"/>
      <c r="R144" s="13"/>
      <c r="S144" s="421"/>
      <c r="T144" s="421"/>
      <c r="U144" s="421"/>
      <c r="V144" s="421"/>
      <c r="W144" s="421"/>
      <c r="X144" s="421"/>
      <c r="Y144" s="421"/>
      <c r="Z144" s="421"/>
      <c r="AA144" s="421"/>
      <c r="AB144" s="421"/>
      <c r="AC144" s="421"/>
      <c r="AD144" s="421"/>
      <c r="AE144" s="421"/>
      <c r="AF144" s="421"/>
      <c r="AG144" s="421"/>
      <c r="AH144" s="421"/>
      <c r="AI144" s="421"/>
      <c r="AJ144" s="421"/>
      <c r="AK144" s="421"/>
      <c r="AL144" s="421"/>
      <c r="AM144" s="422"/>
      <c r="AN144" s="422"/>
      <c r="AO144" s="422"/>
      <c r="AP144" s="422"/>
      <c r="AQ144" s="422"/>
      <c r="AR144" s="422"/>
      <c r="AS144" s="422"/>
      <c r="AT144" s="422"/>
      <c r="AU144" s="422"/>
      <c r="AV144" s="422"/>
      <c r="AW144" s="422"/>
      <c r="AX144" s="422"/>
      <c r="AY144" s="422"/>
    </row>
    <row r="145" spans="1:51" x14ac:dyDescent="0.25">
      <c r="A145" s="3"/>
      <c r="B145" s="3"/>
      <c r="C145" s="3"/>
      <c r="D145" s="3"/>
      <c r="E145" s="3"/>
      <c r="F145" s="3"/>
      <c r="G145" s="3"/>
      <c r="H145" s="3"/>
      <c r="I145" s="3"/>
      <c r="J145" s="13"/>
      <c r="K145" s="13"/>
      <c r="L145" s="13"/>
      <c r="M145" s="13"/>
      <c r="N145" s="13"/>
      <c r="O145" s="13"/>
      <c r="P145" s="13"/>
      <c r="Q145" s="13"/>
      <c r="R145" s="13"/>
      <c r="S145" s="421"/>
      <c r="T145" s="421"/>
      <c r="U145" s="421"/>
      <c r="V145" s="421"/>
      <c r="W145" s="421"/>
      <c r="X145" s="421"/>
      <c r="Y145" s="421"/>
      <c r="Z145" s="421"/>
      <c r="AA145" s="421"/>
      <c r="AB145" s="421"/>
      <c r="AC145" s="421"/>
      <c r="AD145" s="421"/>
      <c r="AE145" s="421"/>
      <c r="AF145" s="421"/>
      <c r="AG145" s="421"/>
      <c r="AH145" s="421"/>
      <c r="AI145" s="421"/>
      <c r="AJ145" s="421"/>
      <c r="AK145" s="421"/>
      <c r="AL145" s="421"/>
      <c r="AM145" s="422"/>
      <c r="AN145" s="422"/>
      <c r="AO145" s="422"/>
      <c r="AP145" s="422"/>
      <c r="AQ145" s="422"/>
      <c r="AR145" s="422"/>
      <c r="AS145" s="422"/>
      <c r="AT145" s="422"/>
      <c r="AU145" s="422"/>
      <c r="AV145" s="422"/>
      <c r="AW145" s="422"/>
      <c r="AX145" s="422"/>
      <c r="AY145" s="422"/>
    </row>
    <row r="146" spans="1:51" x14ac:dyDescent="0.25">
      <c r="A146" s="3"/>
      <c r="B146" s="3"/>
      <c r="C146" s="3"/>
      <c r="D146" s="3"/>
      <c r="E146" s="3"/>
      <c r="F146" s="3"/>
      <c r="G146" s="3"/>
      <c r="H146" s="3"/>
      <c r="I146" s="3"/>
      <c r="J146" s="13"/>
      <c r="K146" s="13"/>
      <c r="L146" s="13"/>
      <c r="M146" s="13"/>
      <c r="N146" s="13"/>
      <c r="O146" s="13"/>
      <c r="P146" s="13"/>
      <c r="Q146" s="13"/>
      <c r="R146" s="13"/>
      <c r="S146" s="421"/>
      <c r="T146" s="421"/>
      <c r="U146" s="421"/>
      <c r="V146" s="421"/>
      <c r="W146" s="421"/>
      <c r="X146" s="421"/>
      <c r="Y146" s="421"/>
      <c r="Z146" s="421"/>
      <c r="AA146" s="421"/>
      <c r="AB146" s="421"/>
      <c r="AC146" s="421"/>
      <c r="AD146" s="421"/>
      <c r="AE146" s="421"/>
      <c r="AF146" s="421"/>
      <c r="AG146" s="421"/>
      <c r="AH146" s="421"/>
      <c r="AI146" s="421"/>
      <c r="AJ146" s="421"/>
      <c r="AK146" s="421"/>
      <c r="AL146" s="421"/>
      <c r="AM146" s="422"/>
      <c r="AN146" s="422"/>
      <c r="AO146" s="422"/>
      <c r="AP146" s="422"/>
      <c r="AQ146" s="422"/>
      <c r="AR146" s="422"/>
      <c r="AS146" s="422"/>
      <c r="AT146" s="422"/>
      <c r="AU146" s="422"/>
      <c r="AV146" s="422"/>
      <c r="AW146" s="422"/>
      <c r="AX146" s="422"/>
      <c r="AY146" s="422"/>
    </row>
    <row r="147" spans="1:51" x14ac:dyDescent="0.25">
      <c r="A147" s="3"/>
      <c r="B147" s="3"/>
      <c r="C147" s="3"/>
      <c r="D147" s="3"/>
      <c r="E147" s="3"/>
      <c r="F147" s="3"/>
      <c r="G147" s="3"/>
      <c r="H147" s="3"/>
      <c r="I147" s="3"/>
      <c r="J147" s="13"/>
      <c r="K147" s="13"/>
      <c r="L147" s="13"/>
      <c r="M147" s="13"/>
      <c r="N147" s="13"/>
      <c r="O147" s="13"/>
      <c r="P147" s="13"/>
      <c r="Q147" s="13"/>
      <c r="R147" s="13"/>
      <c r="S147" s="421"/>
      <c r="T147" s="421"/>
      <c r="U147" s="421"/>
      <c r="V147" s="421"/>
      <c r="W147" s="421"/>
      <c r="X147" s="421"/>
      <c r="Y147" s="421"/>
      <c r="Z147" s="421"/>
      <c r="AA147" s="421"/>
      <c r="AB147" s="421"/>
      <c r="AC147" s="421"/>
      <c r="AD147" s="421"/>
      <c r="AE147" s="421"/>
      <c r="AF147" s="421"/>
      <c r="AG147" s="421"/>
      <c r="AH147" s="421"/>
      <c r="AI147" s="421"/>
      <c r="AJ147" s="421"/>
      <c r="AK147" s="421"/>
      <c r="AL147" s="421"/>
      <c r="AM147" s="422"/>
      <c r="AN147" s="422"/>
      <c r="AO147" s="422"/>
      <c r="AP147" s="422"/>
      <c r="AQ147" s="422"/>
      <c r="AR147" s="422"/>
      <c r="AS147" s="422"/>
      <c r="AT147" s="422"/>
      <c r="AU147" s="422"/>
      <c r="AV147" s="422"/>
      <c r="AW147" s="422"/>
      <c r="AX147" s="422"/>
      <c r="AY147" s="422"/>
    </row>
    <row r="148" spans="1:51" x14ac:dyDescent="0.25">
      <c r="A148" s="3"/>
      <c r="B148" s="3"/>
      <c r="C148" s="3"/>
      <c r="D148" s="3"/>
      <c r="E148" s="3"/>
      <c r="F148" s="3"/>
      <c r="G148" s="3"/>
      <c r="H148" s="3"/>
      <c r="I148" s="3"/>
      <c r="J148" s="13"/>
      <c r="K148" s="13"/>
      <c r="L148" s="13"/>
      <c r="M148" s="13"/>
      <c r="N148" s="13"/>
      <c r="O148" s="13"/>
      <c r="P148" s="13"/>
      <c r="Q148" s="13"/>
      <c r="R148" s="13"/>
      <c r="S148" s="421"/>
      <c r="T148" s="421"/>
      <c r="U148" s="421"/>
      <c r="V148" s="421"/>
      <c r="W148" s="421"/>
      <c r="X148" s="421"/>
      <c r="Y148" s="421"/>
      <c r="Z148" s="421"/>
      <c r="AA148" s="421"/>
      <c r="AB148" s="421"/>
      <c r="AC148" s="421"/>
      <c r="AD148" s="421"/>
      <c r="AE148" s="421"/>
      <c r="AF148" s="421"/>
      <c r="AG148" s="421"/>
      <c r="AH148" s="421"/>
      <c r="AI148" s="421"/>
      <c r="AJ148" s="421"/>
      <c r="AK148" s="421"/>
      <c r="AL148" s="421"/>
      <c r="AM148" s="422"/>
      <c r="AN148" s="422"/>
      <c r="AO148" s="422"/>
      <c r="AP148" s="422"/>
      <c r="AQ148" s="422"/>
      <c r="AR148" s="422"/>
      <c r="AS148" s="422"/>
      <c r="AT148" s="422"/>
      <c r="AU148" s="422"/>
      <c r="AV148" s="422"/>
      <c r="AW148" s="422"/>
      <c r="AX148" s="422"/>
      <c r="AY148" s="422"/>
    </row>
    <row r="149" spans="1:51" x14ac:dyDescent="0.25">
      <c r="A149" s="3"/>
      <c r="B149" s="3"/>
      <c r="C149" s="3"/>
      <c r="D149" s="3"/>
      <c r="E149" s="3"/>
      <c r="F149" s="3"/>
      <c r="G149" s="3"/>
      <c r="H149" s="3"/>
      <c r="I149" s="3"/>
      <c r="J149" s="13"/>
      <c r="K149" s="13"/>
      <c r="L149" s="13"/>
      <c r="M149" s="13"/>
      <c r="N149" s="13"/>
      <c r="O149" s="13"/>
      <c r="P149" s="13"/>
      <c r="Q149" s="13"/>
      <c r="R149" s="13"/>
      <c r="S149" s="421"/>
      <c r="T149" s="421"/>
      <c r="U149" s="421"/>
      <c r="V149" s="421"/>
      <c r="W149" s="421"/>
      <c r="X149" s="421"/>
      <c r="Y149" s="421"/>
      <c r="Z149" s="421"/>
      <c r="AA149" s="421"/>
      <c r="AB149" s="421"/>
      <c r="AC149" s="421"/>
      <c r="AD149" s="421"/>
      <c r="AE149" s="421"/>
      <c r="AF149" s="421"/>
      <c r="AG149" s="421"/>
      <c r="AH149" s="421"/>
      <c r="AI149" s="421"/>
      <c r="AJ149" s="421"/>
      <c r="AK149" s="421"/>
      <c r="AL149" s="421"/>
      <c r="AM149" s="422"/>
      <c r="AN149" s="422"/>
      <c r="AO149" s="422"/>
      <c r="AP149" s="422"/>
      <c r="AQ149" s="422"/>
      <c r="AR149" s="422"/>
      <c r="AS149" s="422"/>
      <c r="AT149" s="422"/>
      <c r="AU149" s="422"/>
      <c r="AV149" s="422"/>
      <c r="AW149" s="422"/>
      <c r="AX149" s="422"/>
      <c r="AY149" s="422"/>
    </row>
    <row r="150" spans="1:51" x14ac:dyDescent="0.25">
      <c r="A150" s="3"/>
      <c r="B150" s="3"/>
      <c r="C150" s="3"/>
      <c r="D150" s="3"/>
      <c r="E150" s="3"/>
      <c r="F150" s="3"/>
      <c r="G150" s="3"/>
      <c r="H150" s="3"/>
      <c r="I150" s="3"/>
      <c r="J150" s="13"/>
      <c r="K150" s="13"/>
      <c r="L150" s="13"/>
      <c r="M150" s="13"/>
      <c r="N150" s="13"/>
      <c r="O150" s="13"/>
      <c r="P150" s="13"/>
      <c r="Q150" s="13"/>
      <c r="R150" s="13"/>
      <c r="S150" s="421"/>
      <c r="T150" s="421"/>
      <c r="U150" s="421"/>
      <c r="V150" s="421"/>
      <c r="W150" s="421"/>
      <c r="X150" s="421"/>
      <c r="Y150" s="421"/>
      <c r="Z150" s="421"/>
      <c r="AA150" s="421"/>
      <c r="AB150" s="421"/>
      <c r="AC150" s="421"/>
      <c r="AD150" s="421"/>
      <c r="AE150" s="421"/>
      <c r="AF150" s="421"/>
      <c r="AG150" s="421"/>
      <c r="AH150" s="421"/>
      <c r="AI150" s="421"/>
      <c r="AJ150" s="421"/>
      <c r="AK150" s="421"/>
      <c r="AL150" s="421"/>
      <c r="AM150" s="422"/>
      <c r="AN150" s="422"/>
      <c r="AO150" s="422"/>
      <c r="AP150" s="422"/>
      <c r="AQ150" s="422"/>
      <c r="AR150" s="422"/>
      <c r="AS150" s="422"/>
      <c r="AT150" s="422"/>
      <c r="AU150" s="422"/>
      <c r="AV150" s="422"/>
      <c r="AW150" s="422"/>
      <c r="AX150" s="422"/>
      <c r="AY150" s="422"/>
    </row>
    <row r="151" spans="1:51" x14ac:dyDescent="0.25">
      <c r="A151" s="3"/>
      <c r="B151" s="3"/>
      <c r="C151" s="3"/>
      <c r="D151" s="3"/>
      <c r="E151" s="3"/>
      <c r="F151" s="3"/>
      <c r="G151" s="3"/>
      <c r="H151" s="3"/>
      <c r="I151" s="3"/>
      <c r="J151" s="13"/>
      <c r="K151" s="13"/>
      <c r="L151" s="13"/>
      <c r="M151" s="13"/>
      <c r="N151" s="13"/>
      <c r="O151" s="13"/>
      <c r="P151" s="13"/>
      <c r="Q151" s="13"/>
      <c r="R151" s="13"/>
      <c r="S151" s="421"/>
      <c r="T151" s="421"/>
      <c r="U151" s="421"/>
      <c r="V151" s="421"/>
      <c r="W151" s="421"/>
      <c r="X151" s="421"/>
      <c r="Y151" s="421"/>
      <c r="Z151" s="421"/>
      <c r="AA151" s="421"/>
      <c r="AB151" s="421"/>
      <c r="AC151" s="421"/>
      <c r="AD151" s="421"/>
      <c r="AE151" s="421"/>
      <c r="AF151" s="421"/>
      <c r="AG151" s="421"/>
      <c r="AH151" s="421"/>
      <c r="AI151" s="421"/>
      <c r="AJ151" s="421"/>
      <c r="AK151" s="421"/>
      <c r="AL151" s="421"/>
      <c r="AM151" s="422"/>
      <c r="AN151" s="422"/>
      <c r="AO151" s="422"/>
      <c r="AP151" s="422"/>
      <c r="AQ151" s="422"/>
      <c r="AR151" s="422"/>
      <c r="AS151" s="422"/>
      <c r="AT151" s="422"/>
      <c r="AU151" s="422"/>
      <c r="AV151" s="422"/>
      <c r="AW151" s="422"/>
      <c r="AX151" s="422"/>
      <c r="AY151" s="422"/>
    </row>
    <row r="152" spans="1:51" x14ac:dyDescent="0.25">
      <c r="A152" s="3"/>
      <c r="B152" s="3"/>
      <c r="C152" s="3"/>
      <c r="D152" s="3"/>
      <c r="E152" s="3"/>
      <c r="F152" s="3"/>
      <c r="G152" s="3"/>
      <c r="H152" s="3"/>
      <c r="I152" s="3"/>
      <c r="J152" s="13"/>
      <c r="K152" s="13"/>
      <c r="L152" s="13"/>
      <c r="M152" s="13"/>
      <c r="N152" s="13"/>
      <c r="O152" s="13"/>
      <c r="P152" s="13"/>
      <c r="Q152" s="13"/>
      <c r="R152" s="13"/>
      <c r="S152" s="421"/>
      <c r="T152" s="421"/>
      <c r="U152" s="421"/>
      <c r="V152" s="421"/>
      <c r="W152" s="421"/>
      <c r="X152" s="421"/>
      <c r="Y152" s="421"/>
      <c r="Z152" s="421"/>
      <c r="AA152" s="421"/>
      <c r="AB152" s="421"/>
      <c r="AC152" s="421"/>
      <c r="AD152" s="421"/>
      <c r="AE152" s="421"/>
      <c r="AF152" s="421"/>
      <c r="AG152" s="421"/>
      <c r="AH152" s="421"/>
      <c r="AI152" s="421"/>
      <c r="AJ152" s="421"/>
      <c r="AK152" s="421"/>
      <c r="AL152" s="421"/>
      <c r="AM152" s="422"/>
      <c r="AN152" s="422"/>
      <c r="AO152" s="422"/>
      <c r="AP152" s="422"/>
      <c r="AQ152" s="422"/>
      <c r="AR152" s="422"/>
      <c r="AS152" s="422"/>
      <c r="AT152" s="422"/>
      <c r="AU152" s="422"/>
      <c r="AV152" s="422"/>
      <c r="AW152" s="422"/>
      <c r="AX152" s="422"/>
      <c r="AY152" s="422"/>
    </row>
    <row r="153" spans="1:51" x14ac:dyDescent="0.25">
      <c r="A153" s="3"/>
      <c r="B153" s="3"/>
      <c r="C153" s="3"/>
      <c r="D153" s="3"/>
      <c r="E153" s="3"/>
      <c r="F153" s="3"/>
      <c r="G153" s="3"/>
      <c r="H153" s="3"/>
      <c r="I153" s="3"/>
      <c r="J153" s="13"/>
      <c r="K153" s="13"/>
      <c r="L153" s="13"/>
      <c r="M153" s="13"/>
      <c r="N153" s="13"/>
      <c r="O153" s="13"/>
      <c r="P153" s="13"/>
      <c r="Q153" s="13"/>
      <c r="R153" s="13"/>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2"/>
      <c r="AN153" s="422"/>
      <c r="AO153" s="422"/>
      <c r="AP153" s="422"/>
      <c r="AQ153" s="422"/>
      <c r="AR153" s="422"/>
      <c r="AS153" s="422"/>
      <c r="AT153" s="422"/>
      <c r="AU153" s="422"/>
      <c r="AV153" s="422"/>
      <c r="AW153" s="422"/>
      <c r="AX153" s="422"/>
      <c r="AY153" s="422"/>
    </row>
    <row r="154" spans="1:51" x14ac:dyDescent="0.25">
      <c r="A154" s="3"/>
      <c r="B154" s="3"/>
      <c r="C154" s="3"/>
      <c r="D154" s="3"/>
      <c r="E154" s="3"/>
      <c r="F154" s="3"/>
      <c r="G154" s="3"/>
      <c r="H154" s="3"/>
      <c r="I154" s="3"/>
      <c r="J154" s="13"/>
      <c r="K154" s="13"/>
      <c r="L154" s="13"/>
      <c r="M154" s="13"/>
      <c r="N154" s="13"/>
      <c r="O154" s="13"/>
      <c r="P154" s="13"/>
      <c r="Q154" s="13"/>
      <c r="R154" s="13"/>
      <c r="S154" s="421"/>
      <c r="T154" s="421"/>
      <c r="U154" s="421"/>
      <c r="V154" s="421"/>
      <c r="W154" s="421"/>
      <c r="X154" s="421"/>
      <c r="Y154" s="421"/>
      <c r="Z154" s="421"/>
      <c r="AA154" s="421"/>
      <c r="AB154" s="421"/>
      <c r="AC154" s="421"/>
      <c r="AD154" s="421"/>
      <c r="AE154" s="421"/>
      <c r="AF154" s="421"/>
      <c r="AG154" s="421"/>
      <c r="AH154" s="421"/>
      <c r="AI154" s="421"/>
      <c r="AJ154" s="421"/>
      <c r="AK154" s="421"/>
      <c r="AL154" s="421"/>
      <c r="AM154" s="422"/>
      <c r="AN154" s="422"/>
      <c r="AO154" s="422"/>
      <c r="AP154" s="422"/>
      <c r="AQ154" s="422"/>
      <c r="AR154" s="422"/>
      <c r="AS154" s="422"/>
      <c r="AT154" s="422"/>
      <c r="AU154" s="422"/>
      <c r="AV154" s="422"/>
      <c r="AW154" s="422"/>
      <c r="AX154" s="422"/>
      <c r="AY154" s="422"/>
    </row>
    <row r="155" spans="1:51" x14ac:dyDescent="0.25">
      <c r="A155" s="3"/>
      <c r="B155" s="3"/>
      <c r="C155" s="3"/>
      <c r="D155" s="3"/>
      <c r="E155" s="3"/>
      <c r="F155" s="3"/>
      <c r="G155" s="3"/>
      <c r="H155" s="3"/>
      <c r="I155" s="3"/>
      <c r="J155" s="13"/>
      <c r="K155" s="13"/>
      <c r="L155" s="13"/>
      <c r="M155" s="13"/>
      <c r="N155" s="13"/>
      <c r="O155" s="13"/>
      <c r="P155" s="13"/>
      <c r="Q155" s="13"/>
      <c r="R155" s="13"/>
      <c r="S155" s="421"/>
      <c r="T155" s="421"/>
      <c r="U155" s="421"/>
      <c r="V155" s="421"/>
      <c r="W155" s="421"/>
      <c r="X155" s="421"/>
      <c r="Y155" s="421"/>
      <c r="Z155" s="421"/>
      <c r="AA155" s="421"/>
      <c r="AB155" s="421"/>
      <c r="AC155" s="421"/>
      <c r="AD155" s="421"/>
      <c r="AE155" s="421"/>
      <c r="AF155" s="421"/>
      <c r="AG155" s="421"/>
      <c r="AH155" s="421"/>
      <c r="AI155" s="421"/>
      <c r="AJ155" s="421"/>
      <c r="AK155" s="421"/>
      <c r="AL155" s="421"/>
      <c r="AM155" s="422"/>
      <c r="AN155" s="422"/>
      <c r="AO155" s="422"/>
      <c r="AP155" s="422"/>
      <c r="AQ155" s="422"/>
      <c r="AR155" s="422"/>
      <c r="AS155" s="422"/>
      <c r="AT155" s="422"/>
      <c r="AU155" s="422"/>
      <c r="AV155" s="422"/>
      <c r="AW155" s="422"/>
      <c r="AX155" s="422"/>
      <c r="AY155" s="422"/>
    </row>
    <row r="156" spans="1:51" x14ac:dyDescent="0.25">
      <c r="A156" s="3"/>
      <c r="B156" s="3"/>
      <c r="C156" s="3"/>
      <c r="D156" s="3"/>
      <c r="E156" s="3"/>
      <c r="F156" s="3"/>
      <c r="G156" s="3"/>
      <c r="H156" s="3"/>
      <c r="I156" s="3"/>
      <c r="J156" s="13"/>
      <c r="K156" s="13"/>
      <c r="L156" s="13"/>
      <c r="M156" s="13"/>
      <c r="N156" s="13"/>
      <c r="O156" s="13"/>
      <c r="P156" s="13"/>
      <c r="Q156" s="13"/>
      <c r="R156" s="13"/>
      <c r="S156" s="421"/>
      <c r="T156" s="421"/>
      <c r="U156" s="421"/>
      <c r="V156" s="421"/>
      <c r="W156" s="421"/>
      <c r="X156" s="421"/>
      <c r="Y156" s="421"/>
      <c r="Z156" s="421"/>
      <c r="AA156" s="421"/>
      <c r="AB156" s="421"/>
      <c r="AC156" s="421"/>
      <c r="AD156" s="421"/>
      <c r="AE156" s="421"/>
      <c r="AF156" s="421"/>
      <c r="AG156" s="421"/>
      <c r="AH156" s="421"/>
      <c r="AI156" s="421"/>
      <c r="AJ156" s="421"/>
      <c r="AK156" s="421"/>
      <c r="AL156" s="421"/>
      <c r="AM156" s="422"/>
      <c r="AN156" s="422"/>
      <c r="AO156" s="422"/>
      <c r="AP156" s="422"/>
      <c r="AQ156" s="422"/>
      <c r="AR156" s="422"/>
      <c r="AS156" s="422"/>
      <c r="AT156" s="422"/>
      <c r="AU156" s="422"/>
      <c r="AV156" s="422"/>
      <c r="AW156" s="422"/>
      <c r="AX156" s="422"/>
      <c r="AY156" s="422"/>
    </row>
    <row r="157" spans="1:51" x14ac:dyDescent="0.25">
      <c r="A157" s="3"/>
      <c r="B157" s="3"/>
      <c r="C157" s="3"/>
      <c r="D157" s="3"/>
      <c r="E157" s="3"/>
      <c r="F157" s="3"/>
      <c r="G157" s="3"/>
      <c r="H157" s="3"/>
      <c r="I157" s="3"/>
      <c r="J157" s="13"/>
      <c r="K157" s="13"/>
      <c r="L157" s="13"/>
      <c r="M157" s="13"/>
      <c r="N157" s="13"/>
      <c r="O157" s="13"/>
      <c r="P157" s="13"/>
      <c r="Q157" s="13"/>
      <c r="R157" s="13"/>
      <c r="S157" s="421"/>
      <c r="T157" s="421"/>
      <c r="U157" s="421"/>
      <c r="V157" s="421"/>
      <c r="W157" s="421"/>
      <c r="X157" s="421"/>
      <c r="Y157" s="421"/>
      <c r="Z157" s="421"/>
      <c r="AA157" s="421"/>
      <c r="AB157" s="421"/>
      <c r="AC157" s="421"/>
      <c r="AD157" s="421"/>
      <c r="AE157" s="421"/>
      <c r="AF157" s="421"/>
      <c r="AG157" s="421"/>
      <c r="AH157" s="421"/>
      <c r="AI157" s="421"/>
      <c r="AJ157" s="421"/>
      <c r="AK157" s="421"/>
      <c r="AL157" s="421"/>
      <c r="AM157" s="422"/>
      <c r="AN157" s="422"/>
      <c r="AO157" s="422"/>
      <c r="AP157" s="422"/>
      <c r="AQ157" s="422"/>
      <c r="AR157" s="422"/>
      <c r="AS157" s="422"/>
      <c r="AT157" s="422"/>
      <c r="AU157" s="422"/>
      <c r="AV157" s="422"/>
      <c r="AW157" s="422"/>
      <c r="AX157" s="422"/>
      <c r="AY157" s="422"/>
    </row>
    <row r="158" spans="1:51" x14ac:dyDescent="0.25">
      <c r="A158" s="3"/>
      <c r="B158" s="3"/>
      <c r="C158" s="3"/>
      <c r="D158" s="3"/>
      <c r="E158" s="3"/>
      <c r="F158" s="3"/>
      <c r="G158" s="3"/>
      <c r="H158" s="3"/>
      <c r="I158" s="3"/>
      <c r="J158" s="13"/>
      <c r="K158" s="13"/>
      <c r="L158" s="13"/>
      <c r="M158" s="13"/>
      <c r="N158" s="13"/>
      <c r="O158" s="13"/>
      <c r="P158" s="13"/>
      <c r="Q158" s="13"/>
      <c r="R158" s="13"/>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2"/>
      <c r="AN158" s="422"/>
      <c r="AO158" s="422"/>
      <c r="AP158" s="422"/>
      <c r="AQ158" s="422"/>
      <c r="AR158" s="422"/>
      <c r="AS158" s="422"/>
      <c r="AT158" s="422"/>
      <c r="AU158" s="422"/>
      <c r="AV158" s="422"/>
      <c r="AW158" s="422"/>
      <c r="AX158" s="422"/>
      <c r="AY158" s="422"/>
    </row>
    <row r="159" spans="1:51" x14ac:dyDescent="0.25">
      <c r="A159" s="3"/>
      <c r="B159" s="3"/>
      <c r="C159" s="3"/>
      <c r="D159" s="3"/>
      <c r="E159" s="3"/>
      <c r="F159" s="3"/>
      <c r="G159" s="3"/>
      <c r="H159" s="3"/>
      <c r="I159" s="3"/>
      <c r="J159" s="13"/>
      <c r="K159" s="13"/>
      <c r="L159" s="13"/>
      <c r="M159" s="13"/>
      <c r="N159" s="13"/>
      <c r="O159" s="13"/>
      <c r="P159" s="13"/>
      <c r="Q159" s="13"/>
      <c r="R159" s="13"/>
      <c r="S159" s="421"/>
      <c r="T159" s="421"/>
      <c r="U159" s="421"/>
      <c r="V159" s="421"/>
      <c r="W159" s="421"/>
      <c r="X159" s="421"/>
      <c r="Y159" s="421"/>
      <c r="Z159" s="421"/>
      <c r="AA159" s="421"/>
      <c r="AB159" s="421"/>
      <c r="AC159" s="421"/>
      <c r="AD159" s="421"/>
      <c r="AE159" s="421"/>
      <c r="AF159" s="421"/>
      <c r="AG159" s="421"/>
      <c r="AH159" s="421"/>
      <c r="AI159" s="421"/>
      <c r="AJ159" s="421"/>
      <c r="AK159" s="421"/>
      <c r="AL159" s="421"/>
      <c r="AM159" s="422"/>
      <c r="AN159" s="422"/>
      <c r="AO159" s="422"/>
      <c r="AP159" s="422"/>
      <c r="AQ159" s="422"/>
      <c r="AR159" s="422"/>
      <c r="AS159" s="422"/>
      <c r="AT159" s="422"/>
      <c r="AU159" s="422"/>
      <c r="AV159" s="422"/>
      <c r="AW159" s="422"/>
      <c r="AX159" s="422"/>
      <c r="AY159" s="422"/>
    </row>
    <row r="160" spans="1:51" x14ac:dyDescent="0.25">
      <c r="A160" s="3"/>
      <c r="B160" s="3"/>
      <c r="C160" s="3"/>
      <c r="D160" s="3"/>
      <c r="E160" s="3"/>
      <c r="F160" s="3"/>
      <c r="G160" s="3"/>
      <c r="H160" s="3"/>
      <c r="I160" s="3"/>
      <c r="J160" s="13"/>
      <c r="K160" s="13"/>
      <c r="L160" s="13"/>
      <c r="M160" s="13"/>
      <c r="N160" s="13"/>
      <c r="O160" s="13"/>
      <c r="P160" s="13"/>
      <c r="Q160" s="13"/>
      <c r="R160" s="13"/>
      <c r="S160" s="421"/>
      <c r="T160" s="421"/>
      <c r="U160" s="421"/>
      <c r="V160" s="421"/>
      <c r="W160" s="421"/>
      <c r="X160" s="421"/>
      <c r="Y160" s="421"/>
      <c r="Z160" s="421"/>
      <c r="AA160" s="421"/>
      <c r="AB160" s="421"/>
      <c r="AC160" s="421"/>
      <c r="AD160" s="421"/>
      <c r="AE160" s="421"/>
      <c r="AF160" s="421"/>
      <c r="AG160" s="421"/>
      <c r="AH160" s="421"/>
      <c r="AI160" s="421"/>
      <c r="AJ160" s="421"/>
      <c r="AK160" s="421"/>
      <c r="AL160" s="421"/>
      <c r="AM160" s="422"/>
      <c r="AN160" s="422"/>
      <c r="AO160" s="422"/>
      <c r="AP160" s="422"/>
      <c r="AQ160" s="422"/>
      <c r="AR160" s="422"/>
      <c r="AS160" s="422"/>
      <c r="AT160" s="422"/>
      <c r="AU160" s="422"/>
      <c r="AV160" s="422"/>
      <c r="AW160" s="422"/>
      <c r="AX160" s="422"/>
      <c r="AY160" s="422"/>
    </row>
    <row r="161" spans="1:51" x14ac:dyDescent="0.25">
      <c r="A161" s="3"/>
      <c r="B161" s="3"/>
      <c r="C161" s="3"/>
      <c r="D161" s="3"/>
      <c r="E161" s="3"/>
      <c r="F161" s="3"/>
      <c r="G161" s="3"/>
      <c r="H161" s="3"/>
      <c r="I161" s="3"/>
      <c r="J161" s="13"/>
      <c r="K161" s="13"/>
      <c r="L161" s="13"/>
      <c r="M161" s="13"/>
      <c r="N161" s="13"/>
      <c r="O161" s="13"/>
      <c r="P161" s="13"/>
      <c r="Q161" s="13"/>
      <c r="R161" s="13"/>
      <c r="S161" s="421"/>
      <c r="T161" s="421"/>
      <c r="U161" s="421"/>
      <c r="V161" s="421"/>
      <c r="W161" s="421"/>
      <c r="X161" s="421"/>
      <c r="Y161" s="421"/>
      <c r="Z161" s="421"/>
      <c r="AA161" s="421"/>
      <c r="AB161" s="421"/>
      <c r="AC161" s="421"/>
      <c r="AD161" s="421"/>
      <c r="AE161" s="421"/>
      <c r="AF161" s="421"/>
      <c r="AG161" s="421"/>
      <c r="AH161" s="421"/>
      <c r="AI161" s="421"/>
      <c r="AJ161" s="421"/>
      <c r="AK161" s="421"/>
      <c r="AL161" s="421"/>
      <c r="AM161" s="422"/>
      <c r="AN161" s="422"/>
      <c r="AO161" s="422"/>
      <c r="AP161" s="422"/>
      <c r="AQ161" s="422"/>
      <c r="AR161" s="422"/>
      <c r="AS161" s="422"/>
      <c r="AT161" s="422"/>
      <c r="AU161" s="422"/>
      <c r="AV161" s="422"/>
      <c r="AW161" s="422"/>
      <c r="AX161" s="422"/>
      <c r="AY161" s="422"/>
    </row>
    <row r="162" spans="1:51" x14ac:dyDescent="0.25">
      <c r="A162" s="3"/>
      <c r="B162" s="3"/>
      <c r="C162" s="3"/>
      <c r="D162" s="3"/>
      <c r="E162" s="3"/>
      <c r="F162" s="3"/>
      <c r="G162" s="3"/>
      <c r="H162" s="3"/>
      <c r="I162" s="3"/>
      <c r="J162" s="13"/>
      <c r="K162" s="13"/>
      <c r="L162" s="13"/>
      <c r="M162" s="13"/>
      <c r="N162" s="13"/>
      <c r="O162" s="13"/>
      <c r="P162" s="13"/>
      <c r="Q162" s="13"/>
      <c r="R162" s="13"/>
      <c r="S162" s="421"/>
      <c r="T162" s="421"/>
      <c r="U162" s="421"/>
      <c r="V162" s="421"/>
      <c r="W162" s="421"/>
      <c r="X162" s="421"/>
      <c r="Y162" s="421"/>
      <c r="Z162" s="421"/>
      <c r="AA162" s="421"/>
      <c r="AB162" s="421"/>
      <c r="AC162" s="421"/>
      <c r="AD162" s="421"/>
      <c r="AE162" s="421"/>
      <c r="AF162" s="421"/>
      <c r="AG162" s="421"/>
      <c r="AH162" s="421"/>
      <c r="AI162" s="421"/>
      <c r="AJ162" s="421"/>
      <c r="AK162" s="421"/>
      <c r="AL162" s="421"/>
      <c r="AM162" s="422"/>
      <c r="AN162" s="422"/>
      <c r="AO162" s="422"/>
      <c r="AP162" s="422"/>
      <c r="AQ162" s="422"/>
      <c r="AR162" s="422"/>
      <c r="AS162" s="422"/>
      <c r="AT162" s="422"/>
      <c r="AU162" s="422"/>
      <c r="AV162" s="422"/>
      <c r="AW162" s="422"/>
      <c r="AX162" s="422"/>
      <c r="AY162" s="422"/>
    </row>
    <row r="163" spans="1:51" x14ac:dyDescent="0.25">
      <c r="A163" s="3"/>
      <c r="B163" s="3"/>
      <c r="C163" s="3"/>
      <c r="D163" s="3"/>
      <c r="E163" s="3"/>
      <c r="F163" s="3"/>
      <c r="G163" s="3"/>
      <c r="H163" s="3"/>
      <c r="I163" s="3"/>
      <c r="J163" s="13"/>
      <c r="K163" s="13"/>
      <c r="L163" s="13"/>
      <c r="M163" s="13"/>
      <c r="N163" s="13"/>
      <c r="O163" s="13"/>
      <c r="P163" s="13"/>
      <c r="Q163" s="13"/>
      <c r="R163" s="13"/>
      <c r="S163" s="421"/>
      <c r="T163" s="421"/>
      <c r="U163" s="421"/>
      <c r="V163" s="421"/>
      <c r="W163" s="421"/>
      <c r="X163" s="421"/>
      <c r="Y163" s="421"/>
      <c r="Z163" s="421"/>
      <c r="AA163" s="421"/>
      <c r="AB163" s="421"/>
      <c r="AC163" s="421"/>
      <c r="AD163" s="421"/>
      <c r="AE163" s="421"/>
      <c r="AF163" s="421"/>
      <c r="AG163" s="421"/>
      <c r="AH163" s="421"/>
      <c r="AI163" s="421"/>
      <c r="AJ163" s="421"/>
      <c r="AK163" s="421"/>
      <c r="AL163" s="421"/>
      <c r="AM163" s="422"/>
      <c r="AN163" s="422"/>
      <c r="AO163" s="422"/>
      <c r="AP163" s="422"/>
      <c r="AQ163" s="422"/>
      <c r="AR163" s="422"/>
      <c r="AS163" s="422"/>
      <c r="AT163" s="422"/>
      <c r="AU163" s="422"/>
      <c r="AV163" s="422"/>
      <c r="AW163" s="422"/>
      <c r="AX163" s="422"/>
      <c r="AY163" s="422"/>
    </row>
    <row r="164" spans="1:51" x14ac:dyDescent="0.25">
      <c r="A164" s="3"/>
      <c r="B164" s="3"/>
      <c r="C164" s="3"/>
      <c r="D164" s="3"/>
      <c r="E164" s="3"/>
      <c r="F164" s="3"/>
      <c r="G164" s="3"/>
      <c r="H164" s="3"/>
      <c r="I164" s="3"/>
      <c r="J164" s="13"/>
      <c r="K164" s="13"/>
      <c r="L164" s="13"/>
      <c r="M164" s="13"/>
      <c r="N164" s="13"/>
      <c r="O164" s="13"/>
      <c r="P164" s="13"/>
      <c r="Q164" s="13"/>
      <c r="R164" s="13"/>
      <c r="S164" s="421"/>
      <c r="T164" s="421"/>
      <c r="U164" s="421"/>
      <c r="V164" s="421"/>
      <c r="W164" s="421"/>
      <c r="X164" s="421"/>
      <c r="Y164" s="421"/>
      <c r="Z164" s="421"/>
      <c r="AA164" s="421"/>
      <c r="AB164" s="421"/>
      <c r="AC164" s="421"/>
      <c r="AD164" s="421"/>
      <c r="AE164" s="421"/>
      <c r="AF164" s="421"/>
      <c r="AG164" s="421"/>
      <c r="AH164" s="421"/>
      <c r="AI164" s="421"/>
      <c r="AJ164" s="421"/>
      <c r="AK164" s="421"/>
      <c r="AL164" s="421"/>
      <c r="AM164" s="422"/>
      <c r="AN164" s="422"/>
      <c r="AO164" s="422"/>
      <c r="AP164" s="422"/>
      <c r="AQ164" s="422"/>
      <c r="AR164" s="422"/>
      <c r="AS164" s="422"/>
      <c r="AT164" s="422"/>
      <c r="AU164" s="422"/>
      <c r="AV164" s="422"/>
      <c r="AW164" s="422"/>
      <c r="AX164" s="422"/>
      <c r="AY164" s="422"/>
    </row>
    <row r="165" spans="1:51" x14ac:dyDescent="0.25">
      <c r="A165" s="3"/>
      <c r="B165" s="3"/>
      <c r="C165" s="3"/>
      <c r="D165" s="3"/>
      <c r="E165" s="3"/>
      <c r="F165" s="3"/>
      <c r="G165" s="3"/>
      <c r="H165" s="3"/>
      <c r="I165" s="3"/>
      <c r="J165" s="13"/>
      <c r="K165" s="13"/>
      <c r="L165" s="13"/>
      <c r="M165" s="13"/>
      <c r="N165" s="13"/>
      <c r="O165" s="13"/>
      <c r="P165" s="13"/>
      <c r="Q165" s="13"/>
      <c r="R165" s="13"/>
      <c r="S165" s="421"/>
      <c r="T165" s="421"/>
      <c r="U165" s="421"/>
      <c r="V165" s="421"/>
      <c r="W165" s="421"/>
      <c r="X165" s="421"/>
      <c r="Y165" s="421"/>
      <c r="Z165" s="421"/>
      <c r="AA165" s="421"/>
      <c r="AB165" s="421"/>
      <c r="AC165" s="421"/>
      <c r="AD165" s="421"/>
      <c r="AE165" s="421"/>
      <c r="AF165" s="421"/>
      <c r="AG165" s="421"/>
      <c r="AH165" s="421"/>
      <c r="AI165" s="421"/>
      <c r="AJ165" s="421"/>
      <c r="AK165" s="421"/>
      <c r="AL165" s="421"/>
      <c r="AM165" s="422"/>
      <c r="AN165" s="422"/>
      <c r="AO165" s="422"/>
      <c r="AP165" s="422"/>
      <c r="AQ165" s="422"/>
      <c r="AR165" s="422"/>
      <c r="AS165" s="422"/>
      <c r="AT165" s="422"/>
      <c r="AU165" s="422"/>
      <c r="AV165" s="422"/>
      <c r="AW165" s="422"/>
      <c r="AX165" s="422"/>
      <c r="AY165" s="422"/>
    </row>
    <row r="166" spans="1:51" x14ac:dyDescent="0.25">
      <c r="A166" s="3"/>
      <c r="B166" s="3"/>
      <c r="C166" s="3"/>
      <c r="D166" s="3"/>
      <c r="E166" s="3"/>
      <c r="F166" s="3"/>
      <c r="G166" s="3"/>
      <c r="H166" s="3"/>
      <c r="I166" s="3"/>
      <c r="J166" s="13"/>
      <c r="K166" s="13"/>
      <c r="L166" s="13"/>
      <c r="M166" s="13"/>
      <c r="N166" s="13"/>
      <c r="O166" s="13"/>
      <c r="P166" s="13"/>
      <c r="Q166" s="13"/>
      <c r="R166" s="13"/>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2"/>
      <c r="AN166" s="422"/>
      <c r="AO166" s="422"/>
      <c r="AP166" s="422"/>
      <c r="AQ166" s="422"/>
      <c r="AR166" s="422"/>
      <c r="AS166" s="422"/>
      <c r="AT166" s="422"/>
      <c r="AU166" s="422"/>
      <c r="AV166" s="422"/>
      <c r="AW166" s="422"/>
      <c r="AX166" s="422"/>
      <c r="AY166" s="422"/>
    </row>
    <row r="167" spans="1:51" x14ac:dyDescent="0.25">
      <c r="A167" s="3"/>
      <c r="B167" s="3"/>
      <c r="C167" s="3"/>
      <c r="D167" s="3"/>
      <c r="E167" s="3"/>
      <c r="F167" s="3"/>
      <c r="G167" s="3"/>
      <c r="H167" s="3"/>
      <c r="I167" s="3"/>
      <c r="J167" s="13"/>
      <c r="K167" s="13"/>
      <c r="L167" s="13"/>
      <c r="M167" s="13"/>
      <c r="N167" s="13"/>
      <c r="O167" s="13"/>
      <c r="P167" s="13"/>
      <c r="Q167" s="13"/>
      <c r="R167" s="13"/>
      <c r="S167" s="421"/>
      <c r="T167" s="421"/>
      <c r="U167" s="421"/>
      <c r="V167" s="421"/>
      <c r="W167" s="421"/>
      <c r="X167" s="421"/>
      <c r="Y167" s="421"/>
      <c r="Z167" s="421"/>
      <c r="AA167" s="421"/>
      <c r="AB167" s="421"/>
      <c r="AC167" s="421"/>
      <c r="AD167" s="421"/>
      <c r="AE167" s="421"/>
      <c r="AF167" s="421"/>
      <c r="AG167" s="421"/>
      <c r="AH167" s="421"/>
      <c r="AI167" s="421"/>
      <c r="AJ167" s="421"/>
      <c r="AK167" s="421"/>
      <c r="AL167" s="421"/>
      <c r="AM167" s="422"/>
      <c r="AN167" s="422"/>
      <c r="AO167" s="422"/>
      <c r="AP167" s="422"/>
      <c r="AQ167" s="422"/>
      <c r="AR167" s="422"/>
      <c r="AS167" s="422"/>
      <c r="AT167" s="422"/>
      <c r="AU167" s="422"/>
      <c r="AV167" s="422"/>
      <c r="AW167" s="422"/>
      <c r="AX167" s="422"/>
      <c r="AY167" s="422"/>
    </row>
    <row r="168" spans="1:51" x14ac:dyDescent="0.25">
      <c r="A168" s="3"/>
      <c r="B168" s="3"/>
      <c r="C168" s="3"/>
      <c r="D168" s="3"/>
      <c r="E168" s="3"/>
      <c r="F168" s="3"/>
      <c r="G168" s="3"/>
      <c r="H168" s="3"/>
      <c r="I168" s="3"/>
      <c r="J168" s="13"/>
      <c r="K168" s="13"/>
      <c r="L168" s="13"/>
      <c r="M168" s="13"/>
      <c r="N168" s="13"/>
      <c r="O168" s="13"/>
      <c r="P168" s="13"/>
      <c r="Q168" s="13"/>
      <c r="R168" s="13"/>
      <c r="S168" s="421"/>
      <c r="T168" s="421"/>
      <c r="U168" s="421"/>
      <c r="V168" s="421"/>
      <c r="W168" s="421"/>
      <c r="X168" s="421"/>
      <c r="Y168" s="421"/>
      <c r="Z168" s="421"/>
      <c r="AA168" s="421"/>
      <c r="AB168" s="421"/>
      <c r="AC168" s="421"/>
      <c r="AD168" s="421"/>
      <c r="AE168" s="421"/>
      <c r="AF168" s="421"/>
      <c r="AG168" s="421"/>
      <c r="AH168" s="421"/>
      <c r="AI168" s="421"/>
      <c r="AJ168" s="421"/>
      <c r="AK168" s="421"/>
      <c r="AL168" s="421"/>
      <c r="AM168" s="422"/>
      <c r="AN168" s="422"/>
      <c r="AO168" s="422"/>
      <c r="AP168" s="422"/>
      <c r="AQ168" s="422"/>
      <c r="AR168" s="422"/>
      <c r="AS168" s="422"/>
      <c r="AT168" s="422"/>
      <c r="AU168" s="422"/>
      <c r="AV168" s="422"/>
      <c r="AW168" s="422"/>
      <c r="AX168" s="422"/>
      <c r="AY168" s="422"/>
    </row>
    <row r="169" spans="1:51" x14ac:dyDescent="0.25">
      <c r="A169" s="3"/>
      <c r="B169" s="3"/>
      <c r="C169" s="3"/>
      <c r="D169" s="3"/>
      <c r="E169" s="3"/>
      <c r="F169" s="3"/>
      <c r="G169" s="3"/>
      <c r="H169" s="3"/>
      <c r="I169" s="3"/>
      <c r="J169" s="13"/>
      <c r="K169" s="13"/>
      <c r="L169" s="13"/>
      <c r="M169" s="13"/>
      <c r="N169" s="13"/>
      <c r="O169" s="13"/>
      <c r="P169" s="13"/>
      <c r="Q169" s="13"/>
      <c r="R169" s="13"/>
      <c r="S169" s="421"/>
      <c r="T169" s="421"/>
      <c r="U169" s="421"/>
      <c r="V169" s="421"/>
      <c r="W169" s="421"/>
      <c r="X169" s="421"/>
      <c r="Y169" s="421"/>
      <c r="Z169" s="421"/>
      <c r="AA169" s="421"/>
      <c r="AB169" s="421"/>
      <c r="AC169" s="421"/>
      <c r="AD169" s="421"/>
      <c r="AE169" s="421"/>
      <c r="AF169" s="421"/>
      <c r="AG169" s="421"/>
      <c r="AH169" s="421"/>
      <c r="AI169" s="421"/>
      <c r="AJ169" s="421"/>
      <c r="AK169" s="421"/>
      <c r="AL169" s="421"/>
      <c r="AM169" s="422"/>
      <c r="AN169" s="422"/>
      <c r="AO169" s="422"/>
      <c r="AP169" s="422"/>
      <c r="AQ169" s="422"/>
      <c r="AR169" s="422"/>
      <c r="AS169" s="422"/>
      <c r="AT169" s="422"/>
      <c r="AU169" s="422"/>
      <c r="AV169" s="422"/>
      <c r="AW169" s="422"/>
      <c r="AX169" s="422"/>
      <c r="AY169" s="422"/>
    </row>
    <row r="170" spans="1:51" x14ac:dyDescent="0.25">
      <c r="A170" s="3"/>
      <c r="B170" s="3"/>
      <c r="C170" s="3"/>
      <c r="D170" s="3"/>
      <c r="E170" s="3"/>
      <c r="F170" s="3"/>
      <c r="G170" s="3"/>
      <c r="H170" s="3"/>
      <c r="I170" s="3"/>
      <c r="J170" s="13"/>
      <c r="K170" s="13"/>
      <c r="L170" s="13"/>
      <c r="M170" s="13"/>
      <c r="N170" s="13"/>
      <c r="O170" s="13"/>
      <c r="P170" s="13"/>
      <c r="Q170" s="13"/>
      <c r="R170" s="13"/>
      <c r="S170" s="421"/>
      <c r="T170" s="421"/>
      <c r="U170" s="421"/>
      <c r="V170" s="421"/>
      <c r="W170" s="421"/>
      <c r="X170" s="421"/>
      <c r="Y170" s="421"/>
      <c r="Z170" s="421"/>
      <c r="AA170" s="421"/>
      <c r="AB170" s="421"/>
      <c r="AC170" s="421"/>
      <c r="AD170" s="421"/>
      <c r="AE170" s="421"/>
      <c r="AF170" s="421"/>
      <c r="AG170" s="421"/>
      <c r="AH170" s="421"/>
      <c r="AI170" s="421"/>
      <c r="AJ170" s="421"/>
      <c r="AK170" s="421"/>
      <c r="AL170" s="421"/>
      <c r="AM170" s="422"/>
      <c r="AN170" s="422"/>
      <c r="AO170" s="422"/>
      <c r="AP170" s="422"/>
      <c r="AQ170" s="422"/>
      <c r="AR170" s="422"/>
      <c r="AS170" s="422"/>
      <c r="AT170" s="422"/>
      <c r="AU170" s="422"/>
      <c r="AV170" s="422"/>
      <c r="AW170" s="422"/>
      <c r="AX170" s="422"/>
      <c r="AY170" s="422"/>
    </row>
    <row r="171" spans="1:51" x14ac:dyDescent="0.25">
      <c r="A171" s="3"/>
      <c r="B171" s="3"/>
      <c r="C171" s="3"/>
      <c r="D171" s="3"/>
      <c r="E171" s="3"/>
      <c r="F171" s="3"/>
      <c r="G171" s="3"/>
      <c r="H171" s="3"/>
      <c r="I171" s="3"/>
      <c r="J171" s="13"/>
      <c r="K171" s="13"/>
      <c r="L171" s="13"/>
      <c r="M171" s="13"/>
      <c r="N171" s="13"/>
      <c r="O171" s="13"/>
      <c r="P171" s="13"/>
      <c r="Q171" s="13"/>
      <c r="R171" s="13"/>
      <c r="S171" s="421"/>
      <c r="T171" s="421"/>
      <c r="U171" s="421"/>
      <c r="V171" s="421"/>
      <c r="W171" s="421"/>
      <c r="X171" s="421"/>
      <c r="Y171" s="421"/>
      <c r="Z171" s="421"/>
      <c r="AA171" s="421"/>
      <c r="AB171" s="421"/>
      <c r="AC171" s="421"/>
      <c r="AD171" s="421"/>
      <c r="AE171" s="421"/>
      <c r="AF171" s="421"/>
      <c r="AG171" s="421"/>
      <c r="AH171" s="421"/>
      <c r="AI171" s="421"/>
      <c r="AJ171" s="421"/>
      <c r="AK171" s="421"/>
      <c r="AL171" s="421"/>
      <c r="AM171" s="422"/>
      <c r="AN171" s="422"/>
      <c r="AO171" s="422"/>
      <c r="AP171" s="422"/>
      <c r="AQ171" s="422"/>
      <c r="AR171" s="422"/>
      <c r="AS171" s="422"/>
      <c r="AT171" s="422"/>
      <c r="AU171" s="422"/>
      <c r="AV171" s="422"/>
      <c r="AW171" s="422"/>
      <c r="AX171" s="422"/>
      <c r="AY171" s="422"/>
    </row>
    <row r="172" spans="1:51" x14ac:dyDescent="0.25">
      <c r="A172" s="3"/>
      <c r="B172" s="3"/>
      <c r="C172" s="3"/>
      <c r="D172" s="3"/>
      <c r="E172" s="3"/>
      <c r="F172" s="3"/>
      <c r="G172" s="3"/>
      <c r="H172" s="3"/>
      <c r="I172" s="3"/>
      <c r="J172" s="13"/>
      <c r="K172" s="13"/>
      <c r="L172" s="13"/>
      <c r="M172" s="13"/>
      <c r="N172" s="13"/>
      <c r="O172" s="13"/>
      <c r="P172" s="13"/>
      <c r="Q172" s="13"/>
      <c r="R172" s="13"/>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2"/>
      <c r="AN172" s="422"/>
      <c r="AO172" s="422"/>
      <c r="AP172" s="422"/>
      <c r="AQ172" s="422"/>
      <c r="AR172" s="422"/>
      <c r="AS172" s="422"/>
      <c r="AT172" s="422"/>
      <c r="AU172" s="422"/>
      <c r="AV172" s="422"/>
      <c r="AW172" s="422"/>
      <c r="AX172" s="422"/>
      <c r="AY172" s="422"/>
    </row>
    <row r="173" spans="1:51" x14ac:dyDescent="0.25">
      <c r="A173" s="3"/>
      <c r="B173" s="3"/>
      <c r="C173" s="3"/>
      <c r="D173" s="3"/>
      <c r="E173" s="3"/>
      <c r="F173" s="3"/>
      <c r="G173" s="3"/>
      <c r="H173" s="3"/>
      <c r="I173" s="3"/>
      <c r="J173" s="13"/>
      <c r="K173" s="13"/>
      <c r="L173" s="13"/>
      <c r="M173" s="13"/>
      <c r="N173" s="13"/>
      <c r="O173" s="13"/>
      <c r="P173" s="13"/>
      <c r="Q173" s="13"/>
      <c r="R173" s="13"/>
      <c r="S173" s="421"/>
      <c r="T173" s="421"/>
      <c r="U173" s="421"/>
      <c r="V173" s="421"/>
      <c r="W173" s="421"/>
      <c r="X173" s="421"/>
      <c r="Y173" s="421"/>
      <c r="Z173" s="421"/>
      <c r="AA173" s="421"/>
      <c r="AB173" s="421"/>
      <c r="AC173" s="421"/>
      <c r="AD173" s="421"/>
      <c r="AE173" s="421"/>
      <c r="AF173" s="421"/>
      <c r="AG173" s="421"/>
      <c r="AH173" s="421"/>
      <c r="AI173" s="421"/>
      <c r="AJ173" s="421"/>
      <c r="AK173" s="421"/>
      <c r="AL173" s="421"/>
      <c r="AM173" s="422"/>
      <c r="AN173" s="422"/>
      <c r="AO173" s="422"/>
      <c r="AP173" s="422"/>
      <c r="AQ173" s="422"/>
      <c r="AR173" s="422"/>
      <c r="AS173" s="422"/>
      <c r="AT173" s="422"/>
      <c r="AU173" s="422"/>
      <c r="AV173" s="422"/>
      <c r="AW173" s="422"/>
      <c r="AX173" s="422"/>
      <c r="AY173" s="422"/>
    </row>
    <row r="174" spans="1:51" x14ac:dyDescent="0.25">
      <c r="A174" s="3"/>
      <c r="B174" s="3"/>
      <c r="C174" s="3"/>
      <c r="D174" s="3"/>
      <c r="E174" s="3"/>
      <c r="F174" s="3"/>
      <c r="G174" s="3"/>
      <c r="H174" s="3"/>
      <c r="I174" s="3"/>
      <c r="J174" s="13"/>
      <c r="K174" s="13"/>
      <c r="L174" s="13"/>
      <c r="M174" s="13"/>
      <c r="N174" s="13"/>
      <c r="O174" s="13"/>
      <c r="P174" s="13"/>
      <c r="Q174" s="13"/>
      <c r="R174" s="13"/>
      <c r="S174" s="421"/>
      <c r="T174" s="421"/>
      <c r="U174" s="421"/>
      <c r="V174" s="421"/>
      <c r="W174" s="421"/>
      <c r="X174" s="421"/>
      <c r="Y174" s="421"/>
      <c r="Z174" s="421"/>
      <c r="AA174" s="421"/>
      <c r="AB174" s="421"/>
      <c r="AC174" s="421"/>
      <c r="AD174" s="421"/>
      <c r="AE174" s="421"/>
      <c r="AF174" s="421"/>
      <c r="AG174" s="421"/>
      <c r="AH174" s="421"/>
      <c r="AI174" s="421"/>
      <c r="AJ174" s="421"/>
      <c r="AK174" s="421"/>
      <c r="AL174" s="421"/>
      <c r="AM174" s="422"/>
      <c r="AN174" s="422"/>
      <c r="AO174" s="422"/>
      <c r="AP174" s="422"/>
      <c r="AQ174" s="422"/>
      <c r="AR174" s="422"/>
      <c r="AS174" s="422"/>
      <c r="AT174" s="422"/>
      <c r="AU174" s="422"/>
      <c r="AV174" s="422"/>
      <c r="AW174" s="422"/>
      <c r="AX174" s="422"/>
      <c r="AY174" s="422"/>
    </row>
    <row r="175" spans="1:51" x14ac:dyDescent="0.25">
      <c r="A175" s="3"/>
      <c r="B175" s="3"/>
      <c r="C175" s="3"/>
      <c r="D175" s="3"/>
      <c r="E175" s="3"/>
      <c r="F175" s="3"/>
      <c r="G175" s="3"/>
      <c r="H175" s="3"/>
      <c r="I175" s="3"/>
      <c r="J175" s="13"/>
      <c r="K175" s="13"/>
      <c r="L175" s="13"/>
      <c r="M175" s="13"/>
      <c r="N175" s="13"/>
      <c r="O175" s="13"/>
      <c r="P175" s="13"/>
      <c r="Q175" s="13"/>
      <c r="R175" s="13"/>
      <c r="S175" s="421"/>
      <c r="T175" s="421"/>
      <c r="U175" s="421"/>
      <c r="V175" s="421"/>
      <c r="W175" s="421"/>
      <c r="X175" s="421"/>
      <c r="Y175" s="421"/>
      <c r="Z175" s="421"/>
      <c r="AA175" s="421"/>
      <c r="AB175" s="421"/>
      <c r="AC175" s="421"/>
      <c r="AD175" s="421"/>
      <c r="AE175" s="421"/>
      <c r="AF175" s="421"/>
      <c r="AG175" s="421"/>
      <c r="AH175" s="421"/>
      <c r="AI175" s="421"/>
      <c r="AJ175" s="421"/>
      <c r="AK175" s="421"/>
      <c r="AL175" s="421"/>
      <c r="AM175" s="422"/>
      <c r="AN175" s="422"/>
      <c r="AO175" s="422"/>
      <c r="AP175" s="422"/>
      <c r="AQ175" s="422"/>
      <c r="AR175" s="422"/>
      <c r="AS175" s="422"/>
      <c r="AT175" s="422"/>
      <c r="AU175" s="422"/>
      <c r="AV175" s="422"/>
      <c r="AW175" s="422"/>
      <c r="AX175" s="422"/>
      <c r="AY175" s="422"/>
    </row>
    <row r="176" spans="1:51" x14ac:dyDescent="0.25">
      <c r="A176" s="3"/>
      <c r="B176" s="3"/>
      <c r="C176" s="3"/>
      <c r="D176" s="3"/>
      <c r="E176" s="3"/>
      <c r="F176" s="3"/>
      <c r="G176" s="3"/>
      <c r="H176" s="3"/>
      <c r="I176" s="3"/>
      <c r="J176" s="13"/>
      <c r="K176" s="13"/>
      <c r="L176" s="13"/>
      <c r="M176" s="13"/>
      <c r="N176" s="13"/>
      <c r="O176" s="13"/>
      <c r="P176" s="13"/>
      <c r="Q176" s="13"/>
      <c r="R176" s="13"/>
      <c r="S176" s="421"/>
      <c r="T176" s="421"/>
      <c r="U176" s="421"/>
      <c r="V176" s="421"/>
      <c r="W176" s="421"/>
      <c r="X176" s="421"/>
      <c r="Y176" s="421"/>
      <c r="Z176" s="421"/>
      <c r="AA176" s="421"/>
      <c r="AB176" s="421"/>
      <c r="AC176" s="421"/>
      <c r="AD176" s="421"/>
      <c r="AE176" s="421"/>
      <c r="AF176" s="421"/>
      <c r="AG176" s="421"/>
      <c r="AH176" s="421"/>
      <c r="AI176" s="421"/>
      <c r="AJ176" s="421"/>
      <c r="AK176" s="421"/>
      <c r="AL176" s="421"/>
      <c r="AM176" s="422"/>
      <c r="AN176" s="422"/>
      <c r="AO176" s="422"/>
      <c r="AP176" s="422"/>
      <c r="AQ176" s="422"/>
      <c r="AR176" s="422"/>
      <c r="AS176" s="422"/>
      <c r="AT176" s="422"/>
      <c r="AU176" s="422"/>
      <c r="AV176" s="422"/>
      <c r="AW176" s="422"/>
      <c r="AX176" s="422"/>
      <c r="AY176" s="422"/>
    </row>
    <row r="177" spans="1:51" x14ac:dyDescent="0.25">
      <c r="A177" s="3"/>
      <c r="B177" s="3"/>
      <c r="C177" s="3"/>
      <c r="D177" s="3"/>
      <c r="E177" s="3"/>
      <c r="F177" s="3"/>
      <c r="G177" s="3"/>
      <c r="H177" s="3"/>
      <c r="I177" s="3"/>
      <c r="J177" s="13"/>
      <c r="K177" s="13"/>
      <c r="L177" s="13"/>
      <c r="M177" s="13"/>
      <c r="N177" s="13"/>
      <c r="O177" s="13"/>
      <c r="P177" s="13"/>
      <c r="Q177" s="13"/>
      <c r="R177" s="13"/>
      <c r="S177" s="421"/>
      <c r="T177" s="421"/>
      <c r="U177" s="421"/>
      <c r="V177" s="421"/>
      <c r="W177" s="421"/>
      <c r="X177" s="421"/>
      <c r="Y177" s="421"/>
      <c r="Z177" s="421"/>
      <c r="AA177" s="421"/>
      <c r="AB177" s="421"/>
      <c r="AC177" s="421"/>
      <c r="AD177" s="421"/>
      <c r="AE177" s="421"/>
      <c r="AF177" s="421"/>
      <c r="AG177" s="421"/>
      <c r="AH177" s="421"/>
      <c r="AI177" s="421"/>
      <c r="AJ177" s="421"/>
      <c r="AK177" s="421"/>
      <c r="AL177" s="421"/>
      <c r="AM177" s="422"/>
      <c r="AN177" s="422"/>
      <c r="AO177" s="422"/>
      <c r="AP177" s="422"/>
      <c r="AQ177" s="422"/>
      <c r="AR177" s="422"/>
      <c r="AS177" s="422"/>
      <c r="AT177" s="422"/>
      <c r="AU177" s="422"/>
      <c r="AV177" s="422"/>
      <c r="AW177" s="422"/>
      <c r="AX177" s="422"/>
      <c r="AY177" s="422"/>
    </row>
    <row r="178" spans="1:51" x14ac:dyDescent="0.25">
      <c r="A178" s="3"/>
      <c r="B178" s="3"/>
      <c r="C178" s="3"/>
      <c r="D178" s="3"/>
      <c r="E178" s="3"/>
      <c r="F178" s="3"/>
      <c r="G178" s="3"/>
      <c r="H178" s="3"/>
      <c r="I178" s="3"/>
      <c r="J178" s="13"/>
      <c r="K178" s="13"/>
      <c r="L178" s="13"/>
      <c r="M178" s="13"/>
      <c r="N178" s="13"/>
      <c r="O178" s="13"/>
      <c r="P178" s="13"/>
      <c r="Q178" s="13"/>
      <c r="R178" s="13"/>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2"/>
      <c r="AN178" s="422"/>
      <c r="AO178" s="422"/>
      <c r="AP178" s="422"/>
      <c r="AQ178" s="422"/>
      <c r="AR178" s="422"/>
      <c r="AS178" s="422"/>
      <c r="AT178" s="422"/>
      <c r="AU178" s="422"/>
      <c r="AV178" s="422"/>
      <c r="AW178" s="422"/>
      <c r="AX178" s="422"/>
      <c r="AY178" s="422"/>
    </row>
    <row r="179" spans="1:51" x14ac:dyDescent="0.25">
      <c r="A179" s="3"/>
      <c r="B179" s="3"/>
      <c r="C179" s="3"/>
      <c r="D179" s="3"/>
      <c r="E179" s="3"/>
      <c r="F179" s="3"/>
      <c r="G179" s="3"/>
      <c r="H179" s="3"/>
      <c r="I179" s="3"/>
      <c r="J179" s="13"/>
      <c r="K179" s="13"/>
      <c r="L179" s="13"/>
      <c r="M179" s="13"/>
      <c r="N179" s="13"/>
      <c r="O179" s="13"/>
      <c r="P179" s="13"/>
      <c r="Q179" s="13"/>
      <c r="R179" s="13"/>
      <c r="S179" s="421"/>
      <c r="T179" s="421"/>
      <c r="U179" s="421"/>
      <c r="V179" s="421"/>
      <c r="W179" s="421"/>
      <c r="X179" s="421"/>
      <c r="Y179" s="421"/>
      <c r="Z179" s="421"/>
      <c r="AA179" s="421"/>
      <c r="AB179" s="421"/>
      <c r="AC179" s="421"/>
      <c r="AD179" s="421"/>
      <c r="AE179" s="421"/>
      <c r="AF179" s="421"/>
      <c r="AG179" s="421"/>
      <c r="AH179" s="421"/>
      <c r="AI179" s="421"/>
      <c r="AJ179" s="421"/>
      <c r="AK179" s="421"/>
      <c r="AL179" s="421"/>
      <c r="AM179" s="422"/>
      <c r="AN179" s="422"/>
      <c r="AO179" s="422"/>
      <c r="AP179" s="422"/>
      <c r="AQ179" s="422"/>
      <c r="AR179" s="422"/>
      <c r="AS179" s="422"/>
      <c r="AT179" s="422"/>
      <c r="AU179" s="422"/>
      <c r="AV179" s="422"/>
      <c r="AW179" s="422"/>
      <c r="AX179" s="422"/>
      <c r="AY179" s="422"/>
    </row>
    <row r="180" spans="1:51" x14ac:dyDescent="0.25">
      <c r="A180" s="3"/>
      <c r="B180" s="3"/>
      <c r="C180" s="3"/>
      <c r="D180" s="3"/>
      <c r="E180" s="3"/>
      <c r="F180" s="3"/>
      <c r="G180" s="3"/>
      <c r="H180" s="3"/>
      <c r="I180" s="3"/>
      <c r="J180" s="13"/>
      <c r="K180" s="13"/>
      <c r="L180" s="13"/>
      <c r="M180" s="13"/>
      <c r="N180" s="13"/>
      <c r="O180" s="13"/>
      <c r="P180" s="13"/>
      <c r="Q180" s="13"/>
      <c r="R180" s="13"/>
      <c r="S180" s="421"/>
      <c r="T180" s="421"/>
      <c r="U180" s="421"/>
      <c r="V180" s="421"/>
      <c r="W180" s="421"/>
      <c r="X180" s="421"/>
      <c r="Y180" s="421"/>
      <c r="Z180" s="421"/>
      <c r="AA180" s="421"/>
      <c r="AB180" s="421"/>
      <c r="AC180" s="421"/>
      <c r="AD180" s="421"/>
      <c r="AE180" s="421"/>
      <c r="AF180" s="421"/>
      <c r="AG180" s="421"/>
      <c r="AH180" s="421"/>
      <c r="AI180" s="421"/>
      <c r="AJ180" s="421"/>
      <c r="AK180" s="421"/>
      <c r="AL180" s="421"/>
      <c r="AM180" s="422"/>
      <c r="AN180" s="422"/>
      <c r="AO180" s="422"/>
      <c r="AP180" s="422"/>
      <c r="AQ180" s="422"/>
      <c r="AR180" s="422"/>
      <c r="AS180" s="422"/>
      <c r="AT180" s="422"/>
      <c r="AU180" s="422"/>
      <c r="AV180" s="422"/>
      <c r="AW180" s="422"/>
      <c r="AX180" s="422"/>
      <c r="AY180" s="422"/>
    </row>
    <row r="181" spans="1:51" x14ac:dyDescent="0.25">
      <c r="A181" s="3"/>
      <c r="B181" s="3"/>
      <c r="C181" s="3"/>
      <c r="D181" s="3"/>
      <c r="E181" s="3"/>
      <c r="F181" s="3"/>
      <c r="G181" s="3"/>
      <c r="H181" s="3"/>
      <c r="I181" s="3"/>
      <c r="J181" s="13"/>
      <c r="K181" s="13"/>
      <c r="L181" s="13"/>
      <c r="M181" s="13"/>
      <c r="N181" s="13"/>
      <c r="O181" s="13"/>
      <c r="P181" s="13"/>
      <c r="Q181" s="13"/>
      <c r="R181" s="13"/>
      <c r="S181" s="421"/>
      <c r="T181" s="421"/>
      <c r="U181" s="421"/>
      <c r="V181" s="421"/>
      <c r="W181" s="421"/>
      <c r="X181" s="421"/>
      <c r="Y181" s="421"/>
      <c r="Z181" s="421"/>
      <c r="AA181" s="421"/>
      <c r="AB181" s="421"/>
      <c r="AC181" s="421"/>
      <c r="AD181" s="421"/>
      <c r="AE181" s="421"/>
      <c r="AF181" s="421"/>
      <c r="AG181" s="421"/>
      <c r="AH181" s="421"/>
      <c r="AI181" s="421"/>
      <c r="AJ181" s="421"/>
      <c r="AK181" s="421"/>
      <c r="AL181" s="421"/>
      <c r="AM181" s="422"/>
      <c r="AN181" s="422"/>
      <c r="AO181" s="422"/>
      <c r="AP181" s="422"/>
      <c r="AQ181" s="422"/>
      <c r="AR181" s="422"/>
      <c r="AS181" s="422"/>
      <c r="AT181" s="422"/>
      <c r="AU181" s="422"/>
      <c r="AV181" s="422"/>
      <c r="AW181" s="422"/>
      <c r="AX181" s="422"/>
      <c r="AY181" s="422"/>
    </row>
    <row r="182" spans="1:51" x14ac:dyDescent="0.25">
      <c r="A182" s="3"/>
      <c r="B182" s="3"/>
      <c r="C182" s="3"/>
      <c r="D182" s="3"/>
      <c r="E182" s="3"/>
      <c r="F182" s="3"/>
      <c r="G182" s="3"/>
      <c r="H182" s="3"/>
      <c r="I182" s="3"/>
      <c r="J182" s="13"/>
      <c r="K182" s="13"/>
      <c r="L182" s="13"/>
      <c r="M182" s="13"/>
      <c r="N182" s="13"/>
      <c r="O182" s="13"/>
      <c r="P182" s="13"/>
      <c r="Q182" s="13"/>
      <c r="R182" s="13"/>
      <c r="S182" s="421"/>
      <c r="T182" s="421"/>
      <c r="U182" s="421"/>
      <c r="V182" s="421"/>
      <c r="W182" s="421"/>
      <c r="X182" s="421"/>
      <c r="Y182" s="421"/>
      <c r="Z182" s="421"/>
      <c r="AA182" s="421"/>
      <c r="AB182" s="421"/>
      <c r="AC182" s="421"/>
      <c r="AD182" s="421"/>
      <c r="AE182" s="421"/>
      <c r="AF182" s="421"/>
      <c r="AG182" s="421"/>
      <c r="AH182" s="421"/>
      <c r="AI182" s="421"/>
      <c r="AJ182" s="421"/>
      <c r="AK182" s="421"/>
      <c r="AL182" s="421"/>
      <c r="AM182" s="422"/>
      <c r="AN182" s="422"/>
      <c r="AO182" s="422"/>
      <c r="AP182" s="422"/>
      <c r="AQ182" s="422"/>
      <c r="AR182" s="422"/>
      <c r="AS182" s="422"/>
      <c r="AT182" s="422"/>
      <c r="AU182" s="422"/>
      <c r="AV182" s="422"/>
      <c r="AW182" s="422"/>
      <c r="AX182" s="422"/>
      <c r="AY182" s="422"/>
    </row>
    <row r="183" spans="1:51" x14ac:dyDescent="0.25">
      <c r="A183" s="3"/>
      <c r="B183" s="3"/>
      <c r="C183" s="3"/>
      <c r="D183" s="3"/>
      <c r="E183" s="3"/>
      <c r="F183" s="3"/>
      <c r="G183" s="3"/>
      <c r="H183" s="3"/>
      <c r="I183" s="3"/>
      <c r="J183" s="13"/>
      <c r="K183" s="13"/>
      <c r="L183" s="13"/>
      <c r="M183" s="13"/>
      <c r="N183" s="13"/>
      <c r="O183" s="13"/>
      <c r="P183" s="13"/>
      <c r="Q183" s="13"/>
      <c r="R183" s="13"/>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2"/>
      <c r="AN183" s="422"/>
      <c r="AO183" s="422"/>
      <c r="AP183" s="422"/>
      <c r="AQ183" s="422"/>
      <c r="AR183" s="422"/>
      <c r="AS183" s="422"/>
      <c r="AT183" s="422"/>
      <c r="AU183" s="422"/>
      <c r="AV183" s="422"/>
      <c r="AW183" s="422"/>
      <c r="AX183" s="422"/>
      <c r="AY183" s="422"/>
    </row>
    <row r="184" spans="1:51" x14ac:dyDescent="0.25">
      <c r="A184" s="3"/>
      <c r="B184" s="3"/>
      <c r="C184" s="3"/>
      <c r="D184" s="3"/>
      <c r="E184" s="3"/>
      <c r="F184" s="3"/>
      <c r="G184" s="3"/>
      <c r="H184" s="3"/>
      <c r="I184" s="3"/>
      <c r="J184" s="13"/>
      <c r="K184" s="13"/>
      <c r="L184" s="13"/>
      <c r="M184" s="13"/>
      <c r="N184" s="13"/>
      <c r="O184" s="13"/>
      <c r="P184" s="13"/>
      <c r="Q184" s="13"/>
      <c r="R184" s="13"/>
      <c r="S184" s="421"/>
      <c r="T184" s="421"/>
      <c r="U184" s="421"/>
      <c r="V184" s="421"/>
      <c r="W184" s="421"/>
      <c r="X184" s="421"/>
      <c r="Y184" s="421"/>
      <c r="Z184" s="421"/>
      <c r="AA184" s="421"/>
      <c r="AB184" s="421"/>
      <c r="AC184" s="421"/>
      <c r="AD184" s="421"/>
      <c r="AE184" s="421"/>
      <c r="AF184" s="421"/>
      <c r="AG184" s="421"/>
      <c r="AH184" s="421"/>
      <c r="AI184" s="421"/>
      <c r="AJ184" s="421"/>
      <c r="AK184" s="421"/>
      <c r="AL184" s="421"/>
      <c r="AM184" s="422"/>
      <c r="AN184" s="422"/>
      <c r="AO184" s="422"/>
      <c r="AP184" s="422"/>
      <c r="AQ184" s="422"/>
      <c r="AR184" s="422"/>
      <c r="AS184" s="422"/>
      <c r="AT184" s="422"/>
      <c r="AU184" s="422"/>
      <c r="AV184" s="422"/>
      <c r="AW184" s="422"/>
      <c r="AX184" s="422"/>
      <c r="AY184" s="422"/>
    </row>
    <row r="185" spans="1:51" x14ac:dyDescent="0.25">
      <c r="A185" s="3"/>
      <c r="B185" s="3"/>
      <c r="C185" s="3"/>
      <c r="D185" s="3"/>
      <c r="E185" s="3"/>
      <c r="F185" s="3"/>
      <c r="G185" s="3"/>
      <c r="H185" s="3"/>
      <c r="I185" s="3"/>
      <c r="J185" s="13"/>
      <c r="K185" s="13"/>
      <c r="L185" s="13"/>
      <c r="M185" s="13"/>
      <c r="N185" s="13"/>
      <c r="O185" s="13"/>
      <c r="P185" s="13"/>
      <c r="Q185" s="13"/>
      <c r="R185" s="13"/>
      <c r="S185" s="421"/>
      <c r="T185" s="421"/>
      <c r="U185" s="421"/>
      <c r="V185" s="421"/>
      <c r="W185" s="421"/>
      <c r="X185" s="421"/>
      <c r="Y185" s="421"/>
      <c r="Z185" s="421"/>
      <c r="AA185" s="421"/>
      <c r="AB185" s="421"/>
      <c r="AC185" s="421"/>
      <c r="AD185" s="421"/>
      <c r="AE185" s="421"/>
      <c r="AF185" s="421"/>
      <c r="AG185" s="421"/>
      <c r="AH185" s="421"/>
      <c r="AI185" s="421"/>
      <c r="AJ185" s="421"/>
      <c r="AK185" s="421"/>
      <c r="AL185" s="421"/>
      <c r="AM185" s="422"/>
      <c r="AN185" s="422"/>
      <c r="AO185" s="422"/>
      <c r="AP185" s="422"/>
      <c r="AQ185" s="422"/>
      <c r="AR185" s="422"/>
      <c r="AS185" s="422"/>
      <c r="AT185" s="422"/>
      <c r="AU185" s="422"/>
      <c r="AV185" s="422"/>
      <c r="AW185" s="422"/>
      <c r="AX185" s="422"/>
      <c r="AY185" s="422"/>
    </row>
    <row r="186" spans="1:51" x14ac:dyDescent="0.25">
      <c r="A186" s="3"/>
      <c r="B186" s="3"/>
      <c r="C186" s="3"/>
      <c r="D186" s="3"/>
      <c r="E186" s="3"/>
      <c r="F186" s="3"/>
      <c r="G186" s="3"/>
      <c r="H186" s="3"/>
      <c r="I186" s="3"/>
      <c r="J186" s="13"/>
      <c r="K186" s="13"/>
      <c r="L186" s="13"/>
      <c r="M186" s="13"/>
      <c r="N186" s="13"/>
      <c r="O186" s="13"/>
      <c r="P186" s="13"/>
      <c r="Q186" s="13"/>
      <c r="R186" s="13"/>
      <c r="S186" s="421"/>
      <c r="T186" s="421"/>
      <c r="U186" s="421"/>
      <c r="V186" s="421"/>
      <c r="W186" s="421"/>
      <c r="X186" s="421"/>
      <c r="Y186" s="421"/>
      <c r="Z186" s="421"/>
      <c r="AA186" s="421"/>
      <c r="AB186" s="421"/>
      <c r="AC186" s="421"/>
      <c r="AD186" s="421"/>
      <c r="AE186" s="421"/>
      <c r="AF186" s="421"/>
      <c r="AG186" s="421"/>
      <c r="AH186" s="421"/>
      <c r="AI186" s="421"/>
      <c r="AJ186" s="421"/>
      <c r="AK186" s="421"/>
      <c r="AL186" s="421"/>
      <c r="AM186" s="422"/>
      <c r="AN186" s="422"/>
      <c r="AO186" s="422"/>
      <c r="AP186" s="422"/>
      <c r="AQ186" s="422"/>
      <c r="AR186" s="422"/>
      <c r="AS186" s="422"/>
      <c r="AT186" s="422"/>
      <c r="AU186" s="422"/>
      <c r="AV186" s="422"/>
      <c r="AW186" s="422"/>
      <c r="AX186" s="422"/>
      <c r="AY186" s="422"/>
    </row>
    <row r="187" spans="1:51" x14ac:dyDescent="0.25">
      <c r="A187" s="3"/>
      <c r="B187" s="3"/>
      <c r="C187" s="3"/>
      <c r="D187" s="3"/>
      <c r="E187" s="3"/>
      <c r="F187" s="3"/>
      <c r="G187" s="3"/>
      <c r="H187" s="3"/>
      <c r="I187" s="3"/>
      <c r="J187" s="13"/>
      <c r="K187" s="13"/>
      <c r="L187" s="13"/>
      <c r="M187" s="13"/>
      <c r="N187" s="13"/>
      <c r="O187" s="13"/>
      <c r="P187" s="13"/>
      <c r="Q187" s="13"/>
      <c r="R187" s="13"/>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2"/>
      <c r="AN187" s="422"/>
      <c r="AO187" s="422"/>
      <c r="AP187" s="422"/>
      <c r="AQ187" s="422"/>
      <c r="AR187" s="422"/>
      <c r="AS187" s="422"/>
      <c r="AT187" s="422"/>
      <c r="AU187" s="422"/>
      <c r="AV187" s="422"/>
      <c r="AW187" s="422"/>
      <c r="AX187" s="422"/>
      <c r="AY187" s="422"/>
    </row>
    <row r="188" spans="1:51" x14ac:dyDescent="0.25">
      <c r="A188" s="3"/>
      <c r="B188" s="3"/>
      <c r="C188" s="3"/>
      <c r="D188" s="3"/>
      <c r="E188" s="3"/>
      <c r="F188" s="3"/>
      <c r="G188" s="3"/>
      <c r="H188" s="3"/>
      <c r="I188" s="3"/>
      <c r="J188" s="13"/>
      <c r="K188" s="13"/>
      <c r="L188" s="13"/>
      <c r="M188" s="13"/>
      <c r="N188" s="13"/>
      <c r="O188" s="13"/>
      <c r="P188" s="13"/>
      <c r="Q188" s="13"/>
      <c r="R188" s="13"/>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2"/>
      <c r="AN188" s="422"/>
      <c r="AO188" s="422"/>
      <c r="AP188" s="422"/>
      <c r="AQ188" s="422"/>
      <c r="AR188" s="422"/>
      <c r="AS188" s="422"/>
      <c r="AT188" s="422"/>
      <c r="AU188" s="422"/>
      <c r="AV188" s="422"/>
      <c r="AW188" s="422"/>
      <c r="AX188" s="422"/>
      <c r="AY188" s="422"/>
    </row>
    <row r="189" spans="1:51" x14ac:dyDescent="0.25">
      <c r="A189" s="3"/>
      <c r="B189" s="3"/>
      <c r="C189" s="3"/>
      <c r="D189" s="3"/>
      <c r="E189" s="3"/>
      <c r="F189" s="3"/>
      <c r="G189" s="3"/>
      <c r="H189" s="3"/>
      <c r="I189" s="3"/>
      <c r="J189" s="13"/>
      <c r="K189" s="13"/>
      <c r="L189" s="13"/>
      <c r="M189" s="13"/>
      <c r="N189" s="13"/>
      <c r="O189" s="13"/>
      <c r="P189" s="13"/>
      <c r="Q189" s="13"/>
      <c r="R189" s="13"/>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2"/>
      <c r="AN189" s="422"/>
      <c r="AO189" s="422"/>
      <c r="AP189" s="422"/>
      <c r="AQ189" s="422"/>
      <c r="AR189" s="422"/>
      <c r="AS189" s="422"/>
      <c r="AT189" s="422"/>
      <c r="AU189" s="422"/>
      <c r="AV189" s="422"/>
      <c r="AW189" s="422"/>
      <c r="AX189" s="422"/>
      <c r="AY189" s="422"/>
    </row>
    <row r="190" spans="1:51" x14ac:dyDescent="0.25">
      <c r="A190" s="3"/>
      <c r="B190" s="3"/>
      <c r="C190" s="3"/>
      <c r="D190" s="3"/>
      <c r="E190" s="3"/>
      <c r="F190" s="3"/>
      <c r="G190" s="3"/>
      <c r="H190" s="3"/>
      <c r="I190" s="3"/>
      <c r="J190" s="13"/>
      <c r="K190" s="13"/>
      <c r="L190" s="13"/>
      <c r="M190" s="13"/>
      <c r="N190" s="13"/>
      <c r="O190" s="13"/>
      <c r="P190" s="13"/>
      <c r="Q190" s="13"/>
      <c r="R190" s="13"/>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2"/>
      <c r="AN190" s="422"/>
      <c r="AO190" s="422"/>
      <c r="AP190" s="422"/>
      <c r="AQ190" s="422"/>
      <c r="AR190" s="422"/>
      <c r="AS190" s="422"/>
      <c r="AT190" s="422"/>
      <c r="AU190" s="422"/>
      <c r="AV190" s="422"/>
      <c r="AW190" s="422"/>
      <c r="AX190" s="422"/>
      <c r="AY190" s="422"/>
    </row>
    <row r="191" spans="1:51" x14ac:dyDescent="0.25">
      <c r="A191" s="3"/>
      <c r="B191" s="3"/>
      <c r="C191" s="3"/>
      <c r="D191" s="3"/>
      <c r="E191" s="3"/>
      <c r="F191" s="3"/>
      <c r="G191" s="3"/>
      <c r="H191" s="3"/>
      <c r="I191" s="3"/>
      <c r="J191" s="13"/>
      <c r="K191" s="13"/>
      <c r="L191" s="13"/>
      <c r="M191" s="13"/>
      <c r="N191" s="13"/>
      <c r="O191" s="13"/>
      <c r="P191" s="13"/>
      <c r="Q191" s="13"/>
      <c r="R191" s="13"/>
      <c r="S191" s="421"/>
      <c r="T191" s="421"/>
      <c r="U191" s="421"/>
      <c r="V191" s="421"/>
      <c r="W191" s="421"/>
      <c r="X191" s="421"/>
      <c r="Y191" s="421"/>
      <c r="Z191" s="421"/>
      <c r="AA191" s="421"/>
      <c r="AB191" s="421"/>
      <c r="AC191" s="421"/>
      <c r="AD191" s="421"/>
      <c r="AE191" s="421"/>
      <c r="AF191" s="421"/>
      <c r="AG191" s="421"/>
      <c r="AH191" s="421"/>
      <c r="AI191" s="421"/>
      <c r="AJ191" s="421"/>
      <c r="AK191" s="421"/>
      <c r="AL191" s="421"/>
      <c r="AM191" s="422"/>
      <c r="AN191" s="422"/>
      <c r="AO191" s="422"/>
      <c r="AP191" s="422"/>
      <c r="AQ191" s="422"/>
      <c r="AR191" s="422"/>
      <c r="AS191" s="422"/>
      <c r="AT191" s="422"/>
      <c r="AU191" s="422"/>
      <c r="AV191" s="422"/>
      <c r="AW191" s="422"/>
      <c r="AX191" s="422"/>
      <c r="AY191" s="422"/>
    </row>
    <row r="192" spans="1:51" x14ac:dyDescent="0.25">
      <c r="A192" s="3"/>
      <c r="B192" s="3"/>
      <c r="C192" s="3"/>
      <c r="D192" s="3"/>
      <c r="E192" s="3"/>
      <c r="F192" s="3"/>
      <c r="G192" s="3"/>
      <c r="H192" s="3"/>
      <c r="I192" s="3"/>
      <c r="J192" s="13"/>
      <c r="K192" s="13"/>
      <c r="L192" s="13"/>
      <c r="M192" s="13"/>
      <c r="N192" s="13"/>
      <c r="O192" s="13"/>
      <c r="P192" s="13"/>
      <c r="Q192" s="13"/>
      <c r="R192" s="13"/>
      <c r="S192" s="421"/>
      <c r="T192" s="421"/>
      <c r="U192" s="421"/>
      <c r="V192" s="421"/>
      <c r="W192" s="421"/>
      <c r="X192" s="421"/>
      <c r="Y192" s="421"/>
      <c r="Z192" s="421"/>
      <c r="AA192" s="421"/>
      <c r="AB192" s="421"/>
      <c r="AC192" s="421"/>
      <c r="AD192" s="421"/>
      <c r="AE192" s="421"/>
      <c r="AF192" s="421"/>
      <c r="AG192" s="421"/>
      <c r="AH192" s="421"/>
      <c r="AI192" s="421"/>
      <c r="AJ192" s="421"/>
      <c r="AK192" s="421"/>
      <c r="AL192" s="421"/>
      <c r="AM192" s="422"/>
      <c r="AN192" s="422"/>
      <c r="AO192" s="422"/>
      <c r="AP192" s="422"/>
      <c r="AQ192" s="422"/>
      <c r="AR192" s="422"/>
      <c r="AS192" s="422"/>
      <c r="AT192" s="422"/>
      <c r="AU192" s="422"/>
      <c r="AV192" s="422"/>
      <c r="AW192" s="422"/>
      <c r="AX192" s="422"/>
      <c r="AY192" s="422"/>
    </row>
    <row r="193" spans="1:51" x14ac:dyDescent="0.25">
      <c r="A193" s="3"/>
      <c r="B193" s="3"/>
      <c r="C193" s="3"/>
      <c r="D193" s="3"/>
      <c r="E193" s="3"/>
      <c r="F193" s="3"/>
      <c r="G193" s="3"/>
      <c r="H193" s="3"/>
      <c r="I193" s="3"/>
      <c r="J193" s="13"/>
      <c r="K193" s="13"/>
      <c r="L193" s="13"/>
      <c r="M193" s="13"/>
      <c r="N193" s="13"/>
      <c r="O193" s="13"/>
      <c r="P193" s="13"/>
      <c r="Q193" s="13"/>
      <c r="R193" s="13"/>
      <c r="S193" s="421"/>
      <c r="T193" s="421"/>
      <c r="U193" s="421"/>
      <c r="V193" s="421"/>
      <c r="W193" s="421"/>
      <c r="X193" s="421"/>
      <c r="Y193" s="421"/>
      <c r="Z193" s="421"/>
      <c r="AA193" s="421"/>
      <c r="AB193" s="421"/>
      <c r="AC193" s="421"/>
      <c r="AD193" s="421"/>
      <c r="AE193" s="421"/>
      <c r="AF193" s="421"/>
      <c r="AG193" s="421"/>
      <c r="AH193" s="421"/>
      <c r="AI193" s="421"/>
      <c r="AJ193" s="421"/>
      <c r="AK193" s="421"/>
      <c r="AL193" s="421"/>
      <c r="AM193" s="422"/>
      <c r="AN193" s="422"/>
      <c r="AO193" s="422"/>
      <c r="AP193" s="422"/>
      <c r="AQ193" s="422"/>
      <c r="AR193" s="422"/>
      <c r="AS193" s="422"/>
      <c r="AT193" s="422"/>
      <c r="AU193" s="422"/>
      <c r="AV193" s="422"/>
      <c r="AW193" s="422"/>
      <c r="AX193" s="422"/>
      <c r="AY193" s="422"/>
    </row>
    <row r="194" spans="1:51" x14ac:dyDescent="0.25">
      <c r="A194" s="3"/>
      <c r="B194" s="3"/>
      <c r="C194" s="3"/>
      <c r="D194" s="3"/>
      <c r="E194" s="3"/>
      <c r="F194" s="3"/>
      <c r="G194" s="3"/>
      <c r="H194" s="3"/>
      <c r="I194" s="3"/>
      <c r="J194" s="13"/>
      <c r="K194" s="13"/>
      <c r="L194" s="13"/>
      <c r="M194" s="13"/>
      <c r="N194" s="13"/>
      <c r="O194" s="13"/>
      <c r="P194" s="13"/>
      <c r="Q194" s="13"/>
      <c r="R194" s="13"/>
      <c r="S194" s="421"/>
      <c r="T194" s="421"/>
      <c r="U194" s="421"/>
      <c r="V194" s="421"/>
      <c r="W194" s="421"/>
      <c r="X194" s="421"/>
      <c r="Y194" s="421"/>
      <c r="Z194" s="421"/>
      <c r="AA194" s="421"/>
      <c r="AB194" s="421"/>
      <c r="AC194" s="421"/>
      <c r="AD194" s="421"/>
      <c r="AE194" s="421"/>
      <c r="AF194" s="421"/>
      <c r="AG194" s="421"/>
      <c r="AH194" s="421"/>
      <c r="AI194" s="421"/>
      <c r="AJ194" s="421"/>
      <c r="AK194" s="421"/>
      <c r="AL194" s="421"/>
      <c r="AM194" s="422"/>
      <c r="AN194" s="422"/>
      <c r="AO194" s="422"/>
      <c r="AP194" s="422"/>
      <c r="AQ194" s="422"/>
      <c r="AR194" s="422"/>
      <c r="AS194" s="422"/>
      <c r="AT194" s="422"/>
      <c r="AU194" s="422"/>
      <c r="AV194" s="422"/>
      <c r="AW194" s="422"/>
      <c r="AX194" s="422"/>
      <c r="AY194" s="422"/>
    </row>
    <row r="195" spans="1:51" x14ac:dyDescent="0.25">
      <c r="A195" s="3"/>
      <c r="B195" s="3"/>
      <c r="C195" s="3"/>
      <c r="D195" s="3"/>
      <c r="E195" s="3"/>
      <c r="F195" s="3"/>
      <c r="G195" s="3"/>
      <c r="H195" s="3"/>
      <c r="I195" s="3"/>
      <c r="J195" s="13"/>
      <c r="K195" s="13"/>
      <c r="L195" s="13"/>
      <c r="M195" s="13"/>
      <c r="N195" s="13"/>
      <c r="O195" s="13"/>
      <c r="P195" s="13"/>
      <c r="Q195" s="13"/>
      <c r="R195" s="13"/>
      <c r="S195" s="421"/>
      <c r="T195" s="421"/>
      <c r="U195" s="421"/>
      <c r="V195" s="421"/>
      <c r="W195" s="421"/>
      <c r="X195" s="421"/>
      <c r="Y195" s="421"/>
      <c r="Z195" s="421"/>
      <c r="AA195" s="421"/>
      <c r="AB195" s="421"/>
      <c r="AC195" s="421"/>
      <c r="AD195" s="421"/>
      <c r="AE195" s="421"/>
      <c r="AF195" s="421"/>
      <c r="AG195" s="421"/>
      <c r="AH195" s="421"/>
      <c r="AI195" s="421"/>
      <c r="AJ195" s="421"/>
      <c r="AK195" s="421"/>
      <c r="AL195" s="421"/>
      <c r="AM195" s="422"/>
      <c r="AN195" s="422"/>
      <c r="AO195" s="422"/>
      <c r="AP195" s="422"/>
      <c r="AQ195" s="422"/>
      <c r="AR195" s="422"/>
      <c r="AS195" s="422"/>
      <c r="AT195" s="422"/>
      <c r="AU195" s="422"/>
      <c r="AV195" s="422"/>
      <c r="AW195" s="422"/>
      <c r="AX195" s="422"/>
      <c r="AY195" s="422"/>
    </row>
    <row r="196" spans="1:51" x14ac:dyDescent="0.25">
      <c r="A196" s="3"/>
      <c r="B196" s="3"/>
      <c r="C196" s="3"/>
      <c r="D196" s="3"/>
      <c r="E196" s="3"/>
      <c r="F196" s="3"/>
      <c r="G196" s="3"/>
      <c r="H196" s="3"/>
      <c r="I196" s="3"/>
      <c r="J196" s="13"/>
      <c r="K196" s="13"/>
      <c r="L196" s="13"/>
      <c r="M196" s="13"/>
      <c r="N196" s="13"/>
      <c r="O196" s="13"/>
      <c r="P196" s="13"/>
      <c r="Q196" s="13"/>
      <c r="R196" s="13"/>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2"/>
      <c r="AN196" s="422"/>
      <c r="AO196" s="422"/>
      <c r="AP196" s="422"/>
      <c r="AQ196" s="422"/>
      <c r="AR196" s="422"/>
      <c r="AS196" s="422"/>
      <c r="AT196" s="422"/>
      <c r="AU196" s="422"/>
      <c r="AV196" s="422"/>
      <c r="AW196" s="422"/>
      <c r="AX196" s="422"/>
      <c r="AY196" s="422"/>
    </row>
    <row r="197" spans="1:51" x14ac:dyDescent="0.25">
      <c r="A197" s="3"/>
      <c r="B197" s="3"/>
      <c r="C197" s="3"/>
      <c r="D197" s="3"/>
      <c r="E197" s="3"/>
      <c r="F197" s="3"/>
      <c r="G197" s="3"/>
      <c r="H197" s="3"/>
      <c r="I197" s="3"/>
      <c r="J197" s="13"/>
      <c r="K197" s="13"/>
      <c r="L197" s="13"/>
      <c r="M197" s="13"/>
      <c r="N197" s="13"/>
      <c r="O197" s="13"/>
      <c r="P197" s="13"/>
      <c r="Q197" s="13"/>
      <c r="R197" s="13"/>
      <c r="S197" s="421"/>
      <c r="T197" s="421"/>
      <c r="U197" s="421"/>
      <c r="V197" s="421"/>
      <c r="W197" s="421"/>
      <c r="X197" s="421"/>
      <c r="Y197" s="421"/>
      <c r="Z197" s="421"/>
      <c r="AA197" s="421"/>
      <c r="AB197" s="421"/>
      <c r="AC197" s="421"/>
      <c r="AD197" s="421"/>
      <c r="AE197" s="421"/>
      <c r="AF197" s="421"/>
      <c r="AG197" s="421"/>
      <c r="AH197" s="421"/>
      <c r="AI197" s="421"/>
      <c r="AJ197" s="421"/>
      <c r="AK197" s="421"/>
      <c r="AL197" s="421"/>
      <c r="AM197" s="422"/>
      <c r="AN197" s="422"/>
      <c r="AO197" s="422"/>
      <c r="AP197" s="422"/>
      <c r="AQ197" s="422"/>
      <c r="AR197" s="422"/>
      <c r="AS197" s="422"/>
      <c r="AT197" s="422"/>
      <c r="AU197" s="422"/>
      <c r="AV197" s="422"/>
      <c r="AW197" s="422"/>
      <c r="AX197" s="422"/>
      <c r="AY197" s="422"/>
    </row>
    <row r="198" spans="1:51" x14ac:dyDescent="0.25">
      <c r="A198" s="3"/>
      <c r="B198" s="3"/>
      <c r="C198" s="3"/>
      <c r="D198" s="3"/>
      <c r="E198" s="3"/>
      <c r="F198" s="3"/>
      <c r="G198" s="3"/>
      <c r="H198" s="3"/>
      <c r="I198" s="3"/>
      <c r="J198" s="13"/>
      <c r="K198" s="13"/>
      <c r="L198" s="13"/>
      <c r="M198" s="13"/>
      <c r="N198" s="13"/>
      <c r="O198" s="13"/>
      <c r="P198" s="13"/>
      <c r="Q198" s="13"/>
      <c r="R198" s="13"/>
      <c r="S198" s="421"/>
      <c r="T198" s="421"/>
      <c r="U198" s="421"/>
      <c r="V198" s="421"/>
      <c r="W198" s="421"/>
      <c r="X198" s="421"/>
      <c r="Y198" s="421"/>
      <c r="Z198" s="421"/>
      <c r="AA198" s="421"/>
      <c r="AB198" s="421"/>
      <c r="AC198" s="421"/>
      <c r="AD198" s="421"/>
      <c r="AE198" s="421"/>
      <c r="AF198" s="421"/>
      <c r="AG198" s="421"/>
      <c r="AH198" s="421"/>
      <c r="AI198" s="421"/>
      <c r="AJ198" s="421"/>
      <c r="AK198" s="421"/>
      <c r="AL198" s="421"/>
      <c r="AM198" s="422"/>
      <c r="AN198" s="422"/>
      <c r="AO198" s="422"/>
      <c r="AP198" s="422"/>
      <c r="AQ198" s="422"/>
      <c r="AR198" s="422"/>
      <c r="AS198" s="422"/>
      <c r="AT198" s="422"/>
      <c r="AU198" s="422"/>
      <c r="AV198" s="422"/>
      <c r="AW198" s="422"/>
      <c r="AX198" s="422"/>
      <c r="AY198" s="422"/>
    </row>
    <row r="199" spans="1:51" x14ac:dyDescent="0.25">
      <c r="A199" s="3"/>
      <c r="B199" s="3"/>
      <c r="C199" s="3"/>
      <c r="D199" s="3"/>
      <c r="E199" s="3"/>
      <c r="F199" s="3"/>
      <c r="G199" s="3"/>
      <c r="H199" s="3"/>
      <c r="I199" s="3"/>
      <c r="J199" s="13"/>
      <c r="K199" s="13"/>
      <c r="L199" s="13"/>
      <c r="M199" s="13"/>
      <c r="N199" s="13"/>
      <c r="O199" s="13"/>
      <c r="P199" s="13"/>
      <c r="Q199" s="13"/>
      <c r="R199" s="13"/>
      <c r="S199" s="421"/>
      <c r="T199" s="421"/>
      <c r="U199" s="421"/>
      <c r="V199" s="421"/>
      <c r="W199" s="421"/>
      <c r="X199" s="421"/>
      <c r="Y199" s="421"/>
      <c r="Z199" s="421"/>
      <c r="AA199" s="421"/>
      <c r="AB199" s="421"/>
      <c r="AC199" s="421"/>
      <c r="AD199" s="421"/>
      <c r="AE199" s="421"/>
      <c r="AF199" s="421"/>
      <c r="AG199" s="421"/>
      <c r="AH199" s="421"/>
      <c r="AI199" s="421"/>
      <c r="AJ199" s="421"/>
      <c r="AK199" s="421"/>
      <c r="AL199" s="421"/>
      <c r="AM199" s="422"/>
      <c r="AN199" s="422"/>
      <c r="AO199" s="422"/>
      <c r="AP199" s="422"/>
      <c r="AQ199" s="422"/>
      <c r="AR199" s="422"/>
      <c r="AS199" s="422"/>
      <c r="AT199" s="422"/>
      <c r="AU199" s="422"/>
      <c r="AV199" s="422"/>
      <c r="AW199" s="422"/>
      <c r="AX199" s="422"/>
      <c r="AY199" s="422"/>
    </row>
    <row r="200" spans="1:51" x14ac:dyDescent="0.25">
      <c r="A200" s="3"/>
      <c r="B200" s="3"/>
      <c r="C200" s="3"/>
      <c r="D200" s="3"/>
      <c r="E200" s="3"/>
      <c r="F200" s="3"/>
      <c r="G200" s="3"/>
      <c r="H200" s="3"/>
      <c r="I200" s="3"/>
      <c r="J200" s="13"/>
      <c r="K200" s="13"/>
      <c r="L200" s="13"/>
      <c r="M200" s="13"/>
      <c r="N200" s="13"/>
      <c r="O200" s="13"/>
      <c r="P200" s="13"/>
      <c r="Q200" s="13"/>
      <c r="R200" s="13"/>
      <c r="S200" s="421"/>
      <c r="T200" s="421"/>
      <c r="U200" s="421"/>
      <c r="V200" s="421"/>
      <c r="W200" s="421"/>
      <c r="X200" s="421"/>
      <c r="Y200" s="421"/>
      <c r="Z200" s="421"/>
      <c r="AA200" s="421"/>
      <c r="AB200" s="421"/>
      <c r="AC200" s="421"/>
      <c r="AD200" s="421"/>
      <c r="AE200" s="421"/>
      <c r="AF200" s="421"/>
      <c r="AG200" s="421"/>
      <c r="AH200" s="421"/>
      <c r="AI200" s="421"/>
      <c r="AJ200" s="421"/>
      <c r="AK200" s="421"/>
      <c r="AL200" s="421"/>
      <c r="AM200" s="422"/>
      <c r="AN200" s="422"/>
      <c r="AO200" s="422"/>
      <c r="AP200" s="422"/>
      <c r="AQ200" s="422"/>
      <c r="AR200" s="422"/>
      <c r="AS200" s="422"/>
      <c r="AT200" s="422"/>
      <c r="AU200" s="422"/>
      <c r="AV200" s="422"/>
      <c r="AW200" s="422"/>
      <c r="AX200" s="422"/>
      <c r="AY200" s="422"/>
    </row>
    <row r="201" spans="1:51" x14ac:dyDescent="0.25">
      <c r="A201" s="3"/>
      <c r="B201" s="3"/>
      <c r="C201" s="3"/>
      <c r="D201" s="3"/>
      <c r="E201" s="3"/>
      <c r="F201" s="3"/>
      <c r="G201" s="3"/>
      <c r="H201" s="3"/>
      <c r="I201" s="3"/>
      <c r="J201" s="13"/>
      <c r="K201" s="13"/>
      <c r="L201" s="13"/>
      <c r="M201" s="13"/>
      <c r="N201" s="13"/>
      <c r="O201" s="13"/>
      <c r="P201" s="13"/>
      <c r="Q201" s="13"/>
      <c r="R201" s="13"/>
      <c r="S201" s="421"/>
      <c r="T201" s="421"/>
      <c r="U201" s="421"/>
      <c r="V201" s="421"/>
      <c r="W201" s="421"/>
      <c r="X201" s="421"/>
      <c r="Y201" s="421"/>
      <c r="Z201" s="421"/>
      <c r="AA201" s="421"/>
      <c r="AB201" s="421"/>
      <c r="AC201" s="421"/>
      <c r="AD201" s="421"/>
      <c r="AE201" s="421"/>
      <c r="AF201" s="421"/>
      <c r="AG201" s="421"/>
      <c r="AH201" s="421"/>
      <c r="AI201" s="421"/>
      <c r="AJ201" s="421"/>
      <c r="AK201" s="421"/>
      <c r="AL201" s="421"/>
      <c r="AM201" s="422"/>
      <c r="AN201" s="422"/>
      <c r="AO201" s="422"/>
      <c r="AP201" s="422"/>
      <c r="AQ201" s="422"/>
      <c r="AR201" s="422"/>
      <c r="AS201" s="422"/>
      <c r="AT201" s="422"/>
      <c r="AU201" s="422"/>
      <c r="AV201" s="422"/>
      <c r="AW201" s="422"/>
      <c r="AX201" s="422"/>
      <c r="AY201" s="422"/>
    </row>
    <row r="202" spans="1:51" x14ac:dyDescent="0.25">
      <c r="A202" s="3"/>
      <c r="B202" s="3"/>
      <c r="C202" s="3"/>
      <c r="D202" s="3"/>
      <c r="E202" s="3"/>
      <c r="F202" s="3"/>
      <c r="G202" s="3"/>
      <c r="H202" s="3"/>
      <c r="I202" s="3"/>
      <c r="J202" s="13"/>
      <c r="K202" s="13"/>
      <c r="L202" s="13"/>
      <c r="M202" s="13"/>
      <c r="N202" s="13"/>
      <c r="O202" s="13"/>
      <c r="P202" s="13"/>
      <c r="Q202" s="13"/>
      <c r="R202" s="13"/>
      <c r="S202" s="421"/>
      <c r="T202" s="421"/>
      <c r="U202" s="421"/>
      <c r="V202" s="421"/>
      <c r="W202" s="421"/>
      <c r="X202" s="421"/>
      <c r="Y202" s="421"/>
      <c r="Z202" s="421"/>
      <c r="AA202" s="421"/>
      <c r="AB202" s="421"/>
      <c r="AC202" s="421"/>
      <c r="AD202" s="421"/>
      <c r="AE202" s="421"/>
      <c r="AF202" s="421"/>
      <c r="AG202" s="421"/>
      <c r="AH202" s="421"/>
      <c r="AI202" s="421"/>
      <c r="AJ202" s="421"/>
      <c r="AK202" s="421"/>
      <c r="AL202" s="421"/>
      <c r="AM202" s="422"/>
      <c r="AN202" s="422"/>
      <c r="AO202" s="422"/>
      <c r="AP202" s="422"/>
      <c r="AQ202" s="422"/>
      <c r="AR202" s="422"/>
      <c r="AS202" s="422"/>
      <c r="AT202" s="422"/>
      <c r="AU202" s="422"/>
      <c r="AV202" s="422"/>
      <c r="AW202" s="422"/>
      <c r="AX202" s="422"/>
      <c r="AY202" s="422"/>
    </row>
    <row r="203" spans="1:51" x14ac:dyDescent="0.25">
      <c r="A203" s="3"/>
      <c r="B203" s="3"/>
      <c r="C203" s="3"/>
      <c r="D203" s="3"/>
      <c r="E203" s="3"/>
      <c r="F203" s="3"/>
      <c r="G203" s="3"/>
      <c r="H203" s="3"/>
      <c r="I203" s="3"/>
      <c r="J203" s="13"/>
      <c r="K203" s="13"/>
      <c r="L203" s="13"/>
      <c r="M203" s="13"/>
      <c r="N203" s="13"/>
      <c r="O203" s="13"/>
      <c r="P203" s="13"/>
      <c r="Q203" s="13"/>
      <c r="R203" s="13"/>
      <c r="S203" s="421"/>
      <c r="T203" s="421"/>
      <c r="U203" s="421"/>
      <c r="V203" s="421"/>
      <c r="W203" s="421"/>
      <c r="X203" s="421"/>
      <c r="Y203" s="421"/>
      <c r="Z203" s="421"/>
      <c r="AA203" s="421"/>
      <c r="AB203" s="421"/>
      <c r="AC203" s="421"/>
      <c r="AD203" s="421"/>
      <c r="AE203" s="421"/>
      <c r="AF203" s="421"/>
      <c r="AG203" s="421"/>
      <c r="AH203" s="421"/>
      <c r="AI203" s="421"/>
      <c r="AJ203" s="421"/>
      <c r="AK203" s="421"/>
      <c r="AL203" s="421"/>
      <c r="AM203" s="422"/>
      <c r="AN203" s="422"/>
      <c r="AO203" s="422"/>
      <c r="AP203" s="422"/>
      <c r="AQ203" s="422"/>
      <c r="AR203" s="422"/>
      <c r="AS203" s="422"/>
      <c r="AT203" s="422"/>
      <c r="AU203" s="422"/>
      <c r="AV203" s="422"/>
      <c r="AW203" s="422"/>
      <c r="AX203" s="422"/>
      <c r="AY203" s="422"/>
    </row>
    <row r="204" spans="1:51" x14ac:dyDescent="0.25">
      <c r="A204" s="3"/>
      <c r="B204" s="3"/>
      <c r="C204" s="3"/>
      <c r="D204" s="3"/>
      <c r="E204" s="3"/>
      <c r="F204" s="3"/>
      <c r="G204" s="3"/>
      <c r="H204" s="3"/>
      <c r="I204" s="3"/>
      <c r="J204" s="13"/>
      <c r="K204" s="13"/>
      <c r="L204" s="13"/>
      <c r="M204" s="13"/>
      <c r="N204" s="13"/>
      <c r="O204" s="13"/>
      <c r="P204" s="13"/>
      <c r="Q204" s="13"/>
      <c r="R204" s="13"/>
      <c r="S204" s="421"/>
      <c r="T204" s="421"/>
      <c r="U204" s="421"/>
      <c r="V204" s="421"/>
      <c r="W204" s="421"/>
      <c r="X204" s="421"/>
      <c r="Y204" s="421"/>
      <c r="Z204" s="421"/>
      <c r="AA204" s="421"/>
      <c r="AB204" s="421"/>
      <c r="AC204" s="421"/>
      <c r="AD204" s="421"/>
      <c r="AE204" s="421"/>
      <c r="AF204" s="421"/>
      <c r="AG204" s="421"/>
      <c r="AH204" s="421"/>
      <c r="AI204" s="421"/>
      <c r="AJ204" s="421"/>
      <c r="AK204" s="421"/>
      <c r="AL204" s="421"/>
      <c r="AM204" s="422"/>
      <c r="AN204" s="422"/>
      <c r="AO204" s="422"/>
      <c r="AP204" s="422"/>
      <c r="AQ204" s="422"/>
      <c r="AR204" s="422"/>
      <c r="AS204" s="422"/>
      <c r="AT204" s="422"/>
      <c r="AU204" s="422"/>
      <c r="AV204" s="422"/>
      <c r="AW204" s="422"/>
      <c r="AX204" s="422"/>
      <c r="AY204" s="422"/>
    </row>
    <row r="205" spans="1:51" x14ac:dyDescent="0.25">
      <c r="A205" s="3"/>
      <c r="B205" s="3"/>
      <c r="C205" s="3"/>
      <c r="D205" s="3"/>
      <c r="E205" s="3"/>
      <c r="F205" s="3"/>
      <c r="G205" s="3"/>
      <c r="H205" s="3"/>
      <c r="I205" s="3"/>
      <c r="J205" s="13"/>
      <c r="K205" s="13"/>
      <c r="L205" s="13"/>
      <c r="M205" s="13"/>
      <c r="N205" s="13"/>
      <c r="O205" s="13"/>
      <c r="P205" s="13"/>
      <c r="Q205" s="13"/>
      <c r="R205" s="13"/>
      <c r="S205" s="421"/>
      <c r="T205" s="421"/>
      <c r="U205" s="421"/>
      <c r="V205" s="421"/>
      <c r="W205" s="421"/>
      <c r="X205" s="421"/>
      <c r="Y205" s="421"/>
      <c r="Z205" s="421"/>
      <c r="AA205" s="421"/>
      <c r="AB205" s="421"/>
      <c r="AC205" s="421"/>
      <c r="AD205" s="421"/>
      <c r="AE205" s="421"/>
      <c r="AF205" s="421"/>
      <c r="AG205" s="421"/>
      <c r="AH205" s="421"/>
      <c r="AI205" s="421"/>
      <c r="AJ205" s="421"/>
      <c r="AK205" s="421"/>
      <c r="AL205" s="421"/>
      <c r="AM205" s="422"/>
      <c r="AN205" s="422"/>
      <c r="AO205" s="422"/>
      <c r="AP205" s="422"/>
      <c r="AQ205" s="422"/>
      <c r="AR205" s="422"/>
      <c r="AS205" s="422"/>
      <c r="AT205" s="422"/>
      <c r="AU205" s="422"/>
      <c r="AV205" s="422"/>
      <c r="AW205" s="422"/>
      <c r="AX205" s="422"/>
      <c r="AY205" s="422"/>
    </row>
    <row r="206" spans="1:51" x14ac:dyDescent="0.25">
      <c r="A206" s="3"/>
      <c r="B206" s="3"/>
      <c r="C206" s="3"/>
      <c r="D206" s="3"/>
      <c r="E206" s="3"/>
      <c r="F206" s="3"/>
      <c r="G206" s="3"/>
      <c r="H206" s="3"/>
      <c r="I206" s="3"/>
      <c r="J206" s="13"/>
      <c r="K206" s="13"/>
      <c r="L206" s="13"/>
      <c r="M206" s="13"/>
      <c r="N206" s="13"/>
      <c r="O206" s="13"/>
      <c r="P206" s="13"/>
      <c r="Q206" s="13"/>
      <c r="R206" s="13"/>
      <c r="S206" s="421"/>
      <c r="T206" s="421"/>
      <c r="U206" s="421"/>
      <c r="V206" s="421"/>
      <c r="W206" s="421"/>
      <c r="X206" s="421"/>
      <c r="Y206" s="421"/>
      <c r="Z206" s="421"/>
      <c r="AA206" s="421"/>
      <c r="AB206" s="421"/>
      <c r="AC206" s="421"/>
      <c r="AD206" s="421"/>
      <c r="AE206" s="421"/>
      <c r="AF206" s="421"/>
      <c r="AG206" s="421"/>
      <c r="AH206" s="421"/>
      <c r="AI206" s="421"/>
      <c r="AJ206" s="421"/>
      <c r="AK206" s="421"/>
      <c r="AL206" s="421"/>
      <c r="AM206" s="422"/>
      <c r="AN206" s="422"/>
      <c r="AO206" s="422"/>
      <c r="AP206" s="422"/>
      <c r="AQ206" s="422"/>
      <c r="AR206" s="422"/>
      <c r="AS206" s="422"/>
      <c r="AT206" s="422"/>
      <c r="AU206" s="422"/>
      <c r="AV206" s="422"/>
      <c r="AW206" s="422"/>
      <c r="AX206" s="422"/>
      <c r="AY206" s="422"/>
    </row>
    <row r="207" spans="1:51" x14ac:dyDescent="0.25">
      <c r="A207" s="3"/>
      <c r="B207" s="3"/>
      <c r="C207" s="3"/>
      <c r="D207" s="3"/>
      <c r="E207" s="3"/>
      <c r="F207" s="3"/>
      <c r="G207" s="3"/>
      <c r="H207" s="3"/>
      <c r="I207" s="3"/>
      <c r="J207" s="13"/>
      <c r="K207" s="13"/>
      <c r="L207" s="13"/>
      <c r="M207" s="13"/>
      <c r="N207" s="13"/>
      <c r="O207" s="13"/>
      <c r="P207" s="13"/>
      <c r="Q207" s="13"/>
      <c r="R207" s="13"/>
      <c r="S207" s="421"/>
      <c r="T207" s="421"/>
      <c r="U207" s="421"/>
      <c r="V207" s="421"/>
      <c r="W207" s="421"/>
      <c r="X207" s="421"/>
      <c r="Y207" s="421"/>
      <c r="Z207" s="421"/>
      <c r="AA207" s="421"/>
      <c r="AB207" s="421"/>
      <c r="AC207" s="421"/>
      <c r="AD207" s="421"/>
      <c r="AE207" s="421"/>
      <c r="AF207" s="421"/>
      <c r="AG207" s="421"/>
      <c r="AH207" s="421"/>
      <c r="AI207" s="421"/>
      <c r="AJ207" s="421"/>
      <c r="AK207" s="421"/>
      <c r="AL207" s="421"/>
      <c r="AM207" s="422"/>
      <c r="AN207" s="422"/>
      <c r="AO207" s="422"/>
      <c r="AP207" s="422"/>
      <c r="AQ207" s="422"/>
      <c r="AR207" s="422"/>
      <c r="AS207" s="422"/>
      <c r="AT207" s="422"/>
      <c r="AU207" s="422"/>
      <c r="AV207" s="422"/>
      <c r="AW207" s="422"/>
      <c r="AX207" s="422"/>
      <c r="AY207" s="422"/>
    </row>
    <row r="208" spans="1:51" x14ac:dyDescent="0.25">
      <c r="A208" s="3"/>
      <c r="B208" s="3"/>
      <c r="C208" s="3"/>
      <c r="D208" s="3"/>
      <c r="E208" s="3"/>
      <c r="F208" s="3"/>
      <c r="G208" s="3"/>
      <c r="H208" s="3"/>
      <c r="I208" s="3"/>
      <c r="J208" s="13"/>
      <c r="K208" s="13"/>
      <c r="L208" s="13"/>
      <c r="M208" s="13"/>
      <c r="N208" s="13"/>
      <c r="O208" s="13"/>
      <c r="P208" s="13"/>
      <c r="Q208" s="13"/>
      <c r="R208" s="13"/>
      <c r="S208" s="421"/>
      <c r="T208" s="421"/>
      <c r="U208" s="421"/>
      <c r="V208" s="421"/>
      <c r="W208" s="421"/>
      <c r="X208" s="421"/>
      <c r="Y208" s="421"/>
      <c r="Z208" s="421"/>
      <c r="AA208" s="421"/>
      <c r="AB208" s="421"/>
      <c r="AC208" s="421"/>
      <c r="AD208" s="421"/>
      <c r="AE208" s="421"/>
      <c r="AF208" s="421"/>
      <c r="AG208" s="421"/>
      <c r="AH208" s="421"/>
      <c r="AI208" s="421"/>
      <c r="AJ208" s="421"/>
      <c r="AK208" s="421"/>
      <c r="AL208" s="421"/>
      <c r="AM208" s="422"/>
      <c r="AN208" s="422"/>
      <c r="AO208" s="422"/>
      <c r="AP208" s="422"/>
      <c r="AQ208" s="422"/>
      <c r="AR208" s="422"/>
      <c r="AS208" s="422"/>
      <c r="AT208" s="422"/>
      <c r="AU208" s="422"/>
      <c r="AV208" s="422"/>
      <c r="AW208" s="422"/>
      <c r="AX208" s="422"/>
      <c r="AY208" s="422"/>
    </row>
    <row r="209" spans="1:51" x14ac:dyDescent="0.25">
      <c r="A209" s="3"/>
      <c r="B209" s="3"/>
      <c r="C209" s="3"/>
      <c r="D209" s="3"/>
      <c r="E209" s="3"/>
      <c r="F209" s="3"/>
      <c r="G209" s="3"/>
      <c r="H209" s="3"/>
      <c r="I209" s="3"/>
      <c r="J209" s="13"/>
      <c r="K209" s="13"/>
      <c r="L209" s="13"/>
      <c r="M209" s="13"/>
      <c r="N209" s="13"/>
      <c r="O209" s="13"/>
      <c r="P209" s="13"/>
      <c r="Q209" s="13"/>
      <c r="R209" s="13"/>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2"/>
      <c r="AN209" s="422"/>
      <c r="AO209" s="422"/>
      <c r="AP209" s="422"/>
      <c r="AQ209" s="422"/>
      <c r="AR209" s="422"/>
      <c r="AS209" s="422"/>
      <c r="AT209" s="422"/>
      <c r="AU209" s="422"/>
      <c r="AV209" s="422"/>
      <c r="AW209" s="422"/>
      <c r="AX209" s="422"/>
      <c r="AY209" s="422"/>
    </row>
    <row r="210" spans="1:51" x14ac:dyDescent="0.25">
      <c r="A210" s="3"/>
      <c r="B210" s="3"/>
      <c r="C210" s="3"/>
      <c r="D210" s="3"/>
      <c r="E210" s="3"/>
      <c r="F210" s="3"/>
      <c r="G210" s="3"/>
      <c r="H210" s="3"/>
      <c r="I210" s="3"/>
      <c r="J210" s="13"/>
      <c r="K210" s="13"/>
      <c r="L210" s="13"/>
      <c r="M210" s="13"/>
      <c r="N210" s="13"/>
      <c r="O210" s="13"/>
      <c r="P210" s="13"/>
      <c r="Q210" s="13"/>
      <c r="R210" s="13"/>
      <c r="S210" s="421"/>
      <c r="T210" s="421"/>
      <c r="U210" s="421"/>
      <c r="V210" s="421"/>
      <c r="W210" s="421"/>
      <c r="X210" s="421"/>
      <c r="Y210" s="421"/>
      <c r="Z210" s="421"/>
      <c r="AA210" s="421"/>
      <c r="AB210" s="421"/>
      <c r="AC210" s="421"/>
      <c r="AD210" s="421"/>
      <c r="AE210" s="421"/>
      <c r="AF210" s="421"/>
      <c r="AG210" s="421"/>
      <c r="AH210" s="421"/>
      <c r="AI210" s="421"/>
      <c r="AJ210" s="421"/>
      <c r="AK210" s="421"/>
      <c r="AL210" s="421"/>
      <c r="AM210" s="422"/>
      <c r="AN210" s="422"/>
      <c r="AO210" s="422"/>
      <c r="AP210" s="422"/>
      <c r="AQ210" s="422"/>
      <c r="AR210" s="422"/>
      <c r="AS210" s="422"/>
      <c r="AT210" s="422"/>
      <c r="AU210" s="422"/>
      <c r="AV210" s="422"/>
      <c r="AW210" s="422"/>
      <c r="AX210" s="422"/>
      <c r="AY210" s="422"/>
    </row>
    <row r="211" spans="1:51" x14ac:dyDescent="0.25">
      <c r="A211" s="3"/>
      <c r="B211" s="3"/>
      <c r="C211" s="3"/>
      <c r="D211" s="3"/>
      <c r="E211" s="3"/>
      <c r="F211" s="3"/>
      <c r="G211" s="3"/>
      <c r="H211" s="3"/>
      <c r="I211" s="3"/>
      <c r="J211" s="13"/>
      <c r="K211" s="13"/>
      <c r="L211" s="13"/>
      <c r="M211" s="13"/>
      <c r="N211" s="13"/>
      <c r="O211" s="13"/>
      <c r="P211" s="13"/>
      <c r="Q211" s="13"/>
      <c r="R211" s="13"/>
      <c r="S211" s="421"/>
      <c r="T211" s="421"/>
      <c r="U211" s="421"/>
      <c r="V211" s="421"/>
      <c r="W211" s="421"/>
      <c r="X211" s="421"/>
      <c r="Y211" s="421"/>
      <c r="Z211" s="421"/>
      <c r="AA211" s="421"/>
      <c r="AB211" s="421"/>
      <c r="AC211" s="421"/>
      <c r="AD211" s="421"/>
      <c r="AE211" s="421"/>
      <c r="AF211" s="421"/>
      <c r="AG211" s="421"/>
      <c r="AH211" s="421"/>
      <c r="AI211" s="421"/>
      <c r="AJ211" s="421"/>
      <c r="AK211" s="421"/>
      <c r="AL211" s="421"/>
      <c r="AM211" s="422"/>
      <c r="AN211" s="422"/>
      <c r="AO211" s="422"/>
      <c r="AP211" s="422"/>
      <c r="AQ211" s="422"/>
      <c r="AR211" s="422"/>
      <c r="AS211" s="422"/>
      <c r="AT211" s="422"/>
      <c r="AU211" s="422"/>
      <c r="AV211" s="422"/>
      <c r="AW211" s="422"/>
      <c r="AX211" s="422"/>
      <c r="AY211" s="422"/>
    </row>
    <row r="212" spans="1:51" x14ac:dyDescent="0.25">
      <c r="A212" s="3"/>
      <c r="B212" s="3"/>
      <c r="C212" s="3"/>
      <c r="D212" s="3"/>
      <c r="E212" s="3"/>
      <c r="F212" s="3"/>
      <c r="G212" s="3"/>
      <c r="H212" s="3"/>
      <c r="I212" s="3"/>
      <c r="J212" s="13"/>
      <c r="K212" s="13"/>
      <c r="L212" s="13"/>
      <c r="M212" s="13"/>
      <c r="N212" s="13"/>
      <c r="O212" s="13"/>
      <c r="P212" s="13"/>
      <c r="Q212" s="13"/>
      <c r="R212" s="13"/>
      <c r="S212" s="421"/>
      <c r="T212" s="421"/>
      <c r="U212" s="421"/>
      <c r="V212" s="421"/>
      <c r="W212" s="421"/>
      <c r="X212" s="421"/>
      <c r="Y212" s="421"/>
      <c r="Z212" s="421"/>
      <c r="AA212" s="421"/>
      <c r="AB212" s="421"/>
      <c r="AC212" s="421"/>
      <c r="AD212" s="421"/>
      <c r="AE212" s="421"/>
      <c r="AF212" s="421"/>
      <c r="AG212" s="421"/>
      <c r="AH212" s="421"/>
      <c r="AI212" s="421"/>
      <c r="AJ212" s="421"/>
      <c r="AK212" s="421"/>
      <c r="AL212" s="421"/>
      <c r="AM212" s="422"/>
      <c r="AN212" s="422"/>
      <c r="AO212" s="422"/>
      <c r="AP212" s="422"/>
      <c r="AQ212" s="422"/>
      <c r="AR212" s="422"/>
      <c r="AS212" s="422"/>
      <c r="AT212" s="422"/>
      <c r="AU212" s="422"/>
      <c r="AV212" s="422"/>
      <c r="AW212" s="422"/>
      <c r="AX212" s="422"/>
      <c r="AY212" s="422"/>
    </row>
    <row r="213" spans="1:51" x14ac:dyDescent="0.25">
      <c r="A213" s="3"/>
      <c r="B213" s="3"/>
      <c r="C213" s="3"/>
      <c r="D213" s="3"/>
      <c r="E213" s="3"/>
      <c r="F213" s="3"/>
      <c r="G213" s="3"/>
      <c r="H213" s="3"/>
      <c r="I213" s="3"/>
      <c r="J213" s="13"/>
      <c r="K213" s="13"/>
      <c r="L213" s="13"/>
      <c r="M213" s="13"/>
      <c r="N213" s="13"/>
      <c r="O213" s="13"/>
      <c r="P213" s="13"/>
      <c r="Q213" s="13"/>
      <c r="R213" s="13"/>
      <c r="S213" s="421"/>
      <c r="T213" s="421"/>
      <c r="U213" s="421"/>
      <c r="V213" s="421"/>
      <c r="W213" s="421"/>
      <c r="X213" s="421"/>
      <c r="Y213" s="421"/>
      <c r="Z213" s="421"/>
      <c r="AA213" s="421"/>
      <c r="AB213" s="421"/>
      <c r="AC213" s="421"/>
      <c r="AD213" s="421"/>
      <c r="AE213" s="421"/>
      <c r="AF213" s="421"/>
      <c r="AG213" s="421"/>
      <c r="AH213" s="421"/>
      <c r="AI213" s="421"/>
      <c r="AJ213" s="421"/>
      <c r="AK213" s="421"/>
      <c r="AL213" s="421"/>
      <c r="AM213" s="422"/>
      <c r="AN213" s="422"/>
      <c r="AO213" s="422"/>
      <c r="AP213" s="422"/>
      <c r="AQ213" s="422"/>
      <c r="AR213" s="422"/>
      <c r="AS213" s="422"/>
      <c r="AT213" s="422"/>
      <c r="AU213" s="422"/>
      <c r="AV213" s="422"/>
      <c r="AW213" s="422"/>
      <c r="AX213" s="422"/>
      <c r="AY213" s="422"/>
    </row>
    <row r="214" spans="1:51" x14ac:dyDescent="0.25">
      <c r="A214" s="3"/>
      <c r="B214" s="3"/>
      <c r="C214" s="3"/>
      <c r="D214" s="3"/>
      <c r="E214" s="3"/>
      <c r="F214" s="3"/>
      <c r="G214" s="3"/>
      <c r="H214" s="3"/>
      <c r="I214" s="3"/>
      <c r="J214" s="13"/>
      <c r="K214" s="13"/>
      <c r="L214" s="13"/>
      <c r="M214" s="13"/>
      <c r="N214" s="13"/>
      <c r="O214" s="13"/>
      <c r="P214" s="13"/>
      <c r="Q214" s="13"/>
      <c r="R214" s="13"/>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2"/>
      <c r="AN214" s="422"/>
      <c r="AO214" s="422"/>
      <c r="AP214" s="422"/>
      <c r="AQ214" s="422"/>
      <c r="AR214" s="422"/>
      <c r="AS214" s="422"/>
      <c r="AT214" s="422"/>
      <c r="AU214" s="422"/>
      <c r="AV214" s="422"/>
      <c r="AW214" s="422"/>
      <c r="AX214" s="422"/>
      <c r="AY214" s="422"/>
    </row>
    <row r="215" spans="1:51" x14ac:dyDescent="0.25">
      <c r="A215" s="3"/>
      <c r="B215" s="3"/>
      <c r="C215" s="3"/>
      <c r="D215" s="3"/>
      <c r="E215" s="3"/>
      <c r="F215" s="3"/>
      <c r="G215" s="3"/>
      <c r="H215" s="3"/>
      <c r="I215" s="3"/>
      <c r="J215" s="13"/>
      <c r="K215" s="13"/>
      <c r="L215" s="13"/>
      <c r="M215" s="13"/>
      <c r="N215" s="13"/>
      <c r="O215" s="13"/>
      <c r="P215" s="13"/>
      <c r="Q215" s="13"/>
      <c r="R215" s="13"/>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2"/>
      <c r="AN215" s="422"/>
      <c r="AO215" s="422"/>
      <c r="AP215" s="422"/>
      <c r="AQ215" s="422"/>
      <c r="AR215" s="422"/>
      <c r="AS215" s="422"/>
      <c r="AT215" s="422"/>
      <c r="AU215" s="422"/>
      <c r="AV215" s="422"/>
      <c r="AW215" s="422"/>
      <c r="AX215" s="422"/>
      <c r="AY215" s="422"/>
    </row>
    <row r="216" spans="1:51" x14ac:dyDescent="0.25">
      <c r="A216" s="3"/>
      <c r="B216" s="3"/>
      <c r="C216" s="3"/>
      <c r="D216" s="3"/>
      <c r="E216" s="3"/>
      <c r="F216" s="3"/>
      <c r="G216" s="3"/>
      <c r="H216" s="3"/>
      <c r="I216" s="3"/>
      <c r="J216" s="13"/>
      <c r="K216" s="13"/>
      <c r="L216" s="13"/>
      <c r="M216" s="13"/>
      <c r="N216" s="13"/>
      <c r="O216" s="13"/>
      <c r="P216" s="13"/>
      <c r="Q216" s="13"/>
      <c r="R216" s="13"/>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2"/>
      <c r="AN216" s="422"/>
      <c r="AO216" s="422"/>
      <c r="AP216" s="422"/>
      <c r="AQ216" s="422"/>
      <c r="AR216" s="422"/>
      <c r="AS216" s="422"/>
      <c r="AT216" s="422"/>
      <c r="AU216" s="422"/>
      <c r="AV216" s="422"/>
      <c r="AW216" s="422"/>
      <c r="AX216" s="422"/>
      <c r="AY216" s="422"/>
    </row>
    <row r="217" spans="1:51" x14ac:dyDescent="0.25">
      <c r="A217" s="3"/>
      <c r="B217" s="3"/>
      <c r="C217" s="3"/>
      <c r="D217" s="3"/>
      <c r="E217" s="3"/>
      <c r="F217" s="3"/>
      <c r="G217" s="3"/>
      <c r="H217" s="3"/>
      <c r="I217" s="3"/>
      <c r="J217" s="13"/>
      <c r="K217" s="13"/>
      <c r="L217" s="13"/>
      <c r="M217" s="13"/>
      <c r="N217" s="13"/>
      <c r="O217" s="13"/>
      <c r="P217" s="13"/>
      <c r="Q217" s="13"/>
      <c r="R217" s="13"/>
      <c r="S217" s="421"/>
      <c r="T217" s="421"/>
      <c r="U217" s="421"/>
      <c r="V217" s="421"/>
      <c r="W217" s="421"/>
      <c r="X217" s="421"/>
      <c r="Y217" s="421"/>
      <c r="Z217" s="421"/>
      <c r="AA217" s="421"/>
      <c r="AB217" s="421"/>
      <c r="AC217" s="421"/>
      <c r="AD217" s="421"/>
      <c r="AE217" s="421"/>
      <c r="AF217" s="421"/>
      <c r="AG217" s="421"/>
      <c r="AH217" s="421"/>
      <c r="AI217" s="421"/>
      <c r="AJ217" s="421"/>
      <c r="AK217" s="421"/>
      <c r="AL217" s="421"/>
      <c r="AM217" s="422"/>
      <c r="AN217" s="422"/>
      <c r="AO217" s="422"/>
      <c r="AP217" s="422"/>
      <c r="AQ217" s="422"/>
      <c r="AR217" s="422"/>
      <c r="AS217" s="422"/>
      <c r="AT217" s="422"/>
      <c r="AU217" s="422"/>
      <c r="AV217" s="422"/>
      <c r="AW217" s="422"/>
      <c r="AX217" s="422"/>
      <c r="AY217" s="422"/>
    </row>
    <row r="218" spans="1:51" x14ac:dyDescent="0.25">
      <c r="A218" s="3"/>
      <c r="B218" s="3"/>
      <c r="C218" s="3"/>
      <c r="D218" s="3"/>
      <c r="E218" s="3"/>
      <c r="F218" s="3"/>
      <c r="G218" s="3"/>
      <c r="H218" s="3"/>
      <c r="I218" s="3"/>
      <c r="J218" s="13"/>
      <c r="K218" s="13"/>
      <c r="L218" s="13"/>
      <c r="M218" s="13"/>
      <c r="N218" s="13"/>
      <c r="O218" s="13"/>
      <c r="P218" s="13"/>
      <c r="Q218" s="13"/>
      <c r="R218" s="13"/>
      <c r="S218" s="421"/>
      <c r="T218" s="421"/>
      <c r="U218" s="421"/>
      <c r="V218" s="421"/>
      <c r="W218" s="421"/>
      <c r="X218" s="421"/>
      <c r="Y218" s="421"/>
      <c r="Z218" s="421"/>
      <c r="AA218" s="421"/>
      <c r="AB218" s="421"/>
      <c r="AC218" s="421"/>
      <c r="AD218" s="421"/>
      <c r="AE218" s="421"/>
      <c r="AF218" s="421"/>
      <c r="AG218" s="421"/>
      <c r="AH218" s="421"/>
      <c r="AI218" s="421"/>
      <c r="AJ218" s="421"/>
      <c r="AK218" s="421"/>
      <c r="AL218" s="421"/>
      <c r="AM218" s="422"/>
      <c r="AN218" s="422"/>
      <c r="AO218" s="422"/>
      <c r="AP218" s="422"/>
      <c r="AQ218" s="422"/>
      <c r="AR218" s="422"/>
      <c r="AS218" s="422"/>
      <c r="AT218" s="422"/>
      <c r="AU218" s="422"/>
      <c r="AV218" s="422"/>
      <c r="AW218" s="422"/>
      <c r="AX218" s="422"/>
      <c r="AY218" s="422"/>
    </row>
    <row r="219" spans="1:51" x14ac:dyDescent="0.25">
      <c r="A219" s="3"/>
      <c r="B219" s="3"/>
      <c r="C219" s="3"/>
      <c r="D219" s="3"/>
      <c r="E219" s="3"/>
      <c r="F219" s="3"/>
      <c r="G219" s="3"/>
      <c r="H219" s="3"/>
      <c r="I219" s="3"/>
      <c r="J219" s="13"/>
      <c r="K219" s="13"/>
      <c r="L219" s="13"/>
      <c r="M219" s="13"/>
      <c r="N219" s="13"/>
      <c r="O219" s="13"/>
      <c r="P219" s="13"/>
      <c r="Q219" s="13"/>
      <c r="R219" s="13"/>
      <c r="S219" s="421"/>
      <c r="T219" s="421"/>
      <c r="U219" s="421"/>
      <c r="V219" s="421"/>
      <c r="W219" s="421"/>
      <c r="X219" s="421"/>
      <c r="Y219" s="421"/>
      <c r="Z219" s="421"/>
      <c r="AA219" s="421"/>
      <c r="AB219" s="421"/>
      <c r="AC219" s="421"/>
      <c r="AD219" s="421"/>
      <c r="AE219" s="421"/>
      <c r="AF219" s="421"/>
      <c r="AG219" s="421"/>
      <c r="AH219" s="421"/>
      <c r="AI219" s="421"/>
      <c r="AJ219" s="421"/>
      <c r="AK219" s="421"/>
      <c r="AL219" s="421"/>
      <c r="AM219" s="422"/>
      <c r="AN219" s="422"/>
      <c r="AO219" s="422"/>
      <c r="AP219" s="422"/>
      <c r="AQ219" s="422"/>
      <c r="AR219" s="422"/>
      <c r="AS219" s="422"/>
      <c r="AT219" s="422"/>
      <c r="AU219" s="422"/>
      <c r="AV219" s="422"/>
      <c r="AW219" s="422"/>
      <c r="AX219" s="422"/>
      <c r="AY219" s="422"/>
    </row>
    <row r="220" spans="1:51" x14ac:dyDescent="0.25">
      <c r="A220" s="3"/>
      <c r="B220" s="3"/>
      <c r="C220" s="3"/>
      <c r="D220" s="3"/>
      <c r="E220" s="3"/>
      <c r="F220" s="3"/>
      <c r="G220" s="3"/>
      <c r="H220" s="3"/>
      <c r="I220" s="3"/>
      <c r="J220" s="13"/>
      <c r="K220" s="13"/>
      <c r="L220" s="13"/>
      <c r="M220" s="13"/>
      <c r="N220" s="13"/>
      <c r="O220" s="13"/>
      <c r="P220" s="13"/>
      <c r="Q220" s="13"/>
      <c r="R220" s="13"/>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2"/>
      <c r="AN220" s="422"/>
      <c r="AO220" s="422"/>
      <c r="AP220" s="422"/>
      <c r="AQ220" s="422"/>
      <c r="AR220" s="422"/>
      <c r="AS220" s="422"/>
      <c r="AT220" s="422"/>
      <c r="AU220" s="422"/>
      <c r="AV220" s="422"/>
      <c r="AW220" s="422"/>
      <c r="AX220" s="422"/>
      <c r="AY220" s="422"/>
    </row>
    <row r="221" spans="1:51" x14ac:dyDescent="0.25">
      <c r="A221" s="3"/>
      <c r="B221" s="3"/>
      <c r="C221" s="3"/>
      <c r="D221" s="3"/>
      <c r="E221" s="3"/>
      <c r="F221" s="3"/>
      <c r="G221" s="3"/>
      <c r="H221" s="3"/>
      <c r="I221" s="3"/>
      <c r="J221" s="13"/>
      <c r="K221" s="13"/>
      <c r="L221" s="13"/>
      <c r="M221" s="13"/>
      <c r="N221" s="13"/>
      <c r="O221" s="13"/>
      <c r="P221" s="13"/>
      <c r="Q221" s="13"/>
      <c r="R221" s="13"/>
      <c r="S221" s="421"/>
      <c r="T221" s="421"/>
      <c r="U221" s="421"/>
      <c r="V221" s="421"/>
      <c r="W221" s="421"/>
      <c r="X221" s="421"/>
      <c r="Y221" s="421"/>
      <c r="Z221" s="421"/>
      <c r="AA221" s="421"/>
      <c r="AB221" s="421"/>
      <c r="AC221" s="421"/>
      <c r="AD221" s="421"/>
      <c r="AE221" s="421"/>
      <c r="AF221" s="421"/>
      <c r="AG221" s="421"/>
      <c r="AH221" s="421"/>
      <c r="AI221" s="421"/>
      <c r="AJ221" s="421"/>
      <c r="AK221" s="421"/>
      <c r="AL221" s="421"/>
      <c r="AM221" s="422"/>
      <c r="AN221" s="422"/>
      <c r="AO221" s="422"/>
      <c r="AP221" s="422"/>
      <c r="AQ221" s="422"/>
      <c r="AR221" s="422"/>
      <c r="AS221" s="422"/>
      <c r="AT221" s="422"/>
      <c r="AU221" s="422"/>
      <c r="AV221" s="422"/>
      <c r="AW221" s="422"/>
      <c r="AX221" s="422"/>
      <c r="AY221" s="422"/>
    </row>
    <row r="222" spans="1:51" x14ac:dyDescent="0.25">
      <c r="A222" s="3"/>
      <c r="B222" s="3"/>
      <c r="C222" s="3"/>
      <c r="D222" s="3"/>
      <c r="E222" s="3"/>
      <c r="F222" s="3"/>
      <c r="G222" s="3"/>
      <c r="H222" s="3"/>
      <c r="I222" s="3"/>
      <c r="J222" s="13"/>
      <c r="K222" s="13"/>
      <c r="L222" s="13"/>
      <c r="M222" s="13"/>
      <c r="N222" s="13"/>
      <c r="O222" s="13"/>
      <c r="P222" s="13"/>
      <c r="Q222" s="13"/>
      <c r="R222" s="13"/>
      <c r="S222" s="421"/>
      <c r="T222" s="421"/>
      <c r="U222" s="421"/>
      <c r="V222" s="421"/>
      <c r="W222" s="421"/>
      <c r="X222" s="421"/>
      <c r="Y222" s="421"/>
      <c r="Z222" s="421"/>
      <c r="AA222" s="421"/>
      <c r="AB222" s="421"/>
      <c r="AC222" s="421"/>
      <c r="AD222" s="421"/>
      <c r="AE222" s="421"/>
      <c r="AF222" s="421"/>
      <c r="AG222" s="421"/>
      <c r="AH222" s="421"/>
      <c r="AI222" s="421"/>
      <c r="AJ222" s="421"/>
      <c r="AK222" s="421"/>
      <c r="AL222" s="421"/>
      <c r="AM222" s="422"/>
      <c r="AN222" s="422"/>
      <c r="AO222" s="422"/>
      <c r="AP222" s="422"/>
      <c r="AQ222" s="422"/>
      <c r="AR222" s="422"/>
      <c r="AS222" s="422"/>
      <c r="AT222" s="422"/>
      <c r="AU222" s="422"/>
      <c r="AV222" s="422"/>
      <c r="AW222" s="422"/>
      <c r="AX222" s="422"/>
      <c r="AY222" s="422"/>
    </row>
    <row r="223" spans="1:51" x14ac:dyDescent="0.25">
      <c r="A223" s="3"/>
      <c r="B223" s="3"/>
      <c r="C223" s="3"/>
      <c r="D223" s="3"/>
      <c r="E223" s="3"/>
      <c r="F223" s="3"/>
      <c r="G223" s="3"/>
      <c r="H223" s="3"/>
      <c r="I223" s="3"/>
      <c r="J223" s="13"/>
      <c r="K223" s="13"/>
      <c r="L223" s="13"/>
      <c r="M223" s="13"/>
      <c r="N223" s="13"/>
      <c r="O223" s="13"/>
      <c r="P223" s="13"/>
      <c r="Q223" s="13"/>
      <c r="R223" s="13"/>
      <c r="S223" s="421"/>
      <c r="T223" s="421"/>
      <c r="U223" s="421"/>
      <c r="V223" s="421"/>
      <c r="W223" s="421"/>
      <c r="X223" s="421"/>
      <c r="Y223" s="421"/>
      <c r="Z223" s="421"/>
      <c r="AA223" s="421"/>
      <c r="AB223" s="421"/>
      <c r="AC223" s="421"/>
      <c r="AD223" s="421"/>
      <c r="AE223" s="421"/>
      <c r="AF223" s="421"/>
      <c r="AG223" s="421"/>
      <c r="AH223" s="421"/>
      <c r="AI223" s="421"/>
      <c r="AJ223" s="421"/>
      <c r="AK223" s="421"/>
      <c r="AL223" s="421"/>
      <c r="AM223" s="422"/>
      <c r="AN223" s="422"/>
      <c r="AO223" s="422"/>
      <c r="AP223" s="422"/>
      <c r="AQ223" s="422"/>
      <c r="AR223" s="422"/>
      <c r="AS223" s="422"/>
      <c r="AT223" s="422"/>
      <c r="AU223" s="422"/>
      <c r="AV223" s="422"/>
      <c r="AW223" s="422"/>
      <c r="AX223" s="422"/>
      <c r="AY223" s="422"/>
    </row>
    <row r="224" spans="1:51" x14ac:dyDescent="0.25">
      <c r="A224" s="3"/>
      <c r="B224" s="3"/>
      <c r="C224" s="3"/>
      <c r="D224" s="3"/>
      <c r="E224" s="3"/>
      <c r="F224" s="3"/>
      <c r="G224" s="3"/>
      <c r="H224" s="3"/>
      <c r="I224" s="3"/>
      <c r="J224" s="13"/>
      <c r="K224" s="13"/>
      <c r="L224" s="13"/>
      <c r="M224" s="13"/>
      <c r="N224" s="13"/>
      <c r="O224" s="13"/>
      <c r="P224" s="13"/>
      <c r="Q224" s="13"/>
      <c r="R224" s="13"/>
      <c r="S224" s="421"/>
      <c r="T224" s="421"/>
      <c r="U224" s="421"/>
      <c r="V224" s="421"/>
      <c r="W224" s="421"/>
      <c r="X224" s="421"/>
      <c r="Y224" s="421"/>
      <c r="Z224" s="421"/>
      <c r="AA224" s="421"/>
      <c r="AB224" s="421"/>
      <c r="AC224" s="421"/>
      <c r="AD224" s="421"/>
      <c r="AE224" s="421"/>
      <c r="AF224" s="421"/>
      <c r="AG224" s="421"/>
      <c r="AH224" s="421"/>
      <c r="AI224" s="421"/>
      <c r="AJ224" s="421"/>
      <c r="AK224" s="421"/>
      <c r="AL224" s="421"/>
      <c r="AM224" s="422"/>
      <c r="AN224" s="422"/>
      <c r="AO224" s="422"/>
      <c r="AP224" s="422"/>
      <c r="AQ224" s="422"/>
      <c r="AR224" s="422"/>
      <c r="AS224" s="422"/>
      <c r="AT224" s="422"/>
      <c r="AU224" s="422"/>
      <c r="AV224" s="422"/>
      <c r="AW224" s="422"/>
      <c r="AX224" s="422"/>
      <c r="AY224" s="422"/>
    </row>
    <row r="225" spans="1:51" x14ac:dyDescent="0.25">
      <c r="A225" s="3"/>
      <c r="B225" s="3"/>
      <c r="C225" s="3"/>
      <c r="D225" s="3"/>
      <c r="E225" s="3"/>
      <c r="F225" s="3"/>
      <c r="G225" s="3"/>
      <c r="H225" s="3"/>
      <c r="I225" s="3"/>
      <c r="J225" s="13"/>
      <c r="K225" s="13"/>
      <c r="L225" s="13"/>
      <c r="M225" s="13"/>
      <c r="N225" s="13"/>
      <c r="O225" s="13"/>
      <c r="P225" s="13"/>
      <c r="Q225" s="13"/>
      <c r="R225" s="13"/>
      <c r="S225" s="421"/>
      <c r="T225" s="421"/>
      <c r="U225" s="421"/>
      <c r="V225" s="421"/>
      <c r="W225" s="421"/>
      <c r="X225" s="421"/>
      <c r="Y225" s="421"/>
      <c r="Z225" s="421"/>
      <c r="AA225" s="421"/>
      <c r="AB225" s="421"/>
      <c r="AC225" s="421"/>
      <c r="AD225" s="421"/>
      <c r="AE225" s="421"/>
      <c r="AF225" s="421"/>
      <c r="AG225" s="421"/>
      <c r="AH225" s="421"/>
      <c r="AI225" s="421"/>
      <c r="AJ225" s="421"/>
      <c r="AK225" s="421"/>
      <c r="AL225" s="421"/>
      <c r="AM225" s="422"/>
      <c r="AN225" s="422"/>
      <c r="AO225" s="422"/>
      <c r="AP225" s="422"/>
      <c r="AQ225" s="422"/>
      <c r="AR225" s="422"/>
      <c r="AS225" s="422"/>
      <c r="AT225" s="422"/>
      <c r="AU225" s="422"/>
      <c r="AV225" s="422"/>
      <c r="AW225" s="422"/>
      <c r="AX225" s="422"/>
      <c r="AY225" s="422"/>
    </row>
    <row r="226" spans="1:51" x14ac:dyDescent="0.25">
      <c r="A226" s="3"/>
      <c r="B226" s="3"/>
      <c r="C226" s="3"/>
      <c r="D226" s="3"/>
      <c r="E226" s="3"/>
      <c r="F226" s="3"/>
      <c r="G226" s="3"/>
      <c r="H226" s="3"/>
      <c r="I226" s="3"/>
      <c r="J226" s="13"/>
      <c r="K226" s="13"/>
      <c r="L226" s="13"/>
      <c r="M226" s="13"/>
      <c r="N226" s="13"/>
      <c r="O226" s="13"/>
      <c r="P226" s="13"/>
      <c r="Q226" s="13"/>
      <c r="R226" s="13"/>
      <c r="S226" s="421"/>
      <c r="T226" s="421"/>
      <c r="U226" s="421"/>
      <c r="V226" s="421"/>
      <c r="W226" s="421"/>
      <c r="X226" s="421"/>
      <c r="Y226" s="421"/>
      <c r="Z226" s="421"/>
      <c r="AA226" s="421"/>
      <c r="AB226" s="421"/>
      <c r="AC226" s="421"/>
      <c r="AD226" s="421"/>
      <c r="AE226" s="421"/>
      <c r="AF226" s="421"/>
      <c r="AG226" s="421"/>
      <c r="AH226" s="421"/>
      <c r="AI226" s="421"/>
      <c r="AJ226" s="421"/>
      <c r="AK226" s="421"/>
      <c r="AL226" s="421"/>
      <c r="AM226" s="422"/>
      <c r="AN226" s="422"/>
      <c r="AO226" s="422"/>
      <c r="AP226" s="422"/>
      <c r="AQ226" s="422"/>
      <c r="AR226" s="422"/>
      <c r="AS226" s="422"/>
      <c r="AT226" s="422"/>
      <c r="AU226" s="422"/>
      <c r="AV226" s="422"/>
      <c r="AW226" s="422"/>
      <c r="AX226" s="422"/>
      <c r="AY226" s="422"/>
    </row>
    <row r="227" spans="1:51" x14ac:dyDescent="0.25">
      <c r="A227" s="3"/>
      <c r="B227" s="3"/>
      <c r="C227" s="3"/>
      <c r="D227" s="3"/>
      <c r="E227" s="3"/>
      <c r="F227" s="3"/>
      <c r="G227" s="3"/>
      <c r="H227" s="3"/>
      <c r="I227" s="3"/>
      <c r="J227" s="13"/>
      <c r="K227" s="13"/>
      <c r="L227" s="13"/>
      <c r="M227" s="13"/>
      <c r="N227" s="13"/>
      <c r="O227" s="13"/>
      <c r="P227" s="13"/>
      <c r="Q227" s="13"/>
      <c r="R227" s="13"/>
      <c r="S227" s="421"/>
      <c r="T227" s="421"/>
      <c r="U227" s="421"/>
      <c r="V227" s="421"/>
      <c r="W227" s="421"/>
      <c r="X227" s="421"/>
      <c r="Y227" s="421"/>
      <c r="Z227" s="421"/>
      <c r="AA227" s="421"/>
      <c r="AB227" s="421"/>
      <c r="AC227" s="421"/>
      <c r="AD227" s="421"/>
      <c r="AE227" s="421"/>
      <c r="AF227" s="421"/>
      <c r="AG227" s="421"/>
      <c r="AH227" s="421"/>
      <c r="AI227" s="421"/>
      <c r="AJ227" s="421"/>
      <c r="AK227" s="421"/>
      <c r="AL227" s="421"/>
      <c r="AM227" s="422"/>
      <c r="AN227" s="422"/>
      <c r="AO227" s="422"/>
      <c r="AP227" s="422"/>
      <c r="AQ227" s="422"/>
      <c r="AR227" s="422"/>
      <c r="AS227" s="422"/>
      <c r="AT227" s="422"/>
      <c r="AU227" s="422"/>
      <c r="AV227" s="422"/>
      <c r="AW227" s="422"/>
      <c r="AX227" s="422"/>
      <c r="AY227" s="422"/>
    </row>
    <row r="228" spans="1:51" x14ac:dyDescent="0.25">
      <c r="A228" s="3"/>
      <c r="B228" s="3"/>
      <c r="C228" s="3"/>
      <c r="D228" s="3"/>
      <c r="E228" s="3"/>
      <c r="F228" s="3"/>
      <c r="G228" s="3"/>
      <c r="H228" s="3"/>
      <c r="I228" s="3"/>
      <c r="J228" s="13"/>
      <c r="K228" s="13"/>
      <c r="L228" s="13"/>
      <c r="M228" s="13"/>
      <c r="N228" s="13"/>
      <c r="O228" s="13"/>
      <c r="P228" s="13"/>
      <c r="Q228" s="13"/>
      <c r="R228" s="13"/>
      <c r="S228" s="421"/>
      <c r="T228" s="421"/>
      <c r="U228" s="421"/>
      <c r="V228" s="421"/>
      <c r="W228" s="421"/>
      <c r="X228" s="421"/>
      <c r="Y228" s="421"/>
      <c r="Z228" s="421"/>
      <c r="AA228" s="421"/>
      <c r="AB228" s="421"/>
      <c r="AC228" s="421"/>
      <c r="AD228" s="421"/>
      <c r="AE228" s="421"/>
      <c r="AF228" s="421"/>
      <c r="AG228" s="421"/>
      <c r="AH228" s="421"/>
      <c r="AI228" s="421"/>
      <c r="AJ228" s="421"/>
      <c r="AK228" s="421"/>
      <c r="AL228" s="421"/>
      <c r="AM228" s="422"/>
      <c r="AN228" s="422"/>
      <c r="AO228" s="422"/>
      <c r="AP228" s="422"/>
      <c r="AQ228" s="422"/>
      <c r="AR228" s="422"/>
      <c r="AS228" s="422"/>
      <c r="AT228" s="422"/>
      <c r="AU228" s="422"/>
      <c r="AV228" s="422"/>
      <c r="AW228" s="422"/>
      <c r="AX228" s="422"/>
      <c r="AY228" s="422"/>
    </row>
    <row r="229" spans="1:51" x14ac:dyDescent="0.25">
      <c r="A229" s="3"/>
      <c r="B229" s="3"/>
      <c r="C229" s="3"/>
      <c r="D229" s="3"/>
      <c r="E229" s="3"/>
      <c r="F229" s="3"/>
      <c r="G229" s="3"/>
      <c r="H229" s="3"/>
      <c r="I229" s="3"/>
      <c r="J229" s="13"/>
      <c r="K229" s="13"/>
      <c r="L229" s="13"/>
      <c r="M229" s="13"/>
      <c r="N229" s="13"/>
      <c r="O229" s="13"/>
      <c r="P229" s="13"/>
      <c r="Q229" s="13"/>
      <c r="R229" s="13"/>
      <c r="S229" s="421"/>
      <c r="T229" s="421"/>
      <c r="U229" s="421"/>
      <c r="V229" s="421"/>
      <c r="W229" s="421"/>
      <c r="X229" s="421"/>
      <c r="Y229" s="421"/>
      <c r="Z229" s="421"/>
      <c r="AA229" s="421"/>
      <c r="AB229" s="421"/>
      <c r="AC229" s="421"/>
      <c r="AD229" s="421"/>
      <c r="AE229" s="421"/>
      <c r="AF229" s="421"/>
      <c r="AG229" s="421"/>
      <c r="AH229" s="421"/>
      <c r="AI229" s="421"/>
      <c r="AJ229" s="421"/>
      <c r="AK229" s="421"/>
      <c r="AL229" s="421"/>
      <c r="AM229" s="422"/>
      <c r="AN229" s="422"/>
      <c r="AO229" s="422"/>
      <c r="AP229" s="422"/>
      <c r="AQ229" s="422"/>
      <c r="AR229" s="422"/>
      <c r="AS229" s="422"/>
      <c r="AT229" s="422"/>
      <c r="AU229" s="422"/>
      <c r="AV229" s="422"/>
      <c r="AW229" s="422"/>
      <c r="AX229" s="422"/>
      <c r="AY229" s="422"/>
    </row>
    <row r="230" spans="1:51" x14ac:dyDescent="0.25">
      <c r="A230" s="3"/>
      <c r="B230" s="3"/>
      <c r="C230" s="3"/>
      <c r="D230" s="3"/>
      <c r="E230" s="3"/>
      <c r="F230" s="3"/>
      <c r="G230" s="3"/>
      <c r="H230" s="3"/>
      <c r="I230" s="3"/>
      <c r="J230" s="13"/>
      <c r="K230" s="13"/>
      <c r="L230" s="13"/>
      <c r="M230" s="13"/>
      <c r="N230" s="13"/>
      <c r="O230" s="13"/>
      <c r="P230" s="13"/>
      <c r="Q230" s="13"/>
      <c r="R230" s="13"/>
      <c r="S230" s="421"/>
      <c r="T230" s="421"/>
      <c r="U230" s="421"/>
      <c r="V230" s="421"/>
      <c r="W230" s="421"/>
      <c r="X230" s="421"/>
      <c r="Y230" s="421"/>
      <c r="Z230" s="421"/>
      <c r="AA230" s="421"/>
      <c r="AB230" s="421"/>
      <c r="AC230" s="421"/>
      <c r="AD230" s="421"/>
      <c r="AE230" s="421"/>
      <c r="AF230" s="421"/>
      <c r="AG230" s="421"/>
      <c r="AH230" s="421"/>
      <c r="AI230" s="421"/>
      <c r="AJ230" s="421"/>
      <c r="AK230" s="421"/>
      <c r="AL230" s="421"/>
      <c r="AM230" s="422"/>
      <c r="AN230" s="422"/>
      <c r="AO230" s="422"/>
      <c r="AP230" s="422"/>
      <c r="AQ230" s="422"/>
      <c r="AR230" s="422"/>
      <c r="AS230" s="422"/>
      <c r="AT230" s="422"/>
      <c r="AU230" s="422"/>
      <c r="AV230" s="422"/>
      <c r="AW230" s="422"/>
      <c r="AX230" s="422"/>
      <c r="AY230" s="422"/>
    </row>
    <row r="231" spans="1:51" x14ac:dyDescent="0.25">
      <c r="A231" s="3"/>
      <c r="B231" s="3"/>
      <c r="C231" s="3"/>
      <c r="D231" s="3"/>
      <c r="E231" s="3"/>
      <c r="F231" s="3"/>
      <c r="G231" s="3"/>
      <c r="H231" s="3"/>
      <c r="I231" s="3"/>
      <c r="J231" s="13"/>
      <c r="K231" s="13"/>
      <c r="L231" s="13"/>
      <c r="M231" s="13"/>
      <c r="N231" s="13"/>
      <c r="O231" s="13"/>
      <c r="P231" s="13"/>
      <c r="Q231" s="13"/>
      <c r="R231" s="13"/>
      <c r="S231" s="421"/>
      <c r="T231" s="421"/>
      <c r="U231" s="421"/>
      <c r="V231" s="421"/>
      <c r="W231" s="421"/>
      <c r="X231" s="421"/>
      <c r="Y231" s="421"/>
      <c r="Z231" s="421"/>
      <c r="AA231" s="421"/>
      <c r="AB231" s="421"/>
      <c r="AC231" s="421"/>
      <c r="AD231" s="421"/>
      <c r="AE231" s="421"/>
      <c r="AF231" s="421"/>
      <c r="AG231" s="421"/>
      <c r="AH231" s="421"/>
      <c r="AI231" s="421"/>
      <c r="AJ231" s="421"/>
      <c r="AK231" s="421"/>
      <c r="AL231" s="421"/>
      <c r="AM231" s="422"/>
      <c r="AN231" s="422"/>
      <c r="AO231" s="422"/>
      <c r="AP231" s="422"/>
      <c r="AQ231" s="422"/>
      <c r="AR231" s="422"/>
      <c r="AS231" s="422"/>
      <c r="AT231" s="422"/>
      <c r="AU231" s="422"/>
      <c r="AV231" s="422"/>
      <c r="AW231" s="422"/>
      <c r="AX231" s="422"/>
      <c r="AY231" s="422"/>
    </row>
    <row r="232" spans="1:51" x14ac:dyDescent="0.25">
      <c r="A232" s="3"/>
      <c r="B232" s="3"/>
      <c r="C232" s="3"/>
      <c r="D232" s="3"/>
      <c r="E232" s="3"/>
      <c r="F232" s="3"/>
      <c r="G232" s="3"/>
      <c r="H232" s="3"/>
      <c r="I232" s="3"/>
      <c r="J232" s="13"/>
      <c r="K232" s="13"/>
      <c r="L232" s="13"/>
      <c r="M232" s="13"/>
      <c r="N232" s="13"/>
      <c r="O232" s="13"/>
      <c r="P232" s="13"/>
      <c r="Q232" s="13"/>
      <c r="R232" s="13"/>
      <c r="S232" s="421"/>
      <c r="T232" s="421"/>
      <c r="U232" s="421"/>
      <c r="V232" s="421"/>
      <c r="W232" s="421"/>
      <c r="X232" s="421"/>
      <c r="Y232" s="421"/>
      <c r="Z232" s="421"/>
      <c r="AA232" s="421"/>
      <c r="AB232" s="421"/>
      <c r="AC232" s="421"/>
      <c r="AD232" s="421"/>
      <c r="AE232" s="421"/>
      <c r="AF232" s="421"/>
      <c r="AG232" s="421"/>
      <c r="AH232" s="421"/>
      <c r="AI232" s="421"/>
      <c r="AJ232" s="421"/>
      <c r="AK232" s="421"/>
      <c r="AL232" s="421"/>
      <c r="AM232" s="422"/>
      <c r="AN232" s="422"/>
      <c r="AO232" s="422"/>
      <c r="AP232" s="422"/>
      <c r="AQ232" s="422"/>
      <c r="AR232" s="422"/>
      <c r="AS232" s="422"/>
      <c r="AT232" s="422"/>
      <c r="AU232" s="422"/>
      <c r="AV232" s="422"/>
      <c r="AW232" s="422"/>
      <c r="AX232" s="422"/>
      <c r="AY232" s="422"/>
    </row>
    <row r="233" spans="1:51" x14ac:dyDescent="0.25">
      <c r="A233" s="3"/>
      <c r="B233" s="3"/>
      <c r="C233" s="3"/>
      <c r="D233" s="3"/>
      <c r="E233" s="3"/>
      <c r="F233" s="3"/>
      <c r="G233" s="3"/>
      <c r="H233" s="3"/>
      <c r="I233" s="3"/>
      <c r="J233" s="13"/>
      <c r="K233" s="13"/>
      <c r="L233" s="13"/>
      <c r="M233" s="13"/>
      <c r="N233" s="13"/>
      <c r="O233" s="13"/>
      <c r="P233" s="13"/>
      <c r="Q233" s="13"/>
      <c r="R233" s="13"/>
      <c r="S233" s="421"/>
      <c r="T233" s="421"/>
      <c r="U233" s="421"/>
      <c r="V233" s="421"/>
      <c r="W233" s="421"/>
      <c r="X233" s="421"/>
      <c r="Y233" s="421"/>
      <c r="Z233" s="421"/>
      <c r="AA233" s="421"/>
      <c r="AB233" s="421"/>
      <c r="AC233" s="421"/>
      <c r="AD233" s="421"/>
      <c r="AE233" s="421"/>
      <c r="AF233" s="421"/>
      <c r="AG233" s="421"/>
      <c r="AH233" s="421"/>
      <c r="AI233" s="421"/>
      <c r="AJ233" s="421"/>
      <c r="AK233" s="421"/>
      <c r="AL233" s="421"/>
      <c r="AM233" s="422"/>
      <c r="AN233" s="422"/>
      <c r="AO233" s="422"/>
      <c r="AP233" s="422"/>
      <c r="AQ233" s="422"/>
      <c r="AR233" s="422"/>
      <c r="AS233" s="422"/>
      <c r="AT233" s="422"/>
      <c r="AU233" s="422"/>
      <c r="AV233" s="422"/>
      <c r="AW233" s="422"/>
      <c r="AX233" s="422"/>
      <c r="AY233" s="422"/>
    </row>
    <row r="234" spans="1:51" x14ac:dyDescent="0.25">
      <c r="A234" s="3"/>
      <c r="B234" s="3"/>
      <c r="C234" s="3"/>
      <c r="D234" s="3"/>
      <c r="E234" s="3"/>
      <c r="F234" s="3"/>
      <c r="G234" s="3"/>
      <c r="H234" s="3"/>
      <c r="I234" s="3"/>
      <c r="J234" s="13"/>
      <c r="K234" s="13"/>
      <c r="L234" s="13"/>
      <c r="M234" s="13"/>
      <c r="N234" s="13"/>
      <c r="O234" s="13"/>
      <c r="P234" s="13"/>
      <c r="Q234" s="13"/>
      <c r="R234" s="13"/>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2"/>
      <c r="AN234" s="422"/>
      <c r="AO234" s="422"/>
      <c r="AP234" s="422"/>
      <c r="AQ234" s="422"/>
      <c r="AR234" s="422"/>
      <c r="AS234" s="422"/>
      <c r="AT234" s="422"/>
      <c r="AU234" s="422"/>
      <c r="AV234" s="422"/>
      <c r="AW234" s="422"/>
      <c r="AX234" s="422"/>
      <c r="AY234" s="422"/>
    </row>
    <row r="235" spans="1:51" x14ac:dyDescent="0.25">
      <c r="A235" s="3"/>
      <c r="B235" s="3"/>
      <c r="C235" s="3"/>
      <c r="D235" s="3"/>
      <c r="E235" s="3"/>
      <c r="F235" s="3"/>
      <c r="G235" s="3"/>
      <c r="H235" s="3"/>
      <c r="I235" s="3"/>
      <c r="J235" s="13"/>
      <c r="K235" s="13"/>
      <c r="L235" s="13"/>
      <c r="M235" s="13"/>
      <c r="N235" s="13"/>
      <c r="O235" s="13"/>
      <c r="P235" s="13"/>
      <c r="Q235" s="13"/>
      <c r="R235" s="13"/>
      <c r="S235" s="421"/>
      <c r="T235" s="421"/>
      <c r="U235" s="421"/>
      <c r="V235" s="421"/>
      <c r="W235" s="421"/>
      <c r="X235" s="421"/>
      <c r="Y235" s="421"/>
      <c r="Z235" s="421"/>
      <c r="AA235" s="421"/>
      <c r="AB235" s="421"/>
      <c r="AC235" s="421"/>
      <c r="AD235" s="421"/>
      <c r="AE235" s="421"/>
      <c r="AF235" s="421"/>
      <c r="AG235" s="421"/>
      <c r="AH235" s="421"/>
      <c r="AI235" s="421"/>
      <c r="AJ235" s="421"/>
      <c r="AK235" s="421"/>
      <c r="AL235" s="421"/>
      <c r="AM235" s="422"/>
      <c r="AN235" s="422"/>
      <c r="AO235" s="422"/>
      <c r="AP235" s="422"/>
      <c r="AQ235" s="422"/>
      <c r="AR235" s="422"/>
      <c r="AS235" s="422"/>
      <c r="AT235" s="422"/>
      <c r="AU235" s="422"/>
      <c r="AV235" s="422"/>
      <c r="AW235" s="422"/>
      <c r="AX235" s="422"/>
      <c r="AY235" s="422"/>
    </row>
    <row r="236" spans="1:51" x14ac:dyDescent="0.25">
      <c r="A236" s="3"/>
      <c r="B236" s="3"/>
      <c r="C236" s="3"/>
      <c r="D236" s="3"/>
      <c r="E236" s="3"/>
      <c r="F236" s="3"/>
      <c r="G236" s="3"/>
      <c r="H236" s="3"/>
      <c r="I236" s="3"/>
      <c r="J236" s="13"/>
      <c r="K236" s="13"/>
      <c r="L236" s="13"/>
      <c r="M236" s="13"/>
      <c r="N236" s="13"/>
      <c r="O236" s="13"/>
      <c r="P236" s="13"/>
      <c r="Q236" s="13"/>
      <c r="R236" s="13"/>
      <c r="S236" s="421"/>
      <c r="T236" s="421"/>
      <c r="U236" s="421"/>
      <c r="V236" s="421"/>
      <c r="W236" s="421"/>
      <c r="X236" s="421"/>
      <c r="Y236" s="421"/>
      <c r="Z236" s="421"/>
      <c r="AA236" s="421"/>
      <c r="AB236" s="421"/>
      <c r="AC236" s="421"/>
      <c r="AD236" s="421"/>
      <c r="AE236" s="421"/>
      <c r="AF236" s="421"/>
      <c r="AG236" s="421"/>
      <c r="AH236" s="421"/>
      <c r="AI236" s="421"/>
      <c r="AJ236" s="421"/>
      <c r="AK236" s="421"/>
      <c r="AL236" s="421"/>
      <c r="AM236" s="422"/>
      <c r="AN236" s="422"/>
      <c r="AO236" s="422"/>
      <c r="AP236" s="422"/>
      <c r="AQ236" s="422"/>
      <c r="AR236" s="422"/>
      <c r="AS236" s="422"/>
      <c r="AT236" s="422"/>
      <c r="AU236" s="422"/>
      <c r="AV236" s="422"/>
      <c r="AW236" s="422"/>
      <c r="AX236" s="422"/>
      <c r="AY236" s="422"/>
    </row>
    <row r="237" spans="1:51" x14ac:dyDescent="0.25">
      <c r="A237" s="3"/>
      <c r="B237" s="3"/>
      <c r="C237" s="3"/>
      <c r="D237" s="3"/>
      <c r="E237" s="3"/>
      <c r="F237" s="3"/>
      <c r="G237" s="3"/>
      <c r="H237" s="3"/>
      <c r="I237" s="3"/>
      <c r="J237" s="13"/>
      <c r="K237" s="13"/>
      <c r="L237" s="13"/>
      <c r="M237" s="13"/>
      <c r="N237" s="13"/>
      <c r="O237" s="13"/>
      <c r="P237" s="13"/>
      <c r="Q237" s="13"/>
      <c r="R237" s="13"/>
      <c r="S237" s="421"/>
      <c r="T237" s="421"/>
      <c r="U237" s="421"/>
      <c r="V237" s="421"/>
      <c r="W237" s="421"/>
      <c r="X237" s="421"/>
      <c r="Y237" s="421"/>
      <c r="Z237" s="421"/>
      <c r="AA237" s="421"/>
      <c r="AB237" s="421"/>
      <c r="AC237" s="421"/>
      <c r="AD237" s="421"/>
      <c r="AE237" s="421"/>
      <c r="AF237" s="421"/>
      <c r="AG237" s="421"/>
      <c r="AH237" s="421"/>
      <c r="AI237" s="421"/>
      <c r="AJ237" s="421"/>
      <c r="AK237" s="421"/>
      <c r="AL237" s="421"/>
      <c r="AM237" s="422"/>
      <c r="AN237" s="422"/>
      <c r="AO237" s="422"/>
      <c r="AP237" s="422"/>
      <c r="AQ237" s="422"/>
      <c r="AR237" s="422"/>
      <c r="AS237" s="422"/>
      <c r="AT237" s="422"/>
      <c r="AU237" s="422"/>
      <c r="AV237" s="422"/>
      <c r="AW237" s="422"/>
      <c r="AX237" s="422"/>
      <c r="AY237" s="422"/>
    </row>
    <row r="238" spans="1:51" x14ac:dyDescent="0.25">
      <c r="A238" s="3"/>
      <c r="B238" s="3"/>
      <c r="C238" s="3"/>
      <c r="D238" s="3"/>
      <c r="E238" s="3"/>
      <c r="F238" s="3"/>
      <c r="G238" s="3"/>
      <c r="H238" s="3"/>
      <c r="I238" s="3"/>
      <c r="J238" s="13"/>
      <c r="K238" s="13"/>
      <c r="L238" s="13"/>
      <c r="M238" s="13"/>
      <c r="N238" s="13"/>
      <c r="O238" s="13"/>
      <c r="P238" s="13"/>
      <c r="Q238" s="13"/>
      <c r="R238" s="13"/>
      <c r="S238" s="421"/>
      <c r="T238" s="421"/>
      <c r="U238" s="421"/>
      <c r="V238" s="421"/>
      <c r="W238" s="421"/>
      <c r="X238" s="421"/>
      <c r="Y238" s="421"/>
      <c r="Z238" s="421"/>
      <c r="AA238" s="421"/>
      <c r="AB238" s="421"/>
      <c r="AC238" s="421"/>
      <c r="AD238" s="421"/>
      <c r="AE238" s="421"/>
      <c r="AF238" s="421"/>
      <c r="AG238" s="421"/>
      <c r="AH238" s="421"/>
      <c r="AI238" s="421"/>
      <c r="AJ238" s="421"/>
      <c r="AK238" s="421"/>
      <c r="AL238" s="421"/>
      <c r="AM238" s="422"/>
      <c r="AN238" s="422"/>
      <c r="AO238" s="422"/>
      <c r="AP238" s="422"/>
      <c r="AQ238" s="422"/>
      <c r="AR238" s="422"/>
      <c r="AS238" s="422"/>
      <c r="AT238" s="422"/>
      <c r="AU238" s="422"/>
      <c r="AV238" s="422"/>
      <c r="AW238" s="422"/>
      <c r="AX238" s="422"/>
      <c r="AY238" s="422"/>
    </row>
    <row r="239" spans="1:51" x14ac:dyDescent="0.25">
      <c r="A239" s="3"/>
      <c r="B239" s="3"/>
      <c r="C239" s="3"/>
      <c r="D239" s="3"/>
      <c r="E239" s="3"/>
      <c r="F239" s="3"/>
      <c r="G239" s="3"/>
      <c r="H239" s="3"/>
      <c r="I239" s="3"/>
      <c r="J239" s="13"/>
      <c r="K239" s="13"/>
      <c r="L239" s="13"/>
      <c r="M239" s="13"/>
      <c r="N239" s="13"/>
      <c r="O239" s="13"/>
      <c r="P239" s="13"/>
      <c r="Q239" s="13"/>
      <c r="R239" s="13"/>
      <c r="S239" s="421"/>
      <c r="T239" s="421"/>
      <c r="U239" s="421"/>
      <c r="V239" s="421"/>
      <c r="W239" s="421"/>
      <c r="X239" s="421"/>
      <c r="Y239" s="421"/>
      <c r="Z239" s="421"/>
      <c r="AA239" s="421"/>
      <c r="AB239" s="421"/>
      <c r="AC239" s="421"/>
      <c r="AD239" s="421"/>
      <c r="AE239" s="421"/>
      <c r="AF239" s="421"/>
      <c r="AG239" s="421"/>
      <c r="AH239" s="421"/>
      <c r="AI239" s="421"/>
      <c r="AJ239" s="421"/>
      <c r="AK239" s="421"/>
      <c r="AL239" s="421"/>
      <c r="AM239" s="422"/>
      <c r="AN239" s="422"/>
      <c r="AO239" s="422"/>
      <c r="AP239" s="422"/>
      <c r="AQ239" s="422"/>
      <c r="AR239" s="422"/>
      <c r="AS239" s="422"/>
      <c r="AT239" s="422"/>
      <c r="AU239" s="422"/>
      <c r="AV239" s="422"/>
      <c r="AW239" s="422"/>
      <c r="AX239" s="422"/>
      <c r="AY239" s="422"/>
    </row>
    <row r="240" spans="1:51" x14ac:dyDescent="0.25">
      <c r="A240" s="3"/>
      <c r="B240" s="3"/>
      <c r="C240" s="3"/>
      <c r="D240" s="3"/>
      <c r="E240" s="3"/>
      <c r="F240" s="3"/>
      <c r="G240" s="3"/>
      <c r="H240" s="3"/>
      <c r="I240" s="3"/>
      <c r="J240" s="13"/>
      <c r="K240" s="13"/>
      <c r="L240" s="13"/>
      <c r="M240" s="13"/>
      <c r="N240" s="13"/>
      <c r="O240" s="13"/>
      <c r="P240" s="13"/>
      <c r="Q240" s="13"/>
      <c r="R240" s="13"/>
      <c r="S240" s="421"/>
      <c r="T240" s="421"/>
      <c r="U240" s="421"/>
      <c r="V240" s="421"/>
      <c r="W240" s="421"/>
      <c r="X240" s="421"/>
      <c r="Y240" s="421"/>
      <c r="Z240" s="421"/>
      <c r="AA240" s="421"/>
      <c r="AB240" s="421"/>
      <c r="AC240" s="421"/>
      <c r="AD240" s="421"/>
      <c r="AE240" s="421"/>
      <c r="AF240" s="421"/>
      <c r="AG240" s="421"/>
      <c r="AH240" s="421"/>
      <c r="AI240" s="421"/>
      <c r="AJ240" s="421"/>
      <c r="AK240" s="421"/>
      <c r="AL240" s="421"/>
      <c r="AM240" s="422"/>
      <c r="AN240" s="422"/>
      <c r="AO240" s="422"/>
      <c r="AP240" s="422"/>
      <c r="AQ240" s="422"/>
      <c r="AR240" s="422"/>
      <c r="AS240" s="422"/>
      <c r="AT240" s="422"/>
      <c r="AU240" s="422"/>
      <c r="AV240" s="422"/>
      <c r="AW240" s="422"/>
      <c r="AX240" s="422"/>
      <c r="AY240" s="422"/>
    </row>
    <row r="241" spans="1:51" x14ac:dyDescent="0.25">
      <c r="A241" s="3"/>
      <c r="B241" s="3"/>
      <c r="C241" s="3"/>
      <c r="D241" s="3"/>
      <c r="E241" s="3"/>
      <c r="F241" s="3"/>
      <c r="G241" s="3"/>
      <c r="H241" s="3"/>
      <c r="I241" s="3"/>
      <c r="J241" s="13"/>
      <c r="K241" s="13"/>
      <c r="L241" s="13"/>
      <c r="M241" s="13"/>
      <c r="N241" s="13"/>
      <c r="O241" s="13"/>
      <c r="P241" s="13"/>
      <c r="Q241" s="13"/>
      <c r="R241" s="13"/>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2"/>
      <c r="AN241" s="422"/>
      <c r="AO241" s="422"/>
      <c r="AP241" s="422"/>
      <c r="AQ241" s="422"/>
      <c r="AR241" s="422"/>
      <c r="AS241" s="422"/>
      <c r="AT241" s="422"/>
      <c r="AU241" s="422"/>
      <c r="AV241" s="422"/>
      <c r="AW241" s="422"/>
      <c r="AX241" s="422"/>
      <c r="AY241" s="422"/>
    </row>
    <row r="242" spans="1:51" x14ac:dyDescent="0.25">
      <c r="A242" s="3"/>
      <c r="B242" s="3"/>
      <c r="C242" s="3"/>
      <c r="D242" s="3"/>
      <c r="E242" s="3"/>
      <c r="F242" s="3"/>
      <c r="G242" s="3"/>
      <c r="H242" s="3"/>
      <c r="I242" s="3"/>
      <c r="J242" s="13"/>
      <c r="K242" s="13"/>
      <c r="L242" s="13"/>
      <c r="M242" s="13"/>
      <c r="N242" s="13"/>
      <c r="O242" s="13"/>
      <c r="P242" s="13"/>
      <c r="Q242" s="13"/>
      <c r="R242" s="13"/>
      <c r="S242" s="421"/>
      <c r="T242" s="421"/>
      <c r="U242" s="421"/>
      <c r="V242" s="421"/>
      <c r="W242" s="421"/>
      <c r="X242" s="421"/>
      <c r="Y242" s="421"/>
      <c r="Z242" s="421"/>
      <c r="AA242" s="421"/>
      <c r="AB242" s="421"/>
      <c r="AC242" s="421"/>
      <c r="AD242" s="421"/>
      <c r="AE242" s="421"/>
      <c r="AF242" s="421"/>
      <c r="AG242" s="421"/>
      <c r="AH242" s="421"/>
      <c r="AI242" s="421"/>
      <c r="AJ242" s="421"/>
      <c r="AK242" s="421"/>
      <c r="AL242" s="421"/>
      <c r="AM242" s="422"/>
      <c r="AN242" s="422"/>
      <c r="AO242" s="422"/>
      <c r="AP242" s="422"/>
      <c r="AQ242" s="422"/>
      <c r="AR242" s="422"/>
      <c r="AS242" s="422"/>
      <c r="AT242" s="422"/>
      <c r="AU242" s="422"/>
      <c r="AV242" s="422"/>
      <c r="AW242" s="422"/>
      <c r="AX242" s="422"/>
      <c r="AY242" s="422"/>
    </row>
    <row r="243" spans="1:51" x14ac:dyDescent="0.25">
      <c r="A243" s="3"/>
      <c r="B243" s="3"/>
      <c r="C243" s="3"/>
      <c r="D243" s="3"/>
      <c r="E243" s="3"/>
      <c r="F243" s="3"/>
      <c r="G243" s="3"/>
      <c r="H243" s="3"/>
      <c r="I243" s="3"/>
      <c r="J243" s="13"/>
      <c r="K243" s="13"/>
      <c r="L243" s="13"/>
      <c r="M243" s="13"/>
      <c r="N243" s="13"/>
      <c r="O243" s="13"/>
      <c r="P243" s="13"/>
      <c r="Q243" s="13"/>
      <c r="R243" s="13"/>
      <c r="S243" s="421"/>
      <c r="T243" s="421"/>
      <c r="U243" s="421"/>
      <c r="V243" s="421"/>
      <c r="W243" s="421"/>
      <c r="X243" s="421"/>
      <c r="Y243" s="421"/>
      <c r="Z243" s="421"/>
      <c r="AA243" s="421"/>
      <c r="AB243" s="421"/>
      <c r="AC243" s="421"/>
      <c r="AD243" s="421"/>
      <c r="AE243" s="421"/>
      <c r="AF243" s="421"/>
      <c r="AG243" s="421"/>
      <c r="AH243" s="421"/>
      <c r="AI243" s="421"/>
      <c r="AJ243" s="421"/>
      <c r="AK243" s="421"/>
      <c r="AL243" s="421"/>
      <c r="AM243" s="422"/>
      <c r="AN243" s="422"/>
      <c r="AO243" s="422"/>
      <c r="AP243" s="422"/>
      <c r="AQ243" s="422"/>
      <c r="AR243" s="422"/>
      <c r="AS243" s="422"/>
      <c r="AT243" s="422"/>
      <c r="AU243" s="422"/>
      <c r="AV243" s="422"/>
      <c r="AW243" s="422"/>
      <c r="AX243" s="422"/>
      <c r="AY243" s="422"/>
    </row>
    <row r="244" spans="1:51" x14ac:dyDescent="0.25">
      <c r="A244" s="3"/>
      <c r="B244" s="3"/>
      <c r="C244" s="3"/>
      <c r="D244" s="3"/>
      <c r="E244" s="3"/>
      <c r="F244" s="3"/>
      <c r="G244" s="3"/>
      <c r="H244" s="3"/>
      <c r="I244" s="3"/>
      <c r="J244" s="13"/>
      <c r="K244" s="13"/>
      <c r="L244" s="13"/>
      <c r="M244" s="13"/>
      <c r="N244" s="13"/>
      <c r="O244" s="13"/>
      <c r="P244" s="13"/>
      <c r="Q244" s="13"/>
      <c r="R244" s="13"/>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2"/>
      <c r="AN244" s="422"/>
      <c r="AO244" s="422"/>
      <c r="AP244" s="422"/>
      <c r="AQ244" s="422"/>
      <c r="AR244" s="422"/>
      <c r="AS244" s="422"/>
      <c r="AT244" s="422"/>
      <c r="AU244" s="422"/>
      <c r="AV244" s="422"/>
      <c r="AW244" s="422"/>
      <c r="AX244" s="422"/>
      <c r="AY244" s="422"/>
    </row>
    <row r="245" spans="1:51" x14ac:dyDescent="0.25">
      <c r="A245" s="3"/>
      <c r="B245" s="3"/>
      <c r="C245" s="3"/>
      <c r="D245" s="3"/>
      <c r="E245" s="3"/>
      <c r="F245" s="3"/>
      <c r="G245" s="3"/>
      <c r="H245" s="3"/>
      <c r="I245" s="3"/>
      <c r="J245" s="13"/>
      <c r="K245" s="13"/>
      <c r="L245" s="13"/>
      <c r="M245" s="13"/>
      <c r="N245" s="13"/>
      <c r="O245" s="13"/>
      <c r="P245" s="13"/>
      <c r="Q245" s="13"/>
      <c r="R245" s="13"/>
      <c r="S245" s="421"/>
      <c r="T245" s="421"/>
      <c r="U245" s="421"/>
      <c r="V245" s="421"/>
      <c r="W245" s="421"/>
      <c r="X245" s="421"/>
      <c r="Y245" s="421"/>
      <c r="Z245" s="421"/>
      <c r="AA245" s="421"/>
      <c r="AB245" s="421"/>
      <c r="AC245" s="421"/>
      <c r="AD245" s="421"/>
      <c r="AE245" s="421"/>
      <c r="AF245" s="421"/>
      <c r="AG245" s="421"/>
      <c r="AH245" s="421"/>
      <c r="AI245" s="421"/>
      <c r="AJ245" s="421"/>
      <c r="AK245" s="421"/>
      <c r="AL245" s="421"/>
      <c r="AM245" s="422"/>
      <c r="AN245" s="422"/>
      <c r="AO245" s="422"/>
      <c r="AP245" s="422"/>
      <c r="AQ245" s="422"/>
      <c r="AR245" s="422"/>
      <c r="AS245" s="422"/>
      <c r="AT245" s="422"/>
      <c r="AU245" s="422"/>
      <c r="AV245" s="422"/>
      <c r="AW245" s="422"/>
      <c r="AX245" s="422"/>
      <c r="AY245" s="422"/>
    </row>
    <row r="246" spans="1:51" x14ac:dyDescent="0.25">
      <c r="A246" s="3"/>
      <c r="B246" s="3"/>
      <c r="C246" s="3"/>
      <c r="D246" s="3"/>
      <c r="E246" s="3"/>
      <c r="F246" s="3"/>
      <c r="G246" s="3"/>
      <c r="H246" s="3"/>
      <c r="I246" s="3"/>
      <c r="J246" s="13"/>
      <c r="K246" s="13"/>
      <c r="L246" s="13"/>
      <c r="M246" s="13"/>
      <c r="N246" s="13"/>
      <c r="O246" s="13"/>
      <c r="P246" s="13"/>
      <c r="Q246" s="13"/>
      <c r="R246" s="13"/>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2"/>
      <c r="AN246" s="422"/>
      <c r="AO246" s="422"/>
      <c r="AP246" s="422"/>
      <c r="AQ246" s="422"/>
      <c r="AR246" s="422"/>
      <c r="AS246" s="422"/>
      <c r="AT246" s="422"/>
      <c r="AU246" s="422"/>
      <c r="AV246" s="422"/>
      <c r="AW246" s="422"/>
      <c r="AX246" s="422"/>
      <c r="AY246" s="422"/>
    </row>
    <row r="247" spans="1:51" x14ac:dyDescent="0.25">
      <c r="A247" s="3"/>
      <c r="B247" s="3"/>
      <c r="C247" s="3"/>
      <c r="D247" s="3"/>
      <c r="E247" s="3"/>
      <c r="F247" s="3"/>
      <c r="G247" s="3"/>
      <c r="H247" s="3"/>
      <c r="I247" s="3"/>
      <c r="J247" s="13"/>
      <c r="K247" s="13"/>
      <c r="L247" s="13"/>
      <c r="M247" s="13"/>
      <c r="N247" s="13"/>
      <c r="O247" s="13"/>
      <c r="P247" s="13"/>
      <c r="Q247" s="13"/>
      <c r="R247" s="13"/>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2"/>
      <c r="AN247" s="422"/>
      <c r="AO247" s="422"/>
      <c r="AP247" s="422"/>
      <c r="AQ247" s="422"/>
      <c r="AR247" s="422"/>
      <c r="AS247" s="422"/>
      <c r="AT247" s="422"/>
      <c r="AU247" s="422"/>
      <c r="AV247" s="422"/>
      <c r="AW247" s="422"/>
      <c r="AX247" s="422"/>
      <c r="AY247" s="422"/>
    </row>
    <row r="248" spans="1:51" x14ac:dyDescent="0.25">
      <c r="A248" s="3"/>
      <c r="B248" s="3"/>
      <c r="C248" s="3"/>
      <c r="D248" s="3"/>
      <c r="E248" s="3"/>
      <c r="F248" s="3"/>
      <c r="G248" s="3"/>
      <c r="H248" s="3"/>
      <c r="I248" s="3"/>
      <c r="J248" s="13"/>
      <c r="K248" s="13"/>
      <c r="L248" s="13"/>
      <c r="M248" s="13"/>
      <c r="N248" s="13"/>
      <c r="O248" s="13"/>
      <c r="P248" s="13"/>
      <c r="Q248" s="13"/>
      <c r="R248" s="13"/>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2"/>
      <c r="AN248" s="422"/>
      <c r="AO248" s="422"/>
      <c r="AP248" s="422"/>
      <c r="AQ248" s="422"/>
      <c r="AR248" s="422"/>
      <c r="AS248" s="422"/>
      <c r="AT248" s="422"/>
      <c r="AU248" s="422"/>
      <c r="AV248" s="422"/>
      <c r="AW248" s="422"/>
      <c r="AX248" s="422"/>
      <c r="AY248" s="422"/>
    </row>
    <row r="249" spans="1:51" x14ac:dyDescent="0.25">
      <c r="A249" s="3"/>
      <c r="B249" s="3"/>
      <c r="C249" s="3"/>
      <c r="D249" s="3"/>
      <c r="E249" s="3"/>
      <c r="F249" s="3"/>
      <c r="G249" s="3"/>
      <c r="H249" s="3"/>
      <c r="I249" s="3"/>
      <c r="J249" s="13"/>
      <c r="K249" s="13"/>
      <c r="L249" s="13"/>
      <c r="M249" s="13"/>
      <c r="N249" s="13"/>
      <c r="O249" s="13"/>
      <c r="P249" s="13"/>
      <c r="Q249" s="13"/>
      <c r="R249" s="13"/>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2"/>
      <c r="AN249" s="422"/>
      <c r="AO249" s="422"/>
      <c r="AP249" s="422"/>
      <c r="AQ249" s="422"/>
      <c r="AR249" s="422"/>
      <c r="AS249" s="422"/>
      <c r="AT249" s="422"/>
      <c r="AU249" s="422"/>
      <c r="AV249" s="422"/>
      <c r="AW249" s="422"/>
      <c r="AX249" s="422"/>
      <c r="AY249" s="422"/>
    </row>
    <row r="250" spans="1:51" x14ac:dyDescent="0.25">
      <c r="A250" s="3"/>
      <c r="B250" s="3"/>
      <c r="C250" s="3"/>
      <c r="D250" s="3"/>
      <c r="E250" s="3"/>
      <c r="F250" s="3"/>
      <c r="G250" s="3"/>
      <c r="H250" s="3"/>
      <c r="I250" s="3"/>
      <c r="J250" s="13"/>
      <c r="K250" s="13"/>
      <c r="L250" s="13"/>
      <c r="M250" s="13"/>
      <c r="N250" s="13"/>
      <c r="O250" s="13"/>
      <c r="P250" s="13"/>
      <c r="Q250" s="13"/>
      <c r="R250" s="13"/>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2"/>
      <c r="AN250" s="422"/>
      <c r="AO250" s="422"/>
      <c r="AP250" s="422"/>
      <c r="AQ250" s="422"/>
      <c r="AR250" s="422"/>
      <c r="AS250" s="422"/>
      <c r="AT250" s="422"/>
      <c r="AU250" s="422"/>
      <c r="AV250" s="422"/>
      <c r="AW250" s="422"/>
      <c r="AX250" s="422"/>
      <c r="AY250" s="422"/>
    </row>
    <row r="251" spans="1:51" x14ac:dyDescent="0.25">
      <c r="A251" s="3"/>
      <c r="B251" s="3"/>
      <c r="C251" s="3"/>
      <c r="D251" s="3"/>
      <c r="E251" s="3"/>
      <c r="F251" s="3"/>
      <c r="G251" s="3"/>
      <c r="H251" s="3"/>
      <c r="I251" s="3"/>
      <c r="J251" s="13"/>
      <c r="K251" s="13"/>
      <c r="L251" s="13"/>
      <c r="M251" s="13"/>
      <c r="N251" s="13"/>
      <c r="O251" s="13"/>
      <c r="P251" s="13"/>
      <c r="Q251" s="13"/>
      <c r="R251" s="13"/>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2"/>
      <c r="AN251" s="422"/>
      <c r="AO251" s="422"/>
      <c r="AP251" s="422"/>
      <c r="AQ251" s="422"/>
      <c r="AR251" s="422"/>
      <c r="AS251" s="422"/>
      <c r="AT251" s="422"/>
      <c r="AU251" s="422"/>
      <c r="AV251" s="422"/>
      <c r="AW251" s="422"/>
      <c r="AX251" s="422"/>
      <c r="AY251" s="422"/>
    </row>
    <row r="252" spans="1:51" x14ac:dyDescent="0.25">
      <c r="A252" s="3"/>
      <c r="B252" s="3"/>
      <c r="C252" s="3"/>
      <c r="D252" s="3"/>
      <c r="E252" s="3"/>
      <c r="F252" s="3"/>
      <c r="G252" s="3"/>
      <c r="H252" s="3"/>
      <c r="I252" s="3"/>
      <c r="J252" s="13"/>
      <c r="K252" s="13"/>
      <c r="L252" s="13"/>
      <c r="M252" s="13"/>
      <c r="N252" s="13"/>
      <c r="O252" s="13"/>
      <c r="P252" s="13"/>
      <c r="Q252" s="13"/>
      <c r="R252" s="13"/>
      <c r="S252" s="421"/>
      <c r="T252" s="421"/>
      <c r="U252" s="421"/>
      <c r="V252" s="421"/>
      <c r="W252" s="421"/>
      <c r="X252" s="421"/>
      <c r="Y252" s="421"/>
      <c r="Z252" s="421"/>
      <c r="AA252" s="421"/>
      <c r="AB252" s="421"/>
      <c r="AC252" s="421"/>
      <c r="AD252" s="421"/>
      <c r="AE252" s="421"/>
      <c r="AF252" s="421"/>
      <c r="AG252" s="421"/>
      <c r="AH252" s="421"/>
      <c r="AI252" s="421"/>
      <c r="AJ252" s="421"/>
      <c r="AK252" s="421"/>
      <c r="AL252" s="421"/>
      <c r="AM252" s="422"/>
      <c r="AN252" s="422"/>
      <c r="AO252" s="422"/>
      <c r="AP252" s="422"/>
      <c r="AQ252" s="422"/>
      <c r="AR252" s="422"/>
      <c r="AS252" s="422"/>
      <c r="AT252" s="422"/>
      <c r="AU252" s="422"/>
      <c r="AV252" s="422"/>
      <c r="AW252" s="422"/>
      <c r="AX252" s="422"/>
      <c r="AY252" s="422"/>
    </row>
    <row r="253" spans="1:51" x14ac:dyDescent="0.25">
      <c r="A253" s="3"/>
      <c r="B253" s="3"/>
      <c r="C253" s="3"/>
      <c r="D253" s="3"/>
      <c r="E253" s="3"/>
      <c r="F253" s="3"/>
      <c r="G253" s="3"/>
      <c r="H253" s="3"/>
      <c r="I253" s="3"/>
      <c r="J253" s="13"/>
      <c r="K253" s="13"/>
      <c r="L253" s="13"/>
      <c r="M253" s="13"/>
      <c r="N253" s="13"/>
      <c r="O253" s="13"/>
      <c r="P253" s="13"/>
      <c r="Q253" s="13"/>
      <c r="R253" s="13"/>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2"/>
      <c r="AN253" s="422"/>
      <c r="AO253" s="422"/>
      <c r="AP253" s="422"/>
      <c r="AQ253" s="422"/>
      <c r="AR253" s="422"/>
      <c r="AS253" s="422"/>
      <c r="AT253" s="422"/>
      <c r="AU253" s="422"/>
      <c r="AV253" s="422"/>
      <c r="AW253" s="422"/>
      <c r="AX253" s="422"/>
      <c r="AY253" s="422"/>
    </row>
    <row r="254" spans="1:51" x14ac:dyDescent="0.25">
      <c r="A254" s="3"/>
      <c r="B254" s="3"/>
      <c r="C254" s="3"/>
      <c r="D254" s="3"/>
      <c r="E254" s="3"/>
      <c r="F254" s="3"/>
      <c r="G254" s="3"/>
      <c r="H254" s="3"/>
      <c r="I254" s="3"/>
      <c r="J254" s="13"/>
      <c r="K254" s="13"/>
      <c r="L254" s="13"/>
      <c r="M254" s="13"/>
      <c r="N254" s="13"/>
      <c r="O254" s="13"/>
      <c r="P254" s="13"/>
      <c r="Q254" s="13"/>
      <c r="R254" s="13"/>
      <c r="S254" s="421"/>
      <c r="T254" s="421"/>
      <c r="U254" s="421"/>
      <c r="V254" s="421"/>
      <c r="W254" s="421"/>
      <c r="X254" s="421"/>
      <c r="Y254" s="421"/>
      <c r="Z254" s="421"/>
      <c r="AA254" s="421"/>
      <c r="AB254" s="421"/>
      <c r="AC254" s="421"/>
      <c r="AD254" s="421"/>
      <c r="AE254" s="421"/>
      <c r="AF254" s="421"/>
      <c r="AG254" s="421"/>
      <c r="AH254" s="421"/>
      <c r="AI254" s="421"/>
      <c r="AJ254" s="421"/>
      <c r="AK254" s="421"/>
      <c r="AL254" s="421"/>
      <c r="AM254" s="422"/>
      <c r="AN254" s="422"/>
      <c r="AO254" s="422"/>
      <c r="AP254" s="422"/>
      <c r="AQ254" s="422"/>
      <c r="AR254" s="422"/>
      <c r="AS254" s="422"/>
      <c r="AT254" s="422"/>
      <c r="AU254" s="422"/>
      <c r="AV254" s="422"/>
      <c r="AW254" s="422"/>
      <c r="AX254" s="422"/>
      <c r="AY254" s="422"/>
    </row>
    <row r="255" spans="1:51" x14ac:dyDescent="0.25">
      <c r="A255" s="3"/>
      <c r="B255" s="3"/>
      <c r="C255" s="3"/>
      <c r="D255" s="3"/>
      <c r="E255" s="3"/>
      <c r="F255" s="3"/>
      <c r="G255" s="3"/>
      <c r="H255" s="3"/>
      <c r="I255" s="3"/>
      <c r="J255" s="13"/>
      <c r="K255" s="13"/>
      <c r="L255" s="13"/>
      <c r="M255" s="13"/>
      <c r="N255" s="13"/>
      <c r="O255" s="13"/>
      <c r="P255" s="13"/>
      <c r="Q255" s="13"/>
      <c r="R255" s="13"/>
      <c r="S255" s="421"/>
      <c r="T255" s="421"/>
      <c r="U255" s="421"/>
      <c r="V255" s="421"/>
      <c r="W255" s="421"/>
      <c r="X255" s="421"/>
      <c r="Y255" s="421"/>
      <c r="Z255" s="421"/>
      <c r="AA255" s="421"/>
      <c r="AB255" s="421"/>
      <c r="AC255" s="421"/>
      <c r="AD255" s="421"/>
      <c r="AE255" s="421"/>
      <c r="AF255" s="421"/>
      <c r="AG255" s="421"/>
      <c r="AH255" s="421"/>
      <c r="AI255" s="421"/>
      <c r="AJ255" s="421"/>
      <c r="AK255" s="421"/>
      <c r="AL255" s="421"/>
      <c r="AM255" s="422"/>
      <c r="AN255" s="422"/>
      <c r="AO255" s="422"/>
      <c r="AP255" s="422"/>
      <c r="AQ255" s="422"/>
      <c r="AR255" s="422"/>
      <c r="AS255" s="422"/>
      <c r="AT255" s="422"/>
      <c r="AU255" s="422"/>
      <c r="AV255" s="422"/>
      <c r="AW255" s="422"/>
      <c r="AX255" s="422"/>
      <c r="AY255" s="422"/>
    </row>
    <row r="256" spans="1:51" x14ac:dyDescent="0.25">
      <c r="A256" s="3"/>
      <c r="B256" s="3"/>
      <c r="C256" s="3"/>
      <c r="D256" s="3"/>
      <c r="E256" s="3"/>
      <c r="F256" s="3"/>
      <c r="G256" s="3"/>
      <c r="H256" s="3"/>
      <c r="I256" s="3"/>
      <c r="J256" s="13"/>
      <c r="K256" s="13"/>
      <c r="L256" s="13"/>
      <c r="M256" s="13"/>
      <c r="N256" s="13"/>
      <c r="O256" s="13"/>
      <c r="P256" s="13"/>
      <c r="Q256" s="13"/>
      <c r="R256" s="13"/>
      <c r="S256" s="421"/>
      <c r="T256" s="421"/>
      <c r="U256" s="421"/>
      <c r="V256" s="421"/>
      <c r="W256" s="421"/>
      <c r="X256" s="421"/>
      <c r="Y256" s="421"/>
      <c r="Z256" s="421"/>
      <c r="AA256" s="421"/>
      <c r="AB256" s="421"/>
      <c r="AC256" s="421"/>
      <c r="AD256" s="421"/>
      <c r="AE256" s="421"/>
      <c r="AF256" s="421"/>
      <c r="AG256" s="421"/>
      <c r="AH256" s="421"/>
      <c r="AI256" s="421"/>
      <c r="AJ256" s="421"/>
      <c r="AK256" s="421"/>
      <c r="AL256" s="421"/>
      <c r="AM256" s="422"/>
      <c r="AN256" s="422"/>
      <c r="AO256" s="422"/>
      <c r="AP256" s="422"/>
      <c r="AQ256" s="422"/>
      <c r="AR256" s="422"/>
      <c r="AS256" s="422"/>
      <c r="AT256" s="422"/>
      <c r="AU256" s="422"/>
      <c r="AV256" s="422"/>
      <c r="AW256" s="422"/>
      <c r="AX256" s="422"/>
      <c r="AY256" s="422"/>
    </row>
    <row r="257" spans="1:51" x14ac:dyDescent="0.25">
      <c r="A257" s="3"/>
      <c r="B257" s="3"/>
      <c r="C257" s="3"/>
      <c r="D257" s="3"/>
      <c r="E257" s="3"/>
      <c r="F257" s="3"/>
      <c r="G257" s="3"/>
      <c r="H257" s="3"/>
      <c r="I257" s="3"/>
      <c r="J257" s="13"/>
      <c r="K257" s="13"/>
      <c r="L257" s="13"/>
      <c r="M257" s="13"/>
      <c r="N257" s="13"/>
      <c r="O257" s="13"/>
      <c r="P257" s="13"/>
      <c r="Q257" s="13"/>
      <c r="R257" s="13"/>
      <c r="S257" s="421"/>
      <c r="T257" s="421"/>
      <c r="U257" s="421"/>
      <c r="V257" s="421"/>
      <c r="W257" s="421"/>
      <c r="X257" s="421"/>
      <c r="Y257" s="421"/>
      <c r="Z257" s="421"/>
      <c r="AA257" s="421"/>
      <c r="AB257" s="421"/>
      <c r="AC257" s="421"/>
      <c r="AD257" s="421"/>
      <c r="AE257" s="421"/>
      <c r="AF257" s="421"/>
      <c r="AG257" s="421"/>
      <c r="AH257" s="421"/>
      <c r="AI257" s="421"/>
      <c r="AJ257" s="421"/>
      <c r="AK257" s="421"/>
      <c r="AL257" s="421"/>
      <c r="AM257" s="422"/>
      <c r="AN257" s="422"/>
      <c r="AO257" s="422"/>
      <c r="AP257" s="422"/>
      <c r="AQ257" s="422"/>
      <c r="AR257" s="422"/>
      <c r="AS257" s="422"/>
      <c r="AT257" s="422"/>
      <c r="AU257" s="422"/>
      <c r="AV257" s="422"/>
      <c r="AW257" s="422"/>
      <c r="AX257" s="422"/>
      <c r="AY257" s="422"/>
    </row>
    <row r="258" spans="1:51" x14ac:dyDescent="0.25">
      <c r="A258" s="3"/>
      <c r="B258" s="3"/>
      <c r="C258" s="3"/>
      <c r="D258" s="3"/>
      <c r="E258" s="3"/>
      <c r="F258" s="3"/>
      <c r="G258" s="3"/>
      <c r="H258" s="3"/>
      <c r="I258" s="3"/>
      <c r="J258" s="13"/>
      <c r="K258" s="13"/>
      <c r="L258" s="13"/>
      <c r="M258" s="13"/>
      <c r="N258" s="13"/>
      <c r="O258" s="13"/>
      <c r="P258" s="13"/>
      <c r="Q258" s="13"/>
      <c r="R258" s="13"/>
      <c r="S258" s="421"/>
      <c r="T258" s="421"/>
      <c r="U258" s="421"/>
      <c r="V258" s="421"/>
      <c r="W258" s="421"/>
      <c r="X258" s="421"/>
      <c r="Y258" s="421"/>
      <c r="Z258" s="421"/>
      <c r="AA258" s="421"/>
      <c r="AB258" s="421"/>
      <c r="AC258" s="421"/>
      <c r="AD258" s="421"/>
      <c r="AE258" s="421"/>
      <c r="AF258" s="421"/>
      <c r="AG258" s="421"/>
      <c r="AH258" s="421"/>
      <c r="AI258" s="421"/>
      <c r="AJ258" s="421"/>
      <c r="AK258" s="421"/>
      <c r="AL258" s="421"/>
      <c r="AM258" s="422"/>
      <c r="AN258" s="422"/>
      <c r="AO258" s="422"/>
      <c r="AP258" s="422"/>
      <c r="AQ258" s="422"/>
      <c r="AR258" s="422"/>
      <c r="AS258" s="422"/>
      <c r="AT258" s="422"/>
      <c r="AU258" s="422"/>
      <c r="AV258" s="422"/>
      <c r="AW258" s="422"/>
      <c r="AX258" s="422"/>
      <c r="AY258" s="422"/>
    </row>
    <row r="259" spans="1:51" x14ac:dyDescent="0.25">
      <c r="A259" s="3"/>
      <c r="B259" s="3"/>
      <c r="C259" s="3"/>
      <c r="D259" s="3"/>
      <c r="E259" s="3"/>
      <c r="F259" s="3"/>
      <c r="G259" s="3"/>
      <c r="H259" s="3"/>
      <c r="I259" s="3"/>
      <c r="J259" s="13"/>
      <c r="K259" s="13"/>
      <c r="L259" s="13"/>
      <c r="M259" s="13"/>
      <c r="N259" s="13"/>
      <c r="O259" s="13"/>
      <c r="P259" s="13"/>
      <c r="Q259" s="13"/>
      <c r="R259" s="13"/>
      <c r="S259" s="421"/>
      <c r="T259" s="421"/>
      <c r="U259" s="421"/>
      <c r="V259" s="421"/>
      <c r="W259" s="421"/>
      <c r="X259" s="421"/>
      <c r="Y259" s="421"/>
      <c r="Z259" s="421"/>
      <c r="AA259" s="421"/>
      <c r="AB259" s="421"/>
      <c r="AC259" s="421"/>
      <c r="AD259" s="421"/>
      <c r="AE259" s="421"/>
      <c r="AF259" s="421"/>
      <c r="AG259" s="421"/>
      <c r="AH259" s="421"/>
      <c r="AI259" s="421"/>
      <c r="AJ259" s="421"/>
      <c r="AK259" s="421"/>
      <c r="AL259" s="421"/>
      <c r="AM259" s="422"/>
      <c r="AN259" s="422"/>
      <c r="AO259" s="422"/>
      <c r="AP259" s="422"/>
      <c r="AQ259" s="422"/>
      <c r="AR259" s="422"/>
      <c r="AS259" s="422"/>
      <c r="AT259" s="422"/>
      <c r="AU259" s="422"/>
      <c r="AV259" s="422"/>
      <c r="AW259" s="422"/>
      <c r="AX259" s="422"/>
      <c r="AY259" s="422"/>
    </row>
    <row r="260" spans="1:51" x14ac:dyDescent="0.25">
      <c r="A260" s="3"/>
      <c r="B260" s="3"/>
      <c r="C260" s="3"/>
      <c r="D260" s="3"/>
      <c r="E260" s="3"/>
      <c r="F260" s="3"/>
      <c r="G260" s="3"/>
      <c r="H260" s="3"/>
      <c r="I260" s="3"/>
      <c r="J260" s="13"/>
      <c r="K260" s="13"/>
      <c r="L260" s="13"/>
      <c r="M260" s="13"/>
      <c r="N260" s="13"/>
      <c r="O260" s="13"/>
      <c r="P260" s="13"/>
      <c r="Q260" s="13"/>
      <c r="R260" s="13"/>
      <c r="S260" s="421"/>
      <c r="T260" s="421"/>
      <c r="U260" s="421"/>
      <c r="V260" s="421"/>
      <c r="W260" s="421"/>
      <c r="X260" s="421"/>
      <c r="Y260" s="421"/>
      <c r="Z260" s="421"/>
      <c r="AA260" s="421"/>
      <c r="AB260" s="421"/>
      <c r="AC260" s="421"/>
      <c r="AD260" s="421"/>
      <c r="AE260" s="421"/>
      <c r="AF260" s="421"/>
      <c r="AG260" s="421"/>
      <c r="AH260" s="421"/>
      <c r="AI260" s="421"/>
      <c r="AJ260" s="421"/>
      <c r="AK260" s="421"/>
      <c r="AL260" s="421"/>
      <c r="AM260" s="422"/>
      <c r="AN260" s="422"/>
      <c r="AO260" s="422"/>
      <c r="AP260" s="422"/>
      <c r="AQ260" s="422"/>
      <c r="AR260" s="422"/>
      <c r="AS260" s="422"/>
      <c r="AT260" s="422"/>
      <c r="AU260" s="422"/>
      <c r="AV260" s="422"/>
      <c r="AW260" s="422"/>
      <c r="AX260" s="422"/>
      <c r="AY260" s="422"/>
    </row>
    <row r="261" spans="1:51" x14ac:dyDescent="0.25">
      <c r="A261" s="3"/>
      <c r="B261" s="3"/>
      <c r="C261" s="3"/>
      <c r="D261" s="3"/>
      <c r="E261" s="3"/>
      <c r="F261" s="3"/>
      <c r="G261" s="3"/>
      <c r="H261" s="3"/>
      <c r="I261" s="3"/>
      <c r="J261" s="13"/>
      <c r="K261" s="13"/>
      <c r="L261" s="13"/>
      <c r="M261" s="13"/>
      <c r="N261" s="13"/>
      <c r="O261" s="13"/>
      <c r="P261" s="13"/>
      <c r="Q261" s="13"/>
      <c r="R261" s="13"/>
      <c r="S261" s="421"/>
      <c r="T261" s="421"/>
      <c r="U261" s="421"/>
      <c r="V261" s="421"/>
      <c r="W261" s="421"/>
      <c r="X261" s="421"/>
      <c r="Y261" s="421"/>
      <c r="Z261" s="421"/>
      <c r="AA261" s="421"/>
      <c r="AB261" s="421"/>
      <c r="AC261" s="421"/>
      <c r="AD261" s="421"/>
      <c r="AE261" s="421"/>
      <c r="AF261" s="421"/>
      <c r="AG261" s="421"/>
      <c r="AH261" s="421"/>
      <c r="AI261" s="421"/>
      <c r="AJ261" s="421"/>
      <c r="AK261" s="421"/>
      <c r="AL261" s="421"/>
      <c r="AM261" s="422"/>
      <c r="AN261" s="422"/>
      <c r="AO261" s="422"/>
      <c r="AP261" s="422"/>
      <c r="AQ261" s="422"/>
      <c r="AR261" s="422"/>
      <c r="AS261" s="422"/>
      <c r="AT261" s="422"/>
      <c r="AU261" s="422"/>
      <c r="AV261" s="422"/>
      <c r="AW261" s="422"/>
      <c r="AX261" s="422"/>
      <c r="AY261" s="422"/>
    </row>
    <row r="262" spans="1:51" x14ac:dyDescent="0.25">
      <c r="A262" s="3"/>
      <c r="B262" s="3"/>
      <c r="C262" s="3"/>
      <c r="D262" s="3"/>
      <c r="E262" s="3"/>
      <c r="F262" s="3"/>
      <c r="G262" s="3"/>
      <c r="H262" s="3"/>
      <c r="I262" s="3"/>
      <c r="J262" s="13"/>
      <c r="K262" s="13"/>
      <c r="L262" s="13"/>
      <c r="M262" s="13"/>
      <c r="N262" s="13"/>
      <c r="O262" s="13"/>
      <c r="P262" s="13"/>
      <c r="Q262" s="13"/>
      <c r="R262" s="13"/>
      <c r="S262" s="421"/>
      <c r="T262" s="421"/>
      <c r="U262" s="421"/>
      <c r="V262" s="421"/>
      <c r="W262" s="421"/>
      <c r="X262" s="421"/>
      <c r="Y262" s="421"/>
      <c r="Z262" s="421"/>
      <c r="AA262" s="421"/>
      <c r="AB262" s="421"/>
      <c r="AC262" s="421"/>
      <c r="AD262" s="421"/>
      <c r="AE262" s="421"/>
      <c r="AF262" s="421"/>
      <c r="AG262" s="421"/>
      <c r="AH262" s="421"/>
      <c r="AI262" s="421"/>
      <c r="AJ262" s="421"/>
      <c r="AK262" s="421"/>
      <c r="AL262" s="421"/>
      <c r="AM262" s="422"/>
      <c r="AN262" s="422"/>
      <c r="AO262" s="422"/>
      <c r="AP262" s="422"/>
      <c r="AQ262" s="422"/>
      <c r="AR262" s="422"/>
      <c r="AS262" s="422"/>
      <c r="AT262" s="422"/>
      <c r="AU262" s="422"/>
      <c r="AV262" s="422"/>
      <c r="AW262" s="422"/>
      <c r="AX262" s="422"/>
      <c r="AY262" s="422"/>
    </row>
    <row r="263" spans="1:51" x14ac:dyDescent="0.25">
      <c r="A263" s="3"/>
      <c r="B263" s="3"/>
      <c r="C263" s="3"/>
      <c r="D263" s="3"/>
      <c r="E263" s="3"/>
      <c r="F263" s="3"/>
      <c r="G263" s="3"/>
      <c r="H263" s="3"/>
      <c r="I263" s="3"/>
      <c r="J263" s="13"/>
      <c r="K263" s="13"/>
      <c r="L263" s="13"/>
      <c r="M263" s="13"/>
      <c r="N263" s="13"/>
      <c r="O263" s="13"/>
      <c r="P263" s="13"/>
      <c r="Q263" s="13"/>
      <c r="R263" s="13"/>
      <c r="S263" s="421"/>
      <c r="T263" s="421"/>
      <c r="U263" s="421"/>
      <c r="V263" s="421"/>
      <c r="W263" s="421"/>
      <c r="X263" s="421"/>
      <c r="Y263" s="421"/>
      <c r="Z263" s="421"/>
      <c r="AA263" s="421"/>
      <c r="AB263" s="421"/>
      <c r="AC263" s="421"/>
      <c r="AD263" s="421"/>
      <c r="AE263" s="421"/>
      <c r="AF263" s="421"/>
      <c r="AG263" s="421"/>
      <c r="AH263" s="421"/>
      <c r="AI263" s="421"/>
      <c r="AJ263" s="421"/>
      <c r="AK263" s="421"/>
      <c r="AL263" s="421"/>
      <c r="AM263" s="422"/>
      <c r="AN263" s="422"/>
      <c r="AO263" s="422"/>
      <c r="AP263" s="422"/>
      <c r="AQ263" s="422"/>
      <c r="AR263" s="422"/>
      <c r="AS263" s="422"/>
      <c r="AT263" s="422"/>
      <c r="AU263" s="422"/>
      <c r="AV263" s="422"/>
      <c r="AW263" s="422"/>
      <c r="AX263" s="422"/>
      <c r="AY263" s="422"/>
    </row>
    <row r="264" spans="1:51" x14ac:dyDescent="0.25">
      <c r="A264" s="3"/>
      <c r="B264" s="3"/>
      <c r="C264" s="3"/>
      <c r="D264" s="3"/>
      <c r="E264" s="3"/>
      <c r="F264" s="3"/>
      <c r="G264" s="3"/>
      <c r="H264" s="3"/>
      <c r="I264" s="3"/>
      <c r="J264" s="13"/>
      <c r="K264" s="13"/>
      <c r="L264" s="13"/>
      <c r="M264" s="13"/>
      <c r="N264" s="13"/>
      <c r="O264" s="13"/>
      <c r="P264" s="13"/>
      <c r="Q264" s="13"/>
      <c r="R264" s="13"/>
      <c r="S264" s="421"/>
      <c r="T264" s="421"/>
      <c r="U264" s="421"/>
      <c r="V264" s="421"/>
      <c r="W264" s="421"/>
      <c r="X264" s="421"/>
      <c r="Y264" s="421"/>
      <c r="Z264" s="421"/>
      <c r="AA264" s="421"/>
      <c r="AB264" s="421"/>
      <c r="AC264" s="421"/>
      <c r="AD264" s="421"/>
      <c r="AE264" s="421"/>
      <c r="AF264" s="421"/>
      <c r="AG264" s="421"/>
      <c r="AH264" s="421"/>
      <c r="AI264" s="421"/>
      <c r="AJ264" s="421"/>
      <c r="AK264" s="421"/>
      <c r="AL264" s="421"/>
      <c r="AM264" s="422"/>
      <c r="AN264" s="422"/>
      <c r="AO264" s="422"/>
      <c r="AP264" s="422"/>
      <c r="AQ264" s="422"/>
      <c r="AR264" s="422"/>
      <c r="AS264" s="422"/>
      <c r="AT264" s="422"/>
      <c r="AU264" s="422"/>
      <c r="AV264" s="422"/>
      <c r="AW264" s="422"/>
      <c r="AX264" s="422"/>
      <c r="AY264" s="422"/>
    </row>
    <row r="265" spans="1:51" x14ac:dyDescent="0.25">
      <c r="A265" s="3"/>
      <c r="B265" s="3"/>
      <c r="C265" s="3"/>
      <c r="D265" s="3"/>
      <c r="E265" s="3"/>
      <c r="F265" s="3"/>
      <c r="G265" s="3"/>
      <c r="H265" s="3"/>
      <c r="I265" s="3"/>
      <c r="J265" s="13"/>
      <c r="K265" s="13"/>
      <c r="L265" s="13"/>
      <c r="M265" s="13"/>
      <c r="N265" s="13"/>
      <c r="O265" s="13"/>
      <c r="P265" s="13"/>
      <c r="Q265" s="13"/>
      <c r="R265" s="13"/>
      <c r="S265" s="421"/>
      <c r="T265" s="421"/>
      <c r="U265" s="421"/>
      <c r="V265" s="421"/>
      <c r="W265" s="421"/>
      <c r="X265" s="421"/>
      <c r="Y265" s="421"/>
      <c r="Z265" s="421"/>
      <c r="AA265" s="421"/>
      <c r="AB265" s="421"/>
      <c r="AC265" s="421"/>
      <c r="AD265" s="421"/>
      <c r="AE265" s="421"/>
      <c r="AF265" s="421"/>
      <c r="AG265" s="421"/>
      <c r="AH265" s="421"/>
      <c r="AI265" s="421"/>
      <c r="AJ265" s="421"/>
      <c r="AK265" s="421"/>
      <c r="AL265" s="421"/>
      <c r="AM265" s="422"/>
      <c r="AN265" s="422"/>
      <c r="AO265" s="422"/>
      <c r="AP265" s="422"/>
      <c r="AQ265" s="422"/>
      <c r="AR265" s="422"/>
      <c r="AS265" s="422"/>
      <c r="AT265" s="422"/>
      <c r="AU265" s="422"/>
      <c r="AV265" s="422"/>
      <c r="AW265" s="422"/>
      <c r="AX265" s="422"/>
      <c r="AY265" s="422"/>
    </row>
    <row r="266" spans="1:51" x14ac:dyDescent="0.25">
      <c r="A266" s="3"/>
      <c r="B266" s="3"/>
      <c r="C266" s="3"/>
      <c r="D266" s="3"/>
      <c r="E266" s="3"/>
      <c r="F266" s="3"/>
      <c r="G266" s="3"/>
      <c r="H266" s="3"/>
      <c r="I266" s="3"/>
      <c r="J266" s="13"/>
      <c r="K266" s="13"/>
      <c r="L266" s="13"/>
      <c r="M266" s="13"/>
      <c r="N266" s="13"/>
      <c r="O266" s="13"/>
      <c r="P266" s="13"/>
      <c r="Q266" s="13"/>
      <c r="R266" s="13"/>
      <c r="S266" s="421"/>
      <c r="T266" s="421"/>
      <c r="U266" s="421"/>
      <c r="V266" s="421"/>
      <c r="W266" s="421"/>
      <c r="X266" s="421"/>
      <c r="Y266" s="421"/>
      <c r="Z266" s="421"/>
      <c r="AA266" s="421"/>
      <c r="AB266" s="421"/>
      <c r="AC266" s="421"/>
      <c r="AD266" s="421"/>
      <c r="AE266" s="421"/>
      <c r="AF266" s="421"/>
      <c r="AG266" s="421"/>
      <c r="AH266" s="421"/>
      <c r="AI266" s="421"/>
      <c r="AJ266" s="421"/>
      <c r="AK266" s="421"/>
      <c r="AL266" s="421"/>
      <c r="AM266" s="422"/>
      <c r="AN266" s="422"/>
      <c r="AO266" s="422"/>
      <c r="AP266" s="422"/>
      <c r="AQ266" s="422"/>
      <c r="AR266" s="422"/>
      <c r="AS266" s="422"/>
      <c r="AT266" s="422"/>
      <c r="AU266" s="422"/>
      <c r="AV266" s="422"/>
      <c r="AW266" s="422"/>
      <c r="AX266" s="422"/>
      <c r="AY266" s="422"/>
    </row>
    <row r="267" spans="1:51" x14ac:dyDescent="0.25">
      <c r="A267" s="3"/>
      <c r="B267" s="3"/>
      <c r="C267" s="3"/>
      <c r="D267" s="3"/>
      <c r="E267" s="3"/>
      <c r="F267" s="3"/>
      <c r="G267" s="3"/>
      <c r="H267" s="3"/>
      <c r="I267" s="3"/>
      <c r="J267" s="13"/>
      <c r="K267" s="13"/>
      <c r="L267" s="13"/>
      <c r="M267" s="13"/>
      <c r="N267" s="13"/>
      <c r="O267" s="13"/>
      <c r="P267" s="13"/>
      <c r="Q267" s="13"/>
      <c r="R267" s="13"/>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2"/>
      <c r="AN267" s="422"/>
      <c r="AO267" s="422"/>
      <c r="AP267" s="422"/>
      <c r="AQ267" s="422"/>
      <c r="AR267" s="422"/>
      <c r="AS267" s="422"/>
      <c r="AT267" s="422"/>
      <c r="AU267" s="422"/>
      <c r="AV267" s="422"/>
      <c r="AW267" s="422"/>
      <c r="AX267" s="422"/>
      <c r="AY267" s="422"/>
    </row>
    <row r="268" spans="1:51" x14ac:dyDescent="0.25">
      <c r="A268" s="3"/>
      <c r="B268" s="3"/>
      <c r="C268" s="3"/>
      <c r="D268" s="3"/>
      <c r="E268" s="3"/>
      <c r="F268" s="3"/>
      <c r="G268" s="3"/>
      <c r="H268" s="3"/>
      <c r="I268" s="3"/>
      <c r="J268" s="13"/>
      <c r="K268" s="13"/>
      <c r="L268" s="13"/>
      <c r="M268" s="13"/>
      <c r="N268" s="13"/>
      <c r="O268" s="13"/>
      <c r="P268" s="13"/>
      <c r="Q268" s="13"/>
      <c r="R268" s="13"/>
      <c r="S268" s="421"/>
      <c r="T268" s="421"/>
      <c r="U268" s="421"/>
      <c r="V268" s="421"/>
      <c r="W268" s="421"/>
      <c r="X268" s="421"/>
      <c r="Y268" s="421"/>
      <c r="Z268" s="421"/>
      <c r="AA268" s="421"/>
      <c r="AB268" s="421"/>
      <c r="AC268" s="421"/>
      <c r="AD268" s="421"/>
      <c r="AE268" s="421"/>
      <c r="AF268" s="421"/>
      <c r="AG268" s="421"/>
      <c r="AH268" s="421"/>
      <c r="AI268" s="421"/>
      <c r="AJ268" s="421"/>
      <c r="AK268" s="421"/>
      <c r="AL268" s="421"/>
      <c r="AM268" s="422"/>
      <c r="AN268" s="422"/>
      <c r="AO268" s="422"/>
      <c r="AP268" s="422"/>
      <c r="AQ268" s="422"/>
      <c r="AR268" s="422"/>
      <c r="AS268" s="422"/>
      <c r="AT268" s="422"/>
      <c r="AU268" s="422"/>
      <c r="AV268" s="422"/>
      <c r="AW268" s="422"/>
      <c r="AX268" s="422"/>
      <c r="AY268" s="422"/>
    </row>
    <row r="269" spans="1:51" x14ac:dyDescent="0.25">
      <c r="A269" s="3"/>
      <c r="B269" s="3"/>
      <c r="C269" s="3"/>
      <c r="D269" s="3"/>
      <c r="E269" s="3"/>
      <c r="F269" s="3"/>
      <c r="G269" s="3"/>
      <c r="H269" s="3"/>
      <c r="I269" s="3"/>
      <c r="J269" s="13"/>
      <c r="K269" s="13"/>
      <c r="L269" s="13"/>
      <c r="M269" s="13"/>
      <c r="N269" s="13"/>
      <c r="O269" s="13"/>
      <c r="P269" s="13"/>
      <c r="Q269" s="13"/>
      <c r="R269" s="13"/>
      <c r="S269" s="421"/>
      <c r="T269" s="421"/>
      <c r="U269" s="421"/>
      <c r="V269" s="421"/>
      <c r="W269" s="421"/>
      <c r="X269" s="421"/>
      <c r="Y269" s="421"/>
      <c r="Z269" s="421"/>
      <c r="AA269" s="421"/>
      <c r="AB269" s="421"/>
      <c r="AC269" s="421"/>
      <c r="AD269" s="421"/>
      <c r="AE269" s="421"/>
      <c r="AF269" s="421"/>
      <c r="AG269" s="421"/>
      <c r="AH269" s="421"/>
      <c r="AI269" s="421"/>
      <c r="AJ269" s="421"/>
      <c r="AK269" s="421"/>
      <c r="AL269" s="421"/>
      <c r="AM269" s="422"/>
      <c r="AN269" s="422"/>
      <c r="AO269" s="422"/>
      <c r="AP269" s="422"/>
      <c r="AQ269" s="422"/>
      <c r="AR269" s="422"/>
      <c r="AS269" s="422"/>
      <c r="AT269" s="422"/>
      <c r="AU269" s="422"/>
      <c r="AV269" s="422"/>
      <c r="AW269" s="422"/>
      <c r="AX269" s="422"/>
      <c r="AY269" s="422"/>
    </row>
    <row r="270" spans="1:51" x14ac:dyDescent="0.25">
      <c r="A270" s="3"/>
      <c r="B270" s="3"/>
      <c r="C270" s="3"/>
      <c r="D270" s="3"/>
      <c r="E270" s="3"/>
      <c r="F270" s="3"/>
      <c r="G270" s="3"/>
      <c r="H270" s="3"/>
      <c r="I270" s="3"/>
      <c r="J270" s="13"/>
      <c r="K270" s="13"/>
      <c r="L270" s="13"/>
      <c r="M270" s="13"/>
      <c r="N270" s="13"/>
      <c r="O270" s="13"/>
      <c r="P270" s="13"/>
      <c r="Q270" s="13"/>
      <c r="R270" s="13"/>
      <c r="S270" s="421"/>
      <c r="T270" s="421"/>
      <c r="U270" s="421"/>
      <c r="V270" s="421"/>
      <c r="W270" s="421"/>
      <c r="X270" s="421"/>
      <c r="Y270" s="421"/>
      <c r="Z270" s="421"/>
      <c r="AA270" s="421"/>
      <c r="AB270" s="421"/>
      <c r="AC270" s="421"/>
      <c r="AD270" s="421"/>
      <c r="AE270" s="421"/>
      <c r="AF270" s="421"/>
      <c r="AG270" s="421"/>
      <c r="AH270" s="421"/>
      <c r="AI270" s="421"/>
      <c r="AJ270" s="421"/>
      <c r="AK270" s="421"/>
      <c r="AL270" s="421"/>
      <c r="AM270" s="422"/>
      <c r="AN270" s="422"/>
      <c r="AO270" s="422"/>
      <c r="AP270" s="422"/>
      <c r="AQ270" s="422"/>
      <c r="AR270" s="422"/>
      <c r="AS270" s="422"/>
      <c r="AT270" s="422"/>
      <c r="AU270" s="422"/>
      <c r="AV270" s="422"/>
      <c r="AW270" s="422"/>
      <c r="AX270" s="422"/>
      <c r="AY270" s="422"/>
    </row>
    <row r="271" spans="1:51" x14ac:dyDescent="0.25">
      <c r="A271" s="3"/>
      <c r="B271" s="3"/>
      <c r="C271" s="3"/>
      <c r="D271" s="3"/>
      <c r="E271" s="3"/>
      <c r="F271" s="3"/>
      <c r="G271" s="3"/>
      <c r="H271" s="3"/>
      <c r="I271" s="3"/>
      <c r="J271" s="13"/>
      <c r="K271" s="13"/>
      <c r="L271" s="13"/>
      <c r="M271" s="13"/>
      <c r="N271" s="13"/>
      <c r="O271" s="13"/>
      <c r="P271" s="13"/>
      <c r="Q271" s="13"/>
      <c r="R271" s="13"/>
      <c r="S271" s="421"/>
      <c r="T271" s="421"/>
      <c r="U271" s="421"/>
      <c r="V271" s="421"/>
      <c r="W271" s="421"/>
      <c r="X271" s="421"/>
      <c r="Y271" s="421"/>
      <c r="Z271" s="421"/>
      <c r="AA271" s="421"/>
      <c r="AB271" s="421"/>
      <c r="AC271" s="421"/>
      <c r="AD271" s="421"/>
      <c r="AE271" s="421"/>
      <c r="AF271" s="421"/>
      <c r="AG271" s="421"/>
      <c r="AH271" s="421"/>
      <c r="AI271" s="421"/>
      <c r="AJ271" s="421"/>
      <c r="AK271" s="421"/>
      <c r="AL271" s="421"/>
      <c r="AM271" s="422"/>
      <c r="AN271" s="422"/>
      <c r="AO271" s="422"/>
      <c r="AP271" s="422"/>
      <c r="AQ271" s="422"/>
      <c r="AR271" s="422"/>
      <c r="AS271" s="422"/>
      <c r="AT271" s="422"/>
      <c r="AU271" s="422"/>
      <c r="AV271" s="422"/>
      <c r="AW271" s="422"/>
      <c r="AX271" s="422"/>
      <c r="AY271" s="422"/>
    </row>
    <row r="272" spans="1:51" x14ac:dyDescent="0.25">
      <c r="A272" s="3"/>
      <c r="B272" s="3"/>
      <c r="C272" s="3"/>
      <c r="D272" s="3"/>
      <c r="E272" s="3"/>
      <c r="F272" s="3"/>
      <c r="G272" s="3"/>
      <c r="H272" s="3"/>
      <c r="I272" s="3"/>
      <c r="J272" s="13"/>
      <c r="K272" s="13"/>
      <c r="L272" s="13"/>
      <c r="M272" s="13"/>
      <c r="N272" s="13"/>
      <c r="O272" s="13"/>
      <c r="P272" s="13"/>
      <c r="Q272" s="13"/>
      <c r="R272" s="13"/>
      <c r="S272" s="421"/>
      <c r="T272" s="421"/>
      <c r="U272" s="421"/>
      <c r="V272" s="421"/>
      <c r="W272" s="421"/>
      <c r="X272" s="421"/>
      <c r="Y272" s="421"/>
      <c r="Z272" s="421"/>
      <c r="AA272" s="421"/>
      <c r="AB272" s="421"/>
      <c r="AC272" s="421"/>
      <c r="AD272" s="421"/>
      <c r="AE272" s="421"/>
      <c r="AF272" s="421"/>
      <c r="AG272" s="421"/>
      <c r="AH272" s="421"/>
      <c r="AI272" s="421"/>
      <c r="AJ272" s="421"/>
      <c r="AK272" s="421"/>
      <c r="AL272" s="421"/>
      <c r="AM272" s="422"/>
      <c r="AN272" s="422"/>
      <c r="AO272" s="422"/>
      <c r="AP272" s="422"/>
      <c r="AQ272" s="422"/>
      <c r="AR272" s="422"/>
      <c r="AS272" s="422"/>
      <c r="AT272" s="422"/>
      <c r="AU272" s="422"/>
      <c r="AV272" s="422"/>
      <c r="AW272" s="422"/>
      <c r="AX272" s="422"/>
      <c r="AY272" s="422"/>
    </row>
    <row r="273" spans="1:51" x14ac:dyDescent="0.25">
      <c r="A273" s="3"/>
      <c r="B273" s="3"/>
      <c r="C273" s="3"/>
      <c r="D273" s="3"/>
      <c r="E273" s="3"/>
      <c r="F273" s="3"/>
      <c r="G273" s="3"/>
      <c r="H273" s="3"/>
      <c r="I273" s="3"/>
      <c r="J273" s="13"/>
      <c r="K273" s="13"/>
      <c r="L273" s="13"/>
      <c r="M273" s="13"/>
      <c r="N273" s="13"/>
      <c r="O273" s="13"/>
      <c r="P273" s="13"/>
      <c r="Q273" s="13"/>
      <c r="R273" s="13"/>
      <c r="S273" s="421"/>
      <c r="T273" s="421"/>
      <c r="U273" s="421"/>
      <c r="V273" s="421"/>
      <c r="W273" s="421"/>
      <c r="X273" s="421"/>
      <c r="Y273" s="421"/>
      <c r="Z273" s="421"/>
      <c r="AA273" s="421"/>
      <c r="AB273" s="421"/>
      <c r="AC273" s="421"/>
      <c r="AD273" s="421"/>
      <c r="AE273" s="421"/>
      <c r="AF273" s="421"/>
      <c r="AG273" s="421"/>
      <c r="AH273" s="421"/>
      <c r="AI273" s="421"/>
      <c r="AJ273" s="421"/>
      <c r="AK273" s="421"/>
      <c r="AL273" s="421"/>
      <c r="AM273" s="422"/>
      <c r="AN273" s="422"/>
      <c r="AO273" s="422"/>
      <c r="AP273" s="422"/>
      <c r="AQ273" s="422"/>
      <c r="AR273" s="422"/>
      <c r="AS273" s="422"/>
      <c r="AT273" s="422"/>
      <c r="AU273" s="422"/>
      <c r="AV273" s="422"/>
      <c r="AW273" s="422"/>
      <c r="AX273" s="422"/>
      <c r="AY273" s="422"/>
    </row>
    <row r="274" spans="1:51" x14ac:dyDescent="0.25">
      <c r="A274" s="3"/>
      <c r="B274" s="3"/>
      <c r="C274" s="3"/>
      <c r="D274" s="3"/>
      <c r="E274" s="3"/>
      <c r="F274" s="3"/>
      <c r="G274" s="3"/>
      <c r="H274" s="3"/>
      <c r="I274" s="3"/>
      <c r="J274" s="13"/>
      <c r="K274" s="13"/>
      <c r="L274" s="13"/>
      <c r="M274" s="13"/>
      <c r="N274" s="13"/>
      <c r="O274" s="13"/>
      <c r="P274" s="13"/>
      <c r="Q274" s="13"/>
      <c r="R274" s="13"/>
      <c r="S274" s="421"/>
      <c r="T274" s="421"/>
      <c r="U274" s="421"/>
      <c r="V274" s="421"/>
      <c r="W274" s="421"/>
      <c r="X274" s="421"/>
      <c r="Y274" s="421"/>
      <c r="Z274" s="421"/>
      <c r="AA274" s="421"/>
      <c r="AB274" s="421"/>
      <c r="AC274" s="421"/>
      <c r="AD274" s="421"/>
      <c r="AE274" s="421"/>
      <c r="AF274" s="421"/>
      <c r="AG274" s="421"/>
      <c r="AH274" s="421"/>
      <c r="AI274" s="421"/>
      <c r="AJ274" s="421"/>
      <c r="AK274" s="421"/>
      <c r="AL274" s="421"/>
      <c r="AM274" s="422"/>
      <c r="AN274" s="422"/>
      <c r="AO274" s="422"/>
      <c r="AP274" s="422"/>
      <c r="AQ274" s="422"/>
      <c r="AR274" s="422"/>
      <c r="AS274" s="422"/>
      <c r="AT274" s="422"/>
      <c r="AU274" s="422"/>
      <c r="AV274" s="422"/>
      <c r="AW274" s="422"/>
      <c r="AX274" s="422"/>
      <c r="AY274" s="422"/>
    </row>
    <row r="275" spans="1:51" x14ac:dyDescent="0.25">
      <c r="A275" s="3"/>
      <c r="B275" s="3"/>
      <c r="C275" s="3"/>
      <c r="D275" s="3"/>
      <c r="E275" s="3"/>
      <c r="F275" s="3"/>
      <c r="G275" s="3"/>
      <c r="H275" s="3"/>
      <c r="I275" s="3"/>
      <c r="J275" s="13"/>
      <c r="K275" s="13"/>
      <c r="L275" s="13"/>
      <c r="M275" s="13"/>
      <c r="N275" s="13"/>
      <c r="O275" s="13"/>
      <c r="P275" s="13"/>
      <c r="Q275" s="13"/>
      <c r="R275" s="13"/>
      <c r="S275" s="421"/>
      <c r="T275" s="421"/>
      <c r="U275" s="421"/>
      <c r="V275" s="421"/>
      <c r="W275" s="421"/>
      <c r="X275" s="421"/>
      <c r="Y275" s="421"/>
      <c r="Z275" s="421"/>
      <c r="AA275" s="421"/>
      <c r="AB275" s="421"/>
      <c r="AC275" s="421"/>
      <c r="AD275" s="421"/>
      <c r="AE275" s="421"/>
      <c r="AF275" s="421"/>
      <c r="AG275" s="421"/>
      <c r="AH275" s="421"/>
      <c r="AI275" s="421"/>
      <c r="AJ275" s="421"/>
      <c r="AK275" s="421"/>
      <c r="AL275" s="421"/>
      <c r="AM275" s="422"/>
      <c r="AN275" s="422"/>
      <c r="AO275" s="422"/>
      <c r="AP275" s="422"/>
      <c r="AQ275" s="422"/>
      <c r="AR275" s="422"/>
      <c r="AS275" s="422"/>
      <c r="AT275" s="422"/>
      <c r="AU275" s="422"/>
      <c r="AV275" s="422"/>
      <c r="AW275" s="422"/>
      <c r="AX275" s="422"/>
      <c r="AY275" s="422"/>
    </row>
    <row r="276" spans="1:51" x14ac:dyDescent="0.25">
      <c r="A276" s="3"/>
      <c r="B276" s="3"/>
      <c r="C276" s="3"/>
      <c r="D276" s="3"/>
      <c r="E276" s="3"/>
      <c r="F276" s="3"/>
      <c r="G276" s="3"/>
      <c r="H276" s="3"/>
      <c r="I276" s="3"/>
      <c r="J276" s="13"/>
      <c r="K276" s="13"/>
      <c r="L276" s="13"/>
      <c r="M276" s="13"/>
      <c r="N276" s="13"/>
      <c r="O276" s="13"/>
      <c r="P276" s="13"/>
      <c r="Q276" s="13"/>
      <c r="R276" s="13"/>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2"/>
      <c r="AN276" s="422"/>
      <c r="AO276" s="422"/>
      <c r="AP276" s="422"/>
      <c r="AQ276" s="422"/>
      <c r="AR276" s="422"/>
      <c r="AS276" s="422"/>
      <c r="AT276" s="422"/>
      <c r="AU276" s="422"/>
      <c r="AV276" s="422"/>
      <c r="AW276" s="422"/>
      <c r="AX276" s="422"/>
      <c r="AY276" s="422"/>
    </row>
    <row r="277" spans="1:51" x14ac:dyDescent="0.25">
      <c r="A277" s="3"/>
      <c r="B277" s="3"/>
      <c r="C277" s="3"/>
      <c r="D277" s="3"/>
      <c r="E277" s="3"/>
      <c r="F277" s="3"/>
      <c r="G277" s="3"/>
      <c r="H277" s="3"/>
      <c r="I277" s="3"/>
      <c r="J277" s="13"/>
      <c r="K277" s="13"/>
      <c r="L277" s="13"/>
      <c r="M277" s="13"/>
      <c r="N277" s="13"/>
      <c r="O277" s="13"/>
      <c r="P277" s="13"/>
      <c r="Q277" s="13"/>
      <c r="R277" s="13"/>
      <c r="S277" s="421"/>
      <c r="T277" s="421"/>
      <c r="U277" s="421"/>
      <c r="V277" s="421"/>
      <c r="W277" s="421"/>
      <c r="X277" s="421"/>
      <c r="Y277" s="421"/>
      <c r="Z277" s="421"/>
      <c r="AA277" s="421"/>
      <c r="AB277" s="421"/>
      <c r="AC277" s="421"/>
      <c r="AD277" s="421"/>
      <c r="AE277" s="421"/>
      <c r="AF277" s="421"/>
      <c r="AG277" s="421"/>
      <c r="AH277" s="421"/>
      <c r="AI277" s="421"/>
      <c r="AJ277" s="421"/>
      <c r="AK277" s="421"/>
      <c r="AL277" s="421"/>
      <c r="AM277" s="422"/>
      <c r="AN277" s="422"/>
      <c r="AO277" s="422"/>
      <c r="AP277" s="422"/>
      <c r="AQ277" s="422"/>
      <c r="AR277" s="422"/>
      <c r="AS277" s="422"/>
      <c r="AT277" s="422"/>
      <c r="AU277" s="422"/>
      <c r="AV277" s="422"/>
      <c r="AW277" s="422"/>
      <c r="AX277" s="422"/>
      <c r="AY277" s="422"/>
    </row>
    <row r="278" spans="1:51" x14ac:dyDescent="0.25">
      <c r="A278" s="3"/>
      <c r="B278" s="3"/>
      <c r="C278" s="3"/>
      <c r="D278" s="3"/>
      <c r="E278" s="3"/>
      <c r="F278" s="3"/>
      <c r="G278" s="3"/>
      <c r="H278" s="3"/>
      <c r="I278" s="3"/>
      <c r="J278" s="13"/>
      <c r="K278" s="13"/>
      <c r="L278" s="13"/>
      <c r="M278" s="13"/>
      <c r="N278" s="13"/>
      <c r="O278" s="13"/>
      <c r="P278" s="13"/>
      <c r="Q278" s="13"/>
      <c r="R278" s="13"/>
      <c r="S278" s="421"/>
      <c r="T278" s="421"/>
      <c r="U278" s="421"/>
      <c r="V278" s="421"/>
      <c r="W278" s="421"/>
      <c r="X278" s="421"/>
      <c r="Y278" s="421"/>
      <c r="Z278" s="421"/>
      <c r="AA278" s="421"/>
      <c r="AB278" s="421"/>
      <c r="AC278" s="421"/>
      <c r="AD278" s="421"/>
      <c r="AE278" s="421"/>
      <c r="AF278" s="421"/>
      <c r="AG278" s="421"/>
      <c r="AH278" s="421"/>
      <c r="AI278" s="421"/>
      <c r="AJ278" s="421"/>
      <c r="AK278" s="421"/>
      <c r="AL278" s="421"/>
      <c r="AM278" s="422"/>
      <c r="AN278" s="422"/>
      <c r="AO278" s="422"/>
      <c r="AP278" s="422"/>
      <c r="AQ278" s="422"/>
      <c r="AR278" s="422"/>
      <c r="AS278" s="422"/>
      <c r="AT278" s="422"/>
      <c r="AU278" s="422"/>
      <c r="AV278" s="422"/>
      <c r="AW278" s="422"/>
      <c r="AX278" s="422"/>
      <c r="AY278" s="422"/>
    </row>
    <row r="279" spans="1:51" x14ac:dyDescent="0.25">
      <c r="A279" s="3"/>
      <c r="B279" s="3"/>
      <c r="C279" s="3"/>
      <c r="D279" s="3"/>
      <c r="E279" s="3"/>
      <c r="F279" s="3"/>
      <c r="G279" s="3"/>
      <c r="H279" s="3"/>
      <c r="I279" s="3"/>
      <c r="J279" s="13"/>
      <c r="K279" s="13"/>
      <c r="L279" s="13"/>
      <c r="M279" s="13"/>
      <c r="N279" s="13"/>
      <c r="O279" s="13"/>
      <c r="P279" s="13"/>
      <c r="Q279" s="13"/>
      <c r="R279" s="13"/>
      <c r="S279" s="421"/>
      <c r="T279" s="421"/>
      <c r="U279" s="421"/>
      <c r="V279" s="421"/>
      <c r="W279" s="421"/>
      <c r="X279" s="421"/>
      <c r="Y279" s="421"/>
      <c r="Z279" s="421"/>
      <c r="AA279" s="421"/>
      <c r="AB279" s="421"/>
      <c r="AC279" s="421"/>
      <c r="AD279" s="421"/>
      <c r="AE279" s="421"/>
      <c r="AF279" s="421"/>
      <c r="AG279" s="421"/>
      <c r="AH279" s="421"/>
      <c r="AI279" s="421"/>
      <c r="AJ279" s="421"/>
      <c r="AK279" s="421"/>
      <c r="AL279" s="421"/>
      <c r="AM279" s="422"/>
      <c r="AN279" s="422"/>
      <c r="AO279" s="422"/>
      <c r="AP279" s="422"/>
      <c r="AQ279" s="422"/>
      <c r="AR279" s="422"/>
      <c r="AS279" s="422"/>
      <c r="AT279" s="422"/>
      <c r="AU279" s="422"/>
      <c r="AV279" s="422"/>
      <c r="AW279" s="422"/>
      <c r="AX279" s="422"/>
      <c r="AY279" s="422"/>
    </row>
    <row r="280" spans="1:51" x14ac:dyDescent="0.25">
      <c r="A280" s="3"/>
      <c r="B280" s="3"/>
      <c r="C280" s="3"/>
      <c r="D280" s="3"/>
      <c r="E280" s="3"/>
      <c r="F280" s="3"/>
      <c r="G280" s="3"/>
      <c r="H280" s="3"/>
      <c r="I280" s="3"/>
      <c r="J280" s="13"/>
      <c r="K280" s="13"/>
      <c r="L280" s="13"/>
      <c r="M280" s="13"/>
      <c r="N280" s="13"/>
      <c r="O280" s="13"/>
      <c r="P280" s="13"/>
      <c r="Q280" s="13"/>
      <c r="R280" s="13"/>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2"/>
      <c r="AN280" s="422"/>
      <c r="AO280" s="422"/>
      <c r="AP280" s="422"/>
      <c r="AQ280" s="422"/>
      <c r="AR280" s="422"/>
      <c r="AS280" s="422"/>
      <c r="AT280" s="422"/>
      <c r="AU280" s="422"/>
      <c r="AV280" s="422"/>
      <c r="AW280" s="422"/>
      <c r="AX280" s="422"/>
      <c r="AY280" s="422"/>
    </row>
    <row r="281" spans="1:51" x14ac:dyDescent="0.25">
      <c r="A281" s="3"/>
      <c r="B281" s="3"/>
      <c r="C281" s="3"/>
      <c r="D281" s="3"/>
      <c r="E281" s="3"/>
      <c r="F281" s="3"/>
      <c r="G281" s="3"/>
      <c r="H281" s="3"/>
      <c r="I281" s="3"/>
      <c r="J281" s="13"/>
      <c r="K281" s="13"/>
      <c r="L281" s="13"/>
      <c r="M281" s="13"/>
      <c r="N281" s="13"/>
      <c r="O281" s="13"/>
      <c r="P281" s="13"/>
      <c r="Q281" s="13"/>
      <c r="R281" s="13"/>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2"/>
      <c r="AN281" s="422"/>
      <c r="AO281" s="422"/>
      <c r="AP281" s="422"/>
      <c r="AQ281" s="422"/>
      <c r="AR281" s="422"/>
      <c r="AS281" s="422"/>
      <c r="AT281" s="422"/>
      <c r="AU281" s="422"/>
      <c r="AV281" s="422"/>
      <c r="AW281" s="422"/>
      <c r="AX281" s="422"/>
      <c r="AY281" s="422"/>
    </row>
    <row r="282" spans="1:51" x14ac:dyDescent="0.25">
      <c r="A282" s="3"/>
      <c r="B282" s="3"/>
      <c r="C282" s="3"/>
      <c r="D282" s="3"/>
      <c r="E282" s="3"/>
      <c r="F282" s="3"/>
      <c r="G282" s="3"/>
      <c r="H282" s="3"/>
      <c r="I282" s="3"/>
      <c r="J282" s="13"/>
      <c r="K282" s="13"/>
      <c r="L282" s="13"/>
      <c r="M282" s="13"/>
      <c r="N282" s="13"/>
      <c r="O282" s="13"/>
      <c r="P282" s="13"/>
      <c r="Q282" s="13"/>
      <c r="R282" s="13"/>
      <c r="S282" s="421"/>
      <c r="T282" s="421"/>
      <c r="U282" s="421"/>
      <c r="V282" s="421"/>
      <c r="W282" s="421"/>
      <c r="X282" s="421"/>
      <c r="Y282" s="421"/>
      <c r="Z282" s="421"/>
      <c r="AA282" s="421"/>
      <c r="AB282" s="421"/>
      <c r="AC282" s="421"/>
      <c r="AD282" s="421"/>
      <c r="AE282" s="421"/>
      <c r="AF282" s="421"/>
      <c r="AG282" s="421"/>
      <c r="AH282" s="421"/>
      <c r="AI282" s="421"/>
      <c r="AJ282" s="421"/>
      <c r="AK282" s="421"/>
      <c r="AL282" s="421"/>
      <c r="AM282" s="422"/>
      <c r="AN282" s="422"/>
      <c r="AO282" s="422"/>
      <c r="AP282" s="422"/>
      <c r="AQ282" s="422"/>
      <c r="AR282" s="422"/>
      <c r="AS282" s="422"/>
      <c r="AT282" s="422"/>
      <c r="AU282" s="422"/>
      <c r="AV282" s="422"/>
      <c r="AW282" s="422"/>
      <c r="AX282" s="422"/>
      <c r="AY282" s="422"/>
    </row>
    <row r="283" spans="1:51" x14ac:dyDescent="0.25">
      <c r="A283" s="3"/>
      <c r="B283" s="3"/>
      <c r="C283" s="3"/>
      <c r="D283" s="3"/>
      <c r="E283" s="3"/>
      <c r="F283" s="3"/>
      <c r="G283" s="3"/>
      <c r="H283" s="3"/>
      <c r="I283" s="3"/>
      <c r="J283" s="13"/>
      <c r="K283" s="13"/>
      <c r="L283" s="13"/>
      <c r="M283" s="13"/>
      <c r="N283" s="13"/>
      <c r="O283" s="13"/>
      <c r="P283" s="13"/>
      <c r="Q283" s="13"/>
      <c r="R283" s="13"/>
      <c r="S283" s="421"/>
      <c r="T283" s="421"/>
      <c r="U283" s="421"/>
      <c r="V283" s="421"/>
      <c r="W283" s="421"/>
      <c r="X283" s="421"/>
      <c r="Y283" s="421"/>
      <c r="Z283" s="421"/>
      <c r="AA283" s="421"/>
      <c r="AB283" s="421"/>
      <c r="AC283" s="421"/>
      <c r="AD283" s="421"/>
      <c r="AE283" s="421"/>
      <c r="AF283" s="421"/>
      <c r="AG283" s="421"/>
      <c r="AH283" s="421"/>
      <c r="AI283" s="421"/>
      <c r="AJ283" s="421"/>
      <c r="AK283" s="421"/>
      <c r="AL283" s="421"/>
      <c r="AM283" s="422"/>
      <c r="AN283" s="422"/>
      <c r="AO283" s="422"/>
      <c r="AP283" s="422"/>
      <c r="AQ283" s="422"/>
      <c r="AR283" s="422"/>
      <c r="AS283" s="422"/>
      <c r="AT283" s="422"/>
      <c r="AU283" s="422"/>
      <c r="AV283" s="422"/>
      <c r="AW283" s="422"/>
      <c r="AX283" s="422"/>
      <c r="AY283" s="422"/>
    </row>
    <row r="284" spans="1:51" x14ac:dyDescent="0.25">
      <c r="A284" s="3"/>
      <c r="B284" s="3"/>
      <c r="C284" s="3"/>
      <c r="D284" s="3"/>
      <c r="E284" s="3"/>
      <c r="F284" s="3"/>
      <c r="G284" s="3"/>
      <c r="H284" s="3"/>
      <c r="I284" s="3"/>
      <c r="J284" s="13"/>
      <c r="K284" s="13"/>
      <c r="L284" s="13"/>
      <c r="M284" s="13"/>
      <c r="N284" s="13"/>
      <c r="O284" s="13"/>
      <c r="P284" s="13"/>
      <c r="Q284" s="13"/>
      <c r="R284" s="13"/>
      <c r="S284" s="421"/>
      <c r="T284" s="421"/>
      <c r="U284" s="421"/>
      <c r="V284" s="421"/>
      <c r="W284" s="421"/>
      <c r="X284" s="421"/>
      <c r="Y284" s="421"/>
      <c r="Z284" s="421"/>
      <c r="AA284" s="421"/>
      <c r="AB284" s="421"/>
      <c r="AC284" s="421"/>
      <c r="AD284" s="421"/>
      <c r="AE284" s="421"/>
      <c r="AF284" s="421"/>
      <c r="AG284" s="421"/>
      <c r="AH284" s="421"/>
      <c r="AI284" s="421"/>
      <c r="AJ284" s="421"/>
      <c r="AK284" s="421"/>
      <c r="AL284" s="421"/>
      <c r="AM284" s="422"/>
      <c r="AN284" s="422"/>
      <c r="AO284" s="422"/>
      <c r="AP284" s="422"/>
      <c r="AQ284" s="422"/>
      <c r="AR284" s="422"/>
      <c r="AS284" s="422"/>
      <c r="AT284" s="422"/>
      <c r="AU284" s="422"/>
      <c r="AV284" s="422"/>
      <c r="AW284" s="422"/>
      <c r="AX284" s="422"/>
      <c r="AY284" s="422"/>
    </row>
    <row r="285" spans="1:51" x14ac:dyDescent="0.25">
      <c r="A285" s="3"/>
      <c r="B285" s="3"/>
      <c r="C285" s="3"/>
      <c r="D285" s="3"/>
      <c r="E285" s="3"/>
      <c r="F285" s="3"/>
      <c r="G285" s="3"/>
      <c r="H285" s="3"/>
      <c r="I285" s="3"/>
      <c r="J285" s="13"/>
      <c r="K285" s="13"/>
      <c r="L285" s="13"/>
      <c r="M285" s="13"/>
      <c r="N285" s="13"/>
      <c r="O285" s="13"/>
      <c r="P285" s="13"/>
      <c r="Q285" s="13"/>
      <c r="R285" s="13"/>
      <c r="S285" s="421"/>
      <c r="T285" s="421"/>
      <c r="U285" s="421"/>
      <c r="V285" s="421"/>
      <c r="W285" s="421"/>
      <c r="X285" s="421"/>
      <c r="Y285" s="421"/>
      <c r="Z285" s="421"/>
      <c r="AA285" s="421"/>
      <c r="AB285" s="421"/>
      <c r="AC285" s="421"/>
      <c r="AD285" s="421"/>
      <c r="AE285" s="421"/>
      <c r="AF285" s="421"/>
      <c r="AG285" s="421"/>
      <c r="AH285" s="421"/>
      <c r="AI285" s="421"/>
      <c r="AJ285" s="421"/>
      <c r="AK285" s="421"/>
      <c r="AL285" s="421"/>
      <c r="AM285" s="422"/>
      <c r="AN285" s="422"/>
      <c r="AO285" s="422"/>
      <c r="AP285" s="422"/>
      <c r="AQ285" s="422"/>
      <c r="AR285" s="422"/>
      <c r="AS285" s="422"/>
      <c r="AT285" s="422"/>
      <c r="AU285" s="422"/>
      <c r="AV285" s="422"/>
      <c r="AW285" s="422"/>
      <c r="AX285" s="422"/>
      <c r="AY285" s="422"/>
    </row>
    <row r="286" spans="1:51" x14ac:dyDescent="0.25">
      <c r="A286" s="3"/>
      <c r="B286" s="3"/>
      <c r="C286" s="3"/>
      <c r="D286" s="3"/>
      <c r="E286" s="3"/>
      <c r="F286" s="3"/>
      <c r="G286" s="3"/>
      <c r="H286" s="3"/>
      <c r="I286" s="3"/>
      <c r="J286" s="13"/>
      <c r="K286" s="13"/>
      <c r="L286" s="13"/>
      <c r="M286" s="13"/>
      <c r="N286" s="13"/>
      <c r="O286" s="13"/>
      <c r="P286" s="13"/>
      <c r="Q286" s="13"/>
      <c r="R286" s="13"/>
      <c r="S286" s="421"/>
      <c r="T286" s="421"/>
      <c r="U286" s="421"/>
      <c r="V286" s="421"/>
      <c r="W286" s="421"/>
      <c r="X286" s="421"/>
      <c r="Y286" s="421"/>
      <c r="Z286" s="421"/>
      <c r="AA286" s="421"/>
      <c r="AB286" s="421"/>
      <c r="AC286" s="421"/>
      <c r="AD286" s="421"/>
      <c r="AE286" s="421"/>
      <c r="AF286" s="421"/>
      <c r="AG286" s="421"/>
      <c r="AH286" s="421"/>
      <c r="AI286" s="421"/>
      <c r="AJ286" s="421"/>
      <c r="AK286" s="421"/>
      <c r="AL286" s="421"/>
      <c r="AM286" s="422"/>
      <c r="AN286" s="422"/>
      <c r="AO286" s="422"/>
      <c r="AP286" s="422"/>
      <c r="AQ286" s="422"/>
      <c r="AR286" s="422"/>
      <c r="AS286" s="422"/>
      <c r="AT286" s="422"/>
      <c r="AU286" s="422"/>
      <c r="AV286" s="422"/>
      <c r="AW286" s="422"/>
      <c r="AX286" s="422"/>
      <c r="AY286" s="422"/>
    </row>
    <row r="287" spans="1:51" x14ac:dyDescent="0.25">
      <c r="A287" s="3"/>
      <c r="B287" s="3"/>
      <c r="C287" s="3"/>
      <c r="D287" s="3"/>
      <c r="E287" s="3"/>
      <c r="F287" s="3"/>
      <c r="G287" s="3"/>
      <c r="H287" s="3"/>
      <c r="I287" s="3"/>
      <c r="J287" s="13"/>
      <c r="K287" s="13"/>
      <c r="L287" s="13"/>
      <c r="M287" s="13"/>
      <c r="N287" s="13"/>
      <c r="O287" s="13"/>
      <c r="P287" s="13"/>
      <c r="Q287" s="13"/>
      <c r="R287" s="13"/>
      <c r="S287" s="421"/>
      <c r="T287" s="421"/>
      <c r="U287" s="421"/>
      <c r="V287" s="421"/>
      <c r="W287" s="421"/>
      <c r="X287" s="421"/>
      <c r="Y287" s="421"/>
      <c r="Z287" s="421"/>
      <c r="AA287" s="421"/>
      <c r="AB287" s="421"/>
      <c r="AC287" s="421"/>
      <c r="AD287" s="421"/>
      <c r="AE287" s="421"/>
      <c r="AF287" s="421"/>
      <c r="AG287" s="421"/>
      <c r="AH287" s="421"/>
      <c r="AI287" s="421"/>
      <c r="AJ287" s="421"/>
      <c r="AK287" s="421"/>
      <c r="AL287" s="421"/>
      <c r="AM287" s="422"/>
      <c r="AN287" s="422"/>
      <c r="AO287" s="422"/>
      <c r="AP287" s="422"/>
      <c r="AQ287" s="422"/>
      <c r="AR287" s="422"/>
      <c r="AS287" s="422"/>
      <c r="AT287" s="422"/>
      <c r="AU287" s="422"/>
      <c r="AV287" s="422"/>
      <c r="AW287" s="422"/>
      <c r="AX287" s="422"/>
      <c r="AY287" s="422"/>
    </row>
    <row r="288" spans="1:51" x14ac:dyDescent="0.25">
      <c r="A288" s="3"/>
      <c r="B288" s="3"/>
      <c r="C288" s="3"/>
      <c r="D288" s="3"/>
      <c r="E288" s="3"/>
      <c r="F288" s="3"/>
      <c r="G288" s="3"/>
      <c r="H288" s="3"/>
      <c r="I288" s="3"/>
      <c r="J288" s="13"/>
      <c r="K288" s="13"/>
      <c r="L288" s="13"/>
      <c r="M288" s="13"/>
      <c r="N288" s="13"/>
      <c r="O288" s="13"/>
      <c r="P288" s="13"/>
      <c r="Q288" s="13"/>
      <c r="R288" s="13"/>
      <c r="S288" s="421"/>
      <c r="T288" s="421"/>
      <c r="U288" s="421"/>
      <c r="V288" s="421"/>
      <c r="W288" s="421"/>
      <c r="X288" s="421"/>
      <c r="Y288" s="421"/>
      <c r="Z288" s="421"/>
      <c r="AA288" s="421"/>
      <c r="AB288" s="421"/>
      <c r="AC288" s="421"/>
      <c r="AD288" s="421"/>
      <c r="AE288" s="421"/>
      <c r="AF288" s="421"/>
      <c r="AG288" s="421"/>
      <c r="AH288" s="421"/>
      <c r="AI288" s="421"/>
      <c r="AJ288" s="421"/>
      <c r="AK288" s="421"/>
      <c r="AL288" s="421"/>
      <c r="AM288" s="422"/>
      <c r="AN288" s="422"/>
      <c r="AO288" s="422"/>
      <c r="AP288" s="422"/>
      <c r="AQ288" s="422"/>
      <c r="AR288" s="422"/>
      <c r="AS288" s="422"/>
      <c r="AT288" s="422"/>
      <c r="AU288" s="422"/>
      <c r="AV288" s="422"/>
      <c r="AW288" s="422"/>
      <c r="AX288" s="422"/>
      <c r="AY288" s="422"/>
    </row>
    <row r="289" spans="1:51" x14ac:dyDescent="0.25">
      <c r="A289" s="3"/>
      <c r="B289" s="3"/>
      <c r="C289" s="3"/>
      <c r="D289" s="3"/>
      <c r="E289" s="3"/>
      <c r="F289" s="3"/>
      <c r="G289" s="3"/>
      <c r="H289" s="3"/>
      <c r="I289" s="3"/>
      <c r="J289" s="13"/>
      <c r="K289" s="13"/>
      <c r="L289" s="13"/>
      <c r="M289" s="13"/>
      <c r="N289" s="13"/>
      <c r="O289" s="13"/>
      <c r="P289" s="13"/>
      <c r="Q289" s="13"/>
      <c r="R289" s="13"/>
      <c r="S289" s="421"/>
      <c r="T289" s="421"/>
      <c r="U289" s="421"/>
      <c r="V289" s="421"/>
      <c r="W289" s="421"/>
      <c r="X289" s="421"/>
      <c r="Y289" s="421"/>
      <c r="Z289" s="421"/>
      <c r="AA289" s="421"/>
      <c r="AB289" s="421"/>
      <c r="AC289" s="421"/>
      <c r="AD289" s="421"/>
      <c r="AE289" s="421"/>
      <c r="AF289" s="421"/>
      <c r="AG289" s="421"/>
      <c r="AH289" s="421"/>
      <c r="AI289" s="421"/>
      <c r="AJ289" s="421"/>
      <c r="AK289" s="421"/>
      <c r="AL289" s="421"/>
      <c r="AM289" s="422"/>
      <c r="AN289" s="422"/>
      <c r="AO289" s="422"/>
      <c r="AP289" s="422"/>
      <c r="AQ289" s="422"/>
      <c r="AR289" s="422"/>
      <c r="AS289" s="422"/>
      <c r="AT289" s="422"/>
      <c r="AU289" s="422"/>
      <c r="AV289" s="422"/>
      <c r="AW289" s="422"/>
      <c r="AX289" s="422"/>
      <c r="AY289" s="422"/>
    </row>
    <row r="290" spans="1:51" x14ac:dyDescent="0.25">
      <c r="A290" s="3"/>
      <c r="B290" s="3"/>
      <c r="C290" s="3"/>
      <c r="D290" s="3"/>
      <c r="E290" s="3"/>
      <c r="F290" s="3"/>
      <c r="G290" s="3"/>
      <c r="H290" s="3"/>
      <c r="I290" s="3"/>
      <c r="J290" s="13"/>
      <c r="K290" s="13"/>
      <c r="L290" s="13"/>
      <c r="M290" s="13"/>
      <c r="N290" s="13"/>
      <c r="O290" s="13"/>
      <c r="P290" s="13"/>
      <c r="Q290" s="13"/>
      <c r="R290" s="13"/>
      <c r="S290" s="421"/>
      <c r="T290" s="421"/>
      <c r="U290" s="421"/>
      <c r="V290" s="421"/>
      <c r="W290" s="421"/>
      <c r="X290" s="421"/>
      <c r="Y290" s="421"/>
      <c r="Z290" s="421"/>
      <c r="AA290" s="421"/>
      <c r="AB290" s="421"/>
      <c r="AC290" s="421"/>
      <c r="AD290" s="421"/>
      <c r="AE290" s="421"/>
      <c r="AF290" s="421"/>
      <c r="AG290" s="421"/>
      <c r="AH290" s="421"/>
      <c r="AI290" s="421"/>
      <c r="AJ290" s="421"/>
      <c r="AK290" s="421"/>
      <c r="AL290" s="421"/>
      <c r="AM290" s="422"/>
      <c r="AN290" s="422"/>
      <c r="AO290" s="422"/>
      <c r="AP290" s="422"/>
      <c r="AQ290" s="422"/>
      <c r="AR290" s="422"/>
      <c r="AS290" s="422"/>
      <c r="AT290" s="422"/>
      <c r="AU290" s="422"/>
      <c r="AV290" s="422"/>
      <c r="AW290" s="422"/>
      <c r="AX290" s="422"/>
      <c r="AY290" s="422"/>
    </row>
    <row r="291" spans="1:51" x14ac:dyDescent="0.25">
      <c r="A291" s="3"/>
      <c r="B291" s="3"/>
      <c r="C291" s="3"/>
      <c r="D291" s="3"/>
      <c r="E291" s="3"/>
      <c r="F291" s="3"/>
      <c r="G291" s="3"/>
      <c r="H291" s="3"/>
      <c r="I291" s="3"/>
      <c r="J291" s="13"/>
      <c r="K291" s="13"/>
      <c r="L291" s="13"/>
      <c r="M291" s="13"/>
      <c r="N291" s="13"/>
      <c r="O291" s="13"/>
      <c r="P291" s="13"/>
      <c r="Q291" s="13"/>
      <c r="R291" s="13"/>
      <c r="S291" s="421"/>
      <c r="T291" s="421"/>
      <c r="U291" s="421"/>
      <c r="V291" s="421"/>
      <c r="W291" s="421"/>
      <c r="X291" s="421"/>
      <c r="Y291" s="421"/>
      <c r="Z291" s="421"/>
      <c r="AA291" s="421"/>
      <c r="AB291" s="421"/>
      <c r="AC291" s="421"/>
      <c r="AD291" s="421"/>
      <c r="AE291" s="421"/>
      <c r="AF291" s="421"/>
      <c r="AG291" s="421"/>
      <c r="AH291" s="421"/>
      <c r="AI291" s="421"/>
      <c r="AJ291" s="421"/>
      <c r="AK291" s="421"/>
      <c r="AL291" s="421"/>
      <c r="AM291" s="422"/>
      <c r="AN291" s="422"/>
      <c r="AO291" s="422"/>
      <c r="AP291" s="422"/>
      <c r="AQ291" s="422"/>
      <c r="AR291" s="422"/>
      <c r="AS291" s="422"/>
      <c r="AT291" s="422"/>
      <c r="AU291" s="422"/>
      <c r="AV291" s="422"/>
      <c r="AW291" s="422"/>
      <c r="AX291" s="422"/>
      <c r="AY291" s="422"/>
    </row>
    <row r="292" spans="1:51" x14ac:dyDescent="0.25">
      <c r="A292" s="3"/>
      <c r="B292" s="3"/>
      <c r="C292" s="3"/>
      <c r="D292" s="3"/>
      <c r="E292" s="3"/>
      <c r="F292" s="3"/>
      <c r="G292" s="3"/>
      <c r="H292" s="3"/>
      <c r="I292" s="3"/>
      <c r="J292" s="13"/>
      <c r="K292" s="13"/>
      <c r="L292" s="13"/>
      <c r="M292" s="13"/>
      <c r="N292" s="13"/>
      <c r="O292" s="13"/>
      <c r="P292" s="13"/>
      <c r="Q292" s="13"/>
      <c r="R292" s="13"/>
      <c r="S292" s="421"/>
      <c r="T292" s="421"/>
      <c r="U292" s="421"/>
      <c r="V292" s="421"/>
      <c r="W292" s="421"/>
      <c r="X292" s="421"/>
      <c r="Y292" s="421"/>
      <c r="Z292" s="421"/>
      <c r="AA292" s="421"/>
      <c r="AB292" s="421"/>
      <c r="AC292" s="421"/>
      <c r="AD292" s="421"/>
      <c r="AE292" s="421"/>
      <c r="AF292" s="421"/>
      <c r="AG292" s="421"/>
      <c r="AH292" s="421"/>
      <c r="AI292" s="421"/>
      <c r="AJ292" s="421"/>
      <c r="AK292" s="421"/>
      <c r="AL292" s="421"/>
      <c r="AM292" s="422"/>
      <c r="AN292" s="422"/>
      <c r="AO292" s="422"/>
      <c r="AP292" s="422"/>
      <c r="AQ292" s="422"/>
      <c r="AR292" s="422"/>
      <c r="AS292" s="422"/>
      <c r="AT292" s="422"/>
      <c r="AU292" s="422"/>
      <c r="AV292" s="422"/>
      <c r="AW292" s="422"/>
      <c r="AX292" s="422"/>
      <c r="AY292" s="422"/>
    </row>
    <row r="293" spans="1:51" x14ac:dyDescent="0.25">
      <c r="A293" s="3"/>
      <c r="B293" s="3"/>
      <c r="C293" s="3"/>
      <c r="D293" s="3"/>
      <c r="E293" s="3"/>
      <c r="F293" s="3"/>
      <c r="G293" s="3"/>
      <c r="H293" s="3"/>
      <c r="I293" s="3"/>
      <c r="J293" s="13"/>
      <c r="K293" s="13"/>
      <c r="L293" s="13"/>
      <c r="M293" s="13"/>
      <c r="N293" s="13"/>
      <c r="O293" s="13"/>
      <c r="P293" s="13"/>
      <c r="Q293" s="13"/>
      <c r="R293" s="13"/>
      <c r="S293" s="421"/>
      <c r="T293" s="421"/>
      <c r="U293" s="421"/>
      <c r="V293" s="421"/>
      <c r="W293" s="421"/>
      <c r="X293" s="421"/>
      <c r="Y293" s="421"/>
      <c r="Z293" s="421"/>
      <c r="AA293" s="421"/>
      <c r="AB293" s="421"/>
      <c r="AC293" s="421"/>
      <c r="AD293" s="421"/>
      <c r="AE293" s="421"/>
      <c r="AF293" s="421"/>
      <c r="AG293" s="421"/>
      <c r="AH293" s="421"/>
      <c r="AI293" s="421"/>
      <c r="AJ293" s="421"/>
      <c r="AK293" s="421"/>
      <c r="AL293" s="421"/>
      <c r="AM293" s="422"/>
      <c r="AN293" s="422"/>
      <c r="AO293" s="422"/>
      <c r="AP293" s="422"/>
      <c r="AQ293" s="422"/>
      <c r="AR293" s="422"/>
      <c r="AS293" s="422"/>
      <c r="AT293" s="422"/>
      <c r="AU293" s="422"/>
      <c r="AV293" s="422"/>
      <c r="AW293" s="422"/>
      <c r="AX293" s="422"/>
      <c r="AY293" s="422"/>
    </row>
    <row r="294" spans="1:51" x14ac:dyDescent="0.25">
      <c r="A294" s="3"/>
      <c r="B294" s="3"/>
      <c r="C294" s="3"/>
      <c r="D294" s="3"/>
      <c r="E294" s="3"/>
      <c r="F294" s="3"/>
      <c r="G294" s="3"/>
      <c r="H294" s="3"/>
      <c r="I294" s="3"/>
      <c r="J294" s="13"/>
      <c r="K294" s="13"/>
      <c r="L294" s="13"/>
      <c r="M294" s="13"/>
      <c r="N294" s="13"/>
      <c r="O294" s="13"/>
      <c r="P294" s="13"/>
      <c r="Q294" s="13"/>
      <c r="R294" s="13"/>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2"/>
      <c r="AN294" s="422"/>
      <c r="AO294" s="422"/>
      <c r="AP294" s="422"/>
      <c r="AQ294" s="422"/>
      <c r="AR294" s="422"/>
      <c r="AS294" s="422"/>
      <c r="AT294" s="422"/>
      <c r="AU294" s="422"/>
      <c r="AV294" s="422"/>
      <c r="AW294" s="422"/>
      <c r="AX294" s="422"/>
      <c r="AY294" s="422"/>
    </row>
    <row r="295" spans="1:51" x14ac:dyDescent="0.25">
      <c r="A295" s="3"/>
      <c r="B295" s="3"/>
      <c r="C295" s="3"/>
      <c r="D295" s="3"/>
      <c r="E295" s="3"/>
      <c r="F295" s="3"/>
      <c r="G295" s="3"/>
      <c r="H295" s="3"/>
      <c r="I295" s="3"/>
      <c r="J295" s="13"/>
      <c r="K295" s="13"/>
      <c r="L295" s="13"/>
      <c r="M295" s="13"/>
      <c r="N295" s="13"/>
      <c r="O295" s="13"/>
      <c r="P295" s="13"/>
      <c r="Q295" s="13"/>
      <c r="R295" s="13"/>
      <c r="S295" s="421"/>
      <c r="T295" s="421"/>
      <c r="U295" s="421"/>
      <c r="V295" s="421"/>
      <c r="W295" s="421"/>
      <c r="X295" s="421"/>
      <c r="Y295" s="421"/>
      <c r="Z295" s="421"/>
      <c r="AA295" s="421"/>
      <c r="AB295" s="421"/>
      <c r="AC295" s="421"/>
      <c r="AD295" s="421"/>
      <c r="AE295" s="421"/>
      <c r="AF295" s="421"/>
      <c r="AG295" s="421"/>
      <c r="AH295" s="421"/>
      <c r="AI295" s="421"/>
      <c r="AJ295" s="421"/>
      <c r="AK295" s="421"/>
      <c r="AL295" s="421"/>
      <c r="AM295" s="422"/>
      <c r="AN295" s="422"/>
      <c r="AO295" s="422"/>
      <c r="AP295" s="422"/>
      <c r="AQ295" s="422"/>
      <c r="AR295" s="422"/>
      <c r="AS295" s="422"/>
      <c r="AT295" s="422"/>
      <c r="AU295" s="422"/>
      <c r="AV295" s="422"/>
      <c r="AW295" s="422"/>
      <c r="AX295" s="422"/>
      <c r="AY295" s="422"/>
    </row>
    <row r="296" spans="1:51" x14ac:dyDescent="0.25">
      <c r="A296" s="3"/>
      <c r="B296" s="3"/>
      <c r="C296" s="3"/>
      <c r="D296" s="3"/>
      <c r="E296" s="3"/>
      <c r="F296" s="3"/>
      <c r="G296" s="3"/>
      <c r="H296" s="3"/>
      <c r="I296" s="3"/>
      <c r="J296" s="13"/>
      <c r="K296" s="13"/>
      <c r="L296" s="13"/>
      <c r="M296" s="13"/>
      <c r="N296" s="13"/>
      <c r="O296" s="13"/>
      <c r="P296" s="13"/>
      <c r="Q296" s="13"/>
      <c r="R296" s="13"/>
      <c r="S296" s="421"/>
      <c r="T296" s="421"/>
      <c r="U296" s="421"/>
      <c r="V296" s="421"/>
      <c r="W296" s="421"/>
      <c r="X296" s="421"/>
      <c r="Y296" s="421"/>
      <c r="Z296" s="421"/>
      <c r="AA296" s="421"/>
      <c r="AB296" s="421"/>
      <c r="AC296" s="421"/>
      <c r="AD296" s="421"/>
      <c r="AE296" s="421"/>
      <c r="AF296" s="421"/>
      <c r="AG296" s="421"/>
      <c r="AH296" s="421"/>
      <c r="AI296" s="421"/>
      <c r="AJ296" s="421"/>
      <c r="AK296" s="421"/>
      <c r="AL296" s="421"/>
      <c r="AM296" s="422"/>
      <c r="AN296" s="422"/>
      <c r="AO296" s="422"/>
      <c r="AP296" s="422"/>
      <c r="AQ296" s="422"/>
      <c r="AR296" s="422"/>
      <c r="AS296" s="422"/>
      <c r="AT296" s="422"/>
      <c r="AU296" s="422"/>
      <c r="AV296" s="422"/>
      <c r="AW296" s="422"/>
      <c r="AX296" s="422"/>
      <c r="AY296" s="422"/>
    </row>
    <row r="297" spans="1:51" x14ac:dyDescent="0.25">
      <c r="A297" s="3"/>
      <c r="B297" s="3"/>
      <c r="C297" s="3"/>
      <c r="D297" s="3"/>
      <c r="E297" s="3"/>
      <c r="F297" s="3"/>
      <c r="G297" s="3"/>
      <c r="H297" s="3"/>
      <c r="I297" s="3"/>
      <c r="J297" s="13"/>
      <c r="K297" s="13"/>
      <c r="L297" s="13"/>
      <c r="M297" s="13"/>
      <c r="N297" s="13"/>
      <c r="O297" s="13"/>
      <c r="P297" s="13"/>
      <c r="Q297" s="13"/>
      <c r="R297" s="13"/>
      <c r="S297" s="421"/>
      <c r="T297" s="421"/>
      <c r="U297" s="421"/>
      <c r="V297" s="421"/>
      <c r="W297" s="421"/>
      <c r="X297" s="421"/>
      <c r="Y297" s="421"/>
      <c r="Z297" s="421"/>
      <c r="AA297" s="421"/>
      <c r="AB297" s="421"/>
      <c r="AC297" s="421"/>
      <c r="AD297" s="421"/>
      <c r="AE297" s="421"/>
      <c r="AF297" s="421"/>
      <c r="AG297" s="421"/>
      <c r="AH297" s="421"/>
      <c r="AI297" s="421"/>
      <c r="AJ297" s="421"/>
      <c r="AK297" s="421"/>
      <c r="AL297" s="421"/>
      <c r="AM297" s="422"/>
      <c r="AN297" s="422"/>
      <c r="AO297" s="422"/>
      <c r="AP297" s="422"/>
      <c r="AQ297" s="422"/>
      <c r="AR297" s="422"/>
      <c r="AS297" s="422"/>
      <c r="AT297" s="422"/>
      <c r="AU297" s="422"/>
      <c r="AV297" s="422"/>
      <c r="AW297" s="422"/>
      <c r="AX297" s="422"/>
      <c r="AY297" s="422"/>
    </row>
    <row r="298" spans="1:51" x14ac:dyDescent="0.25">
      <c r="A298" s="3"/>
      <c r="B298" s="3"/>
      <c r="C298" s="3"/>
      <c r="D298" s="3"/>
      <c r="E298" s="3"/>
      <c r="F298" s="3"/>
      <c r="G298" s="3"/>
      <c r="H298" s="3"/>
      <c r="I298" s="3"/>
      <c r="J298" s="13"/>
      <c r="K298" s="13"/>
      <c r="L298" s="13"/>
      <c r="M298" s="13"/>
      <c r="N298" s="13"/>
      <c r="O298" s="13"/>
      <c r="P298" s="13"/>
      <c r="Q298" s="13"/>
      <c r="R298" s="13"/>
      <c r="S298" s="421"/>
      <c r="T298" s="421"/>
      <c r="U298" s="421"/>
      <c r="V298" s="421"/>
      <c r="W298" s="421"/>
      <c r="X298" s="421"/>
      <c r="Y298" s="421"/>
      <c r="Z298" s="421"/>
      <c r="AA298" s="421"/>
      <c r="AB298" s="421"/>
      <c r="AC298" s="421"/>
      <c r="AD298" s="421"/>
      <c r="AE298" s="421"/>
      <c r="AF298" s="421"/>
      <c r="AG298" s="421"/>
      <c r="AH298" s="421"/>
      <c r="AI298" s="421"/>
      <c r="AJ298" s="421"/>
      <c r="AK298" s="421"/>
      <c r="AL298" s="421"/>
      <c r="AM298" s="422"/>
      <c r="AN298" s="422"/>
      <c r="AO298" s="422"/>
      <c r="AP298" s="422"/>
      <c r="AQ298" s="422"/>
      <c r="AR298" s="422"/>
      <c r="AS298" s="422"/>
      <c r="AT298" s="422"/>
      <c r="AU298" s="422"/>
      <c r="AV298" s="422"/>
      <c r="AW298" s="422"/>
      <c r="AX298" s="422"/>
      <c r="AY298" s="422"/>
    </row>
    <row r="299" spans="1:51" x14ac:dyDescent="0.25">
      <c r="A299" s="3"/>
      <c r="B299" s="3"/>
      <c r="C299" s="3"/>
      <c r="D299" s="3"/>
      <c r="E299" s="3"/>
      <c r="F299" s="3"/>
      <c r="G299" s="3"/>
      <c r="H299" s="3"/>
      <c r="I299" s="3"/>
      <c r="J299" s="13"/>
      <c r="K299" s="13"/>
      <c r="L299" s="13"/>
      <c r="M299" s="13"/>
      <c r="N299" s="13"/>
      <c r="O299" s="13"/>
      <c r="P299" s="13"/>
      <c r="Q299" s="13"/>
      <c r="R299" s="13"/>
      <c r="S299" s="421"/>
      <c r="T299" s="421"/>
      <c r="U299" s="421"/>
      <c r="V299" s="421"/>
      <c r="W299" s="421"/>
      <c r="X299" s="421"/>
      <c r="Y299" s="421"/>
      <c r="Z299" s="421"/>
      <c r="AA299" s="421"/>
      <c r="AB299" s="421"/>
      <c r="AC299" s="421"/>
      <c r="AD299" s="421"/>
      <c r="AE299" s="421"/>
      <c r="AF299" s="421"/>
      <c r="AG299" s="421"/>
      <c r="AH299" s="421"/>
      <c r="AI299" s="421"/>
      <c r="AJ299" s="421"/>
      <c r="AK299" s="421"/>
      <c r="AL299" s="421"/>
      <c r="AM299" s="422"/>
      <c r="AN299" s="422"/>
      <c r="AO299" s="422"/>
      <c r="AP299" s="422"/>
      <c r="AQ299" s="422"/>
      <c r="AR299" s="422"/>
      <c r="AS299" s="422"/>
      <c r="AT299" s="422"/>
      <c r="AU299" s="422"/>
      <c r="AV299" s="422"/>
      <c r="AW299" s="422"/>
      <c r="AX299" s="422"/>
      <c r="AY299" s="422"/>
    </row>
    <row r="300" spans="1:51" x14ac:dyDescent="0.25">
      <c r="A300" s="3"/>
      <c r="B300" s="3"/>
      <c r="C300" s="3"/>
      <c r="D300" s="3"/>
      <c r="E300" s="3"/>
      <c r="F300" s="3"/>
      <c r="G300" s="3"/>
      <c r="H300" s="3"/>
      <c r="I300" s="3"/>
      <c r="J300" s="13"/>
      <c r="K300" s="13"/>
      <c r="L300" s="13"/>
      <c r="M300" s="13"/>
      <c r="N300" s="13"/>
      <c r="O300" s="13"/>
      <c r="P300" s="13"/>
      <c r="Q300" s="13"/>
      <c r="R300" s="13"/>
      <c r="S300" s="421"/>
      <c r="T300" s="421"/>
      <c r="U300" s="421"/>
      <c r="V300" s="421"/>
      <c r="W300" s="421"/>
      <c r="X300" s="421"/>
      <c r="Y300" s="421"/>
      <c r="Z300" s="421"/>
      <c r="AA300" s="421"/>
      <c r="AB300" s="421"/>
      <c r="AC300" s="421"/>
      <c r="AD300" s="421"/>
      <c r="AE300" s="421"/>
      <c r="AF300" s="421"/>
      <c r="AG300" s="421"/>
      <c r="AH300" s="421"/>
      <c r="AI300" s="421"/>
      <c r="AJ300" s="421"/>
      <c r="AK300" s="421"/>
      <c r="AL300" s="421"/>
      <c r="AM300" s="422"/>
      <c r="AN300" s="422"/>
      <c r="AO300" s="422"/>
      <c r="AP300" s="422"/>
      <c r="AQ300" s="422"/>
      <c r="AR300" s="422"/>
      <c r="AS300" s="422"/>
      <c r="AT300" s="422"/>
      <c r="AU300" s="422"/>
      <c r="AV300" s="422"/>
      <c r="AW300" s="422"/>
      <c r="AX300" s="422"/>
      <c r="AY300" s="422"/>
    </row>
    <row r="301" spans="1:51" x14ac:dyDescent="0.25">
      <c r="A301" s="3"/>
      <c r="B301" s="3"/>
      <c r="C301" s="3"/>
      <c r="D301" s="3"/>
      <c r="E301" s="3"/>
      <c r="F301" s="3"/>
      <c r="G301" s="3"/>
      <c r="H301" s="3"/>
      <c r="I301" s="3"/>
      <c r="J301" s="13"/>
      <c r="K301" s="13"/>
      <c r="L301" s="13"/>
      <c r="M301" s="13"/>
      <c r="N301" s="13"/>
      <c r="O301" s="13"/>
      <c r="P301" s="13"/>
      <c r="Q301" s="13"/>
      <c r="R301" s="13"/>
      <c r="S301" s="421"/>
      <c r="T301" s="421"/>
      <c r="U301" s="421"/>
      <c r="V301" s="421"/>
      <c r="W301" s="421"/>
      <c r="X301" s="421"/>
      <c r="Y301" s="421"/>
      <c r="Z301" s="421"/>
      <c r="AA301" s="421"/>
      <c r="AB301" s="421"/>
      <c r="AC301" s="421"/>
      <c r="AD301" s="421"/>
      <c r="AE301" s="421"/>
      <c r="AF301" s="421"/>
      <c r="AG301" s="421"/>
      <c r="AH301" s="421"/>
      <c r="AI301" s="421"/>
      <c r="AJ301" s="421"/>
      <c r="AK301" s="421"/>
      <c r="AL301" s="421"/>
      <c r="AM301" s="422"/>
      <c r="AN301" s="422"/>
      <c r="AO301" s="422"/>
      <c r="AP301" s="422"/>
      <c r="AQ301" s="422"/>
      <c r="AR301" s="422"/>
      <c r="AS301" s="422"/>
      <c r="AT301" s="422"/>
      <c r="AU301" s="422"/>
      <c r="AV301" s="422"/>
      <c r="AW301" s="422"/>
      <c r="AX301" s="422"/>
      <c r="AY301" s="422"/>
    </row>
    <row r="302" spans="1:51" x14ac:dyDescent="0.25">
      <c r="A302" s="3"/>
      <c r="B302" s="3"/>
      <c r="C302" s="3"/>
      <c r="D302" s="3"/>
      <c r="E302" s="3"/>
      <c r="F302" s="3"/>
      <c r="G302" s="3"/>
      <c r="H302" s="3"/>
      <c r="I302" s="3"/>
      <c r="J302" s="13"/>
      <c r="K302" s="13"/>
      <c r="L302" s="13"/>
      <c r="M302" s="13"/>
      <c r="N302" s="13"/>
      <c r="O302" s="13"/>
      <c r="P302" s="13"/>
      <c r="Q302" s="13"/>
      <c r="R302" s="13"/>
      <c r="S302" s="421"/>
      <c r="T302" s="421"/>
      <c r="U302" s="421"/>
      <c r="V302" s="421"/>
      <c r="W302" s="421"/>
      <c r="X302" s="421"/>
      <c r="Y302" s="421"/>
      <c r="Z302" s="421"/>
      <c r="AA302" s="421"/>
      <c r="AB302" s="421"/>
      <c r="AC302" s="421"/>
      <c r="AD302" s="421"/>
      <c r="AE302" s="421"/>
      <c r="AF302" s="421"/>
      <c r="AG302" s="421"/>
      <c r="AH302" s="421"/>
      <c r="AI302" s="421"/>
      <c r="AJ302" s="421"/>
      <c r="AK302" s="421"/>
      <c r="AL302" s="421"/>
      <c r="AM302" s="422"/>
      <c r="AN302" s="422"/>
      <c r="AO302" s="422"/>
      <c r="AP302" s="422"/>
      <c r="AQ302" s="422"/>
      <c r="AR302" s="422"/>
      <c r="AS302" s="422"/>
      <c r="AT302" s="422"/>
      <c r="AU302" s="422"/>
      <c r="AV302" s="422"/>
      <c r="AW302" s="422"/>
      <c r="AX302" s="422"/>
      <c r="AY302" s="422"/>
    </row>
    <row r="303" spans="1:51" x14ac:dyDescent="0.25">
      <c r="A303" s="3"/>
      <c r="B303" s="3"/>
      <c r="C303" s="3"/>
      <c r="D303" s="3"/>
      <c r="E303" s="3"/>
      <c r="F303" s="3"/>
      <c r="G303" s="3"/>
      <c r="H303" s="3"/>
      <c r="I303" s="3"/>
      <c r="J303" s="13"/>
      <c r="K303" s="13"/>
      <c r="L303" s="13"/>
      <c r="M303" s="13"/>
      <c r="N303" s="13"/>
      <c r="O303" s="13"/>
      <c r="P303" s="13"/>
      <c r="Q303" s="13"/>
      <c r="R303" s="13"/>
      <c r="S303" s="421"/>
      <c r="T303" s="421"/>
      <c r="U303" s="421"/>
      <c r="V303" s="421"/>
      <c r="W303" s="421"/>
      <c r="X303" s="421"/>
      <c r="Y303" s="421"/>
      <c r="Z303" s="421"/>
      <c r="AA303" s="421"/>
      <c r="AB303" s="421"/>
      <c r="AC303" s="421"/>
      <c r="AD303" s="421"/>
      <c r="AE303" s="421"/>
      <c r="AF303" s="421"/>
      <c r="AG303" s="421"/>
      <c r="AH303" s="421"/>
      <c r="AI303" s="421"/>
      <c r="AJ303" s="421"/>
      <c r="AK303" s="421"/>
      <c r="AL303" s="421"/>
      <c r="AM303" s="422"/>
      <c r="AN303" s="422"/>
      <c r="AO303" s="422"/>
      <c r="AP303" s="422"/>
      <c r="AQ303" s="422"/>
      <c r="AR303" s="422"/>
      <c r="AS303" s="422"/>
      <c r="AT303" s="422"/>
      <c r="AU303" s="422"/>
      <c r="AV303" s="422"/>
      <c r="AW303" s="422"/>
      <c r="AX303" s="422"/>
      <c r="AY303" s="422"/>
    </row>
    <row r="304" spans="1:51" x14ac:dyDescent="0.25">
      <c r="A304" s="3"/>
      <c r="B304" s="3"/>
      <c r="C304" s="3"/>
      <c r="D304" s="3"/>
      <c r="E304" s="3"/>
      <c r="F304" s="3"/>
      <c r="G304" s="3"/>
      <c r="H304" s="3"/>
      <c r="I304" s="3"/>
      <c r="J304" s="13"/>
      <c r="K304" s="13"/>
      <c r="L304" s="13"/>
      <c r="M304" s="13"/>
      <c r="N304" s="13"/>
      <c r="O304" s="13"/>
      <c r="P304" s="13"/>
      <c r="Q304" s="13"/>
      <c r="R304" s="13"/>
      <c r="S304" s="421"/>
      <c r="T304" s="421"/>
      <c r="U304" s="421"/>
      <c r="V304" s="421"/>
      <c r="W304" s="421"/>
      <c r="X304" s="421"/>
      <c r="Y304" s="421"/>
      <c r="Z304" s="421"/>
      <c r="AA304" s="421"/>
      <c r="AB304" s="421"/>
      <c r="AC304" s="421"/>
      <c r="AD304" s="421"/>
      <c r="AE304" s="421"/>
      <c r="AF304" s="421"/>
      <c r="AG304" s="421"/>
      <c r="AH304" s="421"/>
      <c r="AI304" s="421"/>
      <c r="AJ304" s="421"/>
      <c r="AK304" s="421"/>
      <c r="AL304" s="421"/>
      <c r="AM304" s="422"/>
      <c r="AN304" s="422"/>
      <c r="AO304" s="422"/>
      <c r="AP304" s="422"/>
      <c r="AQ304" s="422"/>
      <c r="AR304" s="422"/>
      <c r="AS304" s="422"/>
      <c r="AT304" s="422"/>
      <c r="AU304" s="422"/>
      <c r="AV304" s="422"/>
      <c r="AW304" s="422"/>
      <c r="AX304" s="422"/>
      <c r="AY304" s="422"/>
    </row>
    <row r="305" spans="1:51" x14ac:dyDescent="0.25">
      <c r="A305" s="3"/>
      <c r="B305" s="3"/>
      <c r="C305" s="3"/>
      <c r="D305" s="3"/>
      <c r="E305" s="3"/>
      <c r="F305" s="3"/>
      <c r="G305" s="3"/>
      <c r="H305" s="3"/>
      <c r="I305" s="3"/>
      <c r="J305" s="13"/>
      <c r="K305" s="13"/>
      <c r="L305" s="13"/>
      <c r="M305" s="13"/>
      <c r="N305" s="13"/>
      <c r="O305" s="13"/>
      <c r="P305" s="13"/>
      <c r="Q305" s="13"/>
      <c r="R305" s="13"/>
      <c r="S305" s="421"/>
      <c r="T305" s="421"/>
      <c r="U305" s="421"/>
      <c r="V305" s="421"/>
      <c r="W305" s="421"/>
      <c r="X305" s="421"/>
      <c r="Y305" s="421"/>
      <c r="Z305" s="421"/>
      <c r="AA305" s="421"/>
      <c r="AB305" s="421"/>
      <c r="AC305" s="421"/>
      <c r="AD305" s="421"/>
      <c r="AE305" s="421"/>
      <c r="AF305" s="421"/>
      <c r="AG305" s="421"/>
      <c r="AH305" s="421"/>
      <c r="AI305" s="421"/>
      <c r="AJ305" s="421"/>
      <c r="AK305" s="421"/>
      <c r="AL305" s="421"/>
      <c r="AM305" s="422"/>
      <c r="AN305" s="422"/>
      <c r="AO305" s="422"/>
      <c r="AP305" s="422"/>
      <c r="AQ305" s="422"/>
      <c r="AR305" s="422"/>
      <c r="AS305" s="422"/>
      <c r="AT305" s="422"/>
      <c r="AU305" s="422"/>
      <c r="AV305" s="422"/>
      <c r="AW305" s="422"/>
      <c r="AX305" s="422"/>
      <c r="AY305" s="422"/>
    </row>
    <row r="306" spans="1:51" x14ac:dyDescent="0.25">
      <c r="A306" s="3"/>
      <c r="B306" s="3"/>
      <c r="C306" s="3"/>
      <c r="D306" s="3"/>
      <c r="E306" s="3"/>
      <c r="F306" s="3"/>
      <c r="G306" s="3"/>
      <c r="H306" s="3"/>
      <c r="I306" s="3"/>
      <c r="J306" s="13"/>
      <c r="K306" s="13"/>
      <c r="L306" s="13"/>
      <c r="M306" s="13"/>
      <c r="N306" s="13"/>
      <c r="O306" s="13"/>
      <c r="P306" s="13"/>
      <c r="Q306" s="13"/>
      <c r="R306" s="13"/>
      <c r="S306" s="421"/>
      <c r="T306" s="421"/>
      <c r="U306" s="421"/>
      <c r="V306" s="421"/>
      <c r="W306" s="421"/>
      <c r="X306" s="421"/>
      <c r="Y306" s="421"/>
      <c r="Z306" s="421"/>
      <c r="AA306" s="421"/>
      <c r="AB306" s="421"/>
      <c r="AC306" s="421"/>
      <c r="AD306" s="421"/>
      <c r="AE306" s="421"/>
      <c r="AF306" s="421"/>
      <c r="AG306" s="421"/>
      <c r="AH306" s="421"/>
      <c r="AI306" s="421"/>
      <c r="AJ306" s="421"/>
      <c r="AK306" s="421"/>
      <c r="AL306" s="421"/>
      <c r="AM306" s="422"/>
      <c r="AN306" s="422"/>
      <c r="AO306" s="422"/>
      <c r="AP306" s="422"/>
      <c r="AQ306" s="422"/>
      <c r="AR306" s="422"/>
      <c r="AS306" s="422"/>
      <c r="AT306" s="422"/>
      <c r="AU306" s="422"/>
      <c r="AV306" s="422"/>
      <c r="AW306" s="422"/>
      <c r="AX306" s="422"/>
      <c r="AY306" s="422"/>
    </row>
    <row r="307" spans="1:51" x14ac:dyDescent="0.25">
      <c r="A307" s="3"/>
      <c r="B307" s="3"/>
      <c r="C307" s="3"/>
      <c r="D307" s="3"/>
      <c r="E307" s="3"/>
      <c r="F307" s="3"/>
      <c r="G307" s="3"/>
      <c r="H307" s="3"/>
      <c r="I307" s="3"/>
      <c r="J307" s="13"/>
      <c r="K307" s="13"/>
      <c r="L307" s="13"/>
      <c r="M307" s="13"/>
      <c r="N307" s="13"/>
      <c r="O307" s="13"/>
      <c r="P307" s="13"/>
      <c r="Q307" s="13"/>
      <c r="R307" s="13"/>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2"/>
      <c r="AN307" s="422"/>
      <c r="AO307" s="422"/>
      <c r="AP307" s="422"/>
      <c r="AQ307" s="422"/>
      <c r="AR307" s="422"/>
      <c r="AS307" s="422"/>
      <c r="AT307" s="422"/>
      <c r="AU307" s="422"/>
      <c r="AV307" s="422"/>
      <c r="AW307" s="422"/>
      <c r="AX307" s="422"/>
      <c r="AY307" s="422"/>
    </row>
    <row r="308" spans="1:51" x14ac:dyDescent="0.25">
      <c r="A308" s="3"/>
      <c r="B308" s="3"/>
      <c r="C308" s="3"/>
      <c r="D308" s="3"/>
      <c r="E308" s="3"/>
      <c r="F308" s="3"/>
      <c r="G308" s="3"/>
      <c r="H308" s="3"/>
      <c r="I308" s="3"/>
      <c r="J308" s="13"/>
      <c r="K308" s="13"/>
      <c r="L308" s="13"/>
      <c r="M308" s="13"/>
      <c r="N308" s="13"/>
      <c r="O308" s="13"/>
      <c r="P308" s="13"/>
      <c r="Q308" s="13"/>
      <c r="R308" s="13"/>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2"/>
      <c r="AN308" s="422"/>
      <c r="AO308" s="422"/>
      <c r="AP308" s="422"/>
      <c r="AQ308" s="422"/>
      <c r="AR308" s="422"/>
      <c r="AS308" s="422"/>
      <c r="AT308" s="422"/>
      <c r="AU308" s="422"/>
      <c r="AV308" s="422"/>
      <c r="AW308" s="422"/>
      <c r="AX308" s="422"/>
      <c r="AY308" s="422"/>
    </row>
    <row r="309" spans="1:51" x14ac:dyDescent="0.25">
      <c r="A309" s="3"/>
      <c r="B309" s="3"/>
      <c r="C309" s="3"/>
      <c r="D309" s="3"/>
      <c r="E309" s="3"/>
      <c r="F309" s="3"/>
      <c r="G309" s="3"/>
      <c r="H309" s="3"/>
      <c r="I309" s="3"/>
      <c r="J309" s="13"/>
      <c r="K309" s="13"/>
      <c r="L309" s="13"/>
      <c r="M309" s="13"/>
      <c r="N309" s="13"/>
      <c r="O309" s="13"/>
      <c r="P309" s="13"/>
      <c r="Q309" s="13"/>
      <c r="R309" s="13"/>
      <c r="S309" s="421"/>
      <c r="T309" s="421"/>
      <c r="U309" s="421"/>
      <c r="V309" s="421"/>
      <c r="W309" s="421"/>
      <c r="X309" s="421"/>
      <c r="Y309" s="421"/>
      <c r="Z309" s="421"/>
      <c r="AA309" s="421"/>
      <c r="AB309" s="421"/>
      <c r="AC309" s="421"/>
      <c r="AD309" s="421"/>
      <c r="AE309" s="421"/>
      <c r="AF309" s="421"/>
      <c r="AG309" s="421"/>
      <c r="AH309" s="421"/>
      <c r="AI309" s="421"/>
      <c r="AJ309" s="421"/>
      <c r="AK309" s="421"/>
      <c r="AL309" s="421"/>
      <c r="AM309" s="422"/>
      <c r="AN309" s="422"/>
      <c r="AO309" s="422"/>
      <c r="AP309" s="422"/>
      <c r="AQ309" s="422"/>
      <c r="AR309" s="422"/>
      <c r="AS309" s="422"/>
      <c r="AT309" s="422"/>
      <c r="AU309" s="422"/>
      <c r="AV309" s="422"/>
      <c r="AW309" s="422"/>
      <c r="AX309" s="422"/>
      <c r="AY309" s="422"/>
    </row>
    <row r="310" spans="1:51" x14ac:dyDescent="0.25">
      <c r="A310" s="3"/>
      <c r="B310" s="3"/>
      <c r="C310" s="3"/>
      <c r="D310" s="3"/>
      <c r="E310" s="3"/>
      <c r="F310" s="3"/>
      <c r="G310" s="3"/>
      <c r="H310" s="3"/>
      <c r="I310" s="3"/>
      <c r="J310" s="13"/>
      <c r="K310" s="13"/>
      <c r="L310" s="13"/>
      <c r="M310" s="13"/>
      <c r="N310" s="13"/>
      <c r="O310" s="13"/>
      <c r="P310" s="13"/>
      <c r="Q310" s="13"/>
      <c r="R310" s="13"/>
      <c r="S310" s="421"/>
      <c r="T310" s="421"/>
      <c r="U310" s="421"/>
      <c r="V310" s="421"/>
      <c r="W310" s="421"/>
      <c r="X310" s="421"/>
      <c r="Y310" s="421"/>
      <c r="Z310" s="421"/>
      <c r="AA310" s="421"/>
      <c r="AB310" s="421"/>
      <c r="AC310" s="421"/>
      <c r="AD310" s="421"/>
      <c r="AE310" s="421"/>
      <c r="AF310" s="421"/>
      <c r="AG310" s="421"/>
      <c r="AH310" s="421"/>
      <c r="AI310" s="421"/>
      <c r="AJ310" s="421"/>
      <c r="AK310" s="421"/>
      <c r="AL310" s="421"/>
      <c r="AM310" s="422"/>
      <c r="AN310" s="422"/>
      <c r="AO310" s="422"/>
      <c r="AP310" s="422"/>
      <c r="AQ310" s="422"/>
      <c r="AR310" s="422"/>
      <c r="AS310" s="422"/>
      <c r="AT310" s="422"/>
      <c r="AU310" s="422"/>
      <c r="AV310" s="422"/>
      <c r="AW310" s="422"/>
      <c r="AX310" s="422"/>
      <c r="AY310" s="422"/>
    </row>
    <row r="311" spans="1:51" x14ac:dyDescent="0.25">
      <c r="A311" s="3"/>
      <c r="B311" s="3"/>
      <c r="C311" s="3"/>
      <c r="D311" s="3"/>
      <c r="E311" s="3"/>
      <c r="F311" s="3"/>
      <c r="G311" s="3"/>
      <c r="H311" s="3"/>
      <c r="I311" s="3"/>
      <c r="J311" s="13"/>
      <c r="K311" s="13"/>
      <c r="L311" s="13"/>
      <c r="M311" s="13"/>
      <c r="N311" s="13"/>
      <c r="O311" s="13"/>
      <c r="P311" s="13"/>
      <c r="Q311" s="13"/>
      <c r="R311" s="13"/>
      <c r="S311" s="421"/>
      <c r="T311" s="421"/>
      <c r="U311" s="421"/>
      <c r="V311" s="421"/>
      <c r="W311" s="421"/>
      <c r="X311" s="421"/>
      <c r="Y311" s="421"/>
      <c r="Z311" s="421"/>
      <c r="AA311" s="421"/>
      <c r="AB311" s="421"/>
      <c r="AC311" s="421"/>
      <c r="AD311" s="421"/>
      <c r="AE311" s="421"/>
      <c r="AF311" s="421"/>
      <c r="AG311" s="421"/>
      <c r="AH311" s="421"/>
      <c r="AI311" s="421"/>
      <c r="AJ311" s="421"/>
      <c r="AK311" s="421"/>
      <c r="AL311" s="421"/>
      <c r="AM311" s="422"/>
      <c r="AN311" s="422"/>
      <c r="AO311" s="422"/>
      <c r="AP311" s="422"/>
      <c r="AQ311" s="422"/>
      <c r="AR311" s="422"/>
      <c r="AS311" s="422"/>
      <c r="AT311" s="422"/>
      <c r="AU311" s="422"/>
      <c r="AV311" s="422"/>
      <c r="AW311" s="422"/>
      <c r="AX311" s="422"/>
      <c r="AY311" s="422"/>
    </row>
    <row r="312" spans="1:51" x14ac:dyDescent="0.25">
      <c r="A312" s="3"/>
      <c r="B312" s="3"/>
      <c r="C312" s="3"/>
      <c r="D312" s="3"/>
      <c r="E312" s="3"/>
      <c r="F312" s="3"/>
      <c r="G312" s="3"/>
      <c r="H312" s="3"/>
      <c r="I312" s="3"/>
      <c r="J312" s="13"/>
      <c r="K312" s="13"/>
      <c r="L312" s="13"/>
      <c r="M312" s="13"/>
      <c r="N312" s="13"/>
      <c r="O312" s="13"/>
      <c r="P312" s="13"/>
      <c r="Q312" s="13"/>
      <c r="R312" s="13"/>
      <c r="S312" s="421"/>
      <c r="T312" s="421"/>
      <c r="U312" s="421"/>
      <c r="V312" s="421"/>
      <c r="W312" s="421"/>
      <c r="X312" s="421"/>
      <c r="Y312" s="421"/>
      <c r="Z312" s="421"/>
      <c r="AA312" s="421"/>
      <c r="AB312" s="421"/>
      <c r="AC312" s="421"/>
      <c r="AD312" s="421"/>
      <c r="AE312" s="421"/>
      <c r="AF312" s="421"/>
      <c r="AG312" s="421"/>
      <c r="AH312" s="421"/>
      <c r="AI312" s="421"/>
      <c r="AJ312" s="421"/>
      <c r="AK312" s="421"/>
      <c r="AL312" s="421"/>
      <c r="AM312" s="422"/>
      <c r="AN312" s="422"/>
      <c r="AO312" s="422"/>
      <c r="AP312" s="422"/>
      <c r="AQ312" s="422"/>
      <c r="AR312" s="422"/>
      <c r="AS312" s="422"/>
      <c r="AT312" s="422"/>
      <c r="AU312" s="422"/>
      <c r="AV312" s="422"/>
      <c r="AW312" s="422"/>
      <c r="AX312" s="422"/>
      <c r="AY312" s="422"/>
    </row>
    <row r="313" spans="1:51" x14ac:dyDescent="0.25">
      <c r="A313" s="3"/>
      <c r="B313" s="3"/>
      <c r="C313" s="3"/>
      <c r="D313" s="3"/>
      <c r="E313" s="3"/>
      <c r="F313" s="3"/>
      <c r="G313" s="3"/>
      <c r="H313" s="3"/>
      <c r="I313" s="3"/>
      <c r="J313" s="13"/>
      <c r="K313" s="13"/>
      <c r="L313" s="13"/>
      <c r="M313" s="13"/>
      <c r="N313" s="13"/>
      <c r="O313" s="13"/>
      <c r="P313" s="13"/>
      <c r="Q313" s="13"/>
      <c r="R313" s="13"/>
      <c r="S313" s="421"/>
      <c r="T313" s="421"/>
      <c r="U313" s="421"/>
      <c r="V313" s="421"/>
      <c r="W313" s="421"/>
      <c r="X313" s="421"/>
      <c r="Y313" s="421"/>
      <c r="Z313" s="421"/>
      <c r="AA313" s="421"/>
      <c r="AB313" s="421"/>
      <c r="AC313" s="421"/>
      <c r="AD313" s="421"/>
      <c r="AE313" s="421"/>
      <c r="AF313" s="421"/>
      <c r="AG313" s="421"/>
      <c r="AH313" s="421"/>
      <c r="AI313" s="421"/>
      <c r="AJ313" s="421"/>
      <c r="AK313" s="421"/>
      <c r="AL313" s="421"/>
      <c r="AM313" s="422"/>
      <c r="AN313" s="422"/>
      <c r="AO313" s="422"/>
      <c r="AP313" s="422"/>
      <c r="AQ313" s="422"/>
      <c r="AR313" s="422"/>
      <c r="AS313" s="422"/>
      <c r="AT313" s="422"/>
      <c r="AU313" s="422"/>
      <c r="AV313" s="422"/>
      <c r="AW313" s="422"/>
      <c r="AX313" s="422"/>
      <c r="AY313" s="422"/>
    </row>
    <row r="314" spans="1:51" x14ac:dyDescent="0.25">
      <c r="A314" s="3"/>
      <c r="B314" s="3"/>
      <c r="C314" s="3"/>
      <c r="D314" s="3"/>
      <c r="E314" s="3"/>
      <c r="F314" s="3"/>
      <c r="G314" s="3"/>
      <c r="H314" s="3"/>
      <c r="I314" s="3"/>
      <c r="J314" s="13"/>
      <c r="K314" s="13"/>
      <c r="L314" s="13"/>
      <c r="M314" s="13"/>
      <c r="N314" s="13"/>
      <c r="O314" s="13"/>
      <c r="P314" s="13"/>
      <c r="Q314" s="13"/>
      <c r="R314" s="13"/>
      <c r="S314" s="421"/>
      <c r="T314" s="421"/>
      <c r="U314" s="421"/>
      <c r="V314" s="421"/>
      <c r="W314" s="421"/>
      <c r="X314" s="421"/>
      <c r="Y314" s="421"/>
      <c r="Z314" s="421"/>
      <c r="AA314" s="421"/>
      <c r="AB314" s="421"/>
      <c r="AC314" s="421"/>
      <c r="AD314" s="421"/>
      <c r="AE314" s="421"/>
      <c r="AF314" s="421"/>
      <c r="AG314" s="421"/>
      <c r="AH314" s="421"/>
      <c r="AI314" s="421"/>
      <c r="AJ314" s="421"/>
      <c r="AK314" s="421"/>
      <c r="AL314" s="421"/>
      <c r="AM314" s="422"/>
      <c r="AN314" s="422"/>
      <c r="AO314" s="422"/>
      <c r="AP314" s="422"/>
      <c r="AQ314" s="422"/>
      <c r="AR314" s="422"/>
      <c r="AS314" s="422"/>
      <c r="AT314" s="422"/>
      <c r="AU314" s="422"/>
      <c r="AV314" s="422"/>
      <c r="AW314" s="422"/>
      <c r="AX314" s="422"/>
      <c r="AY314" s="422"/>
    </row>
    <row r="315" spans="1:51" x14ac:dyDescent="0.25">
      <c r="A315" s="3"/>
      <c r="B315" s="3"/>
      <c r="C315" s="3"/>
      <c r="D315" s="3"/>
      <c r="E315" s="3"/>
      <c r="F315" s="3"/>
      <c r="G315" s="3"/>
      <c r="H315" s="3"/>
      <c r="I315" s="3"/>
      <c r="J315" s="13"/>
      <c r="K315" s="13"/>
      <c r="L315" s="13"/>
      <c r="M315" s="13"/>
      <c r="N315" s="13"/>
      <c r="O315" s="13"/>
      <c r="P315" s="13"/>
      <c r="Q315" s="13"/>
      <c r="R315" s="13"/>
      <c r="S315" s="421"/>
      <c r="T315" s="421"/>
      <c r="U315" s="421"/>
      <c r="V315" s="421"/>
      <c r="W315" s="421"/>
      <c r="X315" s="421"/>
      <c r="Y315" s="421"/>
      <c r="Z315" s="421"/>
      <c r="AA315" s="421"/>
      <c r="AB315" s="421"/>
      <c r="AC315" s="421"/>
      <c r="AD315" s="421"/>
      <c r="AE315" s="421"/>
      <c r="AF315" s="421"/>
      <c r="AG315" s="421"/>
      <c r="AH315" s="421"/>
      <c r="AI315" s="421"/>
      <c r="AJ315" s="421"/>
      <c r="AK315" s="421"/>
      <c r="AL315" s="421"/>
      <c r="AM315" s="422"/>
      <c r="AN315" s="422"/>
      <c r="AO315" s="422"/>
      <c r="AP315" s="422"/>
      <c r="AQ315" s="422"/>
      <c r="AR315" s="422"/>
      <c r="AS315" s="422"/>
      <c r="AT315" s="422"/>
      <c r="AU315" s="422"/>
      <c r="AV315" s="422"/>
      <c r="AW315" s="422"/>
      <c r="AX315" s="422"/>
      <c r="AY315" s="422"/>
    </row>
    <row r="316" spans="1:51" x14ac:dyDescent="0.25">
      <c r="A316" s="3"/>
      <c r="B316" s="3"/>
      <c r="C316" s="3"/>
      <c r="D316" s="3"/>
      <c r="E316" s="3"/>
      <c r="F316" s="3"/>
      <c r="G316" s="3"/>
      <c r="H316" s="3"/>
      <c r="I316" s="3"/>
      <c r="J316" s="13"/>
      <c r="K316" s="13"/>
      <c r="L316" s="13"/>
      <c r="M316" s="13"/>
      <c r="N316" s="13"/>
      <c r="O316" s="13"/>
      <c r="P316" s="13"/>
      <c r="Q316" s="13"/>
      <c r="R316" s="13"/>
      <c r="S316" s="421"/>
      <c r="T316" s="421"/>
      <c r="U316" s="421"/>
      <c r="V316" s="421"/>
      <c r="W316" s="421"/>
      <c r="X316" s="421"/>
      <c r="Y316" s="421"/>
      <c r="Z316" s="421"/>
      <c r="AA316" s="421"/>
      <c r="AB316" s="421"/>
      <c r="AC316" s="421"/>
      <c r="AD316" s="421"/>
      <c r="AE316" s="421"/>
      <c r="AF316" s="421"/>
      <c r="AG316" s="421"/>
      <c r="AH316" s="421"/>
      <c r="AI316" s="421"/>
      <c r="AJ316" s="421"/>
      <c r="AK316" s="421"/>
      <c r="AL316" s="421"/>
      <c r="AM316" s="422"/>
      <c r="AN316" s="422"/>
      <c r="AO316" s="422"/>
      <c r="AP316" s="422"/>
      <c r="AQ316" s="422"/>
      <c r="AR316" s="422"/>
      <c r="AS316" s="422"/>
      <c r="AT316" s="422"/>
      <c r="AU316" s="422"/>
      <c r="AV316" s="422"/>
      <c r="AW316" s="422"/>
      <c r="AX316" s="422"/>
      <c r="AY316" s="422"/>
    </row>
    <row r="317" spans="1:51" x14ac:dyDescent="0.25">
      <c r="A317" s="3"/>
      <c r="B317" s="3"/>
      <c r="C317" s="3"/>
      <c r="D317" s="3"/>
      <c r="E317" s="3"/>
      <c r="F317" s="3"/>
      <c r="G317" s="3"/>
      <c r="H317" s="3"/>
      <c r="I317" s="3"/>
      <c r="J317" s="13"/>
      <c r="K317" s="13"/>
      <c r="L317" s="13"/>
      <c r="M317" s="13"/>
      <c r="N317" s="13"/>
      <c r="O317" s="13"/>
      <c r="P317" s="13"/>
      <c r="Q317" s="13"/>
      <c r="R317" s="13"/>
      <c r="S317" s="421"/>
      <c r="T317" s="421"/>
      <c r="U317" s="421"/>
      <c r="V317" s="421"/>
      <c r="W317" s="421"/>
      <c r="X317" s="421"/>
      <c r="Y317" s="421"/>
      <c r="Z317" s="421"/>
      <c r="AA317" s="421"/>
      <c r="AB317" s="421"/>
      <c r="AC317" s="421"/>
      <c r="AD317" s="421"/>
      <c r="AE317" s="421"/>
      <c r="AF317" s="421"/>
      <c r="AG317" s="421"/>
      <c r="AH317" s="421"/>
      <c r="AI317" s="421"/>
      <c r="AJ317" s="421"/>
      <c r="AK317" s="421"/>
      <c r="AL317" s="421"/>
      <c r="AM317" s="422"/>
      <c r="AN317" s="422"/>
      <c r="AO317" s="422"/>
      <c r="AP317" s="422"/>
      <c r="AQ317" s="422"/>
      <c r="AR317" s="422"/>
      <c r="AS317" s="422"/>
      <c r="AT317" s="422"/>
      <c r="AU317" s="422"/>
      <c r="AV317" s="422"/>
      <c r="AW317" s="422"/>
      <c r="AX317" s="422"/>
      <c r="AY317" s="422"/>
    </row>
    <row r="318" spans="1:51" x14ac:dyDescent="0.25">
      <c r="A318" s="3"/>
      <c r="B318" s="3"/>
      <c r="C318" s="3"/>
      <c r="D318" s="3"/>
      <c r="E318" s="3"/>
      <c r="F318" s="3"/>
      <c r="G318" s="3"/>
      <c r="H318" s="3"/>
      <c r="I318" s="3"/>
      <c r="J318" s="13"/>
      <c r="K318" s="13"/>
      <c r="L318" s="13"/>
      <c r="M318" s="13"/>
      <c r="N318" s="13"/>
      <c r="O318" s="13"/>
      <c r="P318" s="13"/>
      <c r="Q318" s="13"/>
      <c r="R318" s="13"/>
      <c r="S318" s="421"/>
      <c r="T318" s="421"/>
      <c r="U318" s="421"/>
      <c r="V318" s="421"/>
      <c r="W318" s="421"/>
      <c r="X318" s="421"/>
      <c r="Y318" s="421"/>
      <c r="Z318" s="421"/>
      <c r="AA318" s="421"/>
      <c r="AB318" s="421"/>
      <c r="AC318" s="421"/>
      <c r="AD318" s="421"/>
      <c r="AE318" s="421"/>
      <c r="AF318" s="421"/>
      <c r="AG318" s="421"/>
      <c r="AH318" s="421"/>
      <c r="AI318" s="421"/>
      <c r="AJ318" s="421"/>
      <c r="AK318" s="421"/>
      <c r="AL318" s="421"/>
      <c r="AM318" s="422"/>
      <c r="AN318" s="422"/>
      <c r="AO318" s="422"/>
      <c r="AP318" s="422"/>
      <c r="AQ318" s="422"/>
      <c r="AR318" s="422"/>
      <c r="AS318" s="422"/>
      <c r="AT318" s="422"/>
      <c r="AU318" s="422"/>
      <c r="AV318" s="422"/>
      <c r="AW318" s="422"/>
      <c r="AX318" s="422"/>
      <c r="AY318" s="422"/>
    </row>
    <row r="319" spans="1:51" x14ac:dyDescent="0.25">
      <c r="A319" s="3"/>
      <c r="B319" s="3"/>
      <c r="C319" s="3"/>
      <c r="D319" s="3"/>
      <c r="E319" s="3"/>
      <c r="F319" s="3"/>
      <c r="G319" s="3"/>
      <c r="H319" s="3"/>
      <c r="I319" s="3"/>
      <c r="J319" s="13"/>
      <c r="K319" s="13"/>
      <c r="L319" s="13"/>
      <c r="M319" s="13"/>
      <c r="N319" s="13"/>
      <c r="O319" s="13"/>
      <c r="P319" s="13"/>
      <c r="Q319" s="13"/>
      <c r="R319" s="13"/>
      <c r="S319" s="421"/>
      <c r="T319" s="421"/>
      <c r="U319" s="421"/>
      <c r="V319" s="421"/>
      <c r="W319" s="421"/>
      <c r="X319" s="421"/>
      <c r="Y319" s="421"/>
      <c r="Z319" s="421"/>
      <c r="AA319" s="421"/>
      <c r="AB319" s="421"/>
      <c r="AC319" s="421"/>
      <c r="AD319" s="421"/>
      <c r="AE319" s="421"/>
      <c r="AF319" s="421"/>
      <c r="AG319" s="421"/>
      <c r="AH319" s="421"/>
      <c r="AI319" s="421"/>
      <c r="AJ319" s="421"/>
      <c r="AK319" s="421"/>
      <c r="AL319" s="421"/>
      <c r="AM319" s="422"/>
      <c r="AN319" s="422"/>
      <c r="AO319" s="422"/>
      <c r="AP319" s="422"/>
      <c r="AQ319" s="422"/>
      <c r="AR319" s="422"/>
      <c r="AS319" s="422"/>
      <c r="AT319" s="422"/>
      <c r="AU319" s="422"/>
      <c r="AV319" s="422"/>
      <c r="AW319" s="422"/>
      <c r="AX319" s="422"/>
      <c r="AY319" s="422"/>
    </row>
    <row r="320" spans="1:51" x14ac:dyDescent="0.25">
      <c r="A320" s="3"/>
      <c r="B320" s="3"/>
      <c r="C320" s="3"/>
      <c r="D320" s="3"/>
      <c r="E320" s="3"/>
      <c r="F320" s="3"/>
      <c r="G320" s="3"/>
      <c r="H320" s="3"/>
      <c r="I320" s="3"/>
      <c r="J320" s="13"/>
      <c r="K320" s="13"/>
      <c r="L320" s="13"/>
      <c r="M320" s="13"/>
      <c r="N320" s="13"/>
      <c r="O320" s="13"/>
      <c r="P320" s="13"/>
      <c r="Q320" s="13"/>
      <c r="R320" s="13"/>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2"/>
      <c r="AN320" s="422"/>
      <c r="AO320" s="422"/>
      <c r="AP320" s="422"/>
      <c r="AQ320" s="422"/>
      <c r="AR320" s="422"/>
      <c r="AS320" s="422"/>
      <c r="AT320" s="422"/>
      <c r="AU320" s="422"/>
      <c r="AV320" s="422"/>
      <c r="AW320" s="422"/>
      <c r="AX320" s="422"/>
      <c r="AY320" s="422"/>
    </row>
    <row r="321" spans="1:51" x14ac:dyDescent="0.25">
      <c r="A321" s="3"/>
      <c r="B321" s="3"/>
      <c r="C321" s="3"/>
      <c r="D321" s="3"/>
      <c r="E321" s="3"/>
      <c r="F321" s="3"/>
      <c r="G321" s="3"/>
      <c r="H321" s="3"/>
      <c r="I321" s="3"/>
      <c r="J321" s="13"/>
      <c r="K321" s="13"/>
      <c r="L321" s="13"/>
      <c r="M321" s="13"/>
      <c r="N321" s="13"/>
      <c r="O321" s="13"/>
      <c r="P321" s="13"/>
      <c r="Q321" s="13"/>
      <c r="R321" s="13"/>
      <c r="S321" s="421"/>
      <c r="T321" s="421"/>
      <c r="U321" s="421"/>
      <c r="V321" s="421"/>
      <c r="W321" s="421"/>
      <c r="X321" s="421"/>
      <c r="Y321" s="421"/>
      <c r="Z321" s="421"/>
      <c r="AA321" s="421"/>
      <c r="AB321" s="421"/>
      <c r="AC321" s="421"/>
      <c r="AD321" s="421"/>
      <c r="AE321" s="421"/>
      <c r="AF321" s="421"/>
      <c r="AG321" s="421"/>
      <c r="AH321" s="421"/>
      <c r="AI321" s="421"/>
      <c r="AJ321" s="421"/>
      <c r="AK321" s="421"/>
      <c r="AL321" s="421"/>
      <c r="AM321" s="422"/>
      <c r="AN321" s="422"/>
      <c r="AO321" s="422"/>
      <c r="AP321" s="422"/>
      <c r="AQ321" s="422"/>
      <c r="AR321" s="422"/>
      <c r="AS321" s="422"/>
      <c r="AT321" s="422"/>
      <c r="AU321" s="422"/>
      <c r="AV321" s="422"/>
      <c r="AW321" s="422"/>
      <c r="AX321" s="422"/>
      <c r="AY321" s="422"/>
    </row>
    <row r="322" spans="1:51" x14ac:dyDescent="0.25">
      <c r="A322" s="3"/>
      <c r="B322" s="3"/>
      <c r="C322" s="3"/>
      <c r="D322" s="3"/>
      <c r="E322" s="3"/>
      <c r="F322" s="3"/>
      <c r="G322" s="3"/>
      <c r="H322" s="3"/>
      <c r="I322" s="3"/>
      <c r="J322" s="13"/>
      <c r="K322" s="13"/>
      <c r="L322" s="13"/>
      <c r="M322" s="13"/>
      <c r="N322" s="13"/>
      <c r="O322" s="13"/>
      <c r="P322" s="13"/>
      <c r="Q322" s="13"/>
      <c r="R322" s="13"/>
      <c r="S322" s="421"/>
      <c r="T322" s="421"/>
      <c r="U322" s="421"/>
      <c r="V322" s="421"/>
      <c r="W322" s="421"/>
      <c r="X322" s="421"/>
      <c r="Y322" s="421"/>
      <c r="Z322" s="421"/>
      <c r="AA322" s="421"/>
      <c r="AB322" s="421"/>
      <c r="AC322" s="421"/>
      <c r="AD322" s="421"/>
      <c r="AE322" s="421"/>
      <c r="AF322" s="421"/>
      <c r="AG322" s="421"/>
      <c r="AH322" s="421"/>
      <c r="AI322" s="421"/>
      <c r="AJ322" s="421"/>
      <c r="AK322" s="421"/>
      <c r="AL322" s="421"/>
      <c r="AM322" s="422"/>
      <c r="AN322" s="422"/>
      <c r="AO322" s="422"/>
      <c r="AP322" s="422"/>
      <c r="AQ322" s="422"/>
      <c r="AR322" s="422"/>
      <c r="AS322" s="422"/>
      <c r="AT322" s="422"/>
      <c r="AU322" s="422"/>
      <c r="AV322" s="422"/>
      <c r="AW322" s="422"/>
      <c r="AX322" s="422"/>
      <c r="AY322" s="422"/>
    </row>
    <row r="323" spans="1:51" x14ac:dyDescent="0.25">
      <c r="A323" s="3"/>
      <c r="B323" s="3"/>
      <c r="C323" s="3"/>
      <c r="D323" s="3"/>
      <c r="E323" s="3"/>
      <c r="F323" s="3"/>
      <c r="G323" s="3"/>
      <c r="H323" s="3"/>
      <c r="I323" s="3"/>
      <c r="J323" s="13"/>
      <c r="K323" s="13"/>
      <c r="L323" s="13"/>
      <c r="M323" s="13"/>
      <c r="N323" s="13"/>
      <c r="O323" s="13"/>
      <c r="P323" s="13"/>
      <c r="Q323" s="13"/>
      <c r="R323" s="13"/>
      <c r="S323" s="421"/>
      <c r="T323" s="421"/>
      <c r="U323" s="421"/>
      <c r="V323" s="421"/>
      <c r="W323" s="421"/>
      <c r="X323" s="421"/>
      <c r="Y323" s="421"/>
      <c r="Z323" s="421"/>
      <c r="AA323" s="421"/>
      <c r="AB323" s="421"/>
      <c r="AC323" s="421"/>
      <c r="AD323" s="421"/>
      <c r="AE323" s="421"/>
      <c r="AF323" s="421"/>
      <c r="AG323" s="421"/>
      <c r="AH323" s="421"/>
      <c r="AI323" s="421"/>
      <c r="AJ323" s="421"/>
      <c r="AK323" s="421"/>
      <c r="AL323" s="421"/>
      <c r="AM323" s="422"/>
      <c r="AN323" s="422"/>
      <c r="AO323" s="422"/>
      <c r="AP323" s="422"/>
      <c r="AQ323" s="422"/>
      <c r="AR323" s="422"/>
      <c r="AS323" s="422"/>
      <c r="AT323" s="422"/>
      <c r="AU323" s="422"/>
      <c r="AV323" s="422"/>
      <c r="AW323" s="422"/>
      <c r="AX323" s="422"/>
      <c r="AY323" s="422"/>
    </row>
    <row r="324" spans="1:51" x14ac:dyDescent="0.25">
      <c r="A324" s="3"/>
      <c r="B324" s="3"/>
      <c r="C324" s="3"/>
      <c r="D324" s="3"/>
      <c r="E324" s="3"/>
      <c r="F324" s="3"/>
      <c r="G324" s="3"/>
      <c r="H324" s="3"/>
      <c r="I324" s="3"/>
      <c r="J324" s="13"/>
      <c r="K324" s="13"/>
      <c r="L324" s="13"/>
      <c r="M324" s="13"/>
      <c r="N324" s="13"/>
      <c r="O324" s="13"/>
      <c r="P324" s="13"/>
      <c r="Q324" s="13"/>
      <c r="R324" s="13"/>
      <c r="S324" s="421"/>
      <c r="T324" s="421"/>
      <c r="U324" s="421"/>
      <c r="V324" s="421"/>
      <c r="W324" s="421"/>
      <c r="X324" s="421"/>
      <c r="Y324" s="421"/>
      <c r="Z324" s="421"/>
      <c r="AA324" s="421"/>
      <c r="AB324" s="421"/>
      <c r="AC324" s="421"/>
      <c r="AD324" s="421"/>
      <c r="AE324" s="421"/>
      <c r="AF324" s="421"/>
      <c r="AG324" s="421"/>
      <c r="AH324" s="421"/>
      <c r="AI324" s="421"/>
      <c r="AJ324" s="421"/>
      <c r="AK324" s="421"/>
      <c r="AL324" s="421"/>
      <c r="AM324" s="422"/>
      <c r="AN324" s="422"/>
      <c r="AO324" s="422"/>
      <c r="AP324" s="422"/>
      <c r="AQ324" s="422"/>
      <c r="AR324" s="422"/>
      <c r="AS324" s="422"/>
      <c r="AT324" s="422"/>
      <c r="AU324" s="422"/>
      <c r="AV324" s="422"/>
      <c r="AW324" s="422"/>
      <c r="AX324" s="422"/>
      <c r="AY324" s="422"/>
    </row>
    <row r="325" spans="1:51" x14ac:dyDescent="0.25">
      <c r="A325" s="3"/>
      <c r="B325" s="3"/>
      <c r="C325" s="3"/>
      <c r="D325" s="3"/>
      <c r="E325" s="3"/>
      <c r="F325" s="3"/>
      <c r="G325" s="3"/>
      <c r="H325" s="3"/>
      <c r="I325" s="3"/>
      <c r="J325" s="13"/>
      <c r="K325" s="13"/>
      <c r="L325" s="13"/>
      <c r="M325" s="13"/>
      <c r="N325" s="13"/>
      <c r="O325" s="13"/>
      <c r="P325" s="13"/>
      <c r="Q325" s="13"/>
      <c r="R325" s="13"/>
      <c r="S325" s="421"/>
      <c r="T325" s="421"/>
      <c r="U325" s="421"/>
      <c r="V325" s="421"/>
      <c r="W325" s="421"/>
      <c r="X325" s="421"/>
      <c r="Y325" s="421"/>
      <c r="Z325" s="421"/>
      <c r="AA325" s="421"/>
      <c r="AB325" s="421"/>
      <c r="AC325" s="421"/>
      <c r="AD325" s="421"/>
      <c r="AE325" s="421"/>
      <c r="AF325" s="421"/>
      <c r="AG325" s="421"/>
      <c r="AH325" s="421"/>
      <c r="AI325" s="421"/>
      <c r="AJ325" s="421"/>
      <c r="AK325" s="421"/>
      <c r="AL325" s="421"/>
      <c r="AM325" s="422"/>
      <c r="AN325" s="422"/>
      <c r="AO325" s="422"/>
      <c r="AP325" s="422"/>
      <c r="AQ325" s="422"/>
      <c r="AR325" s="422"/>
      <c r="AS325" s="422"/>
      <c r="AT325" s="422"/>
      <c r="AU325" s="422"/>
      <c r="AV325" s="422"/>
      <c r="AW325" s="422"/>
      <c r="AX325" s="422"/>
      <c r="AY325" s="422"/>
    </row>
    <row r="326" spans="1:51" x14ac:dyDescent="0.25">
      <c r="A326" s="3"/>
      <c r="B326" s="3"/>
      <c r="C326" s="3"/>
      <c r="D326" s="3"/>
      <c r="E326" s="3"/>
      <c r="F326" s="3"/>
      <c r="G326" s="3"/>
      <c r="H326" s="3"/>
      <c r="I326" s="3"/>
      <c r="J326" s="13"/>
      <c r="K326" s="13"/>
      <c r="L326" s="13"/>
      <c r="M326" s="13"/>
      <c r="N326" s="13"/>
      <c r="O326" s="13"/>
      <c r="P326" s="13"/>
      <c r="Q326" s="13"/>
      <c r="R326" s="13"/>
      <c r="S326" s="421"/>
      <c r="T326" s="421"/>
      <c r="U326" s="421"/>
      <c r="V326" s="421"/>
      <c r="W326" s="421"/>
      <c r="X326" s="421"/>
      <c r="Y326" s="421"/>
      <c r="Z326" s="421"/>
      <c r="AA326" s="421"/>
      <c r="AB326" s="421"/>
      <c r="AC326" s="421"/>
      <c r="AD326" s="421"/>
      <c r="AE326" s="421"/>
      <c r="AF326" s="421"/>
      <c r="AG326" s="421"/>
      <c r="AH326" s="421"/>
      <c r="AI326" s="421"/>
      <c r="AJ326" s="421"/>
      <c r="AK326" s="421"/>
      <c r="AL326" s="421"/>
      <c r="AM326" s="422"/>
      <c r="AN326" s="422"/>
      <c r="AO326" s="422"/>
      <c r="AP326" s="422"/>
      <c r="AQ326" s="422"/>
      <c r="AR326" s="422"/>
      <c r="AS326" s="422"/>
      <c r="AT326" s="422"/>
      <c r="AU326" s="422"/>
      <c r="AV326" s="422"/>
      <c r="AW326" s="422"/>
      <c r="AX326" s="422"/>
      <c r="AY326" s="422"/>
    </row>
    <row r="327" spans="1:51" x14ac:dyDescent="0.25">
      <c r="A327" s="3"/>
      <c r="B327" s="3"/>
      <c r="C327" s="3"/>
      <c r="D327" s="3"/>
      <c r="E327" s="3"/>
      <c r="F327" s="3"/>
      <c r="G327" s="3"/>
      <c r="H327" s="3"/>
      <c r="I327" s="3"/>
      <c r="J327" s="13"/>
      <c r="K327" s="13"/>
      <c r="L327" s="13"/>
      <c r="M327" s="13"/>
      <c r="N327" s="13"/>
      <c r="O327" s="13"/>
      <c r="P327" s="13"/>
      <c r="Q327" s="13"/>
      <c r="R327" s="13"/>
      <c r="S327" s="421"/>
      <c r="T327" s="421"/>
      <c r="U327" s="421"/>
      <c r="V327" s="421"/>
      <c r="W327" s="421"/>
      <c r="X327" s="421"/>
      <c r="Y327" s="421"/>
      <c r="Z327" s="421"/>
      <c r="AA327" s="421"/>
      <c r="AB327" s="421"/>
      <c r="AC327" s="421"/>
      <c r="AD327" s="421"/>
      <c r="AE327" s="421"/>
      <c r="AF327" s="421"/>
      <c r="AG327" s="421"/>
      <c r="AH327" s="421"/>
      <c r="AI327" s="421"/>
      <c r="AJ327" s="421"/>
      <c r="AK327" s="421"/>
      <c r="AL327" s="421"/>
      <c r="AM327" s="422"/>
      <c r="AN327" s="422"/>
      <c r="AO327" s="422"/>
      <c r="AP327" s="422"/>
      <c r="AQ327" s="422"/>
      <c r="AR327" s="422"/>
      <c r="AS327" s="422"/>
      <c r="AT327" s="422"/>
      <c r="AU327" s="422"/>
      <c r="AV327" s="422"/>
      <c r="AW327" s="422"/>
      <c r="AX327" s="422"/>
      <c r="AY327" s="422"/>
    </row>
    <row r="328" spans="1:51" x14ac:dyDescent="0.25">
      <c r="A328" s="3"/>
      <c r="B328" s="3"/>
      <c r="C328" s="3"/>
      <c r="D328" s="3"/>
      <c r="E328" s="3"/>
      <c r="F328" s="3"/>
      <c r="G328" s="3"/>
      <c r="H328" s="3"/>
      <c r="I328" s="3"/>
      <c r="J328" s="13"/>
      <c r="K328" s="13"/>
      <c r="L328" s="13"/>
      <c r="M328" s="13"/>
      <c r="N328" s="13"/>
      <c r="O328" s="13"/>
      <c r="P328" s="13"/>
      <c r="Q328" s="13"/>
      <c r="R328" s="13"/>
      <c r="S328" s="421"/>
      <c r="T328" s="421"/>
      <c r="U328" s="421"/>
      <c r="V328" s="421"/>
      <c r="W328" s="421"/>
      <c r="X328" s="421"/>
      <c r="Y328" s="421"/>
      <c r="Z328" s="421"/>
      <c r="AA328" s="421"/>
      <c r="AB328" s="421"/>
      <c r="AC328" s="421"/>
      <c r="AD328" s="421"/>
      <c r="AE328" s="421"/>
      <c r="AF328" s="421"/>
      <c r="AG328" s="421"/>
      <c r="AH328" s="421"/>
      <c r="AI328" s="421"/>
      <c r="AJ328" s="421"/>
      <c r="AK328" s="421"/>
      <c r="AL328" s="421"/>
      <c r="AM328" s="422"/>
      <c r="AN328" s="422"/>
      <c r="AO328" s="422"/>
      <c r="AP328" s="422"/>
      <c r="AQ328" s="422"/>
      <c r="AR328" s="422"/>
      <c r="AS328" s="422"/>
      <c r="AT328" s="422"/>
      <c r="AU328" s="422"/>
      <c r="AV328" s="422"/>
      <c r="AW328" s="422"/>
      <c r="AX328" s="422"/>
      <c r="AY328" s="422"/>
    </row>
    <row r="329" spans="1:51" x14ac:dyDescent="0.25">
      <c r="A329" s="3"/>
      <c r="B329" s="3"/>
      <c r="C329" s="3"/>
      <c r="D329" s="3"/>
      <c r="E329" s="3"/>
      <c r="F329" s="3"/>
      <c r="G329" s="3"/>
      <c r="H329" s="3"/>
      <c r="I329" s="3"/>
      <c r="J329" s="13"/>
      <c r="K329" s="13"/>
      <c r="L329" s="13"/>
      <c r="M329" s="13"/>
      <c r="N329" s="13"/>
      <c r="O329" s="13"/>
      <c r="P329" s="13"/>
      <c r="Q329" s="13"/>
      <c r="R329" s="13"/>
      <c r="S329" s="421"/>
      <c r="T329" s="421"/>
      <c r="U329" s="421"/>
      <c r="V329" s="421"/>
      <c r="W329" s="421"/>
      <c r="X329" s="421"/>
      <c r="Y329" s="421"/>
      <c r="Z329" s="421"/>
      <c r="AA329" s="421"/>
      <c r="AB329" s="421"/>
      <c r="AC329" s="421"/>
      <c r="AD329" s="421"/>
      <c r="AE329" s="421"/>
      <c r="AF329" s="421"/>
      <c r="AG329" s="421"/>
      <c r="AH329" s="421"/>
      <c r="AI329" s="421"/>
      <c r="AJ329" s="421"/>
      <c r="AK329" s="421"/>
      <c r="AL329" s="421"/>
      <c r="AM329" s="422"/>
      <c r="AN329" s="422"/>
      <c r="AO329" s="422"/>
      <c r="AP329" s="422"/>
      <c r="AQ329" s="422"/>
      <c r="AR329" s="422"/>
      <c r="AS329" s="422"/>
      <c r="AT329" s="422"/>
      <c r="AU329" s="422"/>
      <c r="AV329" s="422"/>
      <c r="AW329" s="422"/>
      <c r="AX329" s="422"/>
      <c r="AY329" s="422"/>
    </row>
    <row r="330" spans="1:51" x14ac:dyDescent="0.25">
      <c r="A330" s="3"/>
      <c r="B330" s="3"/>
      <c r="C330" s="3"/>
      <c r="D330" s="3"/>
      <c r="E330" s="3"/>
      <c r="F330" s="3"/>
      <c r="G330" s="3"/>
      <c r="H330" s="3"/>
      <c r="I330" s="3"/>
      <c r="J330" s="13"/>
      <c r="K330" s="13"/>
      <c r="L330" s="13"/>
      <c r="M330" s="13"/>
      <c r="N330" s="13"/>
      <c r="O330" s="13"/>
      <c r="P330" s="13"/>
      <c r="Q330" s="13"/>
      <c r="R330" s="13"/>
      <c r="S330" s="421"/>
      <c r="T330" s="421"/>
      <c r="U330" s="421"/>
      <c r="V330" s="421"/>
      <c r="W330" s="421"/>
      <c r="X330" s="421"/>
      <c r="Y330" s="421"/>
      <c r="Z330" s="421"/>
      <c r="AA330" s="421"/>
      <c r="AB330" s="421"/>
      <c r="AC330" s="421"/>
      <c r="AD330" s="421"/>
      <c r="AE330" s="421"/>
      <c r="AF330" s="421"/>
      <c r="AG330" s="421"/>
      <c r="AH330" s="421"/>
      <c r="AI330" s="421"/>
      <c r="AJ330" s="421"/>
      <c r="AK330" s="421"/>
      <c r="AL330" s="421"/>
      <c r="AM330" s="422"/>
      <c r="AN330" s="422"/>
      <c r="AO330" s="422"/>
      <c r="AP330" s="422"/>
      <c r="AQ330" s="422"/>
      <c r="AR330" s="422"/>
      <c r="AS330" s="422"/>
      <c r="AT330" s="422"/>
      <c r="AU330" s="422"/>
      <c r="AV330" s="422"/>
      <c r="AW330" s="422"/>
      <c r="AX330" s="422"/>
      <c r="AY330" s="422"/>
    </row>
    <row r="331" spans="1:51" x14ac:dyDescent="0.25">
      <c r="A331" s="3"/>
      <c r="B331" s="3"/>
      <c r="C331" s="3"/>
      <c r="D331" s="3"/>
      <c r="E331" s="3"/>
      <c r="F331" s="3"/>
      <c r="G331" s="3"/>
      <c r="H331" s="3"/>
      <c r="I331" s="3"/>
      <c r="J331" s="13"/>
      <c r="K331" s="13"/>
      <c r="L331" s="13"/>
      <c r="M331" s="13"/>
      <c r="N331" s="13"/>
      <c r="O331" s="13"/>
      <c r="P331" s="13"/>
      <c r="Q331" s="13"/>
      <c r="R331" s="13"/>
      <c r="S331" s="421"/>
      <c r="T331" s="421"/>
      <c r="U331" s="421"/>
      <c r="V331" s="421"/>
      <c r="W331" s="421"/>
      <c r="X331" s="421"/>
      <c r="Y331" s="421"/>
      <c r="Z331" s="421"/>
      <c r="AA331" s="421"/>
      <c r="AB331" s="421"/>
      <c r="AC331" s="421"/>
      <c r="AD331" s="421"/>
      <c r="AE331" s="421"/>
      <c r="AF331" s="421"/>
      <c r="AG331" s="421"/>
      <c r="AH331" s="421"/>
      <c r="AI331" s="421"/>
      <c r="AJ331" s="421"/>
      <c r="AK331" s="421"/>
      <c r="AL331" s="421"/>
      <c r="AM331" s="422"/>
      <c r="AN331" s="422"/>
      <c r="AO331" s="422"/>
      <c r="AP331" s="422"/>
      <c r="AQ331" s="422"/>
      <c r="AR331" s="422"/>
      <c r="AS331" s="422"/>
      <c r="AT331" s="422"/>
      <c r="AU331" s="422"/>
      <c r="AV331" s="422"/>
      <c r="AW331" s="422"/>
      <c r="AX331" s="422"/>
      <c r="AY331" s="422"/>
    </row>
    <row r="332" spans="1:51" x14ac:dyDescent="0.25">
      <c r="A332" s="3"/>
      <c r="B332" s="3"/>
      <c r="C332" s="3"/>
      <c r="D332" s="3"/>
      <c r="E332" s="3"/>
      <c r="F332" s="3"/>
      <c r="G332" s="3"/>
      <c r="H332" s="3"/>
      <c r="I332" s="3"/>
      <c r="J332" s="13"/>
      <c r="K332" s="13"/>
      <c r="L332" s="13"/>
      <c r="M332" s="13"/>
      <c r="N332" s="13"/>
      <c r="O332" s="13"/>
      <c r="P332" s="13"/>
      <c r="Q332" s="13"/>
      <c r="R332" s="13"/>
      <c r="S332" s="421"/>
      <c r="T332" s="421"/>
      <c r="U332" s="421"/>
      <c r="V332" s="421"/>
      <c r="W332" s="421"/>
      <c r="X332" s="421"/>
      <c r="Y332" s="421"/>
      <c r="Z332" s="421"/>
      <c r="AA332" s="421"/>
      <c r="AB332" s="421"/>
      <c r="AC332" s="421"/>
      <c r="AD332" s="421"/>
      <c r="AE332" s="421"/>
      <c r="AF332" s="421"/>
      <c r="AG332" s="421"/>
      <c r="AH332" s="421"/>
      <c r="AI332" s="421"/>
      <c r="AJ332" s="421"/>
      <c r="AK332" s="421"/>
      <c r="AL332" s="421"/>
      <c r="AM332" s="422"/>
      <c r="AN332" s="422"/>
      <c r="AO332" s="422"/>
      <c r="AP332" s="422"/>
      <c r="AQ332" s="422"/>
      <c r="AR332" s="422"/>
      <c r="AS332" s="422"/>
      <c r="AT332" s="422"/>
      <c r="AU332" s="422"/>
      <c r="AV332" s="422"/>
      <c r="AW332" s="422"/>
      <c r="AX332" s="422"/>
      <c r="AY332" s="422"/>
    </row>
    <row r="333" spans="1:51" x14ac:dyDescent="0.25">
      <c r="A333" s="3"/>
      <c r="B333" s="3"/>
      <c r="C333" s="3"/>
      <c r="D333" s="3"/>
      <c r="E333" s="3"/>
      <c r="F333" s="3"/>
      <c r="G333" s="3"/>
      <c r="H333" s="3"/>
      <c r="I333" s="3"/>
      <c r="J333" s="13"/>
      <c r="K333" s="13"/>
      <c r="L333" s="13"/>
      <c r="M333" s="13"/>
      <c r="N333" s="13"/>
      <c r="O333" s="13"/>
      <c r="P333" s="13"/>
      <c r="Q333" s="13"/>
      <c r="R333" s="13"/>
      <c r="S333" s="421"/>
      <c r="T333" s="421"/>
      <c r="U333" s="421"/>
      <c r="V333" s="421"/>
      <c r="W333" s="421"/>
      <c r="X333" s="421"/>
      <c r="Y333" s="421"/>
      <c r="Z333" s="421"/>
      <c r="AA333" s="421"/>
      <c r="AB333" s="421"/>
      <c r="AC333" s="421"/>
      <c r="AD333" s="421"/>
      <c r="AE333" s="421"/>
      <c r="AF333" s="421"/>
      <c r="AG333" s="421"/>
      <c r="AH333" s="421"/>
      <c r="AI333" s="421"/>
      <c r="AJ333" s="421"/>
      <c r="AK333" s="421"/>
      <c r="AL333" s="421"/>
      <c r="AM333" s="422"/>
      <c r="AN333" s="422"/>
      <c r="AO333" s="422"/>
      <c r="AP333" s="422"/>
      <c r="AQ333" s="422"/>
      <c r="AR333" s="422"/>
      <c r="AS333" s="422"/>
      <c r="AT333" s="422"/>
      <c r="AU333" s="422"/>
      <c r="AV333" s="422"/>
      <c r="AW333" s="422"/>
      <c r="AX333" s="422"/>
      <c r="AY333" s="422"/>
    </row>
    <row r="334" spans="1:51" x14ac:dyDescent="0.25">
      <c r="A334" s="3"/>
      <c r="B334" s="3"/>
      <c r="C334" s="3"/>
      <c r="D334" s="3"/>
      <c r="E334" s="3"/>
      <c r="F334" s="3"/>
      <c r="G334" s="3"/>
      <c r="H334" s="3"/>
      <c r="I334" s="3"/>
      <c r="J334" s="13"/>
      <c r="K334" s="13"/>
      <c r="L334" s="13"/>
      <c r="M334" s="13"/>
      <c r="N334" s="13"/>
      <c r="O334" s="13"/>
      <c r="P334" s="13"/>
      <c r="Q334" s="13"/>
      <c r="R334" s="13"/>
      <c r="S334" s="421"/>
      <c r="T334" s="421"/>
      <c r="U334" s="421"/>
      <c r="V334" s="421"/>
      <c r="W334" s="421"/>
      <c r="X334" s="421"/>
      <c r="Y334" s="421"/>
      <c r="Z334" s="421"/>
      <c r="AA334" s="421"/>
      <c r="AB334" s="421"/>
      <c r="AC334" s="421"/>
      <c r="AD334" s="421"/>
      <c r="AE334" s="421"/>
      <c r="AF334" s="421"/>
      <c r="AG334" s="421"/>
      <c r="AH334" s="421"/>
      <c r="AI334" s="421"/>
      <c r="AJ334" s="421"/>
      <c r="AK334" s="421"/>
      <c r="AL334" s="421"/>
      <c r="AM334" s="422"/>
      <c r="AN334" s="422"/>
      <c r="AO334" s="422"/>
      <c r="AP334" s="422"/>
      <c r="AQ334" s="422"/>
      <c r="AR334" s="422"/>
      <c r="AS334" s="422"/>
      <c r="AT334" s="422"/>
      <c r="AU334" s="422"/>
      <c r="AV334" s="422"/>
      <c r="AW334" s="422"/>
      <c r="AX334" s="422"/>
      <c r="AY334" s="422"/>
    </row>
    <row r="335" spans="1:51" x14ac:dyDescent="0.25">
      <c r="A335" s="3"/>
      <c r="B335" s="3"/>
      <c r="C335" s="3"/>
      <c r="D335" s="3"/>
      <c r="E335" s="3"/>
      <c r="F335" s="3"/>
      <c r="G335" s="3"/>
      <c r="H335" s="3"/>
      <c r="I335" s="3"/>
      <c r="J335" s="13"/>
      <c r="K335" s="13"/>
      <c r="L335" s="13"/>
      <c r="M335" s="13"/>
      <c r="N335" s="13"/>
      <c r="O335" s="13"/>
      <c r="P335" s="13"/>
      <c r="Q335" s="13"/>
      <c r="R335" s="13"/>
      <c r="S335" s="421"/>
      <c r="T335" s="421"/>
      <c r="U335" s="421"/>
      <c r="V335" s="421"/>
      <c r="W335" s="421"/>
      <c r="X335" s="421"/>
      <c r="Y335" s="421"/>
      <c r="Z335" s="421"/>
      <c r="AA335" s="421"/>
      <c r="AB335" s="421"/>
      <c r="AC335" s="421"/>
      <c r="AD335" s="421"/>
      <c r="AE335" s="421"/>
      <c r="AF335" s="421"/>
      <c r="AG335" s="421"/>
      <c r="AH335" s="421"/>
      <c r="AI335" s="421"/>
      <c r="AJ335" s="421"/>
      <c r="AK335" s="421"/>
      <c r="AL335" s="421"/>
      <c r="AM335" s="422"/>
      <c r="AN335" s="422"/>
      <c r="AO335" s="422"/>
      <c r="AP335" s="422"/>
      <c r="AQ335" s="422"/>
      <c r="AR335" s="422"/>
      <c r="AS335" s="422"/>
      <c r="AT335" s="422"/>
      <c r="AU335" s="422"/>
      <c r="AV335" s="422"/>
      <c r="AW335" s="422"/>
      <c r="AX335" s="422"/>
      <c r="AY335" s="422"/>
    </row>
    <row r="336" spans="1:51" x14ac:dyDescent="0.25">
      <c r="A336" s="3"/>
      <c r="B336" s="3"/>
      <c r="C336" s="3"/>
      <c r="D336" s="3"/>
      <c r="E336" s="3"/>
      <c r="F336" s="3"/>
      <c r="G336" s="3"/>
      <c r="H336" s="3"/>
      <c r="I336" s="3"/>
      <c r="J336" s="13"/>
      <c r="K336" s="13"/>
      <c r="L336" s="13"/>
      <c r="M336" s="13"/>
      <c r="N336" s="13"/>
      <c r="O336" s="13"/>
      <c r="P336" s="13"/>
      <c r="Q336" s="13"/>
      <c r="R336" s="13"/>
      <c r="S336" s="421"/>
      <c r="T336" s="421"/>
      <c r="U336" s="421"/>
      <c r="V336" s="421"/>
      <c r="W336" s="421"/>
      <c r="X336" s="421"/>
      <c r="Y336" s="421"/>
      <c r="Z336" s="421"/>
      <c r="AA336" s="421"/>
      <c r="AB336" s="421"/>
      <c r="AC336" s="421"/>
      <c r="AD336" s="421"/>
      <c r="AE336" s="421"/>
      <c r="AF336" s="421"/>
      <c r="AG336" s="421"/>
      <c r="AH336" s="421"/>
      <c r="AI336" s="421"/>
      <c r="AJ336" s="421"/>
      <c r="AK336" s="421"/>
      <c r="AL336" s="421"/>
      <c r="AM336" s="422"/>
      <c r="AN336" s="422"/>
      <c r="AO336" s="422"/>
      <c r="AP336" s="422"/>
      <c r="AQ336" s="422"/>
      <c r="AR336" s="422"/>
      <c r="AS336" s="422"/>
      <c r="AT336" s="422"/>
      <c r="AU336" s="422"/>
      <c r="AV336" s="422"/>
      <c r="AW336" s="422"/>
      <c r="AX336" s="422"/>
      <c r="AY336" s="422"/>
    </row>
    <row r="337" spans="1:51" x14ac:dyDescent="0.25">
      <c r="A337" s="3"/>
      <c r="B337" s="3"/>
      <c r="C337" s="3"/>
      <c r="D337" s="3"/>
      <c r="E337" s="3"/>
      <c r="F337" s="3"/>
      <c r="G337" s="3"/>
      <c r="H337" s="3"/>
      <c r="I337" s="3"/>
      <c r="J337" s="13"/>
      <c r="K337" s="13"/>
      <c r="L337" s="13"/>
      <c r="M337" s="13"/>
      <c r="N337" s="13"/>
      <c r="O337" s="13"/>
      <c r="P337" s="13"/>
      <c r="Q337" s="13"/>
      <c r="R337" s="13"/>
      <c r="S337" s="421"/>
      <c r="T337" s="421"/>
      <c r="U337" s="421"/>
      <c r="V337" s="421"/>
      <c r="W337" s="421"/>
      <c r="X337" s="421"/>
      <c r="Y337" s="421"/>
      <c r="Z337" s="421"/>
      <c r="AA337" s="421"/>
      <c r="AB337" s="421"/>
      <c r="AC337" s="421"/>
      <c r="AD337" s="421"/>
      <c r="AE337" s="421"/>
      <c r="AF337" s="421"/>
      <c r="AG337" s="421"/>
      <c r="AH337" s="421"/>
      <c r="AI337" s="421"/>
      <c r="AJ337" s="421"/>
      <c r="AK337" s="421"/>
      <c r="AL337" s="421"/>
      <c r="AM337" s="422"/>
      <c r="AN337" s="422"/>
      <c r="AO337" s="422"/>
      <c r="AP337" s="422"/>
      <c r="AQ337" s="422"/>
      <c r="AR337" s="422"/>
      <c r="AS337" s="422"/>
      <c r="AT337" s="422"/>
      <c r="AU337" s="422"/>
      <c r="AV337" s="422"/>
      <c r="AW337" s="422"/>
      <c r="AX337" s="422"/>
      <c r="AY337" s="422"/>
    </row>
    <row r="338" spans="1:51" x14ac:dyDescent="0.25">
      <c r="A338" s="3"/>
      <c r="B338" s="3"/>
      <c r="C338" s="3"/>
      <c r="D338" s="3"/>
      <c r="E338" s="3"/>
      <c r="F338" s="3"/>
      <c r="G338" s="3"/>
      <c r="H338" s="3"/>
      <c r="I338" s="3"/>
      <c r="J338" s="13"/>
      <c r="K338" s="13"/>
      <c r="L338" s="13"/>
      <c r="M338" s="13"/>
      <c r="N338" s="13"/>
      <c r="O338" s="13"/>
      <c r="P338" s="13"/>
      <c r="Q338" s="13"/>
      <c r="R338" s="13"/>
      <c r="S338" s="421"/>
      <c r="T338" s="421"/>
      <c r="U338" s="421"/>
      <c r="V338" s="421"/>
      <c r="W338" s="421"/>
      <c r="X338" s="421"/>
      <c r="Y338" s="421"/>
      <c r="Z338" s="421"/>
      <c r="AA338" s="421"/>
      <c r="AB338" s="421"/>
      <c r="AC338" s="421"/>
      <c r="AD338" s="421"/>
      <c r="AE338" s="421"/>
      <c r="AF338" s="421"/>
      <c r="AG338" s="421"/>
      <c r="AH338" s="421"/>
      <c r="AI338" s="421"/>
      <c r="AJ338" s="421"/>
      <c r="AK338" s="421"/>
      <c r="AL338" s="421"/>
      <c r="AM338" s="422"/>
      <c r="AN338" s="422"/>
      <c r="AO338" s="422"/>
      <c r="AP338" s="422"/>
      <c r="AQ338" s="422"/>
      <c r="AR338" s="422"/>
      <c r="AS338" s="422"/>
      <c r="AT338" s="422"/>
      <c r="AU338" s="422"/>
      <c r="AV338" s="422"/>
      <c r="AW338" s="422"/>
      <c r="AX338" s="422"/>
      <c r="AY338" s="422"/>
    </row>
    <row r="339" spans="1:51" x14ac:dyDescent="0.25">
      <c r="A339" s="3"/>
      <c r="B339" s="3"/>
      <c r="C339" s="3"/>
      <c r="D339" s="3"/>
      <c r="E339" s="3"/>
      <c r="F339" s="3"/>
      <c r="G339" s="3"/>
      <c r="H339" s="3"/>
      <c r="I339" s="3"/>
      <c r="J339" s="13"/>
      <c r="K339" s="13"/>
      <c r="L339" s="13"/>
      <c r="M339" s="13"/>
      <c r="N339" s="13"/>
      <c r="O339" s="13"/>
      <c r="P339" s="13"/>
      <c r="Q339" s="13"/>
      <c r="R339" s="13"/>
      <c r="S339" s="421"/>
      <c r="T339" s="421"/>
      <c r="U339" s="421"/>
      <c r="V339" s="421"/>
      <c r="W339" s="421"/>
      <c r="X339" s="421"/>
      <c r="Y339" s="421"/>
      <c r="Z339" s="421"/>
      <c r="AA339" s="421"/>
      <c r="AB339" s="421"/>
      <c r="AC339" s="421"/>
      <c r="AD339" s="421"/>
      <c r="AE339" s="421"/>
      <c r="AF339" s="421"/>
      <c r="AG339" s="421"/>
      <c r="AH339" s="421"/>
      <c r="AI339" s="421"/>
      <c r="AJ339" s="421"/>
      <c r="AK339" s="421"/>
      <c r="AL339" s="421"/>
      <c r="AM339" s="422"/>
      <c r="AN339" s="422"/>
      <c r="AO339" s="422"/>
      <c r="AP339" s="422"/>
      <c r="AQ339" s="422"/>
      <c r="AR339" s="422"/>
      <c r="AS339" s="422"/>
      <c r="AT339" s="422"/>
      <c r="AU339" s="422"/>
      <c r="AV339" s="422"/>
      <c r="AW339" s="422"/>
      <c r="AX339" s="422"/>
      <c r="AY339" s="422"/>
    </row>
    <row r="340" spans="1:51" x14ac:dyDescent="0.25">
      <c r="A340" s="3"/>
      <c r="B340" s="3"/>
      <c r="C340" s="3"/>
      <c r="D340" s="3"/>
      <c r="E340" s="3"/>
      <c r="F340" s="3"/>
      <c r="G340" s="3"/>
      <c r="H340" s="3"/>
      <c r="I340" s="3"/>
      <c r="J340" s="13"/>
      <c r="K340" s="13"/>
      <c r="L340" s="13"/>
      <c r="M340" s="13"/>
      <c r="N340" s="13"/>
      <c r="O340" s="13"/>
      <c r="P340" s="13"/>
      <c r="Q340" s="13"/>
      <c r="R340" s="13"/>
      <c r="S340" s="421"/>
      <c r="T340" s="421"/>
      <c r="U340" s="421"/>
      <c r="V340" s="421"/>
      <c r="W340" s="421"/>
      <c r="X340" s="421"/>
      <c r="Y340" s="421"/>
      <c r="Z340" s="421"/>
      <c r="AA340" s="421"/>
      <c r="AB340" s="421"/>
      <c r="AC340" s="421"/>
      <c r="AD340" s="421"/>
      <c r="AE340" s="421"/>
      <c r="AF340" s="421"/>
      <c r="AG340" s="421"/>
      <c r="AH340" s="421"/>
      <c r="AI340" s="421"/>
      <c r="AJ340" s="421"/>
      <c r="AK340" s="421"/>
      <c r="AL340" s="421"/>
      <c r="AM340" s="422"/>
      <c r="AN340" s="422"/>
      <c r="AO340" s="422"/>
      <c r="AP340" s="422"/>
      <c r="AQ340" s="422"/>
      <c r="AR340" s="422"/>
      <c r="AS340" s="422"/>
      <c r="AT340" s="422"/>
      <c r="AU340" s="422"/>
      <c r="AV340" s="422"/>
      <c r="AW340" s="422"/>
      <c r="AX340" s="422"/>
      <c r="AY340" s="422"/>
    </row>
    <row r="341" spans="1:51" x14ac:dyDescent="0.25">
      <c r="A341" s="3"/>
      <c r="B341" s="3"/>
      <c r="C341" s="3"/>
      <c r="D341" s="3"/>
      <c r="E341" s="3"/>
      <c r="F341" s="3"/>
      <c r="G341" s="3"/>
      <c r="H341" s="3"/>
      <c r="I341" s="3"/>
      <c r="J341" s="13"/>
      <c r="K341" s="13"/>
      <c r="L341" s="13"/>
      <c r="M341" s="13"/>
      <c r="N341" s="13"/>
      <c r="O341" s="13"/>
      <c r="P341" s="13"/>
      <c r="Q341" s="13"/>
      <c r="R341" s="13"/>
      <c r="S341" s="421"/>
      <c r="T341" s="421"/>
      <c r="U341" s="421"/>
      <c r="V341" s="421"/>
      <c r="W341" s="421"/>
      <c r="X341" s="421"/>
      <c r="Y341" s="421"/>
      <c r="Z341" s="421"/>
      <c r="AA341" s="421"/>
      <c r="AB341" s="421"/>
      <c r="AC341" s="421"/>
      <c r="AD341" s="421"/>
      <c r="AE341" s="421"/>
      <c r="AF341" s="421"/>
      <c r="AG341" s="421"/>
      <c r="AH341" s="421"/>
      <c r="AI341" s="421"/>
      <c r="AJ341" s="421"/>
      <c r="AK341" s="421"/>
      <c r="AL341" s="421"/>
      <c r="AM341" s="422"/>
      <c r="AN341" s="422"/>
      <c r="AO341" s="422"/>
      <c r="AP341" s="422"/>
      <c r="AQ341" s="422"/>
      <c r="AR341" s="422"/>
      <c r="AS341" s="422"/>
      <c r="AT341" s="422"/>
      <c r="AU341" s="422"/>
      <c r="AV341" s="422"/>
      <c r="AW341" s="422"/>
      <c r="AX341" s="422"/>
      <c r="AY341" s="422"/>
    </row>
    <row r="342" spans="1:51" x14ac:dyDescent="0.25">
      <c r="A342" s="3"/>
      <c r="B342" s="3"/>
      <c r="C342" s="3"/>
      <c r="D342" s="3"/>
      <c r="E342" s="3"/>
      <c r="F342" s="3"/>
      <c r="G342" s="3"/>
      <c r="H342" s="3"/>
      <c r="I342" s="3"/>
      <c r="J342" s="13"/>
      <c r="K342" s="13"/>
      <c r="L342" s="13"/>
      <c r="M342" s="13"/>
      <c r="N342" s="13"/>
      <c r="O342" s="13"/>
      <c r="P342" s="13"/>
      <c r="Q342" s="13"/>
      <c r="R342" s="13"/>
      <c r="S342" s="421"/>
      <c r="T342" s="421"/>
      <c r="U342" s="421"/>
      <c r="V342" s="421"/>
      <c r="W342" s="421"/>
      <c r="X342" s="421"/>
      <c r="Y342" s="421"/>
      <c r="Z342" s="421"/>
      <c r="AA342" s="421"/>
      <c r="AB342" s="421"/>
      <c r="AC342" s="421"/>
      <c r="AD342" s="421"/>
      <c r="AE342" s="421"/>
      <c r="AF342" s="421"/>
      <c r="AG342" s="421"/>
      <c r="AH342" s="421"/>
      <c r="AI342" s="421"/>
      <c r="AJ342" s="421"/>
      <c r="AK342" s="421"/>
      <c r="AL342" s="421"/>
      <c r="AM342" s="422"/>
      <c r="AN342" s="422"/>
      <c r="AO342" s="422"/>
      <c r="AP342" s="422"/>
      <c r="AQ342" s="422"/>
      <c r="AR342" s="422"/>
      <c r="AS342" s="422"/>
      <c r="AT342" s="422"/>
      <c r="AU342" s="422"/>
      <c r="AV342" s="422"/>
      <c r="AW342" s="422"/>
      <c r="AX342" s="422"/>
      <c r="AY342" s="422"/>
    </row>
    <row r="343" spans="1:51" x14ac:dyDescent="0.25">
      <c r="A343" s="3"/>
      <c r="B343" s="3"/>
      <c r="C343" s="3"/>
      <c r="D343" s="3"/>
      <c r="E343" s="3"/>
      <c r="F343" s="3"/>
      <c r="G343" s="3"/>
      <c r="H343" s="3"/>
      <c r="I343" s="3"/>
      <c r="J343" s="13"/>
      <c r="K343" s="13"/>
      <c r="L343" s="13"/>
      <c r="M343" s="13"/>
      <c r="N343" s="13"/>
      <c r="O343" s="13"/>
      <c r="P343" s="13"/>
      <c r="Q343" s="13"/>
      <c r="R343" s="13"/>
      <c r="S343" s="421"/>
      <c r="T343" s="421"/>
      <c r="U343" s="421"/>
      <c r="V343" s="421"/>
      <c r="W343" s="421"/>
      <c r="X343" s="421"/>
      <c r="Y343" s="421"/>
      <c r="Z343" s="421"/>
      <c r="AA343" s="421"/>
      <c r="AB343" s="421"/>
      <c r="AC343" s="421"/>
      <c r="AD343" s="421"/>
      <c r="AE343" s="421"/>
      <c r="AF343" s="421"/>
      <c r="AG343" s="421"/>
      <c r="AH343" s="421"/>
      <c r="AI343" s="421"/>
      <c r="AJ343" s="421"/>
      <c r="AK343" s="421"/>
      <c r="AL343" s="421"/>
      <c r="AM343" s="422"/>
      <c r="AN343" s="422"/>
      <c r="AO343" s="422"/>
      <c r="AP343" s="422"/>
      <c r="AQ343" s="422"/>
      <c r="AR343" s="422"/>
      <c r="AS343" s="422"/>
      <c r="AT343" s="422"/>
      <c r="AU343" s="422"/>
      <c r="AV343" s="422"/>
      <c r="AW343" s="422"/>
      <c r="AX343" s="422"/>
      <c r="AY343" s="422"/>
    </row>
    <row r="344" spans="1:51" x14ac:dyDescent="0.25">
      <c r="A344" s="3"/>
      <c r="B344" s="3"/>
      <c r="C344" s="3"/>
      <c r="D344" s="3"/>
      <c r="E344" s="3"/>
      <c r="F344" s="3"/>
      <c r="G344" s="3"/>
      <c r="H344" s="3"/>
      <c r="I344" s="3"/>
      <c r="J344" s="13"/>
      <c r="K344" s="13"/>
      <c r="L344" s="13"/>
      <c r="M344" s="13"/>
      <c r="N344" s="13"/>
      <c r="O344" s="13"/>
      <c r="P344" s="13"/>
      <c r="Q344" s="13"/>
      <c r="R344" s="13"/>
      <c r="S344" s="421"/>
      <c r="T344" s="421"/>
      <c r="U344" s="421"/>
      <c r="V344" s="421"/>
      <c r="W344" s="421"/>
      <c r="X344" s="421"/>
      <c r="Y344" s="421"/>
      <c r="Z344" s="421"/>
      <c r="AA344" s="421"/>
      <c r="AB344" s="421"/>
      <c r="AC344" s="421"/>
      <c r="AD344" s="421"/>
      <c r="AE344" s="421"/>
      <c r="AF344" s="421"/>
      <c r="AG344" s="421"/>
      <c r="AH344" s="421"/>
      <c r="AI344" s="421"/>
      <c r="AJ344" s="421"/>
      <c r="AK344" s="421"/>
      <c r="AL344" s="421"/>
      <c r="AM344" s="422"/>
      <c r="AN344" s="422"/>
      <c r="AO344" s="422"/>
      <c r="AP344" s="422"/>
      <c r="AQ344" s="422"/>
      <c r="AR344" s="422"/>
      <c r="AS344" s="422"/>
      <c r="AT344" s="422"/>
      <c r="AU344" s="422"/>
      <c r="AV344" s="422"/>
      <c r="AW344" s="422"/>
      <c r="AX344" s="422"/>
      <c r="AY344" s="422"/>
    </row>
    <row r="345" spans="1:51" x14ac:dyDescent="0.25">
      <c r="A345" s="3"/>
      <c r="B345" s="3"/>
      <c r="C345" s="3"/>
      <c r="D345" s="3"/>
      <c r="E345" s="3"/>
      <c r="F345" s="3"/>
      <c r="G345" s="3"/>
      <c r="H345" s="3"/>
      <c r="I345" s="3"/>
      <c r="J345" s="13"/>
      <c r="K345" s="13"/>
      <c r="L345" s="13"/>
      <c r="M345" s="13"/>
      <c r="N345" s="13"/>
      <c r="O345" s="13"/>
      <c r="P345" s="13"/>
      <c r="Q345" s="13"/>
      <c r="R345" s="13"/>
      <c r="S345" s="421"/>
      <c r="T345" s="421"/>
      <c r="U345" s="421"/>
      <c r="V345" s="421"/>
      <c r="W345" s="421"/>
      <c r="X345" s="421"/>
      <c r="Y345" s="421"/>
      <c r="Z345" s="421"/>
      <c r="AA345" s="421"/>
      <c r="AB345" s="421"/>
      <c r="AC345" s="421"/>
      <c r="AD345" s="421"/>
      <c r="AE345" s="421"/>
      <c r="AF345" s="421"/>
      <c r="AG345" s="421"/>
      <c r="AH345" s="421"/>
      <c r="AI345" s="421"/>
      <c r="AJ345" s="421"/>
      <c r="AK345" s="421"/>
      <c r="AL345" s="421"/>
      <c r="AM345" s="422"/>
      <c r="AN345" s="422"/>
      <c r="AO345" s="422"/>
      <c r="AP345" s="422"/>
      <c r="AQ345" s="422"/>
      <c r="AR345" s="422"/>
      <c r="AS345" s="422"/>
      <c r="AT345" s="422"/>
      <c r="AU345" s="422"/>
      <c r="AV345" s="422"/>
      <c r="AW345" s="422"/>
      <c r="AX345" s="422"/>
      <c r="AY345" s="422"/>
    </row>
    <row r="346" spans="1:51" x14ac:dyDescent="0.25">
      <c r="A346" s="3"/>
      <c r="B346" s="3"/>
      <c r="C346" s="3"/>
      <c r="D346" s="3"/>
      <c r="E346" s="3"/>
      <c r="F346" s="3"/>
      <c r="G346" s="3"/>
      <c r="H346" s="3"/>
      <c r="I346" s="3"/>
      <c r="J346" s="13"/>
      <c r="K346" s="13"/>
      <c r="L346" s="13"/>
      <c r="M346" s="13"/>
      <c r="N346" s="13"/>
      <c r="O346" s="13"/>
      <c r="P346" s="13"/>
      <c r="Q346" s="13"/>
      <c r="R346" s="13"/>
      <c r="S346" s="421"/>
      <c r="T346" s="421"/>
      <c r="U346" s="421"/>
      <c r="V346" s="421"/>
      <c r="W346" s="421"/>
      <c r="X346" s="421"/>
      <c r="Y346" s="421"/>
      <c r="Z346" s="421"/>
      <c r="AA346" s="421"/>
      <c r="AB346" s="421"/>
      <c r="AC346" s="421"/>
      <c r="AD346" s="421"/>
      <c r="AE346" s="421"/>
      <c r="AF346" s="421"/>
      <c r="AG346" s="421"/>
      <c r="AH346" s="421"/>
      <c r="AI346" s="421"/>
      <c r="AJ346" s="421"/>
      <c r="AK346" s="421"/>
      <c r="AL346" s="421"/>
      <c r="AM346" s="422"/>
      <c r="AN346" s="422"/>
      <c r="AO346" s="422"/>
      <c r="AP346" s="422"/>
      <c r="AQ346" s="422"/>
      <c r="AR346" s="422"/>
      <c r="AS346" s="422"/>
      <c r="AT346" s="422"/>
      <c r="AU346" s="422"/>
      <c r="AV346" s="422"/>
      <c r="AW346" s="422"/>
      <c r="AX346" s="422"/>
      <c r="AY346" s="422"/>
    </row>
    <row r="347" spans="1:51" x14ac:dyDescent="0.25">
      <c r="A347" s="3"/>
      <c r="B347" s="3"/>
      <c r="C347" s="3"/>
      <c r="D347" s="3"/>
      <c r="E347" s="3"/>
      <c r="F347" s="3"/>
      <c r="G347" s="3"/>
      <c r="H347" s="3"/>
      <c r="I347" s="3"/>
      <c r="J347" s="13"/>
      <c r="K347" s="13"/>
      <c r="L347" s="13"/>
      <c r="M347" s="13"/>
      <c r="N347" s="13"/>
      <c r="O347" s="13"/>
      <c r="P347" s="13"/>
      <c r="Q347" s="13"/>
      <c r="R347" s="13"/>
      <c r="S347" s="421"/>
      <c r="T347" s="421"/>
      <c r="U347" s="421"/>
      <c r="V347" s="421"/>
      <c r="W347" s="421"/>
      <c r="X347" s="421"/>
      <c r="Y347" s="421"/>
      <c r="Z347" s="421"/>
      <c r="AA347" s="421"/>
      <c r="AB347" s="421"/>
      <c r="AC347" s="421"/>
      <c r="AD347" s="421"/>
      <c r="AE347" s="421"/>
      <c r="AF347" s="421"/>
      <c r="AG347" s="421"/>
      <c r="AH347" s="421"/>
      <c r="AI347" s="421"/>
      <c r="AJ347" s="421"/>
      <c r="AK347" s="421"/>
      <c r="AL347" s="421"/>
      <c r="AM347" s="422"/>
      <c r="AN347" s="422"/>
      <c r="AO347" s="422"/>
      <c r="AP347" s="422"/>
      <c r="AQ347" s="422"/>
      <c r="AR347" s="422"/>
      <c r="AS347" s="422"/>
      <c r="AT347" s="422"/>
      <c r="AU347" s="422"/>
      <c r="AV347" s="422"/>
      <c r="AW347" s="422"/>
      <c r="AX347" s="422"/>
      <c r="AY347" s="422"/>
    </row>
    <row r="348" spans="1:51" x14ac:dyDescent="0.25">
      <c r="A348" s="3"/>
      <c r="B348" s="3"/>
      <c r="C348" s="3"/>
      <c r="D348" s="3"/>
      <c r="E348" s="3"/>
      <c r="F348" s="3"/>
      <c r="G348" s="3"/>
      <c r="H348" s="3"/>
      <c r="I348" s="3"/>
      <c r="J348" s="13"/>
      <c r="K348" s="13"/>
      <c r="L348" s="13"/>
      <c r="M348" s="13"/>
      <c r="N348" s="13"/>
      <c r="O348" s="13"/>
      <c r="P348" s="13"/>
      <c r="Q348" s="13"/>
      <c r="R348" s="13"/>
      <c r="S348" s="421"/>
      <c r="T348" s="421"/>
      <c r="U348" s="421"/>
      <c r="V348" s="421"/>
      <c r="W348" s="421"/>
      <c r="X348" s="421"/>
      <c r="Y348" s="421"/>
      <c r="Z348" s="421"/>
      <c r="AA348" s="421"/>
      <c r="AB348" s="421"/>
      <c r="AC348" s="421"/>
      <c r="AD348" s="421"/>
      <c r="AE348" s="421"/>
      <c r="AF348" s="421"/>
      <c r="AG348" s="421"/>
      <c r="AH348" s="421"/>
      <c r="AI348" s="421"/>
      <c r="AJ348" s="421"/>
      <c r="AK348" s="421"/>
      <c r="AL348" s="421"/>
      <c r="AM348" s="422"/>
      <c r="AN348" s="422"/>
      <c r="AO348" s="422"/>
      <c r="AP348" s="422"/>
      <c r="AQ348" s="422"/>
      <c r="AR348" s="422"/>
      <c r="AS348" s="422"/>
      <c r="AT348" s="422"/>
      <c r="AU348" s="422"/>
      <c r="AV348" s="422"/>
      <c r="AW348" s="422"/>
      <c r="AX348" s="422"/>
      <c r="AY348" s="422"/>
    </row>
    <row r="349" spans="1:51" x14ac:dyDescent="0.25">
      <c r="A349" s="3"/>
      <c r="B349" s="3"/>
      <c r="C349" s="3"/>
      <c r="D349" s="3"/>
      <c r="E349" s="3"/>
      <c r="F349" s="3"/>
      <c r="G349" s="3"/>
      <c r="H349" s="3"/>
      <c r="I349" s="3"/>
      <c r="J349" s="13"/>
      <c r="K349" s="13"/>
      <c r="L349" s="13"/>
      <c r="M349" s="13"/>
      <c r="N349" s="13"/>
      <c r="O349" s="13"/>
      <c r="P349" s="13"/>
      <c r="Q349" s="13"/>
      <c r="R349" s="13"/>
      <c r="S349" s="421"/>
      <c r="T349" s="421"/>
      <c r="U349" s="421"/>
      <c r="V349" s="421"/>
      <c r="W349" s="421"/>
      <c r="X349" s="421"/>
      <c r="Y349" s="421"/>
      <c r="Z349" s="421"/>
      <c r="AA349" s="421"/>
      <c r="AB349" s="421"/>
      <c r="AC349" s="421"/>
      <c r="AD349" s="421"/>
      <c r="AE349" s="421"/>
      <c r="AF349" s="421"/>
      <c r="AG349" s="421"/>
      <c r="AH349" s="421"/>
      <c r="AI349" s="421"/>
      <c r="AJ349" s="421"/>
      <c r="AK349" s="421"/>
      <c r="AL349" s="421"/>
      <c r="AM349" s="422"/>
      <c r="AN349" s="422"/>
      <c r="AO349" s="422"/>
      <c r="AP349" s="422"/>
      <c r="AQ349" s="422"/>
      <c r="AR349" s="422"/>
      <c r="AS349" s="422"/>
      <c r="AT349" s="422"/>
      <c r="AU349" s="422"/>
      <c r="AV349" s="422"/>
      <c r="AW349" s="422"/>
      <c r="AX349" s="422"/>
      <c r="AY349" s="422"/>
    </row>
    <row r="350" spans="1:51" x14ac:dyDescent="0.25">
      <c r="A350" s="3"/>
      <c r="B350" s="3"/>
      <c r="C350" s="3"/>
      <c r="D350" s="3"/>
      <c r="E350" s="3"/>
      <c r="F350" s="3"/>
      <c r="G350" s="3"/>
      <c r="H350" s="3"/>
      <c r="I350" s="3"/>
      <c r="J350" s="13"/>
      <c r="K350" s="13"/>
      <c r="L350" s="13"/>
      <c r="M350" s="13"/>
      <c r="N350" s="13"/>
      <c r="O350" s="13"/>
      <c r="P350" s="13"/>
      <c r="Q350" s="13"/>
      <c r="R350" s="13"/>
      <c r="S350" s="421"/>
      <c r="T350" s="421"/>
      <c r="U350" s="421"/>
      <c r="V350" s="421"/>
      <c r="W350" s="421"/>
      <c r="X350" s="421"/>
      <c r="Y350" s="421"/>
      <c r="Z350" s="421"/>
      <c r="AA350" s="421"/>
      <c r="AB350" s="421"/>
      <c r="AC350" s="421"/>
      <c r="AD350" s="421"/>
      <c r="AE350" s="421"/>
      <c r="AF350" s="421"/>
      <c r="AG350" s="421"/>
      <c r="AH350" s="421"/>
      <c r="AI350" s="421"/>
      <c r="AJ350" s="421"/>
      <c r="AK350" s="421"/>
      <c r="AL350" s="421"/>
      <c r="AM350" s="422"/>
      <c r="AN350" s="422"/>
      <c r="AO350" s="422"/>
      <c r="AP350" s="422"/>
      <c r="AQ350" s="422"/>
      <c r="AR350" s="422"/>
      <c r="AS350" s="422"/>
      <c r="AT350" s="422"/>
      <c r="AU350" s="422"/>
      <c r="AV350" s="422"/>
      <c r="AW350" s="422"/>
      <c r="AX350" s="422"/>
      <c r="AY350" s="422"/>
    </row>
    <row r="351" spans="1:51" x14ac:dyDescent="0.25">
      <c r="A351" s="3"/>
      <c r="B351" s="3"/>
      <c r="C351" s="3"/>
      <c r="D351" s="3"/>
      <c r="E351" s="3"/>
      <c r="F351" s="3"/>
      <c r="G351" s="3"/>
      <c r="H351" s="3"/>
      <c r="I351" s="3"/>
      <c r="J351" s="13"/>
      <c r="K351" s="13"/>
      <c r="L351" s="13"/>
      <c r="M351" s="13"/>
      <c r="N351" s="13"/>
      <c r="O351" s="13"/>
      <c r="P351" s="13"/>
      <c r="Q351" s="13"/>
      <c r="R351" s="13"/>
      <c r="S351" s="421"/>
      <c r="T351" s="421"/>
      <c r="U351" s="421"/>
      <c r="V351" s="421"/>
      <c r="W351" s="421"/>
      <c r="X351" s="421"/>
      <c r="Y351" s="421"/>
      <c r="Z351" s="421"/>
      <c r="AA351" s="421"/>
      <c r="AB351" s="421"/>
      <c r="AC351" s="421"/>
      <c r="AD351" s="421"/>
      <c r="AE351" s="421"/>
      <c r="AF351" s="421"/>
      <c r="AG351" s="421"/>
      <c r="AH351" s="421"/>
      <c r="AI351" s="421"/>
      <c r="AJ351" s="421"/>
      <c r="AK351" s="421"/>
      <c r="AL351" s="421"/>
      <c r="AM351" s="422"/>
      <c r="AN351" s="422"/>
      <c r="AO351" s="422"/>
      <c r="AP351" s="422"/>
      <c r="AQ351" s="422"/>
      <c r="AR351" s="422"/>
      <c r="AS351" s="422"/>
      <c r="AT351" s="422"/>
      <c r="AU351" s="422"/>
      <c r="AV351" s="422"/>
      <c r="AW351" s="422"/>
      <c r="AX351" s="422"/>
      <c r="AY351" s="422"/>
    </row>
    <row r="352" spans="1:51" x14ac:dyDescent="0.25">
      <c r="A352" s="3"/>
      <c r="B352" s="3"/>
      <c r="C352" s="3"/>
      <c r="D352" s="3"/>
      <c r="E352" s="3"/>
      <c r="F352" s="3"/>
      <c r="G352" s="3"/>
      <c r="H352" s="3"/>
      <c r="I352" s="3"/>
      <c r="J352" s="13"/>
      <c r="K352" s="13"/>
      <c r="L352" s="13"/>
      <c r="M352" s="13"/>
      <c r="N352" s="13"/>
      <c r="O352" s="13"/>
      <c r="P352" s="13"/>
      <c r="Q352" s="13"/>
      <c r="R352" s="13"/>
      <c r="S352" s="421"/>
      <c r="T352" s="421"/>
      <c r="U352" s="421"/>
      <c r="V352" s="421"/>
      <c r="W352" s="421"/>
      <c r="X352" s="421"/>
      <c r="Y352" s="421"/>
      <c r="Z352" s="421"/>
      <c r="AA352" s="421"/>
      <c r="AB352" s="421"/>
      <c r="AC352" s="421"/>
      <c r="AD352" s="421"/>
      <c r="AE352" s="421"/>
      <c r="AF352" s="421"/>
      <c r="AG352" s="421"/>
      <c r="AH352" s="421"/>
      <c r="AI352" s="421"/>
      <c r="AJ352" s="421"/>
      <c r="AK352" s="421"/>
      <c r="AL352" s="421"/>
      <c r="AM352" s="422"/>
      <c r="AN352" s="422"/>
      <c r="AO352" s="422"/>
      <c r="AP352" s="422"/>
      <c r="AQ352" s="422"/>
      <c r="AR352" s="422"/>
      <c r="AS352" s="422"/>
      <c r="AT352" s="422"/>
      <c r="AU352" s="422"/>
      <c r="AV352" s="422"/>
      <c r="AW352" s="422"/>
      <c r="AX352" s="422"/>
      <c r="AY352" s="422"/>
    </row>
    <row r="353" spans="1:51" x14ac:dyDescent="0.25">
      <c r="A353" s="3"/>
      <c r="B353" s="3"/>
      <c r="C353" s="3"/>
      <c r="D353" s="3"/>
      <c r="E353" s="3"/>
      <c r="F353" s="3"/>
      <c r="G353" s="3"/>
      <c r="H353" s="3"/>
      <c r="I353" s="3"/>
      <c r="J353" s="13"/>
      <c r="K353" s="13"/>
      <c r="L353" s="13"/>
      <c r="M353" s="13"/>
      <c r="N353" s="13"/>
      <c r="O353" s="13"/>
      <c r="P353" s="13"/>
      <c r="Q353" s="13"/>
      <c r="R353" s="13"/>
      <c r="S353" s="421"/>
      <c r="T353" s="421"/>
      <c r="U353" s="421"/>
      <c r="V353" s="421"/>
      <c r="W353" s="421"/>
      <c r="X353" s="421"/>
      <c r="Y353" s="421"/>
      <c r="Z353" s="421"/>
      <c r="AA353" s="421"/>
      <c r="AB353" s="421"/>
      <c r="AC353" s="421"/>
      <c r="AD353" s="421"/>
      <c r="AE353" s="421"/>
      <c r="AF353" s="421"/>
      <c r="AG353" s="421"/>
      <c r="AH353" s="421"/>
      <c r="AI353" s="421"/>
      <c r="AJ353" s="421"/>
      <c r="AK353" s="421"/>
      <c r="AL353" s="421"/>
      <c r="AM353" s="422"/>
      <c r="AN353" s="422"/>
      <c r="AO353" s="422"/>
      <c r="AP353" s="422"/>
      <c r="AQ353" s="422"/>
      <c r="AR353" s="422"/>
      <c r="AS353" s="422"/>
      <c r="AT353" s="422"/>
      <c r="AU353" s="422"/>
      <c r="AV353" s="422"/>
      <c r="AW353" s="422"/>
      <c r="AX353" s="422"/>
      <c r="AY353" s="422"/>
    </row>
    <row r="354" spans="1:51" x14ac:dyDescent="0.25">
      <c r="A354" s="3"/>
      <c r="B354" s="3"/>
      <c r="C354" s="3"/>
      <c r="D354" s="3"/>
      <c r="E354" s="3"/>
      <c r="F354" s="3"/>
      <c r="G354" s="3"/>
      <c r="H354" s="3"/>
      <c r="I354" s="3"/>
      <c r="J354" s="13"/>
      <c r="K354" s="13"/>
      <c r="L354" s="13"/>
      <c r="M354" s="13"/>
      <c r="N354" s="13"/>
      <c r="O354" s="13"/>
      <c r="P354" s="13"/>
      <c r="Q354" s="13"/>
      <c r="R354" s="13"/>
      <c r="S354" s="421"/>
      <c r="T354" s="421"/>
      <c r="U354" s="421"/>
      <c r="V354" s="421"/>
      <c r="W354" s="421"/>
      <c r="X354" s="421"/>
      <c r="Y354" s="421"/>
      <c r="Z354" s="421"/>
      <c r="AA354" s="421"/>
      <c r="AB354" s="421"/>
      <c r="AC354" s="421"/>
      <c r="AD354" s="421"/>
      <c r="AE354" s="421"/>
      <c r="AF354" s="421"/>
      <c r="AG354" s="421"/>
      <c r="AH354" s="421"/>
      <c r="AI354" s="421"/>
      <c r="AJ354" s="421"/>
      <c r="AK354" s="421"/>
      <c r="AL354" s="421"/>
      <c r="AM354" s="422"/>
      <c r="AN354" s="422"/>
      <c r="AO354" s="422"/>
      <c r="AP354" s="422"/>
      <c r="AQ354" s="422"/>
      <c r="AR354" s="422"/>
      <c r="AS354" s="422"/>
      <c r="AT354" s="422"/>
      <c r="AU354" s="422"/>
      <c r="AV354" s="422"/>
      <c r="AW354" s="422"/>
      <c r="AX354" s="422"/>
      <c r="AY354" s="422"/>
    </row>
    <row r="355" spans="1:51" x14ac:dyDescent="0.25">
      <c r="A355" s="3"/>
      <c r="B355" s="3"/>
      <c r="C355" s="3"/>
      <c r="D355" s="3"/>
      <c r="E355" s="3"/>
      <c r="F355" s="3"/>
      <c r="G355" s="3"/>
      <c r="H355" s="3"/>
      <c r="I355" s="3"/>
      <c r="J355" s="13"/>
      <c r="K355" s="13"/>
      <c r="L355" s="13"/>
      <c r="M355" s="13"/>
      <c r="N355" s="13"/>
      <c r="O355" s="13"/>
      <c r="P355" s="13"/>
      <c r="Q355" s="13"/>
      <c r="R355" s="13"/>
      <c r="S355" s="421"/>
      <c r="T355" s="421"/>
      <c r="U355" s="421"/>
      <c r="V355" s="421"/>
      <c r="W355" s="421"/>
      <c r="X355" s="421"/>
      <c r="Y355" s="421"/>
      <c r="Z355" s="421"/>
      <c r="AA355" s="421"/>
      <c r="AB355" s="421"/>
      <c r="AC355" s="421"/>
      <c r="AD355" s="421"/>
      <c r="AE355" s="421"/>
      <c r="AF355" s="421"/>
      <c r="AG355" s="421"/>
      <c r="AH355" s="421"/>
      <c r="AI355" s="421"/>
      <c r="AJ355" s="421"/>
      <c r="AK355" s="421"/>
      <c r="AL355" s="421"/>
      <c r="AM355" s="422"/>
      <c r="AN355" s="422"/>
      <c r="AO355" s="422"/>
      <c r="AP355" s="422"/>
      <c r="AQ355" s="422"/>
      <c r="AR355" s="422"/>
      <c r="AS355" s="422"/>
      <c r="AT355" s="422"/>
      <c r="AU355" s="422"/>
      <c r="AV355" s="422"/>
      <c r="AW355" s="422"/>
      <c r="AX355" s="422"/>
      <c r="AY355" s="422"/>
    </row>
    <row r="356" spans="1:51" x14ac:dyDescent="0.25">
      <c r="A356" s="3"/>
      <c r="B356" s="3"/>
      <c r="C356" s="3"/>
      <c r="D356" s="3"/>
      <c r="E356" s="3"/>
      <c r="F356" s="3"/>
      <c r="G356" s="3"/>
      <c r="H356" s="3"/>
      <c r="I356" s="3"/>
      <c r="J356" s="13"/>
      <c r="K356" s="13"/>
      <c r="L356" s="13"/>
      <c r="M356" s="13"/>
      <c r="N356" s="13"/>
      <c r="O356" s="13"/>
      <c r="P356" s="13"/>
      <c r="Q356" s="13"/>
      <c r="R356" s="13"/>
      <c r="S356" s="421"/>
      <c r="T356" s="421"/>
      <c r="U356" s="421"/>
      <c r="V356" s="421"/>
      <c r="W356" s="421"/>
      <c r="X356" s="421"/>
      <c r="Y356" s="421"/>
      <c r="Z356" s="421"/>
      <c r="AA356" s="421"/>
      <c r="AB356" s="421"/>
      <c r="AC356" s="421"/>
      <c r="AD356" s="421"/>
      <c r="AE356" s="421"/>
      <c r="AF356" s="421"/>
      <c r="AG356" s="421"/>
      <c r="AH356" s="421"/>
      <c r="AI356" s="421"/>
      <c r="AJ356" s="421"/>
      <c r="AK356" s="421"/>
      <c r="AL356" s="421"/>
      <c r="AM356" s="422"/>
      <c r="AN356" s="422"/>
      <c r="AO356" s="422"/>
      <c r="AP356" s="422"/>
      <c r="AQ356" s="422"/>
      <c r="AR356" s="422"/>
      <c r="AS356" s="422"/>
      <c r="AT356" s="422"/>
      <c r="AU356" s="422"/>
      <c r="AV356" s="422"/>
      <c r="AW356" s="422"/>
      <c r="AX356" s="422"/>
      <c r="AY356" s="422"/>
    </row>
    <row r="357" spans="1:51" x14ac:dyDescent="0.25">
      <c r="A357" s="3"/>
      <c r="B357" s="3"/>
      <c r="C357" s="3"/>
      <c r="D357" s="3"/>
      <c r="E357" s="3"/>
      <c r="F357" s="3"/>
      <c r="G357" s="3"/>
      <c r="H357" s="3"/>
      <c r="I357" s="3"/>
      <c r="J357" s="13"/>
      <c r="K357" s="13"/>
      <c r="L357" s="13"/>
      <c r="M357" s="13"/>
      <c r="N357" s="13"/>
      <c r="O357" s="13"/>
      <c r="P357" s="13"/>
      <c r="Q357" s="13"/>
      <c r="R357" s="13"/>
      <c r="S357" s="421"/>
      <c r="T357" s="421"/>
      <c r="U357" s="421"/>
      <c r="V357" s="421"/>
      <c r="W357" s="421"/>
      <c r="X357" s="421"/>
      <c r="Y357" s="421"/>
      <c r="Z357" s="421"/>
      <c r="AA357" s="421"/>
      <c r="AB357" s="421"/>
      <c r="AC357" s="421"/>
      <c r="AD357" s="421"/>
      <c r="AE357" s="421"/>
      <c r="AF357" s="421"/>
      <c r="AG357" s="421"/>
      <c r="AH357" s="421"/>
      <c r="AI357" s="421"/>
      <c r="AJ357" s="421"/>
      <c r="AK357" s="421"/>
      <c r="AL357" s="421"/>
      <c r="AM357" s="422"/>
      <c r="AN357" s="422"/>
      <c r="AO357" s="422"/>
      <c r="AP357" s="422"/>
      <c r="AQ357" s="422"/>
      <c r="AR357" s="422"/>
      <c r="AS357" s="422"/>
      <c r="AT357" s="422"/>
      <c r="AU357" s="422"/>
      <c r="AV357" s="422"/>
      <c r="AW357" s="422"/>
      <c r="AX357" s="422"/>
      <c r="AY357" s="422"/>
    </row>
    <row r="358" spans="1:51" x14ac:dyDescent="0.25">
      <c r="A358" s="3"/>
      <c r="B358" s="3"/>
      <c r="C358" s="3"/>
      <c r="D358" s="3"/>
      <c r="E358" s="3"/>
      <c r="F358" s="3"/>
      <c r="G358" s="3"/>
      <c r="H358" s="3"/>
      <c r="I358" s="3"/>
      <c r="J358" s="13"/>
      <c r="K358" s="13"/>
      <c r="L358" s="13"/>
      <c r="M358" s="13"/>
      <c r="N358" s="13"/>
      <c r="O358" s="13"/>
      <c r="P358" s="13"/>
      <c r="Q358" s="13"/>
      <c r="R358" s="13"/>
      <c r="S358" s="421"/>
      <c r="T358" s="421"/>
      <c r="U358" s="421"/>
      <c r="V358" s="421"/>
      <c r="W358" s="421"/>
      <c r="X358" s="421"/>
      <c r="Y358" s="421"/>
      <c r="Z358" s="421"/>
      <c r="AA358" s="421"/>
      <c r="AB358" s="421"/>
      <c r="AC358" s="421"/>
      <c r="AD358" s="421"/>
      <c r="AE358" s="421"/>
      <c r="AF358" s="421"/>
      <c r="AG358" s="421"/>
      <c r="AH358" s="421"/>
      <c r="AI358" s="421"/>
      <c r="AJ358" s="421"/>
      <c r="AK358" s="421"/>
      <c r="AL358" s="421"/>
      <c r="AM358" s="422"/>
      <c r="AN358" s="422"/>
      <c r="AO358" s="422"/>
      <c r="AP358" s="422"/>
      <c r="AQ358" s="422"/>
      <c r="AR358" s="422"/>
      <c r="AS358" s="422"/>
      <c r="AT358" s="422"/>
      <c r="AU358" s="422"/>
      <c r="AV358" s="422"/>
      <c r="AW358" s="422"/>
      <c r="AX358" s="422"/>
      <c r="AY358" s="422"/>
    </row>
    <row r="359" spans="1:51" x14ac:dyDescent="0.25">
      <c r="A359" s="3"/>
      <c r="B359" s="3"/>
      <c r="C359" s="3"/>
      <c r="D359" s="3"/>
      <c r="E359" s="3"/>
      <c r="F359" s="3"/>
      <c r="G359" s="3"/>
      <c r="H359" s="3"/>
      <c r="I359" s="3"/>
      <c r="J359" s="13"/>
      <c r="K359" s="13"/>
      <c r="L359" s="13"/>
      <c r="M359" s="13"/>
      <c r="N359" s="13"/>
      <c r="O359" s="13"/>
      <c r="P359" s="13"/>
      <c r="Q359" s="13"/>
      <c r="R359" s="13"/>
      <c r="S359" s="421"/>
      <c r="T359" s="421"/>
      <c r="U359" s="421"/>
      <c r="V359" s="421"/>
      <c r="W359" s="421"/>
      <c r="X359" s="421"/>
      <c r="Y359" s="421"/>
      <c r="Z359" s="421"/>
      <c r="AA359" s="421"/>
      <c r="AB359" s="421"/>
      <c r="AC359" s="421"/>
      <c r="AD359" s="421"/>
      <c r="AE359" s="421"/>
      <c r="AF359" s="421"/>
      <c r="AG359" s="421"/>
      <c r="AH359" s="421"/>
      <c r="AI359" s="421"/>
      <c r="AJ359" s="421"/>
      <c r="AK359" s="421"/>
      <c r="AL359" s="421"/>
      <c r="AM359" s="422"/>
      <c r="AN359" s="422"/>
      <c r="AO359" s="422"/>
      <c r="AP359" s="422"/>
      <c r="AQ359" s="422"/>
      <c r="AR359" s="422"/>
      <c r="AS359" s="422"/>
      <c r="AT359" s="422"/>
      <c r="AU359" s="422"/>
      <c r="AV359" s="422"/>
      <c r="AW359" s="422"/>
      <c r="AX359" s="422"/>
      <c r="AY359" s="422"/>
    </row>
    <row r="360" spans="1:51" x14ac:dyDescent="0.25">
      <c r="A360" s="3"/>
      <c r="B360" s="3"/>
      <c r="C360" s="3"/>
      <c r="D360" s="3"/>
      <c r="E360" s="3"/>
      <c r="F360" s="3"/>
      <c r="G360" s="3"/>
      <c r="H360" s="3"/>
      <c r="I360" s="3"/>
      <c r="J360" s="13"/>
      <c r="K360" s="13"/>
      <c r="L360" s="13"/>
      <c r="M360" s="13"/>
      <c r="N360" s="13"/>
      <c r="O360" s="13"/>
      <c r="P360" s="13"/>
      <c r="Q360" s="13"/>
      <c r="R360" s="13"/>
      <c r="S360" s="421"/>
      <c r="T360" s="421"/>
      <c r="U360" s="421"/>
      <c r="V360" s="421"/>
      <c r="W360" s="421"/>
      <c r="X360" s="421"/>
      <c r="Y360" s="421"/>
      <c r="Z360" s="421"/>
      <c r="AA360" s="421"/>
      <c r="AB360" s="421"/>
      <c r="AC360" s="421"/>
      <c r="AD360" s="421"/>
      <c r="AE360" s="421"/>
      <c r="AF360" s="421"/>
      <c r="AG360" s="421"/>
      <c r="AH360" s="421"/>
      <c r="AI360" s="421"/>
      <c r="AJ360" s="421"/>
      <c r="AK360" s="421"/>
      <c r="AL360" s="421"/>
      <c r="AM360" s="422"/>
      <c r="AN360" s="422"/>
      <c r="AO360" s="422"/>
      <c r="AP360" s="422"/>
      <c r="AQ360" s="422"/>
      <c r="AR360" s="422"/>
      <c r="AS360" s="422"/>
      <c r="AT360" s="422"/>
      <c r="AU360" s="422"/>
      <c r="AV360" s="422"/>
      <c r="AW360" s="422"/>
      <c r="AX360" s="422"/>
      <c r="AY360" s="422"/>
    </row>
    <row r="361" spans="1:51" x14ac:dyDescent="0.25">
      <c r="A361" s="3"/>
      <c r="B361" s="3"/>
      <c r="C361" s="3"/>
      <c r="D361" s="3"/>
      <c r="E361" s="3"/>
      <c r="F361" s="3"/>
      <c r="G361" s="3"/>
      <c r="H361" s="3"/>
      <c r="I361" s="3"/>
      <c r="J361" s="13"/>
      <c r="K361" s="13"/>
      <c r="L361" s="13"/>
      <c r="M361" s="13"/>
      <c r="N361" s="13"/>
      <c r="O361" s="13"/>
      <c r="P361" s="13"/>
      <c r="Q361" s="13"/>
      <c r="R361" s="13"/>
      <c r="S361" s="421"/>
      <c r="T361" s="421"/>
      <c r="U361" s="421"/>
      <c r="V361" s="421"/>
      <c r="W361" s="421"/>
      <c r="X361" s="421"/>
      <c r="Y361" s="421"/>
      <c r="Z361" s="421"/>
      <c r="AA361" s="421"/>
      <c r="AB361" s="421"/>
      <c r="AC361" s="421"/>
      <c r="AD361" s="421"/>
      <c r="AE361" s="421"/>
      <c r="AF361" s="421"/>
      <c r="AG361" s="421"/>
      <c r="AH361" s="421"/>
      <c r="AI361" s="421"/>
      <c r="AJ361" s="421"/>
      <c r="AK361" s="421"/>
      <c r="AL361" s="421"/>
      <c r="AM361" s="422"/>
      <c r="AN361" s="422"/>
      <c r="AO361" s="422"/>
      <c r="AP361" s="422"/>
      <c r="AQ361" s="422"/>
      <c r="AR361" s="422"/>
      <c r="AS361" s="422"/>
      <c r="AT361" s="422"/>
      <c r="AU361" s="422"/>
      <c r="AV361" s="422"/>
      <c r="AW361" s="422"/>
      <c r="AX361" s="422"/>
      <c r="AY361" s="422"/>
    </row>
    <row r="362" spans="1:51" x14ac:dyDescent="0.25">
      <c r="A362" s="3"/>
      <c r="B362" s="3"/>
      <c r="C362" s="3"/>
      <c r="D362" s="3"/>
      <c r="E362" s="3"/>
      <c r="F362" s="3"/>
      <c r="G362" s="3"/>
      <c r="H362" s="3"/>
      <c r="I362" s="3"/>
      <c r="J362" s="13"/>
      <c r="K362" s="13"/>
      <c r="L362" s="13"/>
      <c r="M362" s="13"/>
      <c r="N362" s="13"/>
      <c r="O362" s="13"/>
      <c r="P362" s="13"/>
      <c r="Q362" s="13"/>
      <c r="R362" s="13"/>
      <c r="S362" s="421"/>
      <c r="T362" s="421"/>
      <c r="U362" s="421"/>
      <c r="V362" s="421"/>
      <c r="W362" s="421"/>
      <c r="X362" s="421"/>
      <c r="Y362" s="421"/>
      <c r="Z362" s="421"/>
      <c r="AA362" s="421"/>
      <c r="AB362" s="421"/>
      <c r="AC362" s="421"/>
      <c r="AD362" s="421"/>
      <c r="AE362" s="421"/>
      <c r="AF362" s="421"/>
      <c r="AG362" s="421"/>
      <c r="AH362" s="421"/>
      <c r="AI362" s="421"/>
      <c r="AJ362" s="421"/>
      <c r="AK362" s="421"/>
      <c r="AL362" s="421"/>
      <c r="AM362" s="422"/>
      <c r="AN362" s="422"/>
      <c r="AO362" s="422"/>
      <c r="AP362" s="422"/>
      <c r="AQ362" s="422"/>
      <c r="AR362" s="422"/>
      <c r="AS362" s="422"/>
      <c r="AT362" s="422"/>
      <c r="AU362" s="422"/>
      <c r="AV362" s="422"/>
      <c r="AW362" s="422"/>
      <c r="AX362" s="422"/>
      <c r="AY362" s="422"/>
    </row>
    <row r="363" spans="1:51" x14ac:dyDescent="0.25">
      <c r="A363" s="3"/>
      <c r="B363" s="3"/>
      <c r="C363" s="3"/>
      <c r="D363" s="3"/>
      <c r="E363" s="3"/>
      <c r="F363" s="3"/>
      <c r="G363" s="3"/>
      <c r="H363" s="3"/>
      <c r="I363" s="3"/>
      <c r="J363" s="13"/>
      <c r="K363" s="13"/>
      <c r="L363" s="13"/>
      <c r="M363" s="13"/>
      <c r="N363" s="13"/>
      <c r="O363" s="13"/>
      <c r="P363" s="13"/>
      <c r="Q363" s="13"/>
      <c r="R363" s="13"/>
      <c r="S363" s="421"/>
      <c r="T363" s="421"/>
      <c r="U363" s="421"/>
      <c r="V363" s="421"/>
      <c r="W363" s="421"/>
      <c r="X363" s="421"/>
      <c r="Y363" s="421"/>
      <c r="Z363" s="421"/>
      <c r="AA363" s="421"/>
      <c r="AB363" s="421"/>
      <c r="AC363" s="421"/>
      <c r="AD363" s="421"/>
      <c r="AE363" s="421"/>
      <c r="AF363" s="421"/>
      <c r="AG363" s="421"/>
      <c r="AH363" s="421"/>
      <c r="AI363" s="421"/>
      <c r="AJ363" s="421"/>
      <c r="AK363" s="421"/>
      <c r="AL363" s="421"/>
      <c r="AM363" s="422"/>
      <c r="AN363" s="422"/>
      <c r="AO363" s="422"/>
      <c r="AP363" s="422"/>
      <c r="AQ363" s="422"/>
      <c r="AR363" s="422"/>
      <c r="AS363" s="422"/>
      <c r="AT363" s="422"/>
      <c r="AU363" s="422"/>
      <c r="AV363" s="422"/>
      <c r="AW363" s="422"/>
      <c r="AX363" s="422"/>
      <c r="AY363" s="422"/>
    </row>
    <row r="364" spans="1:51" x14ac:dyDescent="0.25">
      <c r="A364" s="3"/>
      <c r="B364" s="3"/>
      <c r="C364" s="3"/>
      <c r="D364" s="3"/>
      <c r="E364" s="3"/>
      <c r="F364" s="3"/>
      <c r="G364" s="3"/>
      <c r="H364" s="3"/>
      <c r="I364" s="3"/>
      <c r="J364" s="13"/>
      <c r="K364" s="13"/>
      <c r="L364" s="13"/>
      <c r="M364" s="13"/>
      <c r="N364" s="13"/>
      <c r="O364" s="13"/>
      <c r="P364" s="13"/>
      <c r="Q364" s="13"/>
      <c r="R364" s="13"/>
      <c r="S364" s="421"/>
      <c r="T364" s="421"/>
      <c r="U364" s="421"/>
      <c r="V364" s="421"/>
      <c r="W364" s="421"/>
      <c r="X364" s="421"/>
      <c r="Y364" s="421"/>
      <c r="Z364" s="421"/>
      <c r="AA364" s="421"/>
      <c r="AB364" s="421"/>
      <c r="AC364" s="421"/>
      <c r="AD364" s="421"/>
      <c r="AE364" s="421"/>
      <c r="AF364" s="421"/>
      <c r="AG364" s="421"/>
      <c r="AH364" s="421"/>
      <c r="AI364" s="421"/>
      <c r="AJ364" s="421"/>
      <c r="AK364" s="421"/>
      <c r="AL364" s="421"/>
      <c r="AM364" s="422"/>
      <c r="AN364" s="422"/>
      <c r="AO364" s="422"/>
      <c r="AP364" s="422"/>
      <c r="AQ364" s="422"/>
      <c r="AR364" s="422"/>
      <c r="AS364" s="422"/>
      <c r="AT364" s="422"/>
      <c r="AU364" s="422"/>
      <c r="AV364" s="422"/>
      <c r="AW364" s="422"/>
      <c r="AX364" s="422"/>
      <c r="AY364" s="422"/>
    </row>
    <row r="365" spans="1:51" x14ac:dyDescent="0.25">
      <c r="A365" s="3"/>
      <c r="B365" s="3"/>
      <c r="C365" s="3"/>
      <c r="D365" s="3"/>
      <c r="E365" s="3"/>
      <c r="F365" s="3"/>
      <c r="G365" s="3"/>
      <c r="H365" s="3"/>
      <c r="I365" s="3"/>
      <c r="J365" s="13"/>
      <c r="K365" s="13"/>
      <c r="L365" s="13"/>
      <c r="M365" s="13"/>
      <c r="N365" s="13"/>
      <c r="O365" s="13"/>
      <c r="P365" s="13"/>
      <c r="Q365" s="13"/>
      <c r="R365" s="13"/>
      <c r="S365" s="421"/>
      <c r="T365" s="421"/>
      <c r="U365" s="421"/>
      <c r="V365" s="421"/>
      <c r="W365" s="421"/>
      <c r="X365" s="421"/>
      <c r="Y365" s="421"/>
      <c r="Z365" s="421"/>
      <c r="AA365" s="421"/>
      <c r="AB365" s="421"/>
      <c r="AC365" s="421"/>
      <c r="AD365" s="421"/>
      <c r="AE365" s="421"/>
      <c r="AF365" s="421"/>
      <c r="AG365" s="421"/>
      <c r="AH365" s="421"/>
      <c r="AI365" s="421"/>
      <c r="AJ365" s="421"/>
      <c r="AK365" s="421"/>
      <c r="AL365" s="421"/>
      <c r="AM365" s="422"/>
      <c r="AN365" s="422"/>
      <c r="AO365" s="422"/>
      <c r="AP365" s="422"/>
      <c r="AQ365" s="422"/>
      <c r="AR365" s="422"/>
      <c r="AS365" s="422"/>
      <c r="AT365" s="422"/>
      <c r="AU365" s="422"/>
      <c r="AV365" s="422"/>
      <c r="AW365" s="422"/>
      <c r="AX365" s="422"/>
      <c r="AY365" s="422"/>
    </row>
    <row r="366" spans="1:51" x14ac:dyDescent="0.25">
      <c r="A366" s="3"/>
      <c r="B366" s="3"/>
      <c r="C366" s="3"/>
      <c r="D366" s="3"/>
      <c r="E366" s="3"/>
      <c r="F366" s="3"/>
      <c r="G366" s="3"/>
      <c r="H366" s="3"/>
      <c r="I366" s="3"/>
      <c r="J366" s="13"/>
      <c r="K366" s="13"/>
      <c r="L366" s="13"/>
      <c r="M366" s="13"/>
      <c r="N366" s="13"/>
      <c r="O366" s="13"/>
      <c r="P366" s="13"/>
      <c r="Q366" s="13"/>
      <c r="R366" s="13"/>
      <c r="S366" s="421"/>
      <c r="T366" s="421"/>
      <c r="U366" s="421"/>
      <c r="V366" s="421"/>
      <c r="W366" s="421"/>
      <c r="X366" s="421"/>
      <c r="Y366" s="421"/>
      <c r="Z366" s="421"/>
      <c r="AA366" s="421"/>
      <c r="AB366" s="421"/>
      <c r="AC366" s="421"/>
      <c r="AD366" s="421"/>
      <c r="AE366" s="421"/>
      <c r="AF366" s="421"/>
      <c r="AG366" s="421"/>
      <c r="AH366" s="421"/>
      <c r="AI366" s="421"/>
      <c r="AJ366" s="421"/>
      <c r="AK366" s="421"/>
      <c r="AL366" s="421"/>
      <c r="AM366" s="422"/>
      <c r="AN366" s="422"/>
      <c r="AO366" s="422"/>
      <c r="AP366" s="422"/>
      <c r="AQ366" s="422"/>
      <c r="AR366" s="422"/>
      <c r="AS366" s="422"/>
      <c r="AT366" s="422"/>
      <c r="AU366" s="422"/>
      <c r="AV366" s="422"/>
      <c r="AW366" s="422"/>
      <c r="AX366" s="422"/>
      <c r="AY366" s="422"/>
    </row>
    <row r="367" spans="1:51" x14ac:dyDescent="0.25">
      <c r="A367" s="3"/>
      <c r="B367" s="3"/>
      <c r="C367" s="3"/>
      <c r="D367" s="3"/>
      <c r="E367" s="3"/>
      <c r="F367" s="3"/>
      <c r="G367" s="3"/>
      <c r="H367" s="3"/>
      <c r="I367" s="3"/>
      <c r="J367" s="13"/>
      <c r="K367" s="13"/>
      <c r="L367" s="13"/>
      <c r="M367" s="13"/>
      <c r="N367" s="13"/>
      <c r="O367" s="13"/>
      <c r="P367" s="13"/>
      <c r="Q367" s="13"/>
      <c r="R367" s="13"/>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2"/>
      <c r="AN367" s="422"/>
      <c r="AO367" s="422"/>
      <c r="AP367" s="422"/>
      <c r="AQ367" s="422"/>
      <c r="AR367" s="422"/>
      <c r="AS367" s="422"/>
      <c r="AT367" s="422"/>
      <c r="AU367" s="422"/>
      <c r="AV367" s="422"/>
      <c r="AW367" s="422"/>
      <c r="AX367" s="422"/>
      <c r="AY367" s="422"/>
    </row>
    <row r="368" spans="1:51" x14ac:dyDescent="0.25">
      <c r="A368" s="3"/>
      <c r="B368" s="3"/>
      <c r="C368" s="3"/>
      <c r="D368" s="3"/>
      <c r="E368" s="3"/>
      <c r="F368" s="3"/>
      <c r="G368" s="3"/>
      <c r="H368" s="3"/>
      <c r="I368" s="3"/>
      <c r="J368" s="13"/>
      <c r="K368" s="13"/>
      <c r="L368" s="13"/>
      <c r="M368" s="13"/>
      <c r="N368" s="13"/>
      <c r="O368" s="13"/>
      <c r="P368" s="13"/>
      <c r="Q368" s="13"/>
      <c r="R368" s="13"/>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2"/>
      <c r="AN368" s="422"/>
      <c r="AO368" s="422"/>
      <c r="AP368" s="422"/>
      <c r="AQ368" s="422"/>
      <c r="AR368" s="422"/>
      <c r="AS368" s="422"/>
      <c r="AT368" s="422"/>
      <c r="AU368" s="422"/>
      <c r="AV368" s="422"/>
      <c r="AW368" s="422"/>
      <c r="AX368" s="422"/>
      <c r="AY368" s="422"/>
    </row>
    <row r="369" spans="1:51" x14ac:dyDescent="0.25">
      <c r="A369" s="3"/>
      <c r="B369" s="3"/>
      <c r="C369" s="3"/>
      <c r="D369" s="3"/>
      <c r="E369" s="3"/>
      <c r="F369" s="3"/>
      <c r="G369" s="3"/>
      <c r="H369" s="3"/>
      <c r="I369" s="3"/>
      <c r="J369" s="13"/>
      <c r="K369" s="13"/>
      <c r="L369" s="13"/>
      <c r="M369" s="13"/>
      <c r="N369" s="13"/>
      <c r="O369" s="13"/>
      <c r="P369" s="13"/>
      <c r="Q369" s="13"/>
      <c r="R369" s="13"/>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2"/>
      <c r="AN369" s="422"/>
      <c r="AO369" s="422"/>
      <c r="AP369" s="422"/>
      <c r="AQ369" s="422"/>
      <c r="AR369" s="422"/>
      <c r="AS369" s="422"/>
      <c r="AT369" s="422"/>
      <c r="AU369" s="422"/>
      <c r="AV369" s="422"/>
      <c r="AW369" s="422"/>
      <c r="AX369" s="422"/>
      <c r="AY369" s="422"/>
    </row>
    <row r="370" spans="1:51" x14ac:dyDescent="0.25">
      <c r="A370" s="3"/>
      <c r="B370" s="3"/>
      <c r="C370" s="3"/>
      <c r="D370" s="3"/>
      <c r="E370" s="3"/>
      <c r="F370" s="3"/>
      <c r="G370" s="3"/>
      <c r="H370" s="3"/>
      <c r="I370" s="3"/>
      <c r="J370" s="13"/>
      <c r="K370" s="13"/>
      <c r="L370" s="13"/>
      <c r="M370" s="13"/>
      <c r="N370" s="13"/>
      <c r="O370" s="13"/>
      <c r="P370" s="13"/>
      <c r="Q370" s="13"/>
      <c r="R370" s="13"/>
      <c r="S370" s="421"/>
      <c r="T370" s="421"/>
      <c r="U370" s="421"/>
      <c r="V370" s="421"/>
      <c r="W370" s="421"/>
      <c r="X370" s="421"/>
      <c r="Y370" s="421"/>
      <c r="Z370" s="421"/>
      <c r="AA370" s="421"/>
      <c r="AB370" s="421"/>
      <c r="AC370" s="421"/>
      <c r="AD370" s="421"/>
      <c r="AE370" s="421"/>
      <c r="AF370" s="421"/>
      <c r="AG370" s="421"/>
      <c r="AH370" s="421"/>
      <c r="AI370" s="421"/>
      <c r="AJ370" s="421"/>
      <c r="AK370" s="421"/>
      <c r="AL370" s="421"/>
      <c r="AM370" s="422"/>
      <c r="AN370" s="422"/>
      <c r="AO370" s="422"/>
      <c r="AP370" s="422"/>
      <c r="AQ370" s="422"/>
      <c r="AR370" s="422"/>
      <c r="AS370" s="422"/>
      <c r="AT370" s="422"/>
      <c r="AU370" s="422"/>
      <c r="AV370" s="422"/>
      <c r="AW370" s="422"/>
      <c r="AX370" s="422"/>
      <c r="AY370" s="422"/>
    </row>
    <row r="371" spans="1:51" x14ac:dyDescent="0.25">
      <c r="A371" s="3"/>
      <c r="B371" s="3"/>
      <c r="C371" s="3"/>
      <c r="D371" s="3"/>
      <c r="E371" s="3"/>
      <c r="F371" s="3"/>
      <c r="G371" s="3"/>
      <c r="H371" s="3"/>
      <c r="I371" s="3"/>
      <c r="J371" s="13"/>
      <c r="K371" s="13"/>
      <c r="L371" s="13"/>
      <c r="M371" s="13"/>
      <c r="N371" s="13"/>
      <c r="O371" s="13"/>
      <c r="P371" s="13"/>
      <c r="Q371" s="13"/>
      <c r="R371" s="13"/>
      <c r="S371" s="421"/>
      <c r="T371" s="421"/>
      <c r="U371" s="421"/>
      <c r="V371" s="421"/>
      <c r="W371" s="421"/>
      <c r="X371" s="421"/>
      <c r="Y371" s="421"/>
      <c r="Z371" s="421"/>
      <c r="AA371" s="421"/>
      <c r="AB371" s="421"/>
      <c r="AC371" s="421"/>
      <c r="AD371" s="421"/>
      <c r="AE371" s="421"/>
      <c r="AF371" s="421"/>
      <c r="AG371" s="421"/>
      <c r="AH371" s="421"/>
      <c r="AI371" s="421"/>
      <c r="AJ371" s="421"/>
      <c r="AK371" s="421"/>
      <c r="AL371" s="421"/>
      <c r="AM371" s="422"/>
      <c r="AN371" s="422"/>
      <c r="AO371" s="422"/>
      <c r="AP371" s="422"/>
      <c r="AQ371" s="422"/>
      <c r="AR371" s="422"/>
      <c r="AS371" s="422"/>
      <c r="AT371" s="422"/>
      <c r="AU371" s="422"/>
      <c r="AV371" s="422"/>
      <c r="AW371" s="422"/>
      <c r="AX371" s="422"/>
      <c r="AY371" s="422"/>
    </row>
    <row r="372" spans="1:51" x14ac:dyDescent="0.25">
      <c r="A372" s="3"/>
      <c r="B372" s="3"/>
      <c r="C372" s="3"/>
      <c r="D372" s="3"/>
      <c r="E372" s="3"/>
      <c r="F372" s="3"/>
      <c r="G372" s="3"/>
      <c r="H372" s="3"/>
      <c r="I372" s="3"/>
      <c r="J372" s="13"/>
      <c r="K372" s="13"/>
      <c r="L372" s="13"/>
      <c r="M372" s="13"/>
      <c r="N372" s="13"/>
      <c r="O372" s="13"/>
      <c r="P372" s="13"/>
      <c r="Q372" s="13"/>
      <c r="R372" s="13"/>
      <c r="S372" s="421"/>
      <c r="T372" s="421"/>
      <c r="U372" s="421"/>
      <c r="V372" s="421"/>
      <c r="W372" s="421"/>
      <c r="X372" s="421"/>
      <c r="Y372" s="421"/>
      <c r="Z372" s="421"/>
      <c r="AA372" s="421"/>
      <c r="AB372" s="421"/>
      <c r="AC372" s="421"/>
      <c r="AD372" s="421"/>
      <c r="AE372" s="421"/>
      <c r="AF372" s="421"/>
      <c r="AG372" s="421"/>
      <c r="AH372" s="421"/>
      <c r="AI372" s="421"/>
      <c r="AJ372" s="421"/>
      <c r="AK372" s="421"/>
      <c r="AL372" s="421"/>
      <c r="AM372" s="422"/>
      <c r="AN372" s="422"/>
      <c r="AO372" s="422"/>
      <c r="AP372" s="422"/>
      <c r="AQ372" s="422"/>
      <c r="AR372" s="422"/>
      <c r="AS372" s="422"/>
      <c r="AT372" s="422"/>
      <c r="AU372" s="422"/>
      <c r="AV372" s="422"/>
      <c r="AW372" s="422"/>
      <c r="AX372" s="422"/>
      <c r="AY372" s="422"/>
    </row>
    <row r="373" spans="1:51" x14ac:dyDescent="0.25">
      <c r="A373" s="3"/>
      <c r="B373" s="3"/>
      <c r="C373" s="3"/>
      <c r="D373" s="3"/>
      <c r="E373" s="3"/>
      <c r="F373" s="3"/>
      <c r="G373" s="3"/>
      <c r="H373" s="3"/>
      <c r="I373" s="3"/>
      <c r="J373" s="13"/>
      <c r="K373" s="13"/>
      <c r="L373" s="13"/>
      <c r="M373" s="13"/>
      <c r="N373" s="13"/>
      <c r="O373" s="13"/>
      <c r="P373" s="13"/>
      <c r="Q373" s="13"/>
      <c r="R373" s="13"/>
      <c r="S373" s="421"/>
      <c r="T373" s="421"/>
      <c r="U373" s="421"/>
      <c r="V373" s="421"/>
      <c r="W373" s="421"/>
      <c r="X373" s="421"/>
      <c r="Y373" s="421"/>
      <c r="Z373" s="421"/>
      <c r="AA373" s="421"/>
      <c r="AB373" s="421"/>
      <c r="AC373" s="421"/>
      <c r="AD373" s="421"/>
      <c r="AE373" s="421"/>
      <c r="AF373" s="421"/>
      <c r="AG373" s="421"/>
      <c r="AH373" s="421"/>
      <c r="AI373" s="421"/>
      <c r="AJ373" s="421"/>
      <c r="AK373" s="421"/>
      <c r="AL373" s="421"/>
      <c r="AM373" s="422"/>
      <c r="AN373" s="422"/>
      <c r="AO373" s="422"/>
      <c r="AP373" s="422"/>
      <c r="AQ373" s="422"/>
      <c r="AR373" s="422"/>
      <c r="AS373" s="422"/>
      <c r="AT373" s="422"/>
      <c r="AU373" s="422"/>
      <c r="AV373" s="422"/>
      <c r="AW373" s="422"/>
      <c r="AX373" s="422"/>
      <c r="AY373" s="422"/>
    </row>
    <row r="374" spans="1:51" x14ac:dyDescent="0.25">
      <c r="A374" s="3"/>
      <c r="B374" s="3"/>
      <c r="C374" s="3"/>
      <c r="D374" s="3"/>
      <c r="E374" s="3"/>
      <c r="F374" s="3"/>
      <c r="G374" s="3"/>
      <c r="H374" s="3"/>
      <c r="I374" s="3"/>
      <c r="J374" s="13"/>
      <c r="K374" s="13"/>
      <c r="L374" s="13"/>
      <c r="M374" s="13"/>
      <c r="N374" s="13"/>
      <c r="O374" s="13"/>
      <c r="P374" s="13"/>
      <c r="Q374" s="13"/>
      <c r="R374" s="13"/>
      <c r="S374" s="421"/>
      <c r="T374" s="421"/>
      <c r="U374" s="421"/>
      <c r="V374" s="421"/>
      <c r="W374" s="421"/>
      <c r="X374" s="421"/>
      <c r="Y374" s="421"/>
      <c r="Z374" s="421"/>
      <c r="AA374" s="421"/>
      <c r="AB374" s="421"/>
      <c r="AC374" s="421"/>
      <c r="AD374" s="421"/>
      <c r="AE374" s="421"/>
      <c r="AF374" s="421"/>
      <c r="AG374" s="421"/>
      <c r="AH374" s="421"/>
      <c r="AI374" s="421"/>
      <c r="AJ374" s="421"/>
      <c r="AK374" s="421"/>
      <c r="AL374" s="421"/>
      <c r="AM374" s="422"/>
      <c r="AN374" s="422"/>
      <c r="AO374" s="422"/>
      <c r="AP374" s="422"/>
      <c r="AQ374" s="422"/>
      <c r="AR374" s="422"/>
      <c r="AS374" s="422"/>
      <c r="AT374" s="422"/>
      <c r="AU374" s="422"/>
      <c r="AV374" s="422"/>
      <c r="AW374" s="422"/>
      <c r="AX374" s="422"/>
      <c r="AY374" s="422"/>
    </row>
    <row r="375" spans="1:51" x14ac:dyDescent="0.25">
      <c r="A375" s="3"/>
      <c r="B375" s="3"/>
      <c r="C375" s="3"/>
      <c r="D375" s="3"/>
      <c r="E375" s="3"/>
      <c r="F375" s="3"/>
      <c r="G375" s="3"/>
      <c r="H375" s="3"/>
      <c r="I375" s="3"/>
      <c r="J375" s="13"/>
      <c r="K375" s="13"/>
      <c r="L375" s="13"/>
      <c r="M375" s="13"/>
      <c r="N375" s="13"/>
      <c r="O375" s="13"/>
      <c r="P375" s="13"/>
      <c r="Q375" s="13"/>
      <c r="R375" s="13"/>
      <c r="S375" s="421"/>
      <c r="T375" s="421"/>
      <c r="U375" s="421"/>
      <c r="V375" s="421"/>
      <c r="W375" s="421"/>
      <c r="X375" s="421"/>
      <c r="Y375" s="421"/>
      <c r="Z375" s="421"/>
      <c r="AA375" s="421"/>
      <c r="AB375" s="421"/>
      <c r="AC375" s="421"/>
      <c r="AD375" s="421"/>
      <c r="AE375" s="421"/>
      <c r="AF375" s="421"/>
      <c r="AG375" s="421"/>
      <c r="AH375" s="421"/>
      <c r="AI375" s="421"/>
      <c r="AJ375" s="421"/>
      <c r="AK375" s="421"/>
      <c r="AL375" s="421"/>
      <c r="AM375" s="422"/>
      <c r="AN375" s="422"/>
      <c r="AO375" s="422"/>
      <c r="AP375" s="422"/>
      <c r="AQ375" s="422"/>
      <c r="AR375" s="422"/>
      <c r="AS375" s="422"/>
      <c r="AT375" s="422"/>
      <c r="AU375" s="422"/>
      <c r="AV375" s="422"/>
      <c r="AW375" s="422"/>
      <c r="AX375" s="422"/>
      <c r="AY375" s="422"/>
    </row>
    <row r="376" spans="1:51" x14ac:dyDescent="0.25">
      <c r="A376" s="3"/>
      <c r="B376" s="3"/>
      <c r="C376" s="3"/>
      <c r="D376" s="3"/>
      <c r="E376" s="3"/>
      <c r="F376" s="3"/>
      <c r="G376" s="3"/>
      <c r="H376" s="3"/>
      <c r="I376" s="3"/>
      <c r="J376" s="13"/>
      <c r="K376" s="13"/>
      <c r="L376" s="13"/>
      <c r="M376" s="13"/>
      <c r="N376" s="13"/>
      <c r="O376" s="13"/>
      <c r="P376" s="13"/>
      <c r="Q376" s="13"/>
      <c r="R376" s="13"/>
      <c r="S376" s="421"/>
      <c r="T376" s="421"/>
      <c r="U376" s="421"/>
      <c r="V376" s="421"/>
      <c r="W376" s="421"/>
      <c r="X376" s="421"/>
      <c r="Y376" s="421"/>
      <c r="Z376" s="421"/>
      <c r="AA376" s="421"/>
      <c r="AB376" s="421"/>
      <c r="AC376" s="421"/>
      <c r="AD376" s="421"/>
      <c r="AE376" s="421"/>
      <c r="AF376" s="421"/>
      <c r="AG376" s="421"/>
      <c r="AH376" s="421"/>
      <c r="AI376" s="421"/>
      <c r="AJ376" s="421"/>
      <c r="AK376" s="421"/>
      <c r="AL376" s="421"/>
      <c r="AM376" s="422"/>
      <c r="AN376" s="422"/>
      <c r="AO376" s="422"/>
      <c r="AP376" s="422"/>
      <c r="AQ376" s="422"/>
      <c r="AR376" s="422"/>
      <c r="AS376" s="422"/>
      <c r="AT376" s="422"/>
      <c r="AU376" s="422"/>
      <c r="AV376" s="422"/>
      <c r="AW376" s="422"/>
      <c r="AX376" s="422"/>
      <c r="AY376" s="422"/>
    </row>
    <row r="377" spans="1:51" x14ac:dyDescent="0.25">
      <c r="A377" s="3"/>
      <c r="B377" s="3"/>
      <c r="C377" s="3"/>
      <c r="D377" s="3"/>
      <c r="E377" s="3"/>
      <c r="F377" s="3"/>
      <c r="G377" s="3"/>
      <c r="H377" s="3"/>
      <c r="I377" s="3"/>
      <c r="J377" s="13"/>
      <c r="K377" s="13"/>
      <c r="L377" s="13"/>
      <c r="M377" s="13"/>
      <c r="N377" s="13"/>
      <c r="O377" s="13"/>
      <c r="P377" s="13"/>
      <c r="Q377" s="13"/>
      <c r="R377" s="13"/>
      <c r="S377" s="421"/>
      <c r="T377" s="421"/>
      <c r="U377" s="421"/>
      <c r="V377" s="421"/>
      <c r="W377" s="421"/>
      <c r="X377" s="421"/>
      <c r="Y377" s="421"/>
      <c r="Z377" s="421"/>
      <c r="AA377" s="421"/>
      <c r="AB377" s="421"/>
      <c r="AC377" s="421"/>
      <c r="AD377" s="421"/>
      <c r="AE377" s="421"/>
      <c r="AF377" s="421"/>
      <c r="AG377" s="421"/>
      <c r="AH377" s="421"/>
      <c r="AI377" s="421"/>
      <c r="AJ377" s="421"/>
      <c r="AK377" s="421"/>
      <c r="AL377" s="421"/>
      <c r="AM377" s="422"/>
      <c r="AN377" s="422"/>
      <c r="AO377" s="422"/>
      <c r="AP377" s="422"/>
      <c r="AQ377" s="422"/>
      <c r="AR377" s="422"/>
      <c r="AS377" s="422"/>
      <c r="AT377" s="422"/>
      <c r="AU377" s="422"/>
      <c r="AV377" s="422"/>
      <c r="AW377" s="422"/>
      <c r="AX377" s="422"/>
      <c r="AY377" s="422"/>
    </row>
    <row r="378" spans="1:51" x14ac:dyDescent="0.25">
      <c r="A378" s="3"/>
      <c r="B378" s="3"/>
      <c r="C378" s="3"/>
      <c r="D378" s="3"/>
      <c r="E378" s="3"/>
      <c r="F378" s="3"/>
      <c r="G378" s="3"/>
      <c r="H378" s="3"/>
      <c r="I378" s="3"/>
      <c r="J378" s="13"/>
      <c r="K378" s="13"/>
      <c r="L378" s="13"/>
      <c r="M378" s="13"/>
      <c r="N378" s="13"/>
      <c r="O378" s="13"/>
      <c r="P378" s="13"/>
      <c r="Q378" s="13"/>
      <c r="R378" s="13"/>
      <c r="S378" s="421"/>
      <c r="T378" s="421"/>
      <c r="U378" s="421"/>
      <c r="V378" s="421"/>
      <c r="W378" s="421"/>
      <c r="X378" s="421"/>
      <c r="Y378" s="421"/>
      <c r="Z378" s="421"/>
      <c r="AA378" s="421"/>
      <c r="AB378" s="421"/>
      <c r="AC378" s="421"/>
      <c r="AD378" s="421"/>
      <c r="AE378" s="421"/>
      <c r="AF378" s="421"/>
      <c r="AG378" s="421"/>
      <c r="AH378" s="421"/>
      <c r="AI378" s="421"/>
      <c r="AJ378" s="421"/>
      <c r="AK378" s="421"/>
      <c r="AL378" s="421"/>
      <c r="AM378" s="422"/>
      <c r="AN378" s="422"/>
      <c r="AO378" s="422"/>
      <c r="AP378" s="422"/>
      <c r="AQ378" s="422"/>
      <c r="AR378" s="422"/>
      <c r="AS378" s="422"/>
      <c r="AT378" s="422"/>
      <c r="AU378" s="422"/>
      <c r="AV378" s="422"/>
      <c r="AW378" s="422"/>
      <c r="AX378" s="422"/>
      <c r="AY378" s="422"/>
    </row>
    <row r="379" spans="1:51" x14ac:dyDescent="0.25">
      <c r="A379" s="3"/>
      <c r="B379" s="3"/>
      <c r="C379" s="3"/>
      <c r="D379" s="3"/>
      <c r="E379" s="3"/>
      <c r="F379" s="3"/>
      <c r="G379" s="3"/>
      <c r="H379" s="3"/>
      <c r="I379" s="3"/>
      <c r="J379" s="13"/>
      <c r="K379" s="13"/>
      <c r="L379" s="13"/>
      <c r="M379" s="13"/>
      <c r="N379" s="13"/>
      <c r="O379" s="13"/>
      <c r="P379" s="13"/>
      <c r="Q379" s="13"/>
      <c r="R379" s="13"/>
      <c r="S379" s="421"/>
      <c r="T379" s="421"/>
      <c r="U379" s="421"/>
      <c r="V379" s="421"/>
      <c r="W379" s="421"/>
      <c r="X379" s="421"/>
      <c r="Y379" s="421"/>
      <c r="Z379" s="421"/>
      <c r="AA379" s="421"/>
      <c r="AB379" s="421"/>
      <c r="AC379" s="421"/>
      <c r="AD379" s="421"/>
      <c r="AE379" s="421"/>
      <c r="AF379" s="421"/>
      <c r="AG379" s="421"/>
      <c r="AH379" s="421"/>
      <c r="AI379" s="421"/>
      <c r="AJ379" s="421"/>
      <c r="AK379" s="421"/>
      <c r="AL379" s="421"/>
      <c r="AM379" s="422"/>
      <c r="AN379" s="422"/>
      <c r="AO379" s="422"/>
      <c r="AP379" s="422"/>
      <c r="AQ379" s="422"/>
      <c r="AR379" s="422"/>
      <c r="AS379" s="422"/>
      <c r="AT379" s="422"/>
      <c r="AU379" s="422"/>
      <c r="AV379" s="422"/>
      <c r="AW379" s="422"/>
      <c r="AX379" s="422"/>
      <c r="AY379" s="422"/>
    </row>
    <row r="380" spans="1:51" x14ac:dyDescent="0.25">
      <c r="A380" s="3"/>
      <c r="B380" s="3"/>
      <c r="C380" s="3"/>
      <c r="D380" s="3"/>
      <c r="E380" s="3"/>
      <c r="F380" s="3"/>
      <c r="G380" s="3"/>
      <c r="H380" s="3"/>
      <c r="I380" s="3"/>
      <c r="J380" s="13"/>
      <c r="K380" s="13"/>
      <c r="L380" s="13"/>
      <c r="M380" s="13"/>
      <c r="N380" s="13"/>
      <c r="O380" s="13"/>
      <c r="P380" s="13"/>
      <c r="Q380" s="13"/>
      <c r="R380" s="13"/>
      <c r="S380" s="421"/>
      <c r="T380" s="421"/>
      <c r="U380" s="421"/>
      <c r="V380" s="421"/>
      <c r="W380" s="421"/>
      <c r="X380" s="421"/>
      <c r="Y380" s="421"/>
      <c r="Z380" s="421"/>
      <c r="AA380" s="421"/>
      <c r="AB380" s="421"/>
      <c r="AC380" s="421"/>
      <c r="AD380" s="421"/>
      <c r="AE380" s="421"/>
      <c r="AF380" s="421"/>
      <c r="AG380" s="421"/>
      <c r="AH380" s="421"/>
      <c r="AI380" s="421"/>
      <c r="AJ380" s="421"/>
      <c r="AK380" s="421"/>
      <c r="AL380" s="421"/>
      <c r="AM380" s="422"/>
      <c r="AN380" s="422"/>
      <c r="AO380" s="422"/>
      <c r="AP380" s="422"/>
      <c r="AQ380" s="422"/>
      <c r="AR380" s="422"/>
      <c r="AS380" s="422"/>
      <c r="AT380" s="422"/>
      <c r="AU380" s="422"/>
      <c r="AV380" s="422"/>
      <c r="AW380" s="422"/>
      <c r="AX380" s="422"/>
      <c r="AY380" s="422"/>
    </row>
    <row r="381" spans="1:51" x14ac:dyDescent="0.25">
      <c r="A381" s="3"/>
      <c r="B381" s="3"/>
      <c r="C381" s="3"/>
      <c r="D381" s="3"/>
      <c r="E381" s="3"/>
      <c r="F381" s="3"/>
      <c r="G381" s="3"/>
      <c r="H381" s="3"/>
      <c r="I381" s="3"/>
      <c r="J381" s="13"/>
      <c r="K381" s="13"/>
      <c r="L381" s="13"/>
      <c r="M381" s="13"/>
      <c r="N381" s="13"/>
      <c r="O381" s="13"/>
      <c r="P381" s="13"/>
      <c r="Q381" s="13"/>
      <c r="R381" s="13"/>
      <c r="S381" s="421"/>
      <c r="T381" s="421"/>
      <c r="U381" s="421"/>
      <c r="V381" s="421"/>
      <c r="W381" s="421"/>
      <c r="X381" s="421"/>
      <c r="Y381" s="421"/>
      <c r="Z381" s="421"/>
      <c r="AA381" s="421"/>
      <c r="AB381" s="421"/>
      <c r="AC381" s="421"/>
      <c r="AD381" s="421"/>
      <c r="AE381" s="421"/>
      <c r="AF381" s="421"/>
      <c r="AG381" s="421"/>
      <c r="AH381" s="421"/>
      <c r="AI381" s="421"/>
      <c r="AJ381" s="421"/>
      <c r="AK381" s="421"/>
      <c r="AL381" s="421"/>
      <c r="AM381" s="422"/>
      <c r="AN381" s="422"/>
      <c r="AO381" s="422"/>
      <c r="AP381" s="422"/>
      <c r="AQ381" s="422"/>
      <c r="AR381" s="422"/>
      <c r="AS381" s="422"/>
      <c r="AT381" s="422"/>
      <c r="AU381" s="422"/>
      <c r="AV381" s="422"/>
      <c r="AW381" s="422"/>
      <c r="AX381" s="422"/>
      <c r="AY381" s="422"/>
    </row>
    <row r="382" spans="1:51" x14ac:dyDescent="0.25">
      <c r="A382" s="3"/>
      <c r="B382" s="3"/>
      <c r="C382" s="3"/>
      <c r="D382" s="3"/>
      <c r="E382" s="3"/>
      <c r="F382" s="3"/>
      <c r="G382" s="3"/>
      <c r="H382" s="3"/>
      <c r="I382" s="3"/>
      <c r="J382" s="13"/>
      <c r="K382" s="13"/>
      <c r="L382" s="13"/>
      <c r="M382" s="13"/>
      <c r="N382" s="13"/>
      <c r="O382" s="13"/>
      <c r="P382" s="13"/>
      <c r="Q382" s="13"/>
      <c r="R382" s="13"/>
      <c r="S382" s="421"/>
      <c r="T382" s="421"/>
      <c r="U382" s="421"/>
      <c r="V382" s="421"/>
      <c r="W382" s="421"/>
      <c r="X382" s="421"/>
      <c r="Y382" s="421"/>
      <c r="Z382" s="421"/>
      <c r="AA382" s="421"/>
      <c r="AB382" s="421"/>
      <c r="AC382" s="421"/>
      <c r="AD382" s="421"/>
      <c r="AE382" s="421"/>
      <c r="AF382" s="421"/>
      <c r="AG382" s="421"/>
      <c r="AH382" s="421"/>
      <c r="AI382" s="421"/>
      <c r="AJ382" s="421"/>
      <c r="AK382" s="421"/>
      <c r="AL382" s="421"/>
      <c r="AM382" s="422"/>
      <c r="AN382" s="422"/>
      <c r="AO382" s="422"/>
      <c r="AP382" s="422"/>
      <c r="AQ382" s="422"/>
      <c r="AR382" s="422"/>
      <c r="AS382" s="422"/>
      <c r="AT382" s="422"/>
      <c r="AU382" s="422"/>
      <c r="AV382" s="422"/>
      <c r="AW382" s="422"/>
      <c r="AX382" s="422"/>
      <c r="AY382" s="422"/>
    </row>
    <row r="383" spans="1:51" x14ac:dyDescent="0.25">
      <c r="A383" s="3"/>
      <c r="B383" s="3"/>
      <c r="C383" s="3"/>
      <c r="D383" s="3"/>
      <c r="E383" s="3"/>
      <c r="F383" s="3"/>
      <c r="G383" s="3"/>
      <c r="H383" s="3"/>
      <c r="I383" s="3"/>
      <c r="J383" s="13"/>
      <c r="K383" s="13"/>
      <c r="L383" s="13"/>
      <c r="M383" s="13"/>
      <c r="N383" s="13"/>
      <c r="O383" s="13"/>
      <c r="P383" s="13"/>
      <c r="Q383" s="13"/>
      <c r="R383" s="13"/>
      <c r="S383" s="421"/>
      <c r="T383" s="421"/>
      <c r="U383" s="421"/>
      <c r="V383" s="421"/>
      <c r="W383" s="421"/>
      <c r="X383" s="421"/>
      <c r="Y383" s="421"/>
      <c r="Z383" s="421"/>
      <c r="AA383" s="421"/>
      <c r="AB383" s="421"/>
      <c r="AC383" s="421"/>
      <c r="AD383" s="421"/>
      <c r="AE383" s="421"/>
      <c r="AF383" s="421"/>
      <c r="AG383" s="421"/>
      <c r="AH383" s="421"/>
      <c r="AI383" s="421"/>
      <c r="AJ383" s="421"/>
      <c r="AK383" s="421"/>
      <c r="AL383" s="421"/>
      <c r="AM383" s="422"/>
      <c r="AN383" s="422"/>
      <c r="AO383" s="422"/>
      <c r="AP383" s="422"/>
      <c r="AQ383" s="422"/>
      <c r="AR383" s="422"/>
      <c r="AS383" s="422"/>
      <c r="AT383" s="422"/>
      <c r="AU383" s="422"/>
      <c r="AV383" s="422"/>
      <c r="AW383" s="422"/>
      <c r="AX383" s="422"/>
      <c r="AY383" s="422"/>
    </row>
    <row r="384" spans="1:51" x14ac:dyDescent="0.25">
      <c r="A384" s="3"/>
      <c r="B384" s="3"/>
      <c r="C384" s="3"/>
      <c r="D384" s="3"/>
      <c r="E384" s="3"/>
      <c r="F384" s="3"/>
      <c r="G384" s="3"/>
      <c r="H384" s="3"/>
      <c r="I384" s="3"/>
      <c r="J384" s="13"/>
      <c r="K384" s="13"/>
      <c r="L384" s="13"/>
      <c r="M384" s="13"/>
      <c r="N384" s="13"/>
      <c r="O384" s="13"/>
      <c r="P384" s="13"/>
      <c r="Q384" s="13"/>
      <c r="R384" s="13"/>
      <c r="S384" s="421"/>
      <c r="T384" s="421"/>
      <c r="U384" s="421"/>
      <c r="V384" s="421"/>
      <c r="W384" s="421"/>
      <c r="X384" s="421"/>
      <c r="Y384" s="421"/>
      <c r="Z384" s="421"/>
      <c r="AA384" s="421"/>
      <c r="AB384" s="421"/>
      <c r="AC384" s="421"/>
      <c r="AD384" s="421"/>
      <c r="AE384" s="421"/>
      <c r="AF384" s="421"/>
      <c r="AG384" s="421"/>
      <c r="AH384" s="421"/>
      <c r="AI384" s="421"/>
      <c r="AJ384" s="421"/>
      <c r="AK384" s="421"/>
      <c r="AL384" s="421"/>
      <c r="AM384" s="422"/>
      <c r="AN384" s="422"/>
      <c r="AO384" s="422"/>
      <c r="AP384" s="422"/>
      <c r="AQ384" s="422"/>
      <c r="AR384" s="422"/>
      <c r="AS384" s="422"/>
      <c r="AT384" s="422"/>
      <c r="AU384" s="422"/>
      <c r="AV384" s="422"/>
      <c r="AW384" s="422"/>
      <c r="AX384" s="422"/>
      <c r="AY384" s="422"/>
    </row>
    <row r="385" spans="1:51" x14ac:dyDescent="0.25">
      <c r="A385" s="3"/>
      <c r="B385" s="3"/>
      <c r="C385" s="3"/>
      <c r="D385" s="3"/>
      <c r="E385" s="3"/>
      <c r="F385" s="3"/>
      <c r="G385" s="3"/>
      <c r="H385" s="3"/>
      <c r="I385" s="3"/>
      <c r="J385" s="13"/>
      <c r="K385" s="13"/>
      <c r="L385" s="13"/>
      <c r="M385" s="13"/>
      <c r="N385" s="13"/>
      <c r="O385" s="13"/>
      <c r="P385" s="13"/>
      <c r="Q385" s="13"/>
      <c r="R385" s="13"/>
      <c r="S385" s="421"/>
      <c r="T385" s="421"/>
      <c r="U385" s="421"/>
      <c r="V385" s="421"/>
      <c r="W385" s="421"/>
      <c r="X385" s="421"/>
      <c r="Y385" s="421"/>
      <c r="Z385" s="421"/>
      <c r="AA385" s="421"/>
      <c r="AB385" s="421"/>
      <c r="AC385" s="421"/>
      <c r="AD385" s="421"/>
      <c r="AE385" s="421"/>
      <c r="AF385" s="421"/>
      <c r="AG385" s="421"/>
      <c r="AH385" s="421"/>
      <c r="AI385" s="421"/>
      <c r="AJ385" s="421"/>
      <c r="AK385" s="421"/>
      <c r="AL385" s="421"/>
      <c r="AM385" s="422"/>
      <c r="AN385" s="422"/>
      <c r="AO385" s="422"/>
      <c r="AP385" s="422"/>
      <c r="AQ385" s="422"/>
      <c r="AR385" s="422"/>
      <c r="AS385" s="422"/>
      <c r="AT385" s="422"/>
      <c r="AU385" s="422"/>
      <c r="AV385" s="422"/>
      <c r="AW385" s="422"/>
      <c r="AX385" s="422"/>
      <c r="AY385" s="422"/>
    </row>
    <row r="386" spans="1:51" x14ac:dyDescent="0.25">
      <c r="A386" s="3"/>
      <c r="B386" s="3"/>
      <c r="C386" s="3"/>
      <c r="D386" s="3"/>
      <c r="E386" s="3"/>
      <c r="F386" s="3"/>
      <c r="G386" s="3"/>
      <c r="H386" s="3"/>
      <c r="I386" s="3"/>
      <c r="J386" s="13"/>
      <c r="K386" s="13"/>
      <c r="L386" s="13"/>
      <c r="M386" s="13"/>
      <c r="N386" s="13"/>
      <c r="O386" s="13"/>
      <c r="P386" s="13"/>
      <c r="Q386" s="13"/>
      <c r="R386" s="13"/>
      <c r="S386" s="421"/>
      <c r="T386" s="421"/>
      <c r="U386" s="421"/>
      <c r="V386" s="421"/>
      <c r="W386" s="421"/>
      <c r="X386" s="421"/>
      <c r="Y386" s="421"/>
      <c r="Z386" s="421"/>
      <c r="AA386" s="421"/>
      <c r="AB386" s="421"/>
      <c r="AC386" s="421"/>
      <c r="AD386" s="421"/>
      <c r="AE386" s="421"/>
      <c r="AF386" s="421"/>
      <c r="AG386" s="421"/>
      <c r="AH386" s="421"/>
      <c r="AI386" s="421"/>
      <c r="AJ386" s="421"/>
      <c r="AK386" s="421"/>
      <c r="AL386" s="421"/>
      <c r="AM386" s="422"/>
      <c r="AN386" s="422"/>
      <c r="AO386" s="422"/>
      <c r="AP386" s="422"/>
      <c r="AQ386" s="422"/>
      <c r="AR386" s="422"/>
      <c r="AS386" s="422"/>
      <c r="AT386" s="422"/>
      <c r="AU386" s="422"/>
      <c r="AV386" s="422"/>
      <c r="AW386" s="422"/>
      <c r="AX386" s="422"/>
      <c r="AY386" s="422"/>
    </row>
    <row r="387" spans="1:51" x14ac:dyDescent="0.25">
      <c r="A387" s="3"/>
      <c r="B387" s="3"/>
      <c r="C387" s="3"/>
      <c r="D387" s="3"/>
      <c r="E387" s="3"/>
      <c r="F387" s="3"/>
      <c r="G387" s="3"/>
      <c r="H387" s="3"/>
      <c r="I387" s="3"/>
      <c r="J387" s="13"/>
      <c r="K387" s="13"/>
      <c r="L387" s="13"/>
      <c r="M387" s="13"/>
      <c r="N387" s="13"/>
      <c r="O387" s="13"/>
      <c r="P387" s="13"/>
      <c r="Q387" s="13"/>
      <c r="R387" s="13"/>
      <c r="S387" s="421"/>
      <c r="T387" s="421"/>
      <c r="U387" s="421"/>
      <c r="V387" s="421"/>
      <c r="W387" s="421"/>
      <c r="X387" s="421"/>
      <c r="Y387" s="421"/>
      <c r="Z387" s="421"/>
      <c r="AA387" s="421"/>
      <c r="AB387" s="421"/>
      <c r="AC387" s="421"/>
      <c r="AD387" s="421"/>
      <c r="AE387" s="421"/>
      <c r="AF387" s="421"/>
      <c r="AG387" s="421"/>
      <c r="AH387" s="421"/>
      <c r="AI387" s="421"/>
      <c r="AJ387" s="421"/>
      <c r="AK387" s="421"/>
      <c r="AL387" s="421"/>
      <c r="AM387" s="422"/>
      <c r="AN387" s="422"/>
      <c r="AO387" s="422"/>
      <c r="AP387" s="422"/>
      <c r="AQ387" s="422"/>
      <c r="AR387" s="422"/>
      <c r="AS387" s="422"/>
      <c r="AT387" s="422"/>
      <c r="AU387" s="422"/>
      <c r="AV387" s="422"/>
      <c r="AW387" s="422"/>
      <c r="AX387" s="422"/>
      <c r="AY387" s="422"/>
    </row>
    <row r="388" spans="1:51" x14ac:dyDescent="0.25">
      <c r="A388" s="3"/>
      <c r="B388" s="3"/>
      <c r="C388" s="3"/>
      <c r="D388" s="3"/>
      <c r="E388" s="3"/>
      <c r="F388" s="3"/>
      <c r="G388" s="3"/>
      <c r="H388" s="3"/>
      <c r="I388" s="3"/>
      <c r="J388" s="13"/>
      <c r="K388" s="13"/>
      <c r="L388" s="13"/>
      <c r="M388" s="13"/>
      <c r="N388" s="13"/>
      <c r="O388" s="13"/>
      <c r="P388" s="13"/>
      <c r="Q388" s="13"/>
      <c r="R388" s="13"/>
      <c r="S388" s="421"/>
      <c r="T388" s="421"/>
      <c r="U388" s="421"/>
      <c r="V388" s="421"/>
      <c r="W388" s="421"/>
      <c r="X388" s="421"/>
      <c r="Y388" s="421"/>
      <c r="Z388" s="421"/>
      <c r="AA388" s="421"/>
      <c r="AB388" s="421"/>
      <c r="AC388" s="421"/>
      <c r="AD388" s="421"/>
      <c r="AE388" s="421"/>
      <c r="AF388" s="421"/>
      <c r="AG388" s="421"/>
      <c r="AH388" s="421"/>
      <c r="AI388" s="421"/>
      <c r="AJ388" s="421"/>
      <c r="AK388" s="421"/>
      <c r="AL388" s="421"/>
      <c r="AM388" s="422"/>
      <c r="AN388" s="422"/>
      <c r="AO388" s="422"/>
      <c r="AP388" s="422"/>
      <c r="AQ388" s="422"/>
      <c r="AR388" s="422"/>
      <c r="AS388" s="422"/>
      <c r="AT388" s="422"/>
      <c r="AU388" s="422"/>
      <c r="AV388" s="422"/>
      <c r="AW388" s="422"/>
      <c r="AX388" s="422"/>
      <c r="AY388" s="422"/>
    </row>
    <row r="389" spans="1:51" x14ac:dyDescent="0.25">
      <c r="A389" s="3"/>
      <c r="B389" s="3"/>
      <c r="C389" s="3"/>
      <c r="D389" s="3"/>
      <c r="E389" s="3"/>
      <c r="F389" s="3"/>
      <c r="G389" s="3"/>
      <c r="H389" s="3"/>
      <c r="I389" s="3"/>
      <c r="J389" s="13"/>
      <c r="K389" s="13"/>
      <c r="L389" s="13"/>
      <c r="M389" s="13"/>
      <c r="N389" s="13"/>
      <c r="O389" s="13"/>
      <c r="P389" s="13"/>
      <c r="Q389" s="13"/>
      <c r="R389" s="13"/>
      <c r="S389" s="421"/>
      <c r="T389" s="421"/>
      <c r="U389" s="421"/>
      <c r="V389" s="421"/>
      <c r="W389" s="421"/>
      <c r="X389" s="421"/>
      <c r="Y389" s="421"/>
      <c r="Z389" s="421"/>
      <c r="AA389" s="421"/>
      <c r="AB389" s="421"/>
      <c r="AC389" s="421"/>
      <c r="AD389" s="421"/>
      <c r="AE389" s="421"/>
      <c r="AF389" s="421"/>
      <c r="AG389" s="421"/>
      <c r="AH389" s="421"/>
      <c r="AI389" s="421"/>
      <c r="AJ389" s="421"/>
      <c r="AK389" s="421"/>
      <c r="AL389" s="421"/>
      <c r="AM389" s="422"/>
      <c r="AN389" s="422"/>
      <c r="AO389" s="422"/>
      <c r="AP389" s="422"/>
      <c r="AQ389" s="422"/>
      <c r="AR389" s="422"/>
      <c r="AS389" s="422"/>
      <c r="AT389" s="422"/>
      <c r="AU389" s="422"/>
      <c r="AV389" s="422"/>
      <c r="AW389" s="422"/>
      <c r="AX389" s="422"/>
      <c r="AY389" s="422"/>
    </row>
    <row r="390" spans="1:51" x14ac:dyDescent="0.25">
      <c r="A390" s="3"/>
      <c r="B390" s="3"/>
      <c r="C390" s="3"/>
      <c r="D390" s="3"/>
      <c r="E390" s="3"/>
      <c r="F390" s="3"/>
      <c r="G390" s="3"/>
      <c r="H390" s="3"/>
      <c r="I390" s="3"/>
      <c r="J390" s="13"/>
      <c r="K390" s="13"/>
      <c r="L390" s="13"/>
      <c r="M390" s="13"/>
      <c r="N390" s="13"/>
      <c r="O390" s="13"/>
      <c r="P390" s="13"/>
      <c r="Q390" s="13"/>
      <c r="R390" s="13"/>
      <c r="S390" s="421"/>
      <c r="T390" s="421"/>
      <c r="U390" s="421"/>
      <c r="V390" s="421"/>
      <c r="W390" s="421"/>
      <c r="X390" s="421"/>
      <c r="Y390" s="421"/>
      <c r="Z390" s="421"/>
      <c r="AA390" s="421"/>
      <c r="AB390" s="421"/>
      <c r="AC390" s="421"/>
      <c r="AD390" s="421"/>
      <c r="AE390" s="421"/>
      <c r="AF390" s="421"/>
      <c r="AG390" s="421"/>
      <c r="AH390" s="421"/>
      <c r="AI390" s="421"/>
      <c r="AJ390" s="421"/>
      <c r="AK390" s="421"/>
      <c r="AL390" s="421"/>
      <c r="AM390" s="422"/>
      <c r="AN390" s="422"/>
      <c r="AO390" s="422"/>
      <c r="AP390" s="422"/>
      <c r="AQ390" s="422"/>
      <c r="AR390" s="422"/>
      <c r="AS390" s="422"/>
      <c r="AT390" s="422"/>
      <c r="AU390" s="422"/>
      <c r="AV390" s="422"/>
      <c r="AW390" s="422"/>
      <c r="AX390" s="422"/>
      <c r="AY390" s="422"/>
    </row>
    <row r="391" spans="1:51" x14ac:dyDescent="0.25">
      <c r="A391" s="3"/>
      <c r="B391" s="3"/>
      <c r="C391" s="3"/>
      <c r="D391" s="3"/>
      <c r="E391" s="3"/>
      <c r="F391" s="3"/>
      <c r="G391" s="3"/>
      <c r="H391" s="3"/>
      <c r="I391" s="3"/>
      <c r="J391" s="13"/>
      <c r="K391" s="13"/>
      <c r="L391" s="13"/>
      <c r="M391" s="13"/>
      <c r="N391" s="13"/>
      <c r="O391" s="13"/>
      <c r="P391" s="13"/>
      <c r="Q391" s="13"/>
      <c r="R391" s="13"/>
      <c r="S391" s="421"/>
      <c r="T391" s="421"/>
      <c r="U391" s="421"/>
      <c r="V391" s="421"/>
      <c r="W391" s="421"/>
      <c r="X391" s="421"/>
      <c r="Y391" s="421"/>
      <c r="Z391" s="421"/>
      <c r="AA391" s="421"/>
      <c r="AB391" s="421"/>
      <c r="AC391" s="421"/>
      <c r="AD391" s="421"/>
      <c r="AE391" s="421"/>
      <c r="AF391" s="421"/>
      <c r="AG391" s="421"/>
      <c r="AH391" s="421"/>
      <c r="AI391" s="421"/>
      <c r="AJ391" s="421"/>
      <c r="AK391" s="421"/>
      <c r="AL391" s="421"/>
      <c r="AM391" s="422"/>
      <c r="AN391" s="422"/>
      <c r="AO391" s="422"/>
      <c r="AP391" s="422"/>
      <c r="AQ391" s="422"/>
      <c r="AR391" s="422"/>
      <c r="AS391" s="422"/>
      <c r="AT391" s="422"/>
      <c r="AU391" s="422"/>
      <c r="AV391" s="422"/>
      <c r="AW391" s="422"/>
      <c r="AX391" s="422"/>
      <c r="AY391" s="422"/>
    </row>
    <row r="392" spans="1:51" x14ac:dyDescent="0.25">
      <c r="A392" s="3"/>
      <c r="B392" s="3"/>
      <c r="C392" s="3"/>
      <c r="D392" s="3"/>
      <c r="E392" s="3"/>
      <c r="F392" s="3"/>
      <c r="G392" s="3"/>
      <c r="H392" s="3"/>
      <c r="I392" s="3"/>
      <c r="J392" s="13"/>
      <c r="K392" s="13"/>
      <c r="L392" s="13"/>
      <c r="M392" s="13"/>
      <c r="N392" s="13"/>
      <c r="O392" s="13"/>
      <c r="P392" s="13"/>
      <c r="Q392" s="13"/>
      <c r="R392" s="13"/>
      <c r="S392" s="421"/>
      <c r="T392" s="421"/>
      <c r="U392" s="421"/>
      <c r="V392" s="421"/>
      <c r="W392" s="421"/>
      <c r="X392" s="421"/>
      <c r="Y392" s="421"/>
      <c r="Z392" s="421"/>
      <c r="AA392" s="421"/>
      <c r="AB392" s="421"/>
      <c r="AC392" s="421"/>
      <c r="AD392" s="421"/>
      <c r="AE392" s="421"/>
      <c r="AF392" s="421"/>
      <c r="AG392" s="421"/>
      <c r="AH392" s="421"/>
      <c r="AI392" s="421"/>
      <c r="AJ392" s="421"/>
      <c r="AK392" s="421"/>
      <c r="AL392" s="421"/>
      <c r="AM392" s="422"/>
      <c r="AN392" s="422"/>
      <c r="AO392" s="422"/>
      <c r="AP392" s="422"/>
      <c r="AQ392" s="422"/>
      <c r="AR392" s="422"/>
      <c r="AS392" s="422"/>
      <c r="AT392" s="422"/>
      <c r="AU392" s="422"/>
      <c r="AV392" s="422"/>
      <c r="AW392" s="422"/>
      <c r="AX392" s="422"/>
      <c r="AY392" s="422"/>
    </row>
    <row r="393" spans="1:51" x14ac:dyDescent="0.25">
      <c r="A393" s="3"/>
      <c r="B393" s="3"/>
      <c r="C393" s="3"/>
      <c r="D393" s="3"/>
      <c r="E393" s="3"/>
      <c r="F393" s="3"/>
      <c r="G393" s="3"/>
      <c r="H393" s="3"/>
      <c r="I393" s="3"/>
      <c r="J393" s="13"/>
      <c r="K393" s="13"/>
      <c r="L393" s="13"/>
      <c r="M393" s="13"/>
      <c r="N393" s="13"/>
      <c r="O393" s="13"/>
      <c r="P393" s="13"/>
      <c r="Q393" s="13"/>
      <c r="R393" s="13"/>
      <c r="S393" s="421"/>
      <c r="T393" s="421"/>
      <c r="U393" s="421"/>
      <c r="V393" s="421"/>
      <c r="W393" s="421"/>
      <c r="X393" s="421"/>
      <c r="Y393" s="421"/>
      <c r="Z393" s="421"/>
      <c r="AA393" s="421"/>
      <c r="AB393" s="421"/>
      <c r="AC393" s="421"/>
      <c r="AD393" s="421"/>
      <c r="AE393" s="421"/>
      <c r="AF393" s="421"/>
      <c r="AG393" s="421"/>
      <c r="AH393" s="421"/>
      <c r="AI393" s="421"/>
      <c r="AJ393" s="421"/>
      <c r="AK393" s="421"/>
      <c r="AL393" s="421"/>
      <c r="AM393" s="422"/>
      <c r="AN393" s="422"/>
      <c r="AO393" s="422"/>
      <c r="AP393" s="422"/>
      <c r="AQ393" s="422"/>
      <c r="AR393" s="422"/>
      <c r="AS393" s="422"/>
      <c r="AT393" s="422"/>
      <c r="AU393" s="422"/>
      <c r="AV393" s="422"/>
      <c r="AW393" s="422"/>
      <c r="AX393" s="422"/>
      <c r="AY393" s="422"/>
    </row>
    <row r="394" spans="1:51" x14ac:dyDescent="0.25">
      <c r="A394" s="3"/>
      <c r="B394" s="3"/>
      <c r="C394" s="3"/>
      <c r="D394" s="3"/>
      <c r="E394" s="3"/>
      <c r="F394" s="3"/>
      <c r="G394" s="3"/>
      <c r="H394" s="3"/>
      <c r="I394" s="3"/>
      <c r="J394" s="13"/>
      <c r="K394" s="13"/>
      <c r="L394" s="13"/>
      <c r="M394" s="13"/>
      <c r="N394" s="13"/>
      <c r="O394" s="13"/>
      <c r="P394" s="13"/>
      <c r="Q394" s="13"/>
      <c r="R394" s="13"/>
      <c r="S394" s="421"/>
      <c r="T394" s="421"/>
      <c r="U394" s="421"/>
      <c r="V394" s="421"/>
      <c r="W394" s="421"/>
      <c r="X394" s="421"/>
      <c r="Y394" s="421"/>
      <c r="Z394" s="421"/>
      <c r="AA394" s="421"/>
      <c r="AB394" s="421"/>
      <c r="AC394" s="421"/>
      <c r="AD394" s="421"/>
      <c r="AE394" s="421"/>
      <c r="AF394" s="421"/>
      <c r="AG394" s="421"/>
      <c r="AH394" s="421"/>
      <c r="AI394" s="421"/>
      <c r="AJ394" s="421"/>
      <c r="AK394" s="421"/>
      <c r="AL394" s="421"/>
      <c r="AM394" s="422"/>
      <c r="AN394" s="422"/>
      <c r="AO394" s="422"/>
      <c r="AP394" s="422"/>
      <c r="AQ394" s="422"/>
      <c r="AR394" s="422"/>
      <c r="AS394" s="422"/>
      <c r="AT394" s="422"/>
      <c r="AU394" s="422"/>
      <c r="AV394" s="422"/>
      <c r="AW394" s="422"/>
      <c r="AX394" s="422"/>
      <c r="AY394" s="422"/>
    </row>
    <row r="395" spans="1:51" x14ac:dyDescent="0.25">
      <c r="A395" s="3"/>
      <c r="B395" s="3"/>
      <c r="C395" s="3"/>
      <c r="D395" s="3"/>
      <c r="E395" s="3"/>
      <c r="F395" s="3"/>
      <c r="G395" s="3"/>
      <c r="H395" s="3"/>
      <c r="I395" s="3"/>
      <c r="J395" s="13"/>
      <c r="K395" s="13"/>
      <c r="L395" s="13"/>
      <c r="M395" s="13"/>
      <c r="N395" s="13"/>
      <c r="O395" s="13"/>
      <c r="P395" s="13"/>
      <c r="Q395" s="13"/>
      <c r="R395" s="13"/>
      <c r="S395" s="421"/>
      <c r="T395" s="421"/>
      <c r="U395" s="421"/>
      <c r="V395" s="421"/>
      <c r="W395" s="421"/>
      <c r="X395" s="421"/>
      <c r="Y395" s="421"/>
      <c r="Z395" s="421"/>
      <c r="AA395" s="421"/>
      <c r="AB395" s="421"/>
      <c r="AC395" s="421"/>
      <c r="AD395" s="421"/>
      <c r="AE395" s="421"/>
      <c r="AF395" s="421"/>
      <c r="AG395" s="421"/>
      <c r="AH395" s="421"/>
      <c r="AI395" s="421"/>
      <c r="AJ395" s="421"/>
      <c r="AK395" s="421"/>
      <c r="AL395" s="421"/>
      <c r="AM395" s="422"/>
      <c r="AN395" s="422"/>
      <c r="AO395" s="422"/>
      <c r="AP395" s="422"/>
      <c r="AQ395" s="422"/>
      <c r="AR395" s="422"/>
      <c r="AS395" s="422"/>
      <c r="AT395" s="422"/>
      <c r="AU395" s="422"/>
      <c r="AV395" s="422"/>
      <c r="AW395" s="422"/>
      <c r="AX395" s="422"/>
      <c r="AY395" s="422"/>
    </row>
    <row r="396" spans="1:51" x14ac:dyDescent="0.25">
      <c r="A396" s="3"/>
      <c r="B396" s="3"/>
      <c r="C396" s="3"/>
      <c r="D396" s="3"/>
      <c r="E396" s="3"/>
      <c r="F396" s="3"/>
      <c r="G396" s="3"/>
      <c r="H396" s="3"/>
      <c r="I396" s="3"/>
      <c r="J396" s="13"/>
      <c r="K396" s="13"/>
      <c r="L396" s="13"/>
      <c r="M396" s="13"/>
      <c r="N396" s="13"/>
      <c r="O396" s="13"/>
      <c r="P396" s="13"/>
      <c r="Q396" s="13"/>
      <c r="R396" s="13"/>
      <c r="S396" s="421"/>
      <c r="T396" s="421"/>
      <c r="U396" s="421"/>
      <c r="V396" s="421"/>
      <c r="W396" s="421"/>
      <c r="X396" s="421"/>
      <c r="Y396" s="421"/>
      <c r="Z396" s="421"/>
      <c r="AA396" s="421"/>
      <c r="AB396" s="421"/>
      <c r="AC396" s="421"/>
      <c r="AD396" s="421"/>
      <c r="AE396" s="421"/>
      <c r="AF396" s="421"/>
      <c r="AG396" s="421"/>
      <c r="AH396" s="421"/>
      <c r="AI396" s="421"/>
      <c r="AJ396" s="421"/>
      <c r="AK396" s="421"/>
      <c r="AL396" s="421"/>
      <c r="AM396" s="422"/>
      <c r="AN396" s="422"/>
      <c r="AO396" s="422"/>
      <c r="AP396" s="422"/>
      <c r="AQ396" s="422"/>
      <c r="AR396" s="422"/>
      <c r="AS396" s="422"/>
      <c r="AT396" s="422"/>
      <c r="AU396" s="422"/>
      <c r="AV396" s="422"/>
      <c r="AW396" s="422"/>
      <c r="AX396" s="422"/>
      <c r="AY396" s="422"/>
    </row>
    <row r="397" spans="1:51" x14ac:dyDescent="0.25">
      <c r="A397" s="3"/>
      <c r="B397" s="3"/>
      <c r="C397" s="3"/>
      <c r="D397" s="3"/>
      <c r="E397" s="3"/>
      <c r="F397" s="3"/>
      <c r="G397" s="3"/>
      <c r="H397" s="3"/>
      <c r="I397" s="3"/>
      <c r="J397" s="13"/>
      <c r="K397" s="13"/>
      <c r="L397" s="13"/>
      <c r="M397" s="13"/>
      <c r="N397" s="13"/>
      <c r="O397" s="13"/>
      <c r="P397" s="13"/>
      <c r="Q397" s="13"/>
      <c r="R397" s="13"/>
      <c r="S397" s="421"/>
      <c r="T397" s="421"/>
      <c r="U397" s="421"/>
      <c r="V397" s="421"/>
      <c r="W397" s="421"/>
      <c r="X397" s="421"/>
      <c r="Y397" s="421"/>
      <c r="Z397" s="421"/>
      <c r="AA397" s="421"/>
      <c r="AB397" s="421"/>
      <c r="AC397" s="421"/>
      <c r="AD397" s="421"/>
      <c r="AE397" s="421"/>
      <c r="AF397" s="421"/>
      <c r="AG397" s="421"/>
      <c r="AH397" s="421"/>
      <c r="AI397" s="421"/>
      <c r="AJ397" s="421"/>
      <c r="AK397" s="421"/>
      <c r="AL397" s="421"/>
      <c r="AM397" s="422"/>
      <c r="AN397" s="422"/>
      <c r="AO397" s="422"/>
      <c r="AP397" s="422"/>
      <c r="AQ397" s="422"/>
      <c r="AR397" s="422"/>
      <c r="AS397" s="422"/>
      <c r="AT397" s="422"/>
      <c r="AU397" s="422"/>
      <c r="AV397" s="422"/>
      <c r="AW397" s="422"/>
      <c r="AX397" s="422"/>
      <c r="AY397" s="422"/>
    </row>
    <row r="398" spans="1:51" x14ac:dyDescent="0.25">
      <c r="A398" s="3"/>
      <c r="B398" s="3"/>
      <c r="C398" s="3"/>
      <c r="D398" s="3"/>
      <c r="E398" s="3"/>
      <c r="F398" s="3"/>
      <c r="G398" s="3"/>
      <c r="H398" s="3"/>
      <c r="I398" s="3"/>
      <c r="J398" s="13"/>
      <c r="K398" s="13"/>
      <c r="L398" s="13"/>
      <c r="M398" s="13"/>
      <c r="N398" s="13"/>
      <c r="O398" s="13"/>
      <c r="P398" s="13"/>
      <c r="Q398" s="13"/>
      <c r="R398" s="13"/>
      <c r="S398" s="421"/>
      <c r="T398" s="421"/>
      <c r="U398" s="421"/>
      <c r="V398" s="421"/>
      <c r="W398" s="421"/>
      <c r="X398" s="421"/>
      <c r="Y398" s="421"/>
      <c r="Z398" s="421"/>
      <c r="AA398" s="421"/>
      <c r="AB398" s="421"/>
      <c r="AC398" s="421"/>
      <c r="AD398" s="421"/>
      <c r="AE398" s="421"/>
      <c r="AF398" s="421"/>
      <c r="AG398" s="421"/>
      <c r="AH398" s="421"/>
      <c r="AI398" s="421"/>
      <c r="AJ398" s="421"/>
      <c r="AK398" s="421"/>
      <c r="AL398" s="421"/>
      <c r="AM398" s="422"/>
      <c r="AN398" s="422"/>
      <c r="AO398" s="422"/>
      <c r="AP398" s="422"/>
      <c r="AQ398" s="422"/>
      <c r="AR398" s="422"/>
      <c r="AS398" s="422"/>
      <c r="AT398" s="422"/>
      <c r="AU398" s="422"/>
      <c r="AV398" s="422"/>
      <c r="AW398" s="422"/>
      <c r="AX398" s="422"/>
      <c r="AY398" s="422"/>
    </row>
    <row r="399" spans="1:51" x14ac:dyDescent="0.25">
      <c r="A399" s="3"/>
      <c r="B399" s="3"/>
      <c r="C399" s="3"/>
      <c r="D399" s="3"/>
      <c r="E399" s="3"/>
      <c r="F399" s="3"/>
      <c r="G399" s="3"/>
      <c r="H399" s="3"/>
      <c r="I399" s="3"/>
      <c r="J399" s="13"/>
      <c r="K399" s="13"/>
      <c r="L399" s="13"/>
      <c r="M399" s="13"/>
      <c r="N399" s="13"/>
      <c r="O399" s="13"/>
      <c r="P399" s="13"/>
      <c r="Q399" s="13"/>
      <c r="R399" s="13"/>
      <c r="S399" s="421"/>
      <c r="T399" s="421"/>
      <c r="U399" s="421"/>
      <c r="V399" s="421"/>
      <c r="W399" s="421"/>
      <c r="X399" s="421"/>
      <c r="Y399" s="421"/>
      <c r="Z399" s="421"/>
      <c r="AA399" s="421"/>
      <c r="AB399" s="421"/>
      <c r="AC399" s="421"/>
      <c r="AD399" s="421"/>
      <c r="AE399" s="421"/>
      <c r="AF399" s="421"/>
      <c r="AG399" s="421"/>
      <c r="AH399" s="421"/>
      <c r="AI399" s="421"/>
      <c r="AJ399" s="421"/>
      <c r="AK399" s="421"/>
      <c r="AL399" s="421"/>
      <c r="AM399" s="422"/>
      <c r="AN399" s="422"/>
      <c r="AO399" s="422"/>
      <c r="AP399" s="422"/>
      <c r="AQ399" s="422"/>
      <c r="AR399" s="422"/>
      <c r="AS399" s="422"/>
      <c r="AT399" s="422"/>
      <c r="AU399" s="422"/>
      <c r="AV399" s="422"/>
      <c r="AW399" s="422"/>
      <c r="AX399" s="422"/>
      <c r="AY399" s="422"/>
    </row>
    <row r="400" spans="1:51" x14ac:dyDescent="0.25">
      <c r="A400" s="3"/>
      <c r="B400" s="3"/>
      <c r="C400" s="3"/>
      <c r="D400" s="3"/>
      <c r="E400" s="3"/>
      <c r="F400" s="3"/>
      <c r="G400" s="3"/>
      <c r="H400" s="3"/>
      <c r="I400" s="3"/>
      <c r="J400" s="13"/>
      <c r="K400" s="13"/>
      <c r="L400" s="13"/>
      <c r="M400" s="13"/>
      <c r="N400" s="13"/>
      <c r="O400" s="13"/>
      <c r="P400" s="13"/>
      <c r="Q400" s="13"/>
      <c r="R400" s="13"/>
      <c r="S400" s="421"/>
      <c r="T400" s="421"/>
      <c r="U400" s="421"/>
      <c r="V400" s="421"/>
      <c r="W400" s="421"/>
      <c r="X400" s="421"/>
      <c r="Y400" s="421"/>
      <c r="Z400" s="421"/>
      <c r="AA400" s="421"/>
      <c r="AB400" s="421"/>
      <c r="AC400" s="421"/>
      <c r="AD400" s="421"/>
      <c r="AE400" s="421"/>
      <c r="AF400" s="421"/>
      <c r="AG400" s="421"/>
      <c r="AH400" s="421"/>
      <c r="AI400" s="421"/>
      <c r="AJ400" s="421"/>
      <c r="AK400" s="421"/>
      <c r="AL400" s="421"/>
      <c r="AM400" s="422"/>
      <c r="AN400" s="422"/>
      <c r="AO400" s="422"/>
      <c r="AP400" s="422"/>
      <c r="AQ400" s="422"/>
      <c r="AR400" s="422"/>
      <c r="AS400" s="422"/>
      <c r="AT400" s="422"/>
      <c r="AU400" s="422"/>
      <c r="AV400" s="422"/>
      <c r="AW400" s="422"/>
      <c r="AX400" s="422"/>
      <c r="AY400" s="422"/>
    </row>
    <row r="401" spans="1:51" x14ac:dyDescent="0.25">
      <c r="A401" s="3"/>
      <c r="B401" s="3"/>
      <c r="C401" s="3"/>
      <c r="D401" s="3"/>
      <c r="E401" s="3"/>
      <c r="F401" s="3"/>
      <c r="G401" s="3"/>
      <c r="H401" s="3"/>
      <c r="I401" s="3"/>
      <c r="J401" s="13"/>
      <c r="K401" s="13"/>
      <c r="L401" s="13"/>
      <c r="M401" s="13"/>
      <c r="N401" s="13"/>
      <c r="O401" s="13"/>
      <c r="P401" s="13"/>
      <c r="Q401" s="13"/>
      <c r="R401" s="13"/>
      <c r="S401" s="421"/>
      <c r="T401" s="421"/>
      <c r="U401" s="421"/>
      <c r="V401" s="421"/>
      <c r="W401" s="421"/>
      <c r="X401" s="421"/>
      <c r="Y401" s="421"/>
      <c r="Z401" s="421"/>
      <c r="AA401" s="421"/>
      <c r="AB401" s="421"/>
      <c r="AC401" s="421"/>
      <c r="AD401" s="421"/>
      <c r="AE401" s="421"/>
      <c r="AF401" s="421"/>
      <c r="AG401" s="421"/>
      <c r="AH401" s="421"/>
      <c r="AI401" s="421"/>
      <c r="AJ401" s="421"/>
      <c r="AK401" s="421"/>
      <c r="AL401" s="421"/>
      <c r="AM401" s="422"/>
      <c r="AN401" s="422"/>
      <c r="AO401" s="422"/>
      <c r="AP401" s="422"/>
      <c r="AQ401" s="422"/>
      <c r="AR401" s="422"/>
      <c r="AS401" s="422"/>
      <c r="AT401" s="422"/>
      <c r="AU401" s="422"/>
      <c r="AV401" s="422"/>
      <c r="AW401" s="422"/>
      <c r="AX401" s="422"/>
      <c r="AY401" s="422"/>
    </row>
    <row r="402" spans="1:51" x14ac:dyDescent="0.25">
      <c r="A402" s="3"/>
      <c r="B402" s="3"/>
      <c r="C402" s="3"/>
      <c r="D402" s="3"/>
      <c r="E402" s="3"/>
      <c r="F402" s="3"/>
      <c r="G402" s="3"/>
      <c r="H402" s="3"/>
      <c r="I402" s="3"/>
      <c r="J402" s="13"/>
      <c r="K402" s="13"/>
      <c r="L402" s="13"/>
      <c r="M402" s="13"/>
      <c r="N402" s="13"/>
      <c r="O402" s="13"/>
      <c r="P402" s="13"/>
      <c r="Q402" s="13"/>
      <c r="R402" s="13"/>
      <c r="S402" s="421"/>
      <c r="T402" s="421"/>
      <c r="U402" s="421"/>
      <c r="V402" s="421"/>
      <c r="W402" s="421"/>
      <c r="X402" s="421"/>
      <c r="Y402" s="421"/>
      <c r="Z402" s="421"/>
      <c r="AA402" s="421"/>
      <c r="AB402" s="421"/>
      <c r="AC402" s="421"/>
      <c r="AD402" s="421"/>
      <c r="AE402" s="421"/>
      <c r="AF402" s="421"/>
      <c r="AG402" s="421"/>
      <c r="AH402" s="421"/>
      <c r="AI402" s="421"/>
      <c r="AJ402" s="421"/>
      <c r="AK402" s="421"/>
      <c r="AL402" s="421"/>
      <c r="AM402" s="422"/>
      <c r="AN402" s="422"/>
      <c r="AO402" s="422"/>
      <c r="AP402" s="422"/>
      <c r="AQ402" s="422"/>
      <c r="AR402" s="422"/>
      <c r="AS402" s="422"/>
      <c r="AT402" s="422"/>
      <c r="AU402" s="422"/>
      <c r="AV402" s="422"/>
      <c r="AW402" s="422"/>
      <c r="AX402" s="422"/>
      <c r="AY402" s="422"/>
    </row>
    <row r="403" spans="1:51" x14ac:dyDescent="0.25">
      <c r="A403" s="3"/>
      <c r="B403" s="3"/>
      <c r="C403" s="3"/>
      <c r="D403" s="3"/>
      <c r="E403" s="3"/>
      <c r="F403" s="3"/>
      <c r="G403" s="3"/>
      <c r="H403" s="3"/>
      <c r="I403" s="3"/>
      <c r="J403" s="13"/>
      <c r="K403" s="13"/>
      <c r="L403" s="13"/>
      <c r="M403" s="13"/>
      <c r="N403" s="13"/>
      <c r="O403" s="13"/>
      <c r="P403" s="13"/>
      <c r="Q403" s="13"/>
      <c r="R403" s="13"/>
      <c r="S403" s="421"/>
      <c r="T403" s="421"/>
      <c r="U403" s="421"/>
      <c r="V403" s="421"/>
      <c r="W403" s="421"/>
      <c r="X403" s="421"/>
      <c r="Y403" s="421"/>
      <c r="Z403" s="421"/>
      <c r="AA403" s="421"/>
      <c r="AB403" s="421"/>
      <c r="AC403" s="421"/>
      <c r="AD403" s="421"/>
      <c r="AE403" s="421"/>
      <c r="AF403" s="421"/>
      <c r="AG403" s="421"/>
      <c r="AH403" s="421"/>
      <c r="AI403" s="421"/>
      <c r="AJ403" s="421"/>
      <c r="AK403" s="421"/>
      <c r="AL403" s="421"/>
      <c r="AM403" s="422"/>
      <c r="AN403" s="422"/>
      <c r="AO403" s="422"/>
      <c r="AP403" s="422"/>
      <c r="AQ403" s="422"/>
      <c r="AR403" s="422"/>
      <c r="AS403" s="422"/>
      <c r="AT403" s="422"/>
      <c r="AU403" s="422"/>
      <c r="AV403" s="422"/>
      <c r="AW403" s="422"/>
      <c r="AX403" s="422"/>
      <c r="AY403" s="422"/>
    </row>
    <row r="404" spans="1:51" x14ac:dyDescent="0.25">
      <c r="A404" s="3"/>
      <c r="B404" s="3"/>
      <c r="C404" s="3"/>
      <c r="D404" s="3"/>
      <c r="E404" s="3"/>
      <c r="F404" s="3"/>
      <c r="G404" s="3"/>
      <c r="H404" s="3"/>
      <c r="I404" s="3"/>
      <c r="J404" s="13"/>
      <c r="K404" s="13"/>
      <c r="L404" s="13"/>
      <c r="M404" s="13"/>
      <c r="N404" s="13"/>
      <c r="O404" s="13"/>
      <c r="P404" s="13"/>
      <c r="Q404" s="13"/>
      <c r="R404" s="13"/>
      <c r="S404" s="421"/>
      <c r="T404" s="421"/>
      <c r="U404" s="421"/>
      <c r="V404" s="421"/>
      <c r="W404" s="421"/>
      <c r="X404" s="421"/>
      <c r="Y404" s="421"/>
      <c r="Z404" s="421"/>
      <c r="AA404" s="421"/>
      <c r="AB404" s="421"/>
      <c r="AC404" s="421"/>
      <c r="AD404" s="421"/>
      <c r="AE404" s="421"/>
      <c r="AF404" s="421"/>
      <c r="AG404" s="421"/>
      <c r="AH404" s="421"/>
      <c r="AI404" s="421"/>
      <c r="AJ404" s="421"/>
      <c r="AK404" s="421"/>
      <c r="AL404" s="421"/>
      <c r="AM404" s="422"/>
      <c r="AN404" s="422"/>
      <c r="AO404" s="422"/>
      <c r="AP404" s="422"/>
      <c r="AQ404" s="422"/>
      <c r="AR404" s="422"/>
      <c r="AS404" s="422"/>
      <c r="AT404" s="422"/>
      <c r="AU404" s="422"/>
      <c r="AV404" s="422"/>
      <c r="AW404" s="422"/>
      <c r="AX404" s="422"/>
      <c r="AY404" s="422"/>
    </row>
    <row r="405" spans="1:51" x14ac:dyDescent="0.25">
      <c r="A405" s="3"/>
      <c r="B405" s="3"/>
      <c r="C405" s="3"/>
      <c r="D405" s="3"/>
      <c r="E405" s="3"/>
      <c r="F405" s="3"/>
      <c r="G405" s="3"/>
      <c r="H405" s="3"/>
      <c r="I405" s="3"/>
      <c r="J405" s="13"/>
      <c r="K405" s="13"/>
      <c r="L405" s="13"/>
      <c r="M405" s="13"/>
      <c r="N405" s="13"/>
      <c r="O405" s="13"/>
      <c r="P405" s="13"/>
      <c r="Q405" s="13"/>
      <c r="R405" s="13"/>
      <c r="S405" s="421"/>
      <c r="T405" s="421"/>
      <c r="U405" s="421"/>
      <c r="V405" s="421"/>
      <c r="W405" s="421"/>
      <c r="X405" s="421"/>
      <c r="Y405" s="421"/>
      <c r="Z405" s="421"/>
      <c r="AA405" s="421"/>
      <c r="AB405" s="421"/>
      <c r="AC405" s="421"/>
      <c r="AD405" s="421"/>
      <c r="AE405" s="421"/>
      <c r="AF405" s="421"/>
      <c r="AG405" s="421"/>
      <c r="AH405" s="421"/>
      <c r="AI405" s="421"/>
      <c r="AJ405" s="421"/>
      <c r="AK405" s="421"/>
      <c r="AL405" s="421"/>
      <c r="AM405" s="422"/>
      <c r="AN405" s="422"/>
      <c r="AO405" s="422"/>
      <c r="AP405" s="422"/>
      <c r="AQ405" s="422"/>
      <c r="AR405" s="422"/>
      <c r="AS405" s="422"/>
      <c r="AT405" s="422"/>
      <c r="AU405" s="422"/>
      <c r="AV405" s="422"/>
      <c r="AW405" s="422"/>
      <c r="AX405" s="422"/>
      <c r="AY405" s="422"/>
    </row>
    <row r="406" spans="1:51" x14ac:dyDescent="0.25">
      <c r="A406" s="3"/>
      <c r="B406" s="3"/>
      <c r="C406" s="3"/>
      <c r="D406" s="3"/>
      <c r="E406" s="3"/>
      <c r="F406" s="3"/>
      <c r="G406" s="3"/>
      <c r="H406" s="3"/>
      <c r="I406" s="3"/>
      <c r="J406" s="13"/>
      <c r="K406" s="13"/>
      <c r="L406" s="13"/>
      <c r="M406" s="13"/>
      <c r="N406" s="13"/>
      <c r="O406" s="13"/>
      <c r="P406" s="13"/>
      <c r="Q406" s="13"/>
      <c r="R406" s="13"/>
      <c r="S406" s="421"/>
      <c r="T406" s="421"/>
      <c r="U406" s="421"/>
      <c r="V406" s="421"/>
      <c r="W406" s="421"/>
      <c r="X406" s="421"/>
      <c r="Y406" s="421"/>
      <c r="Z406" s="421"/>
      <c r="AA406" s="421"/>
      <c r="AB406" s="421"/>
      <c r="AC406" s="421"/>
      <c r="AD406" s="421"/>
      <c r="AE406" s="421"/>
      <c r="AF406" s="421"/>
      <c r="AG406" s="421"/>
      <c r="AH406" s="421"/>
      <c r="AI406" s="421"/>
      <c r="AJ406" s="421"/>
      <c r="AK406" s="421"/>
      <c r="AL406" s="421"/>
      <c r="AM406" s="422"/>
      <c r="AN406" s="422"/>
      <c r="AO406" s="422"/>
      <c r="AP406" s="422"/>
      <c r="AQ406" s="422"/>
      <c r="AR406" s="422"/>
      <c r="AS406" s="422"/>
      <c r="AT406" s="422"/>
      <c r="AU406" s="422"/>
      <c r="AV406" s="422"/>
      <c r="AW406" s="422"/>
      <c r="AX406" s="422"/>
      <c r="AY406" s="422"/>
    </row>
    <row r="407" spans="1:51" x14ac:dyDescent="0.25">
      <c r="A407" s="3"/>
      <c r="B407" s="3"/>
      <c r="C407" s="3"/>
      <c r="D407" s="3"/>
      <c r="E407" s="3"/>
      <c r="F407" s="3"/>
      <c r="G407" s="3"/>
      <c r="H407" s="3"/>
      <c r="I407" s="3"/>
      <c r="J407" s="13"/>
      <c r="K407" s="13"/>
      <c r="L407" s="13"/>
      <c r="M407" s="13"/>
      <c r="N407" s="13"/>
      <c r="O407" s="13"/>
      <c r="P407" s="13"/>
      <c r="Q407" s="13"/>
      <c r="R407" s="13"/>
      <c r="S407" s="421"/>
      <c r="T407" s="421"/>
      <c r="U407" s="421"/>
      <c r="V407" s="421"/>
      <c r="W407" s="421"/>
      <c r="X407" s="421"/>
      <c r="Y407" s="421"/>
      <c r="Z407" s="421"/>
      <c r="AA407" s="421"/>
      <c r="AB407" s="421"/>
      <c r="AC407" s="421"/>
      <c r="AD407" s="421"/>
      <c r="AE407" s="421"/>
      <c r="AF407" s="421"/>
      <c r="AG407" s="421"/>
      <c r="AH407" s="421"/>
      <c r="AI407" s="421"/>
      <c r="AJ407" s="421"/>
      <c r="AK407" s="421"/>
      <c r="AL407" s="421"/>
      <c r="AM407" s="422"/>
      <c r="AN407" s="422"/>
      <c r="AO407" s="422"/>
      <c r="AP407" s="422"/>
      <c r="AQ407" s="422"/>
      <c r="AR407" s="422"/>
      <c r="AS407" s="422"/>
      <c r="AT407" s="422"/>
      <c r="AU407" s="422"/>
      <c r="AV407" s="422"/>
      <c r="AW407" s="422"/>
      <c r="AX407" s="422"/>
      <c r="AY407" s="422"/>
    </row>
    <row r="408" spans="1:51" x14ac:dyDescent="0.25">
      <c r="A408" s="3"/>
      <c r="B408" s="3"/>
      <c r="C408" s="3"/>
      <c r="D408" s="3"/>
      <c r="E408" s="3"/>
      <c r="F408" s="3"/>
      <c r="G408" s="3"/>
      <c r="H408" s="3"/>
      <c r="I408" s="3"/>
      <c r="J408" s="13"/>
      <c r="K408" s="13"/>
      <c r="L408" s="13"/>
      <c r="M408" s="13"/>
      <c r="N408" s="13"/>
      <c r="O408" s="13"/>
      <c r="P408" s="13"/>
      <c r="Q408" s="13"/>
      <c r="R408" s="13"/>
      <c r="S408" s="421"/>
      <c r="T408" s="421"/>
      <c r="U408" s="421"/>
      <c r="V408" s="421"/>
      <c r="W408" s="421"/>
      <c r="X408" s="421"/>
      <c r="Y408" s="421"/>
      <c r="Z408" s="421"/>
      <c r="AA408" s="421"/>
      <c r="AB408" s="421"/>
      <c r="AC408" s="421"/>
      <c r="AD408" s="421"/>
      <c r="AE408" s="421"/>
      <c r="AF408" s="421"/>
      <c r="AG408" s="421"/>
      <c r="AH408" s="421"/>
      <c r="AI408" s="421"/>
      <c r="AJ408" s="421"/>
      <c r="AK408" s="421"/>
      <c r="AL408" s="421"/>
      <c r="AM408" s="422"/>
      <c r="AN408" s="422"/>
      <c r="AO408" s="422"/>
      <c r="AP408" s="422"/>
      <c r="AQ408" s="422"/>
      <c r="AR408" s="422"/>
      <c r="AS408" s="422"/>
      <c r="AT408" s="422"/>
      <c r="AU408" s="422"/>
      <c r="AV408" s="422"/>
      <c r="AW408" s="422"/>
      <c r="AX408" s="422"/>
      <c r="AY408" s="422"/>
    </row>
    <row r="409" spans="1:51" x14ac:dyDescent="0.25">
      <c r="A409" s="3"/>
      <c r="B409" s="3"/>
      <c r="C409" s="3"/>
      <c r="D409" s="3"/>
      <c r="E409" s="3"/>
      <c r="F409" s="3"/>
      <c r="G409" s="3"/>
      <c r="H409" s="3"/>
      <c r="I409" s="3"/>
      <c r="J409" s="13"/>
      <c r="K409" s="13"/>
      <c r="L409" s="13"/>
      <c r="M409" s="13"/>
      <c r="N409" s="13"/>
      <c r="O409" s="13"/>
      <c r="P409" s="13"/>
      <c r="Q409" s="13"/>
      <c r="R409" s="13"/>
      <c r="S409" s="421"/>
      <c r="T409" s="421"/>
      <c r="U409" s="421"/>
      <c r="V409" s="421"/>
      <c r="W409" s="421"/>
      <c r="X409" s="421"/>
      <c r="Y409" s="421"/>
      <c r="Z409" s="421"/>
      <c r="AA409" s="421"/>
      <c r="AB409" s="421"/>
      <c r="AC409" s="421"/>
      <c r="AD409" s="421"/>
      <c r="AE409" s="421"/>
      <c r="AF409" s="421"/>
      <c r="AG409" s="421"/>
      <c r="AH409" s="421"/>
      <c r="AI409" s="421"/>
      <c r="AJ409" s="421"/>
      <c r="AK409" s="421"/>
      <c r="AL409" s="421"/>
      <c r="AM409" s="422"/>
      <c r="AN409" s="422"/>
      <c r="AO409" s="422"/>
      <c r="AP409" s="422"/>
      <c r="AQ409" s="422"/>
      <c r="AR409" s="422"/>
      <c r="AS409" s="422"/>
      <c r="AT409" s="422"/>
      <c r="AU409" s="422"/>
      <c r="AV409" s="422"/>
      <c r="AW409" s="422"/>
      <c r="AX409" s="422"/>
      <c r="AY409" s="422"/>
    </row>
    <row r="410" spans="1:51" x14ac:dyDescent="0.25">
      <c r="A410" s="3"/>
      <c r="B410" s="3"/>
      <c r="C410" s="3"/>
      <c r="D410" s="3"/>
      <c r="E410" s="3"/>
      <c r="F410" s="3"/>
      <c r="G410" s="3"/>
      <c r="H410" s="3"/>
      <c r="I410" s="3"/>
      <c r="J410" s="13"/>
      <c r="K410" s="13"/>
      <c r="L410" s="13"/>
      <c r="M410" s="13"/>
      <c r="N410" s="13"/>
      <c r="O410" s="13"/>
      <c r="P410" s="13"/>
      <c r="Q410" s="13"/>
      <c r="R410" s="13"/>
      <c r="S410" s="421"/>
      <c r="T410" s="421"/>
      <c r="U410" s="421"/>
      <c r="V410" s="421"/>
      <c r="W410" s="421"/>
      <c r="X410" s="421"/>
      <c r="Y410" s="421"/>
      <c r="Z410" s="421"/>
      <c r="AA410" s="421"/>
      <c r="AB410" s="421"/>
      <c r="AC410" s="421"/>
      <c r="AD410" s="421"/>
      <c r="AE410" s="421"/>
      <c r="AF410" s="421"/>
      <c r="AG410" s="421"/>
      <c r="AH410" s="421"/>
      <c r="AI410" s="421"/>
      <c r="AJ410" s="421"/>
      <c r="AK410" s="421"/>
      <c r="AL410" s="421"/>
      <c r="AM410" s="422"/>
      <c r="AN410" s="422"/>
      <c r="AO410" s="422"/>
      <c r="AP410" s="422"/>
      <c r="AQ410" s="422"/>
      <c r="AR410" s="422"/>
      <c r="AS410" s="422"/>
      <c r="AT410" s="422"/>
      <c r="AU410" s="422"/>
      <c r="AV410" s="422"/>
      <c r="AW410" s="422"/>
      <c r="AX410" s="422"/>
      <c r="AY410" s="422"/>
    </row>
    <row r="411" spans="1:51" x14ac:dyDescent="0.25">
      <c r="A411" s="3"/>
      <c r="B411" s="3"/>
      <c r="C411" s="3"/>
      <c r="D411" s="3"/>
      <c r="E411" s="3"/>
      <c r="F411" s="3"/>
      <c r="G411" s="3"/>
      <c r="H411" s="3"/>
      <c r="I411" s="3"/>
      <c r="J411" s="13"/>
      <c r="K411" s="13"/>
      <c r="L411" s="13"/>
      <c r="M411" s="13"/>
      <c r="N411" s="13"/>
      <c r="O411" s="13"/>
      <c r="P411" s="13"/>
      <c r="Q411" s="13"/>
      <c r="R411" s="13"/>
      <c r="S411" s="421"/>
      <c r="T411" s="421"/>
      <c r="U411" s="421"/>
      <c r="V411" s="421"/>
      <c r="W411" s="421"/>
      <c r="X411" s="421"/>
      <c r="Y411" s="421"/>
      <c r="Z411" s="421"/>
      <c r="AA411" s="421"/>
      <c r="AB411" s="421"/>
      <c r="AC411" s="421"/>
      <c r="AD411" s="421"/>
      <c r="AE411" s="421"/>
      <c r="AF411" s="421"/>
      <c r="AG411" s="421"/>
      <c r="AH411" s="421"/>
      <c r="AI411" s="421"/>
      <c r="AJ411" s="421"/>
      <c r="AK411" s="421"/>
      <c r="AL411" s="421"/>
      <c r="AM411" s="422"/>
      <c r="AN411" s="422"/>
      <c r="AO411" s="422"/>
      <c r="AP411" s="422"/>
      <c r="AQ411" s="422"/>
      <c r="AR411" s="422"/>
      <c r="AS411" s="422"/>
      <c r="AT411" s="422"/>
      <c r="AU411" s="422"/>
      <c r="AV411" s="422"/>
      <c r="AW411" s="422"/>
      <c r="AX411" s="422"/>
      <c r="AY411" s="422"/>
    </row>
    <row r="412" spans="1:51" x14ac:dyDescent="0.25">
      <c r="A412" s="3"/>
      <c r="B412" s="3"/>
      <c r="C412" s="3"/>
      <c r="D412" s="3"/>
      <c r="E412" s="3"/>
      <c r="F412" s="3"/>
      <c r="G412" s="3"/>
      <c r="H412" s="3"/>
      <c r="I412" s="3"/>
      <c r="J412" s="13"/>
      <c r="K412" s="13"/>
      <c r="L412" s="13"/>
      <c r="M412" s="13"/>
      <c r="N412" s="13"/>
      <c r="O412" s="13"/>
      <c r="P412" s="13"/>
      <c r="Q412" s="13"/>
      <c r="R412" s="13"/>
      <c r="S412" s="421"/>
      <c r="T412" s="421"/>
      <c r="U412" s="421"/>
      <c r="V412" s="421"/>
      <c r="W412" s="421"/>
      <c r="X412" s="421"/>
      <c r="Y412" s="421"/>
      <c r="Z412" s="421"/>
      <c r="AA412" s="421"/>
      <c r="AB412" s="421"/>
      <c r="AC412" s="421"/>
      <c r="AD412" s="421"/>
      <c r="AE412" s="421"/>
      <c r="AF412" s="421"/>
      <c r="AG412" s="421"/>
      <c r="AH412" s="421"/>
      <c r="AI412" s="421"/>
      <c r="AJ412" s="421"/>
      <c r="AK412" s="421"/>
      <c r="AL412" s="421"/>
      <c r="AM412" s="422"/>
      <c r="AN412" s="422"/>
      <c r="AO412" s="422"/>
      <c r="AP412" s="422"/>
      <c r="AQ412" s="422"/>
      <c r="AR412" s="422"/>
      <c r="AS412" s="422"/>
      <c r="AT412" s="422"/>
      <c r="AU412" s="422"/>
      <c r="AV412" s="422"/>
      <c r="AW412" s="422"/>
      <c r="AX412" s="422"/>
      <c r="AY412" s="422"/>
    </row>
    <row r="413" spans="1:51" x14ac:dyDescent="0.25">
      <c r="A413" s="3"/>
      <c r="B413" s="3"/>
      <c r="C413" s="3"/>
      <c r="D413" s="3"/>
      <c r="E413" s="3"/>
      <c r="F413" s="3"/>
      <c r="G413" s="3"/>
      <c r="H413" s="3"/>
      <c r="I413" s="3"/>
      <c r="J413" s="13"/>
      <c r="K413" s="13"/>
      <c r="L413" s="13"/>
      <c r="M413" s="13"/>
      <c r="N413" s="13"/>
      <c r="O413" s="13"/>
      <c r="P413" s="13"/>
      <c r="Q413" s="13"/>
      <c r="R413" s="13"/>
      <c r="S413" s="421"/>
      <c r="T413" s="421"/>
      <c r="U413" s="421"/>
      <c r="V413" s="421"/>
      <c r="W413" s="421"/>
      <c r="X413" s="421"/>
      <c r="Y413" s="421"/>
      <c r="Z413" s="421"/>
      <c r="AA413" s="421"/>
      <c r="AB413" s="421"/>
      <c r="AC413" s="421"/>
      <c r="AD413" s="421"/>
      <c r="AE413" s="421"/>
      <c r="AF413" s="421"/>
      <c r="AG413" s="421"/>
      <c r="AH413" s="421"/>
      <c r="AI413" s="421"/>
      <c r="AJ413" s="421"/>
      <c r="AK413" s="421"/>
      <c r="AL413" s="421"/>
      <c r="AM413" s="422"/>
      <c r="AN413" s="422"/>
      <c r="AO413" s="422"/>
      <c r="AP413" s="422"/>
      <c r="AQ413" s="422"/>
      <c r="AR413" s="422"/>
      <c r="AS413" s="422"/>
      <c r="AT413" s="422"/>
      <c r="AU413" s="422"/>
      <c r="AV413" s="422"/>
      <c r="AW413" s="422"/>
      <c r="AX413" s="422"/>
      <c r="AY413" s="422"/>
    </row>
    <row r="414" spans="1:51" x14ac:dyDescent="0.25">
      <c r="A414" s="3"/>
      <c r="B414" s="3"/>
      <c r="C414" s="3"/>
      <c r="D414" s="3"/>
      <c r="E414" s="3"/>
      <c r="F414" s="3"/>
      <c r="G414" s="3"/>
      <c r="H414" s="3"/>
      <c r="I414" s="3"/>
      <c r="J414" s="13"/>
      <c r="K414" s="13"/>
      <c r="L414" s="13"/>
      <c r="M414" s="13"/>
      <c r="N414" s="13"/>
      <c r="O414" s="13"/>
      <c r="P414" s="13"/>
      <c r="Q414" s="13"/>
      <c r="R414" s="13"/>
      <c r="S414" s="421"/>
      <c r="T414" s="421"/>
      <c r="U414" s="421"/>
      <c r="V414" s="421"/>
      <c r="W414" s="421"/>
      <c r="X414" s="421"/>
      <c r="Y414" s="421"/>
      <c r="Z414" s="421"/>
      <c r="AA414" s="421"/>
      <c r="AB414" s="421"/>
      <c r="AC414" s="421"/>
      <c r="AD414" s="421"/>
      <c r="AE414" s="421"/>
      <c r="AF414" s="421"/>
      <c r="AG414" s="421"/>
      <c r="AH414" s="421"/>
      <c r="AI414" s="421"/>
      <c r="AJ414" s="421"/>
      <c r="AK414" s="421"/>
      <c r="AL414" s="421"/>
      <c r="AM414" s="422"/>
      <c r="AN414" s="422"/>
      <c r="AO414" s="422"/>
      <c r="AP414" s="422"/>
      <c r="AQ414" s="422"/>
      <c r="AR414" s="422"/>
      <c r="AS414" s="422"/>
      <c r="AT414" s="422"/>
      <c r="AU414" s="422"/>
      <c r="AV414" s="422"/>
      <c r="AW414" s="422"/>
      <c r="AX414" s="422"/>
      <c r="AY414" s="422"/>
    </row>
    <row r="415" spans="1:51" x14ac:dyDescent="0.25">
      <c r="A415" s="3"/>
      <c r="B415" s="3"/>
      <c r="C415" s="3"/>
      <c r="D415" s="3"/>
      <c r="E415" s="3"/>
      <c r="F415" s="3"/>
      <c r="G415" s="3"/>
      <c r="H415" s="3"/>
      <c r="I415" s="3"/>
      <c r="J415" s="13"/>
      <c r="K415" s="13"/>
      <c r="L415" s="13"/>
      <c r="M415" s="13"/>
      <c r="N415" s="13"/>
      <c r="O415" s="13"/>
      <c r="P415" s="13"/>
      <c r="Q415" s="13"/>
      <c r="R415" s="13"/>
      <c r="S415" s="421"/>
      <c r="T415" s="421"/>
      <c r="U415" s="421"/>
      <c r="V415" s="421"/>
      <c r="W415" s="421"/>
      <c r="X415" s="421"/>
      <c r="Y415" s="421"/>
      <c r="Z415" s="421"/>
      <c r="AA415" s="421"/>
      <c r="AB415" s="421"/>
      <c r="AC415" s="421"/>
      <c r="AD415" s="421"/>
      <c r="AE415" s="421"/>
      <c r="AF415" s="421"/>
      <c r="AG415" s="421"/>
      <c r="AH415" s="421"/>
      <c r="AI415" s="421"/>
      <c r="AJ415" s="421"/>
      <c r="AK415" s="421"/>
      <c r="AL415" s="421"/>
      <c r="AM415" s="422"/>
      <c r="AN415" s="422"/>
      <c r="AO415" s="422"/>
      <c r="AP415" s="422"/>
      <c r="AQ415" s="422"/>
      <c r="AR415" s="422"/>
      <c r="AS415" s="422"/>
      <c r="AT415" s="422"/>
      <c r="AU415" s="422"/>
      <c r="AV415" s="422"/>
      <c r="AW415" s="422"/>
      <c r="AX415" s="422"/>
      <c r="AY415" s="422"/>
    </row>
    <row r="416" spans="1:51" x14ac:dyDescent="0.25">
      <c r="A416" s="3"/>
      <c r="B416" s="3"/>
      <c r="C416" s="3"/>
      <c r="D416" s="3"/>
      <c r="E416" s="3"/>
      <c r="F416" s="3"/>
      <c r="G416" s="3"/>
      <c r="H416" s="3"/>
      <c r="I416" s="3"/>
      <c r="J416" s="13"/>
      <c r="K416" s="13"/>
      <c r="L416" s="13"/>
      <c r="M416" s="13"/>
      <c r="N416" s="13"/>
      <c r="O416" s="13"/>
      <c r="P416" s="13"/>
      <c r="Q416" s="13"/>
      <c r="R416" s="13"/>
      <c r="S416" s="421"/>
      <c r="T416" s="421"/>
      <c r="U416" s="421"/>
      <c r="V416" s="421"/>
      <c r="W416" s="421"/>
      <c r="X416" s="421"/>
      <c r="Y416" s="421"/>
      <c r="Z416" s="421"/>
      <c r="AA416" s="421"/>
      <c r="AB416" s="421"/>
      <c r="AC416" s="421"/>
      <c r="AD416" s="421"/>
      <c r="AE416" s="421"/>
      <c r="AF416" s="421"/>
      <c r="AG416" s="421"/>
      <c r="AH416" s="421"/>
      <c r="AI416" s="421"/>
      <c r="AJ416" s="421"/>
      <c r="AK416" s="421"/>
      <c r="AL416" s="421"/>
      <c r="AM416" s="422"/>
      <c r="AN416" s="422"/>
      <c r="AO416" s="422"/>
      <c r="AP416" s="422"/>
      <c r="AQ416" s="422"/>
      <c r="AR416" s="422"/>
      <c r="AS416" s="422"/>
      <c r="AT416" s="422"/>
      <c r="AU416" s="422"/>
      <c r="AV416" s="422"/>
      <c r="AW416" s="422"/>
      <c r="AX416" s="422"/>
      <c r="AY416" s="422"/>
    </row>
    <row r="417" spans="1:51" x14ac:dyDescent="0.25">
      <c r="A417" s="3"/>
      <c r="B417" s="3"/>
      <c r="C417" s="3"/>
      <c r="D417" s="3"/>
      <c r="E417" s="3"/>
      <c r="F417" s="3"/>
      <c r="G417" s="3"/>
      <c r="H417" s="3"/>
      <c r="I417" s="3"/>
      <c r="J417" s="13"/>
      <c r="K417" s="13"/>
      <c r="L417" s="13"/>
      <c r="M417" s="13"/>
      <c r="N417" s="13"/>
      <c r="O417" s="13"/>
      <c r="P417" s="13"/>
      <c r="Q417" s="13"/>
      <c r="R417" s="13"/>
      <c r="S417" s="421"/>
      <c r="T417" s="421"/>
      <c r="U417" s="421"/>
      <c r="V417" s="421"/>
      <c r="W417" s="421"/>
      <c r="X417" s="421"/>
      <c r="Y417" s="421"/>
      <c r="Z417" s="421"/>
      <c r="AA417" s="421"/>
      <c r="AB417" s="421"/>
      <c r="AC417" s="421"/>
      <c r="AD417" s="421"/>
      <c r="AE417" s="421"/>
      <c r="AF417" s="421"/>
      <c r="AG417" s="421"/>
      <c r="AH417" s="421"/>
      <c r="AI417" s="421"/>
      <c r="AJ417" s="421"/>
      <c r="AK417" s="421"/>
      <c r="AL417" s="421"/>
      <c r="AM417" s="422"/>
      <c r="AN417" s="422"/>
      <c r="AO417" s="422"/>
      <c r="AP417" s="422"/>
      <c r="AQ417" s="422"/>
      <c r="AR417" s="422"/>
      <c r="AS417" s="422"/>
      <c r="AT417" s="422"/>
      <c r="AU417" s="422"/>
      <c r="AV417" s="422"/>
      <c r="AW417" s="422"/>
      <c r="AX417" s="422"/>
      <c r="AY417" s="422"/>
    </row>
    <row r="418" spans="1:51" x14ac:dyDescent="0.25">
      <c r="A418" s="3"/>
      <c r="B418" s="3"/>
      <c r="C418" s="3"/>
      <c r="D418" s="3"/>
      <c r="E418" s="3"/>
      <c r="F418" s="3"/>
      <c r="G418" s="3"/>
      <c r="H418" s="3"/>
      <c r="I418" s="3"/>
      <c r="J418" s="13"/>
      <c r="K418" s="13"/>
      <c r="L418" s="13"/>
      <c r="M418" s="13"/>
      <c r="N418" s="13"/>
      <c r="O418" s="13"/>
      <c r="P418" s="13"/>
      <c r="Q418" s="13"/>
      <c r="R418" s="13"/>
      <c r="S418" s="421"/>
      <c r="T418" s="421"/>
      <c r="U418" s="421"/>
      <c r="V418" s="421"/>
      <c r="W418" s="421"/>
      <c r="X418" s="421"/>
      <c r="Y418" s="421"/>
      <c r="Z418" s="421"/>
      <c r="AA418" s="421"/>
      <c r="AB418" s="421"/>
      <c r="AC418" s="421"/>
      <c r="AD418" s="421"/>
      <c r="AE418" s="421"/>
      <c r="AF418" s="421"/>
      <c r="AG418" s="421"/>
      <c r="AH418" s="421"/>
      <c r="AI418" s="421"/>
      <c r="AJ418" s="421"/>
      <c r="AK418" s="421"/>
      <c r="AL418" s="421"/>
      <c r="AM418" s="422"/>
      <c r="AN418" s="422"/>
      <c r="AO418" s="422"/>
      <c r="AP418" s="422"/>
      <c r="AQ418" s="422"/>
      <c r="AR418" s="422"/>
      <c r="AS418" s="422"/>
      <c r="AT418" s="422"/>
      <c r="AU418" s="422"/>
      <c r="AV418" s="422"/>
      <c r="AW418" s="422"/>
      <c r="AX418" s="422"/>
      <c r="AY418" s="422"/>
    </row>
    <row r="419" spans="1:51" x14ac:dyDescent="0.25">
      <c r="A419" s="3"/>
      <c r="B419" s="3"/>
      <c r="C419" s="3"/>
      <c r="D419" s="3"/>
      <c r="E419" s="3"/>
      <c r="F419" s="3"/>
      <c r="G419" s="3"/>
      <c r="H419" s="3"/>
      <c r="I419" s="3"/>
      <c r="J419" s="13"/>
      <c r="K419" s="13"/>
      <c r="L419" s="13"/>
      <c r="M419" s="13"/>
      <c r="N419" s="13"/>
      <c r="O419" s="13"/>
      <c r="P419" s="13"/>
      <c r="Q419" s="13"/>
      <c r="R419" s="13"/>
      <c r="S419" s="421"/>
      <c r="T419" s="421"/>
      <c r="U419" s="421"/>
      <c r="V419" s="421"/>
      <c r="W419" s="421"/>
      <c r="X419" s="421"/>
      <c r="Y419" s="421"/>
      <c r="Z419" s="421"/>
      <c r="AA419" s="421"/>
      <c r="AB419" s="421"/>
      <c r="AC419" s="421"/>
      <c r="AD419" s="421"/>
      <c r="AE419" s="421"/>
      <c r="AF419" s="421"/>
      <c r="AG419" s="421"/>
      <c r="AH419" s="421"/>
      <c r="AI419" s="421"/>
      <c r="AJ419" s="421"/>
      <c r="AK419" s="421"/>
      <c r="AL419" s="421"/>
      <c r="AM419" s="422"/>
      <c r="AN419" s="422"/>
      <c r="AO419" s="422"/>
      <c r="AP419" s="422"/>
      <c r="AQ419" s="422"/>
      <c r="AR419" s="422"/>
      <c r="AS419" s="422"/>
      <c r="AT419" s="422"/>
      <c r="AU419" s="422"/>
      <c r="AV419" s="422"/>
      <c r="AW419" s="422"/>
      <c r="AX419" s="422"/>
      <c r="AY419" s="422"/>
    </row>
    <row r="420" spans="1:51" x14ac:dyDescent="0.25">
      <c r="A420" s="3"/>
      <c r="B420" s="3"/>
      <c r="C420" s="3"/>
      <c r="D420" s="3"/>
      <c r="E420" s="3"/>
      <c r="F420" s="3"/>
      <c r="G420" s="3"/>
      <c r="H420" s="3"/>
      <c r="I420" s="3"/>
      <c r="J420" s="13"/>
      <c r="K420" s="13"/>
      <c r="L420" s="13"/>
      <c r="M420" s="13"/>
      <c r="N420" s="13"/>
      <c r="O420" s="13"/>
      <c r="P420" s="13"/>
      <c r="Q420" s="13"/>
      <c r="R420" s="13"/>
      <c r="S420" s="421"/>
      <c r="T420" s="421"/>
      <c r="U420" s="421"/>
      <c r="V420" s="421"/>
      <c r="W420" s="421"/>
      <c r="X420" s="421"/>
      <c r="Y420" s="421"/>
      <c r="Z420" s="421"/>
      <c r="AA420" s="421"/>
      <c r="AB420" s="421"/>
      <c r="AC420" s="421"/>
      <c r="AD420" s="421"/>
      <c r="AE420" s="421"/>
      <c r="AF420" s="421"/>
      <c r="AG420" s="421"/>
      <c r="AH420" s="421"/>
      <c r="AI420" s="421"/>
      <c r="AJ420" s="421"/>
      <c r="AK420" s="421"/>
      <c r="AL420" s="421"/>
      <c r="AM420" s="422"/>
      <c r="AN420" s="422"/>
      <c r="AO420" s="422"/>
      <c r="AP420" s="422"/>
      <c r="AQ420" s="422"/>
      <c r="AR420" s="422"/>
      <c r="AS420" s="422"/>
      <c r="AT420" s="422"/>
      <c r="AU420" s="422"/>
      <c r="AV420" s="422"/>
      <c r="AW420" s="422"/>
      <c r="AX420" s="422"/>
      <c r="AY420" s="422"/>
    </row>
    <row r="421" spans="1:51" x14ac:dyDescent="0.25">
      <c r="A421" s="3"/>
      <c r="B421" s="3"/>
      <c r="C421" s="3"/>
      <c r="D421" s="3"/>
      <c r="E421" s="3"/>
      <c r="F421" s="3"/>
      <c r="G421" s="3"/>
      <c r="H421" s="3"/>
      <c r="I421" s="3"/>
      <c r="J421" s="13"/>
      <c r="K421" s="13"/>
      <c r="L421" s="13"/>
      <c r="M421" s="13"/>
      <c r="N421" s="13"/>
      <c r="O421" s="13"/>
      <c r="P421" s="13"/>
      <c r="Q421" s="13"/>
      <c r="R421" s="13"/>
      <c r="S421" s="421"/>
      <c r="T421" s="421"/>
      <c r="U421" s="421"/>
      <c r="V421" s="421"/>
      <c r="W421" s="421"/>
      <c r="X421" s="421"/>
      <c r="Y421" s="421"/>
      <c r="Z421" s="421"/>
      <c r="AA421" s="421"/>
      <c r="AB421" s="421"/>
      <c r="AC421" s="421"/>
      <c r="AD421" s="421"/>
      <c r="AE421" s="421"/>
      <c r="AF421" s="421"/>
      <c r="AG421" s="421"/>
      <c r="AH421" s="421"/>
      <c r="AI421" s="421"/>
      <c r="AJ421" s="421"/>
      <c r="AK421" s="421"/>
      <c r="AL421" s="421"/>
      <c r="AM421" s="422"/>
      <c r="AN421" s="422"/>
      <c r="AO421" s="422"/>
      <c r="AP421" s="422"/>
      <c r="AQ421" s="422"/>
      <c r="AR421" s="422"/>
      <c r="AS421" s="422"/>
      <c r="AT421" s="422"/>
      <c r="AU421" s="422"/>
      <c r="AV421" s="422"/>
      <c r="AW421" s="422"/>
      <c r="AX421" s="422"/>
      <c r="AY421" s="422"/>
    </row>
    <row r="422" spans="1:51" x14ac:dyDescent="0.25">
      <c r="A422" s="3"/>
      <c r="B422" s="3"/>
      <c r="C422" s="3"/>
      <c r="D422" s="3"/>
      <c r="E422" s="3"/>
      <c r="F422" s="3"/>
      <c r="G422" s="3"/>
      <c r="H422" s="3"/>
      <c r="I422" s="3"/>
      <c r="J422" s="13"/>
      <c r="K422" s="13"/>
      <c r="L422" s="13"/>
      <c r="M422" s="13"/>
      <c r="N422" s="13"/>
      <c r="O422" s="13"/>
      <c r="P422" s="13"/>
      <c r="Q422" s="13"/>
      <c r="R422" s="13"/>
      <c r="S422" s="421"/>
      <c r="T422" s="421"/>
      <c r="U422" s="421"/>
      <c r="V422" s="421"/>
      <c r="W422" s="421"/>
      <c r="X422" s="421"/>
      <c r="Y422" s="421"/>
      <c r="Z422" s="421"/>
      <c r="AA422" s="421"/>
      <c r="AB422" s="421"/>
      <c r="AC422" s="421"/>
      <c r="AD422" s="421"/>
      <c r="AE422" s="421"/>
      <c r="AF422" s="421"/>
      <c r="AG422" s="421"/>
      <c r="AH422" s="421"/>
      <c r="AI422" s="421"/>
      <c r="AJ422" s="421"/>
      <c r="AK422" s="421"/>
      <c r="AL422" s="421"/>
      <c r="AM422" s="422"/>
      <c r="AN422" s="422"/>
      <c r="AO422" s="422"/>
      <c r="AP422" s="422"/>
      <c r="AQ422" s="422"/>
      <c r="AR422" s="422"/>
      <c r="AS422" s="422"/>
      <c r="AT422" s="422"/>
      <c r="AU422" s="422"/>
      <c r="AV422" s="422"/>
      <c r="AW422" s="422"/>
      <c r="AX422" s="422"/>
      <c r="AY422" s="422"/>
    </row>
    <row r="423" spans="1:51" x14ac:dyDescent="0.25">
      <c r="A423" s="3"/>
      <c r="B423" s="3"/>
      <c r="C423" s="3"/>
      <c r="D423" s="3"/>
      <c r="E423" s="3"/>
      <c r="F423" s="3"/>
      <c r="G423" s="3"/>
      <c r="H423" s="3"/>
      <c r="I423" s="3"/>
      <c r="J423" s="13"/>
      <c r="K423" s="13"/>
      <c r="L423" s="13"/>
      <c r="M423" s="13"/>
      <c r="N423" s="13"/>
      <c r="O423" s="13"/>
      <c r="P423" s="13"/>
      <c r="Q423" s="13"/>
      <c r="R423" s="13"/>
      <c r="S423" s="421"/>
      <c r="T423" s="421"/>
      <c r="U423" s="421"/>
      <c r="V423" s="421"/>
      <c r="W423" s="421"/>
      <c r="X423" s="421"/>
      <c r="Y423" s="421"/>
      <c r="Z423" s="421"/>
      <c r="AA423" s="421"/>
      <c r="AB423" s="421"/>
      <c r="AC423" s="421"/>
      <c r="AD423" s="421"/>
      <c r="AE423" s="421"/>
      <c r="AF423" s="421"/>
      <c r="AG423" s="421"/>
      <c r="AH423" s="421"/>
      <c r="AI423" s="421"/>
      <c r="AJ423" s="421"/>
      <c r="AK423" s="421"/>
      <c r="AL423" s="421"/>
      <c r="AM423" s="422"/>
      <c r="AN423" s="422"/>
      <c r="AO423" s="422"/>
      <c r="AP423" s="422"/>
      <c r="AQ423" s="422"/>
      <c r="AR423" s="422"/>
      <c r="AS423" s="422"/>
      <c r="AT423" s="422"/>
      <c r="AU423" s="422"/>
      <c r="AV423" s="422"/>
      <c r="AW423" s="422"/>
      <c r="AX423" s="422"/>
      <c r="AY423" s="422"/>
    </row>
    <row r="424" spans="1:51" x14ac:dyDescent="0.25">
      <c r="A424" s="3"/>
      <c r="B424" s="3"/>
      <c r="C424" s="3"/>
      <c r="D424" s="3"/>
      <c r="E424" s="3"/>
      <c r="F424" s="3"/>
      <c r="G424" s="3"/>
      <c r="H424" s="3"/>
      <c r="I424" s="3"/>
      <c r="J424" s="13"/>
      <c r="K424" s="13"/>
      <c r="L424" s="13"/>
      <c r="M424" s="13"/>
      <c r="N424" s="13"/>
      <c r="O424" s="13"/>
      <c r="P424" s="13"/>
      <c r="Q424" s="13"/>
      <c r="R424" s="13"/>
      <c r="S424" s="421"/>
      <c r="T424" s="421"/>
      <c r="U424" s="421"/>
      <c r="V424" s="421"/>
      <c r="W424" s="421"/>
      <c r="X424" s="421"/>
      <c r="Y424" s="421"/>
      <c r="Z424" s="421"/>
      <c r="AA424" s="421"/>
      <c r="AB424" s="421"/>
      <c r="AC424" s="421"/>
      <c r="AD424" s="421"/>
      <c r="AE424" s="421"/>
      <c r="AF424" s="421"/>
      <c r="AG424" s="421"/>
      <c r="AH424" s="421"/>
      <c r="AI424" s="421"/>
      <c r="AJ424" s="421"/>
      <c r="AK424" s="421"/>
      <c r="AL424" s="421"/>
      <c r="AM424" s="422"/>
      <c r="AN424" s="422"/>
      <c r="AO424" s="422"/>
      <c r="AP424" s="422"/>
      <c r="AQ424" s="422"/>
      <c r="AR424" s="422"/>
      <c r="AS424" s="422"/>
      <c r="AT424" s="422"/>
      <c r="AU424" s="422"/>
      <c r="AV424" s="422"/>
      <c r="AW424" s="422"/>
      <c r="AX424" s="422"/>
      <c r="AY424" s="422"/>
    </row>
    <row r="425" spans="1:51" x14ac:dyDescent="0.25">
      <c r="A425" s="3"/>
      <c r="B425" s="3"/>
      <c r="C425" s="3"/>
      <c r="D425" s="3"/>
      <c r="E425" s="3"/>
      <c r="F425" s="3"/>
      <c r="G425" s="3"/>
      <c r="H425" s="3"/>
      <c r="I425" s="3"/>
      <c r="J425" s="13"/>
      <c r="K425" s="13"/>
      <c r="L425" s="13"/>
      <c r="M425" s="13"/>
      <c r="N425" s="13"/>
      <c r="O425" s="13"/>
      <c r="P425" s="13"/>
      <c r="Q425" s="13"/>
      <c r="R425" s="13"/>
      <c r="S425" s="421"/>
      <c r="T425" s="421"/>
      <c r="U425" s="421"/>
      <c r="V425" s="421"/>
      <c r="W425" s="421"/>
      <c r="X425" s="421"/>
      <c r="Y425" s="421"/>
      <c r="Z425" s="421"/>
      <c r="AA425" s="421"/>
      <c r="AB425" s="421"/>
      <c r="AC425" s="421"/>
      <c r="AD425" s="421"/>
      <c r="AE425" s="421"/>
      <c r="AF425" s="421"/>
      <c r="AG425" s="421"/>
      <c r="AH425" s="421"/>
      <c r="AI425" s="421"/>
      <c r="AJ425" s="421"/>
      <c r="AK425" s="421"/>
      <c r="AL425" s="421"/>
      <c r="AM425" s="422"/>
      <c r="AN425" s="422"/>
      <c r="AO425" s="422"/>
      <c r="AP425" s="422"/>
      <c r="AQ425" s="422"/>
      <c r="AR425" s="422"/>
      <c r="AS425" s="422"/>
      <c r="AT425" s="422"/>
      <c r="AU425" s="422"/>
      <c r="AV425" s="422"/>
      <c r="AW425" s="422"/>
      <c r="AX425" s="422"/>
      <c r="AY425" s="422"/>
    </row>
    <row r="426" spans="1:51" x14ac:dyDescent="0.25">
      <c r="A426" s="3"/>
      <c r="B426" s="3"/>
      <c r="C426" s="3"/>
      <c r="D426" s="3"/>
      <c r="E426" s="3"/>
      <c r="F426" s="3"/>
      <c r="G426" s="3"/>
      <c r="H426" s="3"/>
      <c r="I426" s="3"/>
      <c r="J426" s="13"/>
      <c r="K426" s="13"/>
      <c r="L426" s="13"/>
      <c r="M426" s="13"/>
      <c r="N426" s="13"/>
      <c r="O426" s="13"/>
      <c r="P426" s="13"/>
      <c r="Q426" s="13"/>
      <c r="R426" s="13"/>
      <c r="S426" s="421"/>
      <c r="T426" s="421"/>
      <c r="U426" s="421"/>
      <c r="V426" s="421"/>
      <c r="W426" s="421"/>
      <c r="X426" s="421"/>
      <c r="Y426" s="421"/>
      <c r="Z426" s="421"/>
      <c r="AA426" s="421"/>
      <c r="AB426" s="421"/>
      <c r="AC426" s="421"/>
      <c r="AD426" s="421"/>
      <c r="AE426" s="421"/>
      <c r="AF426" s="421"/>
      <c r="AG426" s="421"/>
      <c r="AH426" s="421"/>
      <c r="AI426" s="421"/>
      <c r="AJ426" s="421"/>
      <c r="AK426" s="421"/>
      <c r="AL426" s="421"/>
      <c r="AM426" s="422"/>
      <c r="AN426" s="422"/>
      <c r="AO426" s="422"/>
      <c r="AP426" s="422"/>
      <c r="AQ426" s="422"/>
      <c r="AR426" s="422"/>
      <c r="AS426" s="422"/>
      <c r="AT426" s="422"/>
      <c r="AU426" s="422"/>
      <c r="AV426" s="422"/>
      <c r="AW426" s="422"/>
      <c r="AX426" s="422"/>
      <c r="AY426" s="422"/>
    </row>
    <row r="427" spans="1:51" x14ac:dyDescent="0.25">
      <c r="A427" s="3"/>
      <c r="B427" s="3"/>
      <c r="C427" s="3"/>
      <c r="D427" s="3"/>
      <c r="E427" s="3"/>
      <c r="F427" s="3"/>
      <c r="G427" s="3"/>
      <c r="H427" s="3"/>
      <c r="I427" s="3"/>
      <c r="J427" s="13"/>
      <c r="K427" s="13"/>
      <c r="L427" s="13"/>
      <c r="M427" s="13"/>
      <c r="N427" s="13"/>
      <c r="O427" s="13"/>
      <c r="P427" s="13"/>
      <c r="Q427" s="13"/>
      <c r="R427" s="13"/>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2"/>
      <c r="AN427" s="422"/>
      <c r="AO427" s="422"/>
      <c r="AP427" s="422"/>
      <c r="AQ427" s="422"/>
      <c r="AR427" s="422"/>
      <c r="AS427" s="422"/>
      <c r="AT427" s="422"/>
      <c r="AU427" s="422"/>
      <c r="AV427" s="422"/>
      <c r="AW427" s="422"/>
      <c r="AX427" s="422"/>
      <c r="AY427" s="422"/>
    </row>
    <row r="428" spans="1:51" x14ac:dyDescent="0.25">
      <c r="A428" s="3"/>
      <c r="B428" s="3"/>
      <c r="C428" s="3"/>
      <c r="D428" s="3"/>
      <c r="E428" s="3"/>
      <c r="F428" s="3"/>
      <c r="G428" s="3"/>
      <c r="H428" s="3"/>
      <c r="I428" s="3"/>
      <c r="J428" s="13"/>
      <c r="K428" s="13"/>
      <c r="L428" s="13"/>
      <c r="M428" s="13"/>
      <c r="N428" s="13"/>
      <c r="O428" s="13"/>
      <c r="P428" s="13"/>
      <c r="Q428" s="13"/>
      <c r="R428" s="13"/>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2"/>
      <c r="AN428" s="422"/>
      <c r="AO428" s="422"/>
      <c r="AP428" s="422"/>
      <c r="AQ428" s="422"/>
      <c r="AR428" s="422"/>
      <c r="AS428" s="422"/>
      <c r="AT428" s="422"/>
      <c r="AU428" s="422"/>
      <c r="AV428" s="422"/>
      <c r="AW428" s="422"/>
      <c r="AX428" s="422"/>
      <c r="AY428" s="422"/>
    </row>
    <row r="429" spans="1:51" x14ac:dyDescent="0.25">
      <c r="A429" s="3"/>
      <c r="B429" s="3"/>
      <c r="C429" s="3"/>
      <c r="D429" s="3"/>
      <c r="E429" s="3"/>
      <c r="F429" s="3"/>
      <c r="G429" s="3"/>
      <c r="H429" s="3"/>
      <c r="I429" s="3"/>
      <c r="J429" s="13"/>
      <c r="K429" s="13"/>
      <c r="L429" s="13"/>
      <c r="M429" s="13"/>
      <c r="N429" s="13"/>
      <c r="O429" s="13"/>
      <c r="P429" s="13"/>
      <c r="Q429" s="13"/>
      <c r="R429" s="13"/>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2"/>
      <c r="AN429" s="422"/>
      <c r="AO429" s="422"/>
      <c r="AP429" s="422"/>
      <c r="AQ429" s="422"/>
      <c r="AR429" s="422"/>
      <c r="AS429" s="422"/>
      <c r="AT429" s="422"/>
      <c r="AU429" s="422"/>
      <c r="AV429" s="422"/>
      <c r="AW429" s="422"/>
      <c r="AX429" s="422"/>
      <c r="AY429" s="422"/>
    </row>
    <row r="430" spans="1:51" x14ac:dyDescent="0.25">
      <c r="A430" s="3"/>
      <c r="B430" s="3"/>
      <c r="C430" s="3"/>
      <c r="D430" s="3"/>
      <c r="E430" s="3"/>
      <c r="F430" s="3"/>
      <c r="G430" s="3"/>
      <c r="H430" s="3"/>
      <c r="I430" s="3"/>
      <c r="J430" s="13"/>
      <c r="K430" s="13"/>
      <c r="L430" s="13"/>
      <c r="M430" s="13"/>
      <c r="N430" s="13"/>
      <c r="O430" s="13"/>
      <c r="P430" s="13"/>
      <c r="Q430" s="13"/>
      <c r="R430" s="13"/>
      <c r="S430" s="421"/>
      <c r="T430" s="421"/>
      <c r="U430" s="421"/>
      <c r="V430" s="421"/>
      <c r="W430" s="421"/>
      <c r="X430" s="421"/>
      <c r="Y430" s="421"/>
      <c r="Z430" s="421"/>
      <c r="AA430" s="421"/>
      <c r="AB430" s="421"/>
      <c r="AC430" s="421"/>
      <c r="AD430" s="421"/>
      <c r="AE430" s="421"/>
      <c r="AF430" s="421"/>
      <c r="AG430" s="421"/>
      <c r="AH430" s="421"/>
      <c r="AI430" s="421"/>
      <c r="AJ430" s="421"/>
      <c r="AK430" s="421"/>
      <c r="AL430" s="421"/>
      <c r="AM430" s="422"/>
      <c r="AN430" s="422"/>
      <c r="AO430" s="422"/>
      <c r="AP430" s="422"/>
      <c r="AQ430" s="422"/>
      <c r="AR430" s="422"/>
      <c r="AS430" s="422"/>
      <c r="AT430" s="422"/>
      <c r="AU430" s="422"/>
      <c r="AV430" s="422"/>
      <c r="AW430" s="422"/>
      <c r="AX430" s="422"/>
      <c r="AY430" s="422"/>
    </row>
    <row r="431" spans="1:51" x14ac:dyDescent="0.25">
      <c r="A431" s="3"/>
      <c r="B431" s="3"/>
      <c r="C431" s="3"/>
      <c r="D431" s="3"/>
      <c r="E431" s="3"/>
      <c r="F431" s="3"/>
      <c r="G431" s="3"/>
      <c r="H431" s="3"/>
      <c r="I431" s="3"/>
      <c r="J431" s="13"/>
      <c r="K431" s="13"/>
      <c r="L431" s="13"/>
      <c r="M431" s="13"/>
      <c r="N431" s="13"/>
      <c r="O431" s="13"/>
      <c r="P431" s="13"/>
      <c r="Q431" s="13"/>
      <c r="R431" s="13"/>
      <c r="S431" s="421"/>
      <c r="T431" s="421"/>
      <c r="U431" s="421"/>
      <c r="V431" s="421"/>
      <c r="W431" s="421"/>
      <c r="X431" s="421"/>
      <c r="Y431" s="421"/>
      <c r="Z431" s="421"/>
      <c r="AA431" s="421"/>
      <c r="AB431" s="421"/>
      <c r="AC431" s="421"/>
      <c r="AD431" s="421"/>
      <c r="AE431" s="421"/>
      <c r="AF431" s="421"/>
      <c r="AG431" s="421"/>
      <c r="AH431" s="421"/>
      <c r="AI431" s="421"/>
      <c r="AJ431" s="421"/>
      <c r="AK431" s="421"/>
      <c r="AL431" s="421"/>
      <c r="AM431" s="422"/>
      <c r="AN431" s="422"/>
      <c r="AO431" s="422"/>
      <c r="AP431" s="422"/>
      <c r="AQ431" s="422"/>
      <c r="AR431" s="422"/>
      <c r="AS431" s="422"/>
      <c r="AT431" s="422"/>
      <c r="AU431" s="422"/>
      <c r="AV431" s="422"/>
      <c r="AW431" s="422"/>
      <c r="AX431" s="422"/>
      <c r="AY431" s="422"/>
    </row>
    <row r="432" spans="1:51" x14ac:dyDescent="0.25">
      <c r="A432" s="3"/>
      <c r="B432" s="3"/>
      <c r="C432" s="3"/>
      <c r="D432" s="3"/>
      <c r="E432" s="3"/>
      <c r="F432" s="3"/>
      <c r="G432" s="3"/>
      <c r="H432" s="3"/>
      <c r="I432" s="3"/>
      <c r="J432" s="13"/>
      <c r="K432" s="13"/>
      <c r="L432" s="13"/>
      <c r="M432" s="13"/>
      <c r="N432" s="13"/>
      <c r="O432" s="13"/>
      <c r="P432" s="13"/>
      <c r="Q432" s="13"/>
      <c r="R432" s="13"/>
      <c r="S432" s="421"/>
      <c r="T432" s="421"/>
      <c r="U432" s="421"/>
      <c r="V432" s="421"/>
      <c r="W432" s="421"/>
      <c r="X432" s="421"/>
      <c r="Y432" s="421"/>
      <c r="Z432" s="421"/>
      <c r="AA432" s="421"/>
      <c r="AB432" s="421"/>
      <c r="AC432" s="421"/>
      <c r="AD432" s="421"/>
      <c r="AE432" s="421"/>
      <c r="AF432" s="421"/>
      <c r="AG432" s="421"/>
      <c r="AH432" s="421"/>
      <c r="AI432" s="421"/>
      <c r="AJ432" s="421"/>
      <c r="AK432" s="421"/>
      <c r="AL432" s="421"/>
      <c r="AM432" s="422"/>
      <c r="AN432" s="422"/>
      <c r="AO432" s="422"/>
      <c r="AP432" s="422"/>
      <c r="AQ432" s="422"/>
      <c r="AR432" s="422"/>
      <c r="AS432" s="422"/>
      <c r="AT432" s="422"/>
      <c r="AU432" s="422"/>
      <c r="AV432" s="422"/>
      <c r="AW432" s="422"/>
      <c r="AX432" s="422"/>
      <c r="AY432" s="422"/>
    </row>
    <row r="433" spans="1:51" x14ac:dyDescent="0.25">
      <c r="A433" s="3"/>
      <c r="B433" s="3"/>
      <c r="C433" s="3"/>
      <c r="D433" s="3"/>
      <c r="E433" s="3"/>
      <c r="F433" s="3"/>
      <c r="G433" s="3"/>
      <c r="H433" s="3"/>
      <c r="I433" s="3"/>
      <c r="J433" s="13"/>
      <c r="K433" s="13"/>
      <c r="L433" s="13"/>
      <c r="M433" s="13"/>
      <c r="N433" s="13"/>
      <c r="O433" s="13"/>
      <c r="P433" s="13"/>
      <c r="Q433" s="13"/>
      <c r="R433" s="13"/>
      <c r="S433" s="421"/>
      <c r="T433" s="421"/>
      <c r="U433" s="421"/>
      <c r="V433" s="421"/>
      <c r="W433" s="421"/>
      <c r="X433" s="421"/>
      <c r="Y433" s="421"/>
      <c r="Z433" s="421"/>
      <c r="AA433" s="421"/>
      <c r="AB433" s="421"/>
      <c r="AC433" s="421"/>
      <c r="AD433" s="421"/>
      <c r="AE433" s="421"/>
      <c r="AF433" s="421"/>
      <c r="AG433" s="421"/>
      <c r="AH433" s="421"/>
      <c r="AI433" s="421"/>
      <c r="AJ433" s="421"/>
      <c r="AK433" s="421"/>
      <c r="AL433" s="421"/>
      <c r="AM433" s="422"/>
      <c r="AN433" s="422"/>
      <c r="AO433" s="422"/>
      <c r="AP433" s="422"/>
      <c r="AQ433" s="422"/>
      <c r="AR433" s="422"/>
      <c r="AS433" s="422"/>
      <c r="AT433" s="422"/>
      <c r="AU433" s="422"/>
      <c r="AV433" s="422"/>
      <c r="AW433" s="422"/>
      <c r="AX433" s="422"/>
      <c r="AY433" s="422"/>
    </row>
    <row r="434" spans="1:51" x14ac:dyDescent="0.25">
      <c r="A434" s="3"/>
      <c r="B434" s="3"/>
      <c r="C434" s="3"/>
      <c r="D434" s="3"/>
      <c r="E434" s="3"/>
      <c r="F434" s="3"/>
      <c r="G434" s="3"/>
      <c r="H434" s="3"/>
      <c r="I434" s="3"/>
      <c r="J434" s="13"/>
      <c r="K434" s="13"/>
      <c r="L434" s="13"/>
      <c r="M434" s="13"/>
      <c r="N434" s="13"/>
      <c r="O434" s="13"/>
      <c r="P434" s="13"/>
      <c r="Q434" s="13"/>
      <c r="R434" s="13"/>
      <c r="S434" s="421"/>
      <c r="T434" s="421"/>
      <c r="U434" s="421"/>
      <c r="V434" s="421"/>
      <c r="W434" s="421"/>
      <c r="X434" s="421"/>
      <c r="Y434" s="421"/>
      <c r="Z434" s="421"/>
      <c r="AA434" s="421"/>
      <c r="AB434" s="421"/>
      <c r="AC434" s="421"/>
      <c r="AD434" s="421"/>
      <c r="AE434" s="421"/>
      <c r="AF434" s="421"/>
      <c r="AG434" s="421"/>
      <c r="AH434" s="421"/>
      <c r="AI434" s="421"/>
      <c r="AJ434" s="421"/>
      <c r="AK434" s="421"/>
      <c r="AL434" s="421"/>
      <c r="AM434" s="422"/>
      <c r="AN434" s="422"/>
      <c r="AO434" s="422"/>
      <c r="AP434" s="422"/>
      <c r="AQ434" s="422"/>
      <c r="AR434" s="422"/>
      <c r="AS434" s="422"/>
      <c r="AT434" s="422"/>
      <c r="AU434" s="422"/>
      <c r="AV434" s="422"/>
      <c r="AW434" s="422"/>
      <c r="AX434" s="422"/>
      <c r="AY434" s="422"/>
    </row>
    <row r="435" spans="1:51" x14ac:dyDescent="0.25">
      <c r="A435" s="3"/>
      <c r="B435" s="3"/>
      <c r="C435" s="3"/>
      <c r="D435" s="3"/>
      <c r="E435" s="3"/>
      <c r="F435" s="3"/>
      <c r="G435" s="3"/>
      <c r="H435" s="3"/>
      <c r="I435" s="3"/>
      <c r="J435" s="13"/>
      <c r="K435" s="13"/>
      <c r="L435" s="13"/>
      <c r="M435" s="13"/>
      <c r="N435" s="13"/>
      <c r="O435" s="13"/>
      <c r="P435" s="13"/>
      <c r="Q435" s="13"/>
      <c r="R435" s="13"/>
      <c r="S435" s="421"/>
      <c r="T435" s="421"/>
      <c r="U435" s="421"/>
      <c r="V435" s="421"/>
      <c r="W435" s="421"/>
      <c r="X435" s="421"/>
      <c r="Y435" s="421"/>
      <c r="Z435" s="421"/>
      <c r="AA435" s="421"/>
      <c r="AB435" s="421"/>
      <c r="AC435" s="421"/>
      <c r="AD435" s="421"/>
      <c r="AE435" s="421"/>
      <c r="AF435" s="421"/>
      <c r="AG435" s="421"/>
      <c r="AH435" s="421"/>
      <c r="AI435" s="421"/>
      <c r="AJ435" s="421"/>
      <c r="AK435" s="421"/>
      <c r="AL435" s="421"/>
      <c r="AM435" s="422"/>
      <c r="AN435" s="422"/>
      <c r="AO435" s="422"/>
      <c r="AP435" s="422"/>
      <c r="AQ435" s="422"/>
      <c r="AR435" s="422"/>
      <c r="AS435" s="422"/>
      <c r="AT435" s="422"/>
      <c r="AU435" s="422"/>
      <c r="AV435" s="422"/>
      <c r="AW435" s="422"/>
      <c r="AX435" s="422"/>
      <c r="AY435" s="422"/>
    </row>
    <row r="436" spans="1:51" x14ac:dyDescent="0.25">
      <c r="A436" s="3"/>
      <c r="B436" s="3"/>
      <c r="C436" s="3"/>
      <c r="D436" s="3"/>
      <c r="E436" s="3"/>
      <c r="F436" s="3"/>
      <c r="G436" s="3"/>
      <c r="H436" s="3"/>
      <c r="I436" s="3"/>
      <c r="J436" s="13"/>
      <c r="K436" s="13"/>
      <c r="L436" s="13"/>
      <c r="M436" s="13"/>
      <c r="N436" s="13"/>
      <c r="O436" s="13"/>
      <c r="P436" s="13"/>
      <c r="Q436" s="13"/>
      <c r="R436" s="13"/>
      <c r="S436" s="421"/>
      <c r="T436" s="421"/>
      <c r="U436" s="421"/>
      <c r="V436" s="421"/>
      <c r="W436" s="421"/>
      <c r="X436" s="421"/>
      <c r="Y436" s="421"/>
      <c r="Z436" s="421"/>
      <c r="AA436" s="421"/>
      <c r="AB436" s="421"/>
      <c r="AC436" s="421"/>
      <c r="AD436" s="421"/>
      <c r="AE436" s="421"/>
      <c r="AF436" s="421"/>
      <c r="AG436" s="421"/>
      <c r="AH436" s="421"/>
      <c r="AI436" s="421"/>
      <c r="AJ436" s="421"/>
      <c r="AK436" s="421"/>
      <c r="AL436" s="421"/>
      <c r="AM436" s="422"/>
      <c r="AN436" s="422"/>
      <c r="AO436" s="422"/>
      <c r="AP436" s="422"/>
      <c r="AQ436" s="422"/>
      <c r="AR436" s="422"/>
      <c r="AS436" s="422"/>
      <c r="AT436" s="422"/>
      <c r="AU436" s="422"/>
      <c r="AV436" s="422"/>
      <c r="AW436" s="422"/>
      <c r="AX436" s="422"/>
      <c r="AY436" s="422"/>
    </row>
    <row r="437" spans="1:51" x14ac:dyDescent="0.25">
      <c r="A437" s="3"/>
      <c r="B437" s="3"/>
      <c r="C437" s="3"/>
      <c r="D437" s="3"/>
      <c r="E437" s="3"/>
      <c r="F437" s="3"/>
      <c r="G437" s="3"/>
      <c r="H437" s="3"/>
      <c r="I437" s="3"/>
      <c r="J437" s="13"/>
      <c r="K437" s="13"/>
      <c r="L437" s="13"/>
      <c r="M437" s="13"/>
      <c r="N437" s="13"/>
      <c r="O437" s="13"/>
      <c r="P437" s="13"/>
      <c r="Q437" s="13"/>
      <c r="R437" s="13"/>
      <c r="S437" s="421"/>
      <c r="T437" s="421"/>
      <c r="U437" s="421"/>
      <c r="V437" s="421"/>
      <c r="W437" s="421"/>
      <c r="X437" s="421"/>
      <c r="Y437" s="421"/>
      <c r="Z437" s="421"/>
      <c r="AA437" s="421"/>
      <c r="AB437" s="421"/>
      <c r="AC437" s="421"/>
      <c r="AD437" s="421"/>
      <c r="AE437" s="421"/>
      <c r="AF437" s="421"/>
      <c r="AG437" s="421"/>
      <c r="AH437" s="421"/>
      <c r="AI437" s="421"/>
      <c r="AJ437" s="421"/>
      <c r="AK437" s="421"/>
      <c r="AL437" s="421"/>
      <c r="AM437" s="422"/>
      <c r="AN437" s="422"/>
      <c r="AO437" s="422"/>
      <c r="AP437" s="422"/>
      <c r="AQ437" s="422"/>
      <c r="AR437" s="422"/>
      <c r="AS437" s="422"/>
      <c r="AT437" s="422"/>
      <c r="AU437" s="422"/>
      <c r="AV437" s="422"/>
      <c r="AW437" s="422"/>
      <c r="AX437" s="422"/>
      <c r="AY437" s="422"/>
    </row>
    <row r="438" spans="1:51" x14ac:dyDescent="0.25">
      <c r="A438" s="3"/>
      <c r="B438" s="3"/>
      <c r="C438" s="3"/>
      <c r="D438" s="3"/>
      <c r="E438" s="3"/>
      <c r="F438" s="3"/>
      <c r="G438" s="3"/>
      <c r="H438" s="3"/>
      <c r="I438" s="3"/>
      <c r="J438" s="13"/>
      <c r="K438" s="13"/>
      <c r="L438" s="13"/>
      <c r="M438" s="13"/>
      <c r="N438" s="13"/>
      <c r="O438" s="13"/>
      <c r="P438" s="13"/>
      <c r="Q438" s="13"/>
      <c r="R438" s="13"/>
      <c r="S438" s="421"/>
      <c r="T438" s="421"/>
      <c r="U438" s="421"/>
      <c r="V438" s="421"/>
      <c r="W438" s="421"/>
      <c r="X438" s="421"/>
      <c r="Y438" s="421"/>
      <c r="Z438" s="421"/>
      <c r="AA438" s="421"/>
      <c r="AB438" s="421"/>
      <c r="AC438" s="421"/>
      <c r="AD438" s="421"/>
      <c r="AE438" s="421"/>
      <c r="AF438" s="421"/>
      <c r="AG438" s="421"/>
      <c r="AH438" s="421"/>
      <c r="AI438" s="421"/>
      <c r="AJ438" s="421"/>
      <c r="AK438" s="421"/>
      <c r="AL438" s="421"/>
      <c r="AM438" s="422"/>
      <c r="AN438" s="422"/>
      <c r="AO438" s="422"/>
      <c r="AP438" s="422"/>
      <c r="AQ438" s="422"/>
      <c r="AR438" s="422"/>
      <c r="AS438" s="422"/>
      <c r="AT438" s="422"/>
      <c r="AU438" s="422"/>
      <c r="AV438" s="422"/>
      <c r="AW438" s="422"/>
      <c r="AX438" s="422"/>
      <c r="AY438" s="422"/>
    </row>
    <row r="439" spans="1:51" x14ac:dyDescent="0.25">
      <c r="A439" s="3"/>
      <c r="B439" s="3"/>
      <c r="C439" s="3"/>
      <c r="D439" s="3"/>
      <c r="E439" s="3"/>
      <c r="F439" s="3"/>
      <c r="G439" s="3"/>
      <c r="H439" s="3"/>
      <c r="I439" s="3"/>
      <c r="J439" s="13"/>
      <c r="K439" s="13"/>
      <c r="L439" s="13"/>
      <c r="M439" s="13"/>
      <c r="N439" s="13"/>
      <c r="O439" s="13"/>
      <c r="P439" s="13"/>
      <c r="Q439" s="13"/>
      <c r="R439" s="13"/>
      <c r="S439" s="421"/>
      <c r="T439" s="421"/>
      <c r="U439" s="421"/>
      <c r="V439" s="421"/>
      <c r="W439" s="421"/>
      <c r="X439" s="421"/>
      <c r="Y439" s="421"/>
      <c r="Z439" s="421"/>
      <c r="AA439" s="421"/>
      <c r="AB439" s="421"/>
      <c r="AC439" s="421"/>
      <c r="AD439" s="421"/>
      <c r="AE439" s="421"/>
      <c r="AF439" s="421"/>
      <c r="AG439" s="421"/>
      <c r="AH439" s="421"/>
      <c r="AI439" s="421"/>
      <c r="AJ439" s="421"/>
      <c r="AK439" s="421"/>
      <c r="AL439" s="421"/>
      <c r="AM439" s="422"/>
      <c r="AN439" s="422"/>
      <c r="AO439" s="422"/>
      <c r="AP439" s="422"/>
      <c r="AQ439" s="422"/>
      <c r="AR439" s="422"/>
      <c r="AS439" s="422"/>
      <c r="AT439" s="422"/>
      <c r="AU439" s="422"/>
      <c r="AV439" s="422"/>
      <c r="AW439" s="422"/>
      <c r="AX439" s="422"/>
      <c r="AY439" s="422"/>
    </row>
    <row r="440" spans="1:51" x14ac:dyDescent="0.25">
      <c r="A440" s="3"/>
      <c r="B440" s="3"/>
      <c r="C440" s="3"/>
      <c r="D440" s="3"/>
      <c r="E440" s="3"/>
      <c r="F440" s="3"/>
      <c r="G440" s="3"/>
      <c r="H440" s="3"/>
      <c r="I440" s="3"/>
      <c r="J440" s="13"/>
      <c r="K440" s="13"/>
      <c r="L440" s="13"/>
      <c r="M440" s="13"/>
      <c r="N440" s="13"/>
      <c r="O440" s="13"/>
      <c r="P440" s="13"/>
      <c r="Q440" s="13"/>
      <c r="R440" s="13"/>
      <c r="S440" s="421"/>
      <c r="T440" s="421"/>
      <c r="U440" s="421"/>
      <c r="V440" s="421"/>
      <c r="W440" s="421"/>
      <c r="X440" s="421"/>
      <c r="Y440" s="421"/>
      <c r="Z440" s="421"/>
      <c r="AA440" s="421"/>
      <c r="AB440" s="421"/>
      <c r="AC440" s="421"/>
      <c r="AD440" s="421"/>
      <c r="AE440" s="421"/>
      <c r="AF440" s="421"/>
      <c r="AG440" s="421"/>
      <c r="AH440" s="421"/>
      <c r="AI440" s="421"/>
      <c r="AJ440" s="421"/>
      <c r="AK440" s="421"/>
      <c r="AL440" s="421"/>
      <c r="AM440" s="422"/>
      <c r="AN440" s="422"/>
      <c r="AO440" s="422"/>
      <c r="AP440" s="422"/>
      <c r="AQ440" s="422"/>
      <c r="AR440" s="422"/>
      <c r="AS440" s="422"/>
      <c r="AT440" s="422"/>
      <c r="AU440" s="422"/>
      <c r="AV440" s="422"/>
      <c r="AW440" s="422"/>
      <c r="AX440" s="422"/>
      <c r="AY440" s="422"/>
    </row>
    <row r="441" spans="1:51" x14ac:dyDescent="0.25">
      <c r="A441" s="3"/>
      <c r="B441" s="3"/>
      <c r="C441" s="3"/>
      <c r="D441" s="3"/>
      <c r="E441" s="3"/>
      <c r="F441" s="3"/>
      <c r="G441" s="3"/>
      <c r="H441" s="3"/>
      <c r="I441" s="3"/>
      <c r="J441" s="13"/>
      <c r="K441" s="13"/>
      <c r="L441" s="13"/>
      <c r="M441" s="13"/>
      <c r="N441" s="13"/>
      <c r="O441" s="13"/>
      <c r="P441" s="13"/>
      <c r="Q441" s="13"/>
      <c r="R441" s="13"/>
      <c r="S441" s="421"/>
      <c r="T441" s="421"/>
      <c r="U441" s="421"/>
      <c r="V441" s="421"/>
      <c r="W441" s="421"/>
      <c r="X441" s="421"/>
      <c r="Y441" s="421"/>
      <c r="Z441" s="421"/>
      <c r="AA441" s="421"/>
      <c r="AB441" s="421"/>
      <c r="AC441" s="421"/>
      <c r="AD441" s="421"/>
      <c r="AE441" s="421"/>
      <c r="AF441" s="421"/>
      <c r="AG441" s="421"/>
      <c r="AH441" s="421"/>
      <c r="AI441" s="421"/>
      <c r="AJ441" s="421"/>
      <c r="AK441" s="421"/>
      <c r="AL441" s="421"/>
      <c r="AM441" s="422"/>
      <c r="AN441" s="422"/>
      <c r="AO441" s="422"/>
      <c r="AP441" s="422"/>
      <c r="AQ441" s="422"/>
      <c r="AR441" s="422"/>
      <c r="AS441" s="422"/>
      <c r="AT441" s="422"/>
      <c r="AU441" s="422"/>
      <c r="AV441" s="422"/>
      <c r="AW441" s="422"/>
      <c r="AX441" s="422"/>
      <c r="AY441" s="422"/>
    </row>
    <row r="442" spans="1:51" x14ac:dyDescent="0.25">
      <c r="A442" s="3"/>
      <c r="B442" s="3"/>
      <c r="C442" s="3"/>
      <c r="D442" s="3"/>
      <c r="E442" s="3"/>
      <c r="F442" s="3"/>
      <c r="G442" s="3"/>
      <c r="H442" s="3"/>
      <c r="I442" s="3"/>
      <c r="J442" s="13"/>
      <c r="K442" s="13"/>
      <c r="L442" s="13"/>
      <c r="M442" s="13"/>
      <c r="N442" s="13"/>
      <c r="O442" s="13"/>
      <c r="P442" s="13"/>
      <c r="Q442" s="13"/>
      <c r="R442" s="13"/>
      <c r="S442" s="421"/>
      <c r="T442" s="421"/>
      <c r="U442" s="421"/>
      <c r="V442" s="421"/>
      <c r="W442" s="421"/>
      <c r="X442" s="421"/>
      <c r="Y442" s="421"/>
      <c r="Z442" s="421"/>
      <c r="AA442" s="421"/>
      <c r="AB442" s="421"/>
      <c r="AC442" s="421"/>
      <c r="AD442" s="421"/>
      <c r="AE442" s="421"/>
      <c r="AF442" s="421"/>
      <c r="AG442" s="421"/>
      <c r="AH442" s="421"/>
      <c r="AI442" s="421"/>
      <c r="AJ442" s="421"/>
      <c r="AK442" s="421"/>
      <c r="AL442" s="421"/>
      <c r="AM442" s="422"/>
      <c r="AN442" s="422"/>
      <c r="AO442" s="422"/>
      <c r="AP442" s="422"/>
      <c r="AQ442" s="422"/>
      <c r="AR442" s="422"/>
      <c r="AS442" s="422"/>
      <c r="AT442" s="422"/>
      <c r="AU442" s="422"/>
      <c r="AV442" s="422"/>
      <c r="AW442" s="422"/>
      <c r="AX442" s="422"/>
      <c r="AY442" s="422"/>
    </row>
    <row r="443" spans="1:51" x14ac:dyDescent="0.25">
      <c r="A443" s="3"/>
      <c r="B443" s="3"/>
      <c r="C443" s="3"/>
      <c r="D443" s="3"/>
      <c r="E443" s="3"/>
      <c r="F443" s="3"/>
      <c r="G443" s="3"/>
      <c r="H443" s="3"/>
      <c r="I443" s="3"/>
      <c r="J443" s="13"/>
      <c r="K443" s="13"/>
      <c r="L443" s="13"/>
      <c r="M443" s="13"/>
      <c r="N443" s="13"/>
      <c r="O443" s="13"/>
      <c r="P443" s="13"/>
      <c r="Q443" s="13"/>
      <c r="R443" s="13"/>
      <c r="S443" s="421"/>
      <c r="T443" s="421"/>
      <c r="U443" s="421"/>
      <c r="V443" s="421"/>
      <c r="W443" s="421"/>
      <c r="X443" s="421"/>
      <c r="Y443" s="421"/>
      <c r="Z443" s="421"/>
      <c r="AA443" s="421"/>
      <c r="AB443" s="421"/>
      <c r="AC443" s="421"/>
      <c r="AD443" s="421"/>
      <c r="AE443" s="421"/>
      <c r="AF443" s="421"/>
      <c r="AG443" s="421"/>
      <c r="AH443" s="421"/>
      <c r="AI443" s="421"/>
      <c r="AJ443" s="421"/>
      <c r="AK443" s="421"/>
      <c r="AL443" s="421"/>
      <c r="AM443" s="422"/>
      <c r="AN443" s="422"/>
      <c r="AO443" s="422"/>
      <c r="AP443" s="422"/>
      <c r="AQ443" s="422"/>
      <c r="AR443" s="422"/>
      <c r="AS443" s="422"/>
      <c r="AT443" s="422"/>
      <c r="AU443" s="422"/>
      <c r="AV443" s="422"/>
      <c r="AW443" s="422"/>
      <c r="AX443" s="422"/>
      <c r="AY443" s="422"/>
    </row>
    <row r="444" spans="1:51" x14ac:dyDescent="0.25">
      <c r="A444" s="3"/>
      <c r="B444" s="3"/>
      <c r="C444" s="3"/>
      <c r="D444" s="3"/>
      <c r="E444" s="3"/>
      <c r="F444" s="3"/>
      <c r="G444" s="3"/>
      <c r="H444" s="3"/>
      <c r="I444" s="3"/>
      <c r="J444" s="13"/>
      <c r="K444" s="13"/>
      <c r="L444" s="13"/>
      <c r="M444" s="13"/>
      <c r="N444" s="13"/>
      <c r="O444" s="13"/>
      <c r="P444" s="13"/>
      <c r="Q444" s="13"/>
      <c r="R444" s="13"/>
      <c r="S444" s="421"/>
      <c r="T444" s="421"/>
      <c r="U444" s="421"/>
      <c r="V444" s="421"/>
      <c r="W444" s="421"/>
      <c r="X444" s="421"/>
      <c r="Y444" s="421"/>
      <c r="Z444" s="421"/>
      <c r="AA444" s="421"/>
      <c r="AB444" s="421"/>
      <c r="AC444" s="421"/>
      <c r="AD444" s="421"/>
      <c r="AE444" s="421"/>
      <c r="AF444" s="421"/>
      <c r="AG444" s="421"/>
      <c r="AH444" s="421"/>
      <c r="AI444" s="421"/>
      <c r="AJ444" s="421"/>
      <c r="AK444" s="421"/>
      <c r="AL444" s="421"/>
      <c r="AM444" s="422"/>
      <c r="AN444" s="422"/>
      <c r="AO444" s="422"/>
      <c r="AP444" s="422"/>
      <c r="AQ444" s="422"/>
      <c r="AR444" s="422"/>
      <c r="AS444" s="422"/>
      <c r="AT444" s="422"/>
      <c r="AU444" s="422"/>
      <c r="AV444" s="422"/>
      <c r="AW444" s="422"/>
      <c r="AX444" s="422"/>
      <c r="AY444" s="422"/>
    </row>
    <row r="445" spans="1:51" x14ac:dyDescent="0.25">
      <c r="A445" s="3"/>
      <c r="B445" s="3"/>
      <c r="C445" s="3"/>
      <c r="D445" s="3"/>
      <c r="E445" s="3"/>
      <c r="F445" s="3"/>
      <c r="G445" s="3"/>
      <c r="H445" s="3"/>
      <c r="I445" s="3"/>
      <c r="J445" s="13"/>
      <c r="K445" s="13"/>
      <c r="L445" s="13"/>
      <c r="M445" s="13"/>
      <c r="N445" s="13"/>
      <c r="O445" s="13"/>
      <c r="P445" s="13"/>
      <c r="Q445" s="13"/>
      <c r="R445" s="13"/>
      <c r="S445" s="421"/>
      <c r="T445" s="421"/>
      <c r="U445" s="421"/>
      <c r="V445" s="421"/>
      <c r="W445" s="421"/>
      <c r="X445" s="421"/>
      <c r="Y445" s="421"/>
      <c r="Z445" s="421"/>
      <c r="AA445" s="421"/>
      <c r="AB445" s="421"/>
      <c r="AC445" s="421"/>
      <c r="AD445" s="421"/>
      <c r="AE445" s="421"/>
      <c r="AF445" s="421"/>
      <c r="AG445" s="421"/>
      <c r="AH445" s="421"/>
      <c r="AI445" s="421"/>
      <c r="AJ445" s="421"/>
      <c r="AK445" s="421"/>
      <c r="AL445" s="421"/>
      <c r="AM445" s="422"/>
      <c r="AN445" s="422"/>
      <c r="AO445" s="422"/>
      <c r="AP445" s="422"/>
      <c r="AQ445" s="422"/>
      <c r="AR445" s="422"/>
      <c r="AS445" s="422"/>
      <c r="AT445" s="422"/>
      <c r="AU445" s="422"/>
      <c r="AV445" s="422"/>
      <c r="AW445" s="422"/>
      <c r="AX445" s="422"/>
      <c r="AY445" s="422"/>
    </row>
    <row r="446" spans="1:51" x14ac:dyDescent="0.25">
      <c r="A446" s="3"/>
      <c r="B446" s="3"/>
      <c r="C446" s="3"/>
      <c r="D446" s="3"/>
      <c r="E446" s="3"/>
      <c r="F446" s="3"/>
      <c r="G446" s="3"/>
      <c r="H446" s="3"/>
      <c r="I446" s="3"/>
      <c r="J446" s="13"/>
      <c r="K446" s="13"/>
      <c r="L446" s="13"/>
      <c r="M446" s="13"/>
      <c r="N446" s="13"/>
      <c r="O446" s="13"/>
      <c r="P446" s="13"/>
      <c r="Q446" s="13"/>
      <c r="R446" s="13"/>
      <c r="S446" s="421"/>
      <c r="T446" s="421"/>
      <c r="U446" s="421"/>
      <c r="V446" s="421"/>
      <c r="W446" s="421"/>
      <c r="X446" s="421"/>
      <c r="Y446" s="421"/>
      <c r="Z446" s="421"/>
      <c r="AA446" s="421"/>
      <c r="AB446" s="421"/>
      <c r="AC446" s="421"/>
      <c r="AD446" s="421"/>
      <c r="AE446" s="421"/>
      <c r="AF446" s="421"/>
      <c r="AG446" s="421"/>
      <c r="AH446" s="421"/>
      <c r="AI446" s="421"/>
      <c r="AJ446" s="421"/>
      <c r="AK446" s="421"/>
      <c r="AL446" s="421"/>
      <c r="AM446" s="422"/>
      <c r="AN446" s="422"/>
      <c r="AO446" s="422"/>
      <c r="AP446" s="422"/>
      <c r="AQ446" s="422"/>
      <c r="AR446" s="422"/>
      <c r="AS446" s="422"/>
      <c r="AT446" s="422"/>
      <c r="AU446" s="422"/>
      <c r="AV446" s="422"/>
      <c r="AW446" s="422"/>
      <c r="AX446" s="422"/>
      <c r="AY446" s="422"/>
    </row>
    <row r="447" spans="1:51" x14ac:dyDescent="0.25">
      <c r="A447" s="3"/>
      <c r="B447" s="3"/>
      <c r="C447" s="3"/>
      <c r="D447" s="3"/>
      <c r="E447" s="3"/>
      <c r="F447" s="3"/>
      <c r="G447" s="3"/>
      <c r="H447" s="3"/>
      <c r="I447" s="3"/>
      <c r="J447" s="13"/>
      <c r="K447" s="13"/>
      <c r="L447" s="13"/>
      <c r="M447" s="13"/>
      <c r="N447" s="13"/>
      <c r="O447" s="13"/>
      <c r="P447" s="13"/>
      <c r="Q447" s="13"/>
      <c r="R447" s="13"/>
      <c r="S447" s="421"/>
      <c r="T447" s="421"/>
      <c r="U447" s="421"/>
      <c r="V447" s="421"/>
      <c r="W447" s="421"/>
      <c r="X447" s="421"/>
      <c r="Y447" s="421"/>
      <c r="Z447" s="421"/>
      <c r="AA447" s="421"/>
      <c r="AB447" s="421"/>
      <c r="AC447" s="421"/>
      <c r="AD447" s="421"/>
      <c r="AE447" s="421"/>
      <c r="AF447" s="421"/>
      <c r="AG447" s="421"/>
      <c r="AH447" s="421"/>
      <c r="AI447" s="421"/>
      <c r="AJ447" s="421"/>
      <c r="AK447" s="421"/>
      <c r="AL447" s="421"/>
      <c r="AM447" s="422"/>
      <c r="AN447" s="422"/>
      <c r="AO447" s="422"/>
      <c r="AP447" s="422"/>
      <c r="AQ447" s="422"/>
      <c r="AR447" s="422"/>
      <c r="AS447" s="422"/>
      <c r="AT447" s="422"/>
      <c r="AU447" s="422"/>
      <c r="AV447" s="422"/>
      <c r="AW447" s="422"/>
      <c r="AX447" s="422"/>
      <c r="AY447" s="422"/>
    </row>
    <row r="448" spans="1:51" x14ac:dyDescent="0.25">
      <c r="A448" s="3"/>
      <c r="B448" s="3"/>
      <c r="C448" s="3"/>
      <c r="D448" s="3"/>
      <c r="E448" s="3"/>
      <c r="F448" s="3"/>
      <c r="G448" s="3"/>
      <c r="H448" s="3"/>
      <c r="I448" s="3"/>
      <c r="J448" s="13"/>
      <c r="K448" s="13"/>
      <c r="L448" s="13"/>
      <c r="M448" s="13"/>
      <c r="N448" s="13"/>
      <c r="O448" s="13"/>
      <c r="P448" s="13"/>
      <c r="Q448" s="13"/>
      <c r="R448" s="13"/>
      <c r="S448" s="421"/>
      <c r="T448" s="421"/>
      <c r="U448" s="421"/>
      <c r="V448" s="421"/>
      <c r="W448" s="421"/>
      <c r="X448" s="421"/>
      <c r="Y448" s="421"/>
      <c r="Z448" s="421"/>
      <c r="AA448" s="421"/>
      <c r="AB448" s="421"/>
      <c r="AC448" s="421"/>
      <c r="AD448" s="421"/>
      <c r="AE448" s="421"/>
      <c r="AF448" s="421"/>
      <c r="AG448" s="421"/>
      <c r="AH448" s="421"/>
      <c r="AI448" s="421"/>
      <c r="AJ448" s="421"/>
      <c r="AK448" s="421"/>
      <c r="AL448" s="421"/>
      <c r="AM448" s="422"/>
      <c r="AN448" s="422"/>
      <c r="AO448" s="422"/>
      <c r="AP448" s="422"/>
      <c r="AQ448" s="422"/>
      <c r="AR448" s="422"/>
      <c r="AS448" s="422"/>
      <c r="AT448" s="422"/>
      <c r="AU448" s="422"/>
      <c r="AV448" s="422"/>
      <c r="AW448" s="422"/>
      <c r="AX448" s="422"/>
      <c r="AY448" s="422"/>
    </row>
    <row r="449" spans="1:51" x14ac:dyDescent="0.25">
      <c r="A449" s="3"/>
      <c r="B449" s="3"/>
      <c r="C449" s="3"/>
      <c r="D449" s="3"/>
      <c r="E449" s="3"/>
      <c r="F449" s="3"/>
      <c r="G449" s="3"/>
      <c r="H449" s="3"/>
      <c r="I449" s="3"/>
      <c r="J449" s="13"/>
      <c r="K449" s="13"/>
      <c r="L449" s="13"/>
      <c r="M449" s="13"/>
      <c r="N449" s="13"/>
      <c r="O449" s="13"/>
      <c r="P449" s="13"/>
      <c r="Q449" s="13"/>
      <c r="R449" s="13"/>
      <c r="S449" s="421"/>
      <c r="T449" s="421"/>
      <c r="U449" s="421"/>
      <c r="V449" s="421"/>
      <c r="W449" s="421"/>
      <c r="X449" s="421"/>
      <c r="Y449" s="421"/>
      <c r="Z449" s="421"/>
      <c r="AA449" s="421"/>
      <c r="AB449" s="421"/>
      <c r="AC449" s="421"/>
      <c r="AD449" s="421"/>
      <c r="AE449" s="421"/>
      <c r="AF449" s="421"/>
      <c r="AG449" s="421"/>
      <c r="AH449" s="421"/>
      <c r="AI449" s="421"/>
      <c r="AJ449" s="421"/>
      <c r="AK449" s="421"/>
      <c r="AL449" s="421"/>
      <c r="AM449" s="422"/>
      <c r="AN449" s="422"/>
      <c r="AO449" s="422"/>
      <c r="AP449" s="422"/>
      <c r="AQ449" s="422"/>
      <c r="AR449" s="422"/>
      <c r="AS449" s="422"/>
      <c r="AT449" s="422"/>
      <c r="AU449" s="422"/>
      <c r="AV449" s="422"/>
      <c r="AW449" s="422"/>
      <c r="AX449" s="422"/>
      <c r="AY449" s="422"/>
    </row>
    <row r="450" spans="1:51" x14ac:dyDescent="0.25">
      <c r="A450" s="3"/>
      <c r="B450" s="3"/>
      <c r="C450" s="3"/>
      <c r="D450" s="3"/>
      <c r="E450" s="3"/>
      <c r="F450" s="3"/>
      <c r="G450" s="3"/>
      <c r="H450" s="3"/>
      <c r="I450" s="3"/>
      <c r="J450" s="13"/>
      <c r="K450" s="13"/>
      <c r="L450" s="13"/>
      <c r="M450" s="13"/>
      <c r="N450" s="13"/>
      <c r="O450" s="13"/>
      <c r="P450" s="13"/>
      <c r="Q450" s="13"/>
      <c r="R450" s="13"/>
      <c r="S450" s="421"/>
      <c r="T450" s="421"/>
      <c r="U450" s="421"/>
      <c r="V450" s="421"/>
      <c r="W450" s="421"/>
      <c r="X450" s="421"/>
      <c r="Y450" s="421"/>
      <c r="Z450" s="421"/>
      <c r="AA450" s="421"/>
      <c r="AB450" s="421"/>
      <c r="AC450" s="421"/>
      <c r="AD450" s="421"/>
      <c r="AE450" s="421"/>
      <c r="AF450" s="421"/>
      <c r="AG450" s="421"/>
      <c r="AH450" s="421"/>
      <c r="AI450" s="421"/>
      <c r="AJ450" s="421"/>
      <c r="AK450" s="421"/>
      <c r="AL450" s="421"/>
      <c r="AM450" s="422"/>
      <c r="AN450" s="422"/>
      <c r="AO450" s="422"/>
      <c r="AP450" s="422"/>
      <c r="AQ450" s="422"/>
      <c r="AR450" s="422"/>
      <c r="AS450" s="422"/>
      <c r="AT450" s="422"/>
      <c r="AU450" s="422"/>
      <c r="AV450" s="422"/>
      <c r="AW450" s="422"/>
      <c r="AX450" s="422"/>
      <c r="AY450" s="422"/>
    </row>
    <row r="451" spans="1:51" x14ac:dyDescent="0.25">
      <c r="A451" s="3"/>
      <c r="B451" s="3"/>
      <c r="C451" s="3"/>
      <c r="D451" s="3"/>
      <c r="E451" s="3"/>
      <c r="F451" s="3"/>
      <c r="G451" s="3"/>
      <c r="H451" s="3"/>
      <c r="I451" s="3"/>
      <c r="J451" s="13"/>
      <c r="K451" s="13"/>
      <c r="L451" s="13"/>
      <c r="M451" s="13"/>
      <c r="N451" s="13"/>
      <c r="O451" s="13"/>
      <c r="P451" s="13"/>
      <c r="Q451" s="13"/>
      <c r="R451" s="13"/>
      <c r="S451" s="421"/>
      <c r="T451" s="421"/>
      <c r="U451" s="421"/>
      <c r="V451" s="421"/>
      <c r="W451" s="421"/>
      <c r="X451" s="421"/>
      <c r="Y451" s="421"/>
      <c r="Z451" s="421"/>
      <c r="AA451" s="421"/>
      <c r="AB451" s="421"/>
      <c r="AC451" s="421"/>
      <c r="AD451" s="421"/>
      <c r="AE451" s="421"/>
      <c r="AF451" s="421"/>
      <c r="AG451" s="421"/>
      <c r="AH451" s="421"/>
      <c r="AI451" s="421"/>
      <c r="AJ451" s="421"/>
      <c r="AK451" s="421"/>
      <c r="AL451" s="421"/>
      <c r="AM451" s="422"/>
      <c r="AN451" s="422"/>
      <c r="AO451" s="422"/>
      <c r="AP451" s="422"/>
      <c r="AQ451" s="422"/>
      <c r="AR451" s="422"/>
      <c r="AS451" s="422"/>
      <c r="AT451" s="422"/>
      <c r="AU451" s="422"/>
      <c r="AV451" s="422"/>
      <c r="AW451" s="422"/>
      <c r="AX451" s="422"/>
      <c r="AY451" s="422"/>
    </row>
    <row r="452" spans="1:51" x14ac:dyDescent="0.25">
      <c r="A452" s="3"/>
      <c r="B452" s="3"/>
      <c r="C452" s="3"/>
      <c r="D452" s="3"/>
      <c r="E452" s="3"/>
      <c r="F452" s="3"/>
      <c r="G452" s="3"/>
      <c r="H452" s="3"/>
      <c r="I452" s="3"/>
      <c r="J452" s="13"/>
      <c r="K452" s="13"/>
      <c r="L452" s="13"/>
      <c r="M452" s="13"/>
      <c r="N452" s="13"/>
      <c r="O452" s="13"/>
      <c r="P452" s="13"/>
      <c r="Q452" s="13"/>
      <c r="R452" s="13"/>
      <c r="S452" s="421"/>
      <c r="T452" s="421"/>
      <c r="U452" s="421"/>
      <c r="V452" s="421"/>
      <c r="W452" s="421"/>
      <c r="X452" s="421"/>
      <c r="Y452" s="421"/>
      <c r="Z452" s="421"/>
      <c r="AA452" s="421"/>
      <c r="AB452" s="421"/>
      <c r="AC452" s="421"/>
      <c r="AD452" s="421"/>
      <c r="AE452" s="421"/>
      <c r="AF452" s="421"/>
      <c r="AG452" s="421"/>
      <c r="AH452" s="421"/>
      <c r="AI452" s="421"/>
      <c r="AJ452" s="421"/>
      <c r="AK452" s="421"/>
      <c r="AL452" s="421"/>
      <c r="AM452" s="422"/>
      <c r="AN452" s="422"/>
      <c r="AO452" s="422"/>
      <c r="AP452" s="422"/>
      <c r="AQ452" s="422"/>
      <c r="AR452" s="422"/>
      <c r="AS452" s="422"/>
      <c r="AT452" s="422"/>
      <c r="AU452" s="422"/>
      <c r="AV452" s="422"/>
      <c r="AW452" s="422"/>
      <c r="AX452" s="422"/>
      <c r="AY452" s="422"/>
    </row>
    <row r="453" spans="1:51" x14ac:dyDescent="0.25">
      <c r="A453" s="3"/>
      <c r="B453" s="3"/>
      <c r="C453" s="3"/>
      <c r="D453" s="3"/>
      <c r="E453" s="3"/>
      <c r="F453" s="3"/>
      <c r="G453" s="3"/>
      <c r="H453" s="3"/>
      <c r="I453" s="3"/>
      <c r="J453" s="13"/>
      <c r="K453" s="13"/>
      <c r="L453" s="13"/>
      <c r="M453" s="13"/>
      <c r="N453" s="13"/>
      <c r="O453" s="13"/>
      <c r="P453" s="13"/>
      <c r="Q453" s="13"/>
      <c r="R453" s="13"/>
      <c r="S453" s="421"/>
      <c r="T453" s="421"/>
      <c r="U453" s="421"/>
      <c r="V453" s="421"/>
      <c r="W453" s="421"/>
      <c r="X453" s="421"/>
      <c r="Y453" s="421"/>
      <c r="Z453" s="421"/>
      <c r="AA453" s="421"/>
      <c r="AB453" s="421"/>
      <c r="AC453" s="421"/>
      <c r="AD453" s="421"/>
      <c r="AE453" s="421"/>
      <c r="AF453" s="421"/>
      <c r="AG453" s="421"/>
      <c r="AH453" s="421"/>
      <c r="AI453" s="421"/>
      <c r="AJ453" s="421"/>
      <c r="AK453" s="421"/>
      <c r="AL453" s="421"/>
      <c r="AM453" s="422"/>
      <c r="AN453" s="422"/>
      <c r="AO453" s="422"/>
      <c r="AP453" s="422"/>
      <c r="AQ453" s="422"/>
      <c r="AR453" s="422"/>
      <c r="AS453" s="422"/>
      <c r="AT453" s="422"/>
      <c r="AU453" s="422"/>
      <c r="AV453" s="422"/>
      <c r="AW453" s="422"/>
      <c r="AX453" s="422"/>
      <c r="AY453" s="422"/>
    </row>
    <row r="454" spans="1:51" x14ac:dyDescent="0.25">
      <c r="A454" s="3"/>
      <c r="B454" s="3"/>
      <c r="C454" s="3"/>
      <c r="D454" s="3"/>
      <c r="E454" s="3"/>
      <c r="F454" s="3"/>
      <c r="G454" s="3"/>
      <c r="H454" s="3"/>
      <c r="I454" s="3"/>
      <c r="J454" s="13"/>
      <c r="K454" s="13"/>
      <c r="L454" s="13"/>
      <c r="M454" s="13"/>
      <c r="N454" s="13"/>
      <c r="O454" s="13"/>
      <c r="P454" s="13"/>
      <c r="Q454" s="13"/>
      <c r="R454" s="13"/>
      <c r="S454" s="421"/>
      <c r="T454" s="421"/>
      <c r="U454" s="421"/>
      <c r="V454" s="421"/>
      <c r="W454" s="421"/>
      <c r="X454" s="421"/>
      <c r="Y454" s="421"/>
      <c r="Z454" s="421"/>
      <c r="AA454" s="421"/>
      <c r="AB454" s="421"/>
      <c r="AC454" s="421"/>
      <c r="AD454" s="421"/>
      <c r="AE454" s="421"/>
      <c r="AF454" s="421"/>
      <c r="AG454" s="421"/>
      <c r="AH454" s="421"/>
      <c r="AI454" s="421"/>
      <c r="AJ454" s="421"/>
      <c r="AK454" s="421"/>
      <c r="AL454" s="421"/>
      <c r="AM454" s="422"/>
      <c r="AN454" s="422"/>
      <c r="AO454" s="422"/>
      <c r="AP454" s="422"/>
      <c r="AQ454" s="422"/>
      <c r="AR454" s="422"/>
      <c r="AS454" s="422"/>
      <c r="AT454" s="422"/>
      <c r="AU454" s="422"/>
      <c r="AV454" s="422"/>
      <c r="AW454" s="422"/>
      <c r="AX454" s="422"/>
      <c r="AY454" s="422"/>
    </row>
    <row r="455" spans="1:51" x14ac:dyDescent="0.25">
      <c r="A455" s="3"/>
      <c r="B455" s="3"/>
      <c r="C455" s="3"/>
      <c r="D455" s="3"/>
      <c r="E455" s="3"/>
      <c r="F455" s="3"/>
      <c r="G455" s="3"/>
      <c r="H455" s="3"/>
      <c r="I455" s="3"/>
      <c r="J455" s="13"/>
      <c r="K455" s="13"/>
      <c r="L455" s="13"/>
      <c r="M455" s="13"/>
      <c r="N455" s="13"/>
      <c r="O455" s="13"/>
      <c r="P455" s="13"/>
      <c r="Q455" s="13"/>
      <c r="R455" s="13"/>
      <c r="S455" s="421"/>
      <c r="T455" s="421"/>
      <c r="U455" s="421"/>
      <c r="V455" s="421"/>
      <c r="W455" s="421"/>
      <c r="X455" s="421"/>
      <c r="Y455" s="421"/>
      <c r="Z455" s="421"/>
      <c r="AA455" s="421"/>
      <c r="AB455" s="421"/>
      <c r="AC455" s="421"/>
      <c r="AD455" s="421"/>
      <c r="AE455" s="421"/>
      <c r="AF455" s="421"/>
      <c r="AG455" s="421"/>
      <c r="AH455" s="421"/>
      <c r="AI455" s="421"/>
      <c r="AJ455" s="421"/>
      <c r="AK455" s="421"/>
      <c r="AL455" s="421"/>
      <c r="AM455" s="422"/>
      <c r="AN455" s="422"/>
      <c r="AO455" s="422"/>
      <c r="AP455" s="422"/>
      <c r="AQ455" s="422"/>
      <c r="AR455" s="422"/>
      <c r="AS455" s="422"/>
      <c r="AT455" s="422"/>
      <c r="AU455" s="422"/>
      <c r="AV455" s="422"/>
      <c r="AW455" s="422"/>
      <c r="AX455" s="422"/>
      <c r="AY455" s="422"/>
    </row>
    <row r="456" spans="1:51" x14ac:dyDescent="0.25">
      <c r="A456" s="3"/>
      <c r="B456" s="3"/>
      <c r="C456" s="3"/>
      <c r="D456" s="3"/>
      <c r="E456" s="3"/>
      <c r="F456" s="3"/>
      <c r="G456" s="3"/>
      <c r="H456" s="3"/>
      <c r="I456" s="3"/>
      <c r="J456" s="13"/>
      <c r="K456" s="13"/>
      <c r="L456" s="13"/>
      <c r="M456" s="13"/>
      <c r="N456" s="13"/>
      <c r="O456" s="13"/>
      <c r="P456" s="13"/>
      <c r="Q456" s="13"/>
      <c r="R456" s="13"/>
      <c r="S456" s="421"/>
      <c r="T456" s="421"/>
      <c r="U456" s="421"/>
      <c r="V456" s="421"/>
      <c r="W456" s="421"/>
      <c r="X456" s="421"/>
      <c r="Y456" s="421"/>
      <c r="Z456" s="421"/>
      <c r="AA456" s="421"/>
      <c r="AB456" s="421"/>
      <c r="AC456" s="421"/>
      <c r="AD456" s="421"/>
      <c r="AE456" s="421"/>
      <c r="AF456" s="421"/>
      <c r="AG456" s="421"/>
      <c r="AH456" s="421"/>
      <c r="AI456" s="421"/>
      <c r="AJ456" s="421"/>
      <c r="AK456" s="421"/>
      <c r="AL456" s="421"/>
      <c r="AM456" s="422"/>
      <c r="AN456" s="422"/>
      <c r="AO456" s="422"/>
      <c r="AP456" s="422"/>
      <c r="AQ456" s="422"/>
      <c r="AR456" s="422"/>
      <c r="AS456" s="422"/>
      <c r="AT456" s="422"/>
      <c r="AU456" s="422"/>
      <c r="AV456" s="422"/>
      <c r="AW456" s="422"/>
      <c r="AX456" s="422"/>
      <c r="AY456" s="422"/>
    </row>
    <row r="457" spans="1:51" x14ac:dyDescent="0.25">
      <c r="A457" s="3"/>
      <c r="B457" s="3"/>
      <c r="C457" s="3"/>
      <c r="D457" s="3"/>
      <c r="E457" s="3"/>
      <c r="F457" s="3"/>
      <c r="G457" s="3"/>
      <c r="H457" s="3"/>
      <c r="I457" s="3"/>
      <c r="J457" s="13"/>
      <c r="K457" s="13"/>
      <c r="L457" s="13"/>
      <c r="M457" s="13"/>
      <c r="N457" s="13"/>
      <c r="O457" s="13"/>
      <c r="P457" s="13"/>
      <c r="Q457" s="13"/>
      <c r="R457" s="13"/>
      <c r="S457" s="421"/>
      <c r="T457" s="421"/>
      <c r="U457" s="421"/>
      <c r="V457" s="421"/>
      <c r="W457" s="421"/>
      <c r="X457" s="421"/>
      <c r="Y457" s="421"/>
      <c r="Z457" s="421"/>
      <c r="AA457" s="421"/>
      <c r="AB457" s="421"/>
      <c r="AC457" s="421"/>
      <c r="AD457" s="421"/>
      <c r="AE457" s="421"/>
      <c r="AF457" s="421"/>
      <c r="AG457" s="421"/>
      <c r="AH457" s="421"/>
      <c r="AI457" s="421"/>
      <c r="AJ457" s="421"/>
      <c r="AK457" s="421"/>
      <c r="AL457" s="421"/>
      <c r="AM457" s="422"/>
      <c r="AN457" s="422"/>
      <c r="AO457" s="422"/>
      <c r="AP457" s="422"/>
      <c r="AQ457" s="422"/>
      <c r="AR457" s="422"/>
      <c r="AS457" s="422"/>
      <c r="AT457" s="422"/>
      <c r="AU457" s="422"/>
      <c r="AV457" s="422"/>
      <c r="AW457" s="422"/>
      <c r="AX457" s="422"/>
      <c r="AY457" s="422"/>
    </row>
    <row r="458" spans="1:51" x14ac:dyDescent="0.25">
      <c r="A458" s="3"/>
      <c r="B458" s="3"/>
      <c r="C458" s="3"/>
      <c r="D458" s="3"/>
      <c r="E458" s="3"/>
      <c r="F458" s="3"/>
      <c r="G458" s="3"/>
      <c r="H458" s="3"/>
      <c r="I458" s="3"/>
      <c r="J458" s="13"/>
      <c r="K458" s="13"/>
      <c r="L458" s="13"/>
      <c r="M458" s="13"/>
      <c r="N458" s="13"/>
      <c r="O458" s="13"/>
      <c r="P458" s="13"/>
      <c r="Q458" s="13"/>
      <c r="R458" s="13"/>
      <c r="S458" s="421"/>
      <c r="T458" s="421"/>
      <c r="U458" s="421"/>
      <c r="V458" s="421"/>
      <c r="W458" s="421"/>
      <c r="X458" s="421"/>
      <c r="Y458" s="421"/>
      <c r="Z458" s="421"/>
      <c r="AA458" s="421"/>
      <c r="AB458" s="421"/>
      <c r="AC458" s="421"/>
      <c r="AD458" s="421"/>
      <c r="AE458" s="421"/>
      <c r="AF458" s="421"/>
      <c r="AG458" s="421"/>
      <c r="AH458" s="421"/>
      <c r="AI458" s="421"/>
      <c r="AJ458" s="421"/>
      <c r="AK458" s="421"/>
      <c r="AL458" s="421"/>
      <c r="AM458" s="422"/>
      <c r="AN458" s="422"/>
      <c r="AO458" s="422"/>
      <c r="AP458" s="422"/>
      <c r="AQ458" s="422"/>
      <c r="AR458" s="422"/>
      <c r="AS458" s="422"/>
      <c r="AT458" s="422"/>
      <c r="AU458" s="422"/>
      <c r="AV458" s="422"/>
      <c r="AW458" s="422"/>
      <c r="AX458" s="422"/>
      <c r="AY458" s="422"/>
    </row>
    <row r="459" spans="1:51" x14ac:dyDescent="0.25">
      <c r="A459" s="3"/>
      <c r="B459" s="3"/>
      <c r="C459" s="3"/>
      <c r="D459" s="3"/>
      <c r="E459" s="3"/>
      <c r="F459" s="3"/>
      <c r="G459" s="3"/>
      <c r="H459" s="3"/>
      <c r="I459" s="3"/>
      <c r="J459" s="13"/>
      <c r="K459" s="13"/>
      <c r="L459" s="13"/>
      <c r="M459" s="13"/>
      <c r="N459" s="13"/>
      <c r="O459" s="13"/>
      <c r="P459" s="13"/>
      <c r="Q459" s="13"/>
      <c r="R459" s="13"/>
      <c r="S459" s="421"/>
      <c r="T459" s="421"/>
      <c r="U459" s="421"/>
      <c r="V459" s="421"/>
      <c r="W459" s="421"/>
      <c r="X459" s="421"/>
      <c r="Y459" s="421"/>
      <c r="Z459" s="421"/>
      <c r="AA459" s="421"/>
      <c r="AB459" s="421"/>
      <c r="AC459" s="421"/>
      <c r="AD459" s="421"/>
      <c r="AE459" s="421"/>
      <c r="AF459" s="421"/>
      <c r="AG459" s="421"/>
      <c r="AH459" s="421"/>
      <c r="AI459" s="421"/>
      <c r="AJ459" s="421"/>
      <c r="AK459" s="421"/>
      <c r="AL459" s="421"/>
      <c r="AM459" s="422"/>
      <c r="AN459" s="422"/>
      <c r="AO459" s="422"/>
      <c r="AP459" s="422"/>
      <c r="AQ459" s="422"/>
      <c r="AR459" s="422"/>
      <c r="AS459" s="422"/>
      <c r="AT459" s="422"/>
      <c r="AU459" s="422"/>
      <c r="AV459" s="422"/>
      <c r="AW459" s="422"/>
      <c r="AX459" s="422"/>
      <c r="AY459" s="422"/>
    </row>
    <row r="460" spans="1:51" x14ac:dyDescent="0.25">
      <c r="A460" s="3"/>
      <c r="B460" s="3"/>
      <c r="C460" s="3"/>
      <c r="D460" s="3"/>
      <c r="E460" s="3"/>
      <c r="F460" s="3"/>
      <c r="G460" s="3"/>
      <c r="H460" s="3"/>
      <c r="I460" s="3"/>
      <c r="J460" s="13"/>
      <c r="K460" s="13"/>
      <c r="L460" s="13"/>
      <c r="M460" s="13"/>
      <c r="N460" s="13"/>
      <c r="O460" s="13"/>
      <c r="P460" s="13"/>
      <c r="Q460" s="13"/>
      <c r="R460" s="13"/>
      <c r="S460" s="421"/>
      <c r="T460" s="421"/>
      <c r="U460" s="421"/>
      <c r="V460" s="421"/>
      <c r="W460" s="421"/>
      <c r="X460" s="421"/>
      <c r="Y460" s="421"/>
      <c r="Z460" s="421"/>
      <c r="AA460" s="421"/>
      <c r="AB460" s="421"/>
      <c r="AC460" s="421"/>
      <c r="AD460" s="421"/>
      <c r="AE460" s="421"/>
      <c r="AF460" s="421"/>
      <c r="AG460" s="421"/>
      <c r="AH460" s="421"/>
      <c r="AI460" s="421"/>
      <c r="AJ460" s="421"/>
      <c r="AK460" s="421"/>
      <c r="AL460" s="421"/>
      <c r="AM460" s="422"/>
      <c r="AN460" s="422"/>
      <c r="AO460" s="422"/>
      <c r="AP460" s="422"/>
      <c r="AQ460" s="422"/>
      <c r="AR460" s="422"/>
      <c r="AS460" s="422"/>
      <c r="AT460" s="422"/>
      <c r="AU460" s="422"/>
      <c r="AV460" s="422"/>
      <c r="AW460" s="422"/>
      <c r="AX460" s="422"/>
      <c r="AY460" s="422"/>
    </row>
    <row r="461" spans="1:51" x14ac:dyDescent="0.25">
      <c r="A461" s="3"/>
      <c r="B461" s="3"/>
      <c r="C461" s="3"/>
      <c r="D461" s="3"/>
      <c r="E461" s="3"/>
      <c r="F461" s="3"/>
      <c r="G461" s="3"/>
      <c r="H461" s="3"/>
      <c r="I461" s="3"/>
      <c r="J461" s="13"/>
      <c r="K461" s="13"/>
      <c r="L461" s="13"/>
      <c r="M461" s="13"/>
      <c r="N461" s="13"/>
      <c r="O461" s="13"/>
      <c r="P461" s="13"/>
      <c r="Q461" s="13"/>
      <c r="R461" s="13"/>
      <c r="S461" s="421"/>
      <c r="T461" s="421"/>
      <c r="U461" s="421"/>
      <c r="V461" s="421"/>
      <c r="W461" s="421"/>
      <c r="X461" s="421"/>
      <c r="Y461" s="421"/>
      <c r="Z461" s="421"/>
      <c r="AA461" s="421"/>
      <c r="AB461" s="421"/>
      <c r="AC461" s="421"/>
      <c r="AD461" s="421"/>
      <c r="AE461" s="421"/>
      <c r="AF461" s="421"/>
      <c r="AG461" s="421"/>
      <c r="AH461" s="421"/>
      <c r="AI461" s="421"/>
      <c r="AJ461" s="421"/>
      <c r="AK461" s="421"/>
      <c r="AL461" s="421"/>
      <c r="AM461" s="422"/>
      <c r="AN461" s="422"/>
      <c r="AO461" s="422"/>
      <c r="AP461" s="422"/>
      <c r="AQ461" s="422"/>
      <c r="AR461" s="422"/>
      <c r="AS461" s="422"/>
      <c r="AT461" s="422"/>
      <c r="AU461" s="422"/>
      <c r="AV461" s="422"/>
      <c r="AW461" s="422"/>
      <c r="AX461" s="422"/>
      <c r="AY461" s="422"/>
    </row>
    <row r="462" spans="1:51" x14ac:dyDescent="0.25">
      <c r="A462" s="3"/>
      <c r="B462" s="3"/>
      <c r="C462" s="3"/>
      <c r="D462" s="3"/>
      <c r="E462" s="3"/>
      <c r="F462" s="3"/>
      <c r="G462" s="3"/>
      <c r="H462" s="3"/>
      <c r="I462" s="3"/>
      <c r="J462" s="13"/>
      <c r="K462" s="13"/>
      <c r="L462" s="13"/>
      <c r="M462" s="13"/>
      <c r="N462" s="13"/>
      <c r="O462" s="13"/>
      <c r="P462" s="13"/>
      <c r="Q462" s="13"/>
      <c r="R462" s="13"/>
      <c r="S462" s="421"/>
      <c r="T462" s="421"/>
      <c r="U462" s="421"/>
      <c r="V462" s="421"/>
      <c r="W462" s="421"/>
      <c r="X462" s="421"/>
      <c r="Y462" s="421"/>
      <c r="Z462" s="421"/>
      <c r="AA462" s="421"/>
      <c r="AB462" s="421"/>
      <c r="AC462" s="421"/>
      <c r="AD462" s="421"/>
      <c r="AE462" s="421"/>
      <c r="AF462" s="421"/>
      <c r="AG462" s="421"/>
      <c r="AH462" s="421"/>
      <c r="AI462" s="421"/>
      <c r="AJ462" s="421"/>
      <c r="AK462" s="421"/>
      <c r="AL462" s="421"/>
      <c r="AM462" s="422"/>
      <c r="AN462" s="422"/>
      <c r="AO462" s="422"/>
      <c r="AP462" s="422"/>
      <c r="AQ462" s="422"/>
      <c r="AR462" s="422"/>
      <c r="AS462" s="422"/>
      <c r="AT462" s="422"/>
      <c r="AU462" s="422"/>
      <c r="AV462" s="422"/>
      <c r="AW462" s="422"/>
      <c r="AX462" s="422"/>
      <c r="AY462" s="422"/>
    </row>
    <row r="463" spans="1:51" x14ac:dyDescent="0.25">
      <c r="A463" s="3"/>
      <c r="B463" s="3"/>
      <c r="C463" s="3"/>
      <c r="D463" s="3"/>
      <c r="E463" s="3"/>
      <c r="F463" s="3"/>
      <c r="G463" s="3"/>
      <c r="H463" s="3"/>
      <c r="I463" s="3"/>
      <c r="J463" s="13"/>
      <c r="K463" s="13"/>
      <c r="L463" s="13"/>
      <c r="M463" s="13"/>
      <c r="N463" s="13"/>
      <c r="O463" s="13"/>
      <c r="P463" s="13"/>
      <c r="Q463" s="13"/>
      <c r="R463" s="13"/>
      <c r="S463" s="421"/>
      <c r="T463" s="421"/>
      <c r="U463" s="421"/>
      <c r="V463" s="421"/>
      <c r="W463" s="421"/>
      <c r="X463" s="421"/>
      <c r="Y463" s="421"/>
      <c r="Z463" s="421"/>
      <c r="AA463" s="421"/>
      <c r="AB463" s="421"/>
      <c r="AC463" s="421"/>
      <c r="AD463" s="421"/>
      <c r="AE463" s="421"/>
      <c r="AF463" s="421"/>
      <c r="AG463" s="421"/>
      <c r="AH463" s="421"/>
      <c r="AI463" s="421"/>
      <c r="AJ463" s="421"/>
      <c r="AK463" s="421"/>
      <c r="AL463" s="421"/>
      <c r="AM463" s="422"/>
      <c r="AN463" s="422"/>
      <c r="AO463" s="422"/>
      <c r="AP463" s="422"/>
      <c r="AQ463" s="422"/>
      <c r="AR463" s="422"/>
      <c r="AS463" s="422"/>
      <c r="AT463" s="422"/>
      <c r="AU463" s="422"/>
      <c r="AV463" s="422"/>
      <c r="AW463" s="422"/>
      <c r="AX463" s="422"/>
      <c r="AY463" s="422"/>
    </row>
    <row r="464" spans="1:51" x14ac:dyDescent="0.25">
      <c r="A464" s="3"/>
      <c r="B464" s="3"/>
      <c r="C464" s="3"/>
      <c r="D464" s="3"/>
      <c r="E464" s="3"/>
      <c r="F464" s="3"/>
      <c r="G464" s="3"/>
      <c r="H464" s="3"/>
      <c r="I464" s="3"/>
      <c r="J464" s="13"/>
      <c r="K464" s="13"/>
      <c r="L464" s="13"/>
      <c r="M464" s="13"/>
      <c r="N464" s="13"/>
      <c r="O464" s="13"/>
      <c r="P464" s="13"/>
      <c r="Q464" s="13"/>
      <c r="R464" s="13"/>
      <c r="S464" s="421"/>
      <c r="T464" s="421"/>
      <c r="U464" s="421"/>
      <c r="V464" s="421"/>
      <c r="W464" s="421"/>
      <c r="X464" s="421"/>
      <c r="Y464" s="421"/>
      <c r="Z464" s="421"/>
      <c r="AA464" s="421"/>
      <c r="AB464" s="421"/>
      <c r="AC464" s="421"/>
      <c r="AD464" s="421"/>
      <c r="AE464" s="421"/>
      <c r="AF464" s="421"/>
      <c r="AG464" s="421"/>
      <c r="AH464" s="421"/>
      <c r="AI464" s="421"/>
      <c r="AJ464" s="421"/>
      <c r="AK464" s="421"/>
      <c r="AL464" s="421"/>
      <c r="AM464" s="422"/>
      <c r="AN464" s="422"/>
      <c r="AO464" s="422"/>
      <c r="AP464" s="422"/>
      <c r="AQ464" s="422"/>
      <c r="AR464" s="422"/>
      <c r="AS464" s="422"/>
      <c r="AT464" s="422"/>
      <c r="AU464" s="422"/>
      <c r="AV464" s="422"/>
      <c r="AW464" s="422"/>
      <c r="AX464" s="422"/>
      <c r="AY464" s="422"/>
    </row>
    <row r="465" spans="1:51" x14ac:dyDescent="0.25">
      <c r="A465" s="3"/>
      <c r="B465" s="3"/>
      <c r="C465" s="3"/>
      <c r="D465" s="3"/>
      <c r="E465" s="3"/>
      <c r="F465" s="3"/>
      <c r="G465" s="3"/>
      <c r="H465" s="3"/>
      <c r="I465" s="3"/>
      <c r="J465" s="13"/>
      <c r="K465" s="13"/>
      <c r="L465" s="13"/>
      <c r="M465" s="13"/>
      <c r="N465" s="13"/>
      <c r="O465" s="13"/>
      <c r="P465" s="13"/>
      <c r="Q465" s="13"/>
      <c r="R465" s="13"/>
      <c r="S465" s="421"/>
      <c r="T465" s="421"/>
      <c r="U465" s="421"/>
      <c r="V465" s="421"/>
      <c r="W465" s="421"/>
      <c r="X465" s="421"/>
      <c r="Y465" s="421"/>
      <c r="Z465" s="421"/>
      <c r="AA465" s="421"/>
      <c r="AB465" s="421"/>
      <c r="AC465" s="421"/>
      <c r="AD465" s="421"/>
      <c r="AE465" s="421"/>
      <c r="AF465" s="421"/>
      <c r="AG465" s="421"/>
      <c r="AH465" s="421"/>
      <c r="AI465" s="421"/>
      <c r="AJ465" s="421"/>
      <c r="AK465" s="421"/>
      <c r="AL465" s="421"/>
      <c r="AM465" s="422"/>
      <c r="AN465" s="422"/>
      <c r="AO465" s="422"/>
      <c r="AP465" s="422"/>
      <c r="AQ465" s="422"/>
      <c r="AR465" s="422"/>
      <c r="AS465" s="422"/>
      <c r="AT465" s="422"/>
      <c r="AU465" s="422"/>
      <c r="AV465" s="422"/>
      <c r="AW465" s="422"/>
      <c r="AX465" s="422"/>
      <c r="AY465" s="422"/>
    </row>
    <row r="466" spans="1:51" x14ac:dyDescent="0.25">
      <c r="A466" s="3"/>
      <c r="B466" s="3"/>
      <c r="C466" s="3"/>
      <c r="D466" s="3"/>
      <c r="E466" s="3"/>
      <c r="F466" s="3"/>
      <c r="G466" s="3"/>
      <c r="H466" s="3"/>
      <c r="I466" s="3"/>
      <c r="J466" s="13"/>
      <c r="K466" s="13"/>
      <c r="L466" s="13"/>
      <c r="M466" s="13"/>
      <c r="N466" s="13"/>
      <c r="O466" s="13"/>
      <c r="P466" s="13"/>
      <c r="Q466" s="13"/>
      <c r="R466" s="13"/>
      <c r="S466" s="421"/>
      <c r="T466" s="421"/>
      <c r="U466" s="421"/>
      <c r="V466" s="421"/>
      <c r="W466" s="421"/>
      <c r="X466" s="421"/>
      <c r="Y466" s="421"/>
      <c r="Z466" s="421"/>
      <c r="AA466" s="421"/>
      <c r="AB466" s="421"/>
      <c r="AC466" s="421"/>
      <c r="AD466" s="421"/>
      <c r="AE466" s="421"/>
      <c r="AF466" s="421"/>
      <c r="AG466" s="421"/>
      <c r="AH466" s="421"/>
      <c r="AI466" s="421"/>
      <c r="AJ466" s="421"/>
      <c r="AK466" s="421"/>
      <c r="AL466" s="421"/>
      <c r="AM466" s="422"/>
      <c r="AN466" s="422"/>
      <c r="AO466" s="422"/>
      <c r="AP466" s="422"/>
      <c r="AQ466" s="422"/>
      <c r="AR466" s="422"/>
      <c r="AS466" s="422"/>
      <c r="AT466" s="422"/>
      <c r="AU466" s="422"/>
      <c r="AV466" s="422"/>
      <c r="AW466" s="422"/>
      <c r="AX466" s="422"/>
      <c r="AY466" s="422"/>
    </row>
    <row r="467" spans="1:51" x14ac:dyDescent="0.25">
      <c r="A467" s="3"/>
      <c r="B467" s="3"/>
      <c r="C467" s="3"/>
      <c r="D467" s="3"/>
      <c r="E467" s="3"/>
      <c r="F467" s="3"/>
      <c r="G467" s="3"/>
      <c r="H467" s="3"/>
      <c r="I467" s="3"/>
      <c r="J467" s="13"/>
      <c r="K467" s="13"/>
      <c r="L467" s="13"/>
      <c r="M467" s="13"/>
      <c r="N467" s="13"/>
      <c r="O467" s="13"/>
      <c r="P467" s="13"/>
      <c r="Q467" s="13"/>
      <c r="R467" s="13"/>
      <c r="S467" s="421"/>
      <c r="T467" s="421"/>
      <c r="U467" s="421"/>
      <c r="V467" s="421"/>
      <c r="W467" s="421"/>
      <c r="X467" s="421"/>
      <c r="Y467" s="421"/>
      <c r="Z467" s="421"/>
      <c r="AA467" s="421"/>
      <c r="AB467" s="421"/>
      <c r="AC467" s="421"/>
      <c r="AD467" s="421"/>
      <c r="AE467" s="421"/>
      <c r="AF467" s="421"/>
      <c r="AG467" s="421"/>
      <c r="AH467" s="421"/>
      <c r="AI467" s="421"/>
      <c r="AJ467" s="421"/>
      <c r="AK467" s="421"/>
      <c r="AL467" s="421"/>
      <c r="AM467" s="422"/>
      <c r="AN467" s="422"/>
      <c r="AO467" s="422"/>
      <c r="AP467" s="422"/>
      <c r="AQ467" s="422"/>
      <c r="AR467" s="422"/>
      <c r="AS467" s="422"/>
      <c r="AT467" s="422"/>
      <c r="AU467" s="422"/>
      <c r="AV467" s="422"/>
      <c r="AW467" s="422"/>
      <c r="AX467" s="422"/>
      <c r="AY467" s="422"/>
    </row>
    <row r="468" spans="1:51" x14ac:dyDescent="0.25">
      <c r="A468" s="3"/>
      <c r="B468" s="3"/>
      <c r="C468" s="3"/>
      <c r="D468" s="3"/>
      <c r="E468" s="3"/>
      <c r="F468" s="3"/>
      <c r="G468" s="3"/>
      <c r="H468" s="3"/>
      <c r="I468" s="3"/>
      <c r="J468" s="13"/>
      <c r="K468" s="13"/>
      <c r="L468" s="13"/>
      <c r="M468" s="13"/>
      <c r="N468" s="13"/>
      <c r="O468" s="13"/>
      <c r="P468" s="13"/>
      <c r="Q468" s="13"/>
      <c r="R468" s="13"/>
      <c r="S468" s="421"/>
      <c r="T468" s="421"/>
      <c r="U468" s="421"/>
      <c r="V468" s="421"/>
      <c r="W468" s="421"/>
      <c r="X468" s="421"/>
      <c r="Y468" s="421"/>
      <c r="Z468" s="421"/>
      <c r="AA468" s="421"/>
      <c r="AB468" s="421"/>
      <c r="AC468" s="421"/>
      <c r="AD468" s="421"/>
      <c r="AE468" s="421"/>
      <c r="AF468" s="421"/>
      <c r="AG468" s="421"/>
      <c r="AH468" s="421"/>
      <c r="AI468" s="421"/>
      <c r="AJ468" s="421"/>
      <c r="AK468" s="421"/>
      <c r="AL468" s="421"/>
      <c r="AM468" s="422"/>
      <c r="AN468" s="422"/>
      <c r="AO468" s="422"/>
      <c r="AP468" s="422"/>
      <c r="AQ468" s="422"/>
      <c r="AR468" s="422"/>
      <c r="AS468" s="422"/>
      <c r="AT468" s="422"/>
      <c r="AU468" s="422"/>
      <c r="AV468" s="422"/>
      <c r="AW468" s="422"/>
      <c r="AX468" s="422"/>
      <c r="AY468" s="422"/>
    </row>
    <row r="469" spans="1:51" x14ac:dyDescent="0.25">
      <c r="A469" s="3"/>
      <c r="B469" s="3"/>
      <c r="C469" s="3"/>
      <c r="D469" s="3"/>
      <c r="E469" s="3"/>
      <c r="F469" s="3"/>
      <c r="G469" s="3"/>
      <c r="H469" s="3"/>
      <c r="I469" s="3"/>
      <c r="J469" s="13"/>
      <c r="K469" s="13"/>
      <c r="L469" s="13"/>
      <c r="M469" s="13"/>
      <c r="N469" s="13"/>
      <c r="O469" s="13"/>
      <c r="P469" s="13"/>
      <c r="Q469" s="13"/>
      <c r="R469" s="13"/>
      <c r="S469" s="421"/>
      <c r="T469" s="421"/>
      <c r="U469" s="421"/>
      <c r="V469" s="421"/>
      <c r="W469" s="421"/>
      <c r="X469" s="421"/>
      <c r="Y469" s="421"/>
      <c r="Z469" s="421"/>
      <c r="AA469" s="421"/>
      <c r="AB469" s="421"/>
      <c r="AC469" s="421"/>
      <c r="AD469" s="421"/>
      <c r="AE469" s="421"/>
      <c r="AF469" s="421"/>
      <c r="AG469" s="421"/>
      <c r="AH469" s="421"/>
      <c r="AI469" s="421"/>
      <c r="AJ469" s="421"/>
      <c r="AK469" s="421"/>
      <c r="AL469" s="421"/>
      <c r="AM469" s="422"/>
      <c r="AN469" s="422"/>
      <c r="AO469" s="422"/>
      <c r="AP469" s="422"/>
      <c r="AQ469" s="422"/>
      <c r="AR469" s="422"/>
      <c r="AS469" s="422"/>
      <c r="AT469" s="422"/>
      <c r="AU469" s="422"/>
      <c r="AV469" s="422"/>
      <c r="AW469" s="422"/>
      <c r="AX469" s="422"/>
      <c r="AY469" s="422"/>
    </row>
    <row r="470" spans="1:51" x14ac:dyDescent="0.25">
      <c r="A470" s="3"/>
      <c r="B470" s="3"/>
      <c r="C470" s="3"/>
      <c r="D470" s="3"/>
      <c r="E470" s="3"/>
      <c r="F470" s="3"/>
      <c r="G470" s="3"/>
      <c r="H470" s="3"/>
      <c r="I470" s="3"/>
      <c r="J470" s="13"/>
      <c r="K470" s="13"/>
      <c r="L470" s="13"/>
      <c r="M470" s="13"/>
      <c r="N470" s="13"/>
      <c r="O470" s="13"/>
      <c r="P470" s="13"/>
      <c r="Q470" s="13"/>
      <c r="R470" s="13"/>
      <c r="S470" s="421"/>
      <c r="T470" s="421"/>
      <c r="U470" s="421"/>
      <c r="V470" s="421"/>
      <c r="W470" s="421"/>
      <c r="X470" s="421"/>
      <c r="Y470" s="421"/>
      <c r="Z470" s="421"/>
      <c r="AA470" s="421"/>
      <c r="AB470" s="421"/>
      <c r="AC470" s="421"/>
      <c r="AD470" s="421"/>
      <c r="AE470" s="421"/>
      <c r="AF470" s="421"/>
      <c r="AG470" s="421"/>
      <c r="AH470" s="421"/>
      <c r="AI470" s="421"/>
      <c r="AJ470" s="421"/>
      <c r="AK470" s="421"/>
      <c r="AL470" s="421"/>
      <c r="AM470" s="422"/>
      <c r="AN470" s="422"/>
      <c r="AO470" s="422"/>
      <c r="AP470" s="422"/>
      <c r="AQ470" s="422"/>
      <c r="AR470" s="422"/>
      <c r="AS470" s="422"/>
      <c r="AT470" s="422"/>
      <c r="AU470" s="422"/>
      <c r="AV470" s="422"/>
      <c r="AW470" s="422"/>
      <c r="AX470" s="422"/>
      <c r="AY470" s="422"/>
    </row>
    <row r="471" spans="1:51" x14ac:dyDescent="0.25">
      <c r="A471" s="3"/>
      <c r="B471" s="3"/>
      <c r="C471" s="3"/>
      <c r="D471" s="3"/>
      <c r="E471" s="3"/>
      <c r="F471" s="3"/>
      <c r="G471" s="3"/>
      <c r="H471" s="3"/>
      <c r="I471" s="3"/>
      <c r="J471" s="13"/>
      <c r="K471" s="13"/>
      <c r="L471" s="13"/>
      <c r="M471" s="13"/>
      <c r="N471" s="13"/>
      <c r="O471" s="13"/>
      <c r="P471" s="13"/>
      <c r="Q471" s="13"/>
      <c r="R471" s="13"/>
      <c r="S471" s="421"/>
      <c r="T471" s="421"/>
      <c r="U471" s="421"/>
      <c r="V471" s="421"/>
      <c r="W471" s="421"/>
      <c r="X471" s="421"/>
      <c r="Y471" s="421"/>
      <c r="Z471" s="421"/>
      <c r="AA471" s="421"/>
      <c r="AB471" s="421"/>
      <c r="AC471" s="421"/>
      <c r="AD471" s="421"/>
      <c r="AE471" s="421"/>
      <c r="AF471" s="421"/>
      <c r="AG471" s="421"/>
      <c r="AH471" s="421"/>
      <c r="AI471" s="421"/>
      <c r="AJ471" s="421"/>
      <c r="AK471" s="421"/>
      <c r="AL471" s="421"/>
      <c r="AM471" s="422"/>
      <c r="AN471" s="422"/>
      <c r="AO471" s="422"/>
      <c r="AP471" s="422"/>
      <c r="AQ471" s="422"/>
      <c r="AR471" s="422"/>
      <c r="AS471" s="422"/>
      <c r="AT471" s="422"/>
      <c r="AU471" s="422"/>
      <c r="AV471" s="422"/>
      <c r="AW471" s="422"/>
      <c r="AX471" s="422"/>
      <c r="AY471" s="422"/>
    </row>
    <row r="472" spans="1:51" x14ac:dyDescent="0.25">
      <c r="A472" s="3"/>
      <c r="B472" s="3"/>
      <c r="C472" s="3"/>
      <c r="D472" s="3"/>
      <c r="E472" s="3"/>
      <c r="F472" s="3"/>
      <c r="G472" s="3"/>
      <c r="H472" s="3"/>
      <c r="I472" s="3"/>
      <c r="J472" s="13"/>
      <c r="K472" s="13"/>
      <c r="L472" s="13"/>
      <c r="M472" s="13"/>
      <c r="N472" s="13"/>
      <c r="O472" s="13"/>
      <c r="P472" s="13"/>
      <c r="Q472" s="13"/>
      <c r="R472" s="13"/>
      <c r="S472" s="421"/>
      <c r="T472" s="421"/>
      <c r="U472" s="421"/>
      <c r="V472" s="421"/>
      <c r="W472" s="421"/>
      <c r="X472" s="421"/>
      <c r="Y472" s="421"/>
      <c r="Z472" s="421"/>
      <c r="AA472" s="421"/>
      <c r="AB472" s="421"/>
      <c r="AC472" s="421"/>
      <c r="AD472" s="421"/>
      <c r="AE472" s="421"/>
      <c r="AF472" s="421"/>
      <c r="AG472" s="421"/>
      <c r="AH472" s="421"/>
      <c r="AI472" s="421"/>
      <c r="AJ472" s="421"/>
      <c r="AK472" s="421"/>
      <c r="AL472" s="421"/>
      <c r="AM472" s="422"/>
      <c r="AN472" s="422"/>
      <c r="AO472" s="422"/>
      <c r="AP472" s="422"/>
      <c r="AQ472" s="422"/>
      <c r="AR472" s="422"/>
      <c r="AS472" s="422"/>
      <c r="AT472" s="422"/>
      <c r="AU472" s="422"/>
      <c r="AV472" s="422"/>
      <c r="AW472" s="422"/>
      <c r="AX472" s="422"/>
      <c r="AY472" s="422"/>
    </row>
    <row r="473" spans="1:51" x14ac:dyDescent="0.25">
      <c r="A473" s="3"/>
      <c r="B473" s="3"/>
      <c r="C473" s="3"/>
      <c r="D473" s="3"/>
      <c r="E473" s="3"/>
      <c r="F473" s="3"/>
      <c r="G473" s="3"/>
      <c r="H473" s="3"/>
      <c r="I473" s="3"/>
      <c r="J473" s="13"/>
      <c r="K473" s="13"/>
      <c r="L473" s="13"/>
      <c r="M473" s="13"/>
      <c r="N473" s="13"/>
      <c r="O473" s="13"/>
      <c r="P473" s="13"/>
      <c r="Q473" s="13"/>
      <c r="R473" s="13"/>
      <c r="S473" s="421"/>
      <c r="T473" s="421"/>
      <c r="U473" s="421"/>
      <c r="V473" s="421"/>
      <c r="W473" s="421"/>
      <c r="X473" s="421"/>
      <c r="Y473" s="421"/>
      <c r="Z473" s="421"/>
      <c r="AA473" s="421"/>
      <c r="AB473" s="421"/>
      <c r="AC473" s="421"/>
      <c r="AD473" s="421"/>
      <c r="AE473" s="421"/>
      <c r="AF473" s="421"/>
      <c r="AG473" s="421"/>
      <c r="AH473" s="421"/>
      <c r="AI473" s="421"/>
      <c r="AJ473" s="421"/>
      <c r="AK473" s="421"/>
      <c r="AL473" s="421"/>
      <c r="AM473" s="422"/>
      <c r="AN473" s="422"/>
      <c r="AO473" s="422"/>
      <c r="AP473" s="422"/>
      <c r="AQ473" s="422"/>
      <c r="AR473" s="422"/>
      <c r="AS473" s="422"/>
      <c r="AT473" s="422"/>
      <c r="AU473" s="422"/>
      <c r="AV473" s="422"/>
      <c r="AW473" s="422"/>
      <c r="AX473" s="422"/>
      <c r="AY473" s="422"/>
    </row>
    <row r="474" spans="1:51" x14ac:dyDescent="0.25">
      <c r="A474" s="3"/>
      <c r="B474" s="3"/>
      <c r="C474" s="3"/>
      <c r="D474" s="3"/>
      <c r="E474" s="3"/>
      <c r="F474" s="3"/>
      <c r="G474" s="3"/>
      <c r="H474" s="3"/>
      <c r="I474" s="3"/>
      <c r="J474" s="13"/>
      <c r="K474" s="13"/>
      <c r="L474" s="13"/>
      <c r="M474" s="13"/>
      <c r="N474" s="13"/>
      <c r="O474" s="13"/>
      <c r="P474" s="13"/>
      <c r="Q474" s="13"/>
      <c r="R474" s="13"/>
      <c r="S474" s="421"/>
      <c r="T474" s="421"/>
      <c r="U474" s="421"/>
      <c r="V474" s="421"/>
      <c r="W474" s="421"/>
      <c r="X474" s="421"/>
      <c r="Y474" s="421"/>
      <c r="Z474" s="421"/>
      <c r="AA474" s="421"/>
      <c r="AB474" s="421"/>
      <c r="AC474" s="421"/>
      <c r="AD474" s="421"/>
      <c r="AE474" s="421"/>
      <c r="AF474" s="421"/>
      <c r="AG474" s="421"/>
      <c r="AH474" s="421"/>
      <c r="AI474" s="421"/>
      <c r="AJ474" s="421"/>
      <c r="AK474" s="421"/>
      <c r="AL474" s="421"/>
      <c r="AM474" s="422"/>
      <c r="AN474" s="422"/>
      <c r="AO474" s="422"/>
      <c r="AP474" s="422"/>
      <c r="AQ474" s="422"/>
      <c r="AR474" s="422"/>
      <c r="AS474" s="422"/>
      <c r="AT474" s="422"/>
      <c r="AU474" s="422"/>
      <c r="AV474" s="422"/>
      <c r="AW474" s="422"/>
      <c r="AX474" s="422"/>
      <c r="AY474" s="422"/>
    </row>
    <row r="475" spans="1:51" x14ac:dyDescent="0.25">
      <c r="A475" s="3"/>
      <c r="B475" s="3"/>
      <c r="C475" s="3"/>
      <c r="D475" s="3"/>
      <c r="E475" s="3"/>
      <c r="F475" s="3"/>
      <c r="G475" s="3"/>
      <c r="H475" s="3"/>
      <c r="I475" s="3"/>
      <c r="J475" s="13"/>
      <c r="K475" s="13"/>
      <c r="L475" s="13"/>
      <c r="M475" s="13"/>
      <c r="N475" s="13"/>
      <c r="O475" s="13"/>
      <c r="P475" s="13"/>
      <c r="Q475" s="13"/>
      <c r="R475" s="13"/>
      <c r="S475" s="421"/>
      <c r="T475" s="421"/>
      <c r="U475" s="421"/>
      <c r="V475" s="421"/>
      <c r="W475" s="421"/>
      <c r="X475" s="421"/>
      <c r="Y475" s="421"/>
      <c r="Z475" s="421"/>
      <c r="AA475" s="421"/>
      <c r="AB475" s="421"/>
      <c r="AC475" s="421"/>
      <c r="AD475" s="421"/>
      <c r="AE475" s="421"/>
      <c r="AF475" s="421"/>
      <c r="AG475" s="421"/>
      <c r="AH475" s="421"/>
      <c r="AI475" s="421"/>
      <c r="AJ475" s="421"/>
      <c r="AK475" s="421"/>
      <c r="AL475" s="421"/>
      <c r="AM475" s="422"/>
      <c r="AN475" s="422"/>
      <c r="AO475" s="422"/>
      <c r="AP475" s="422"/>
      <c r="AQ475" s="422"/>
      <c r="AR475" s="422"/>
      <c r="AS475" s="422"/>
      <c r="AT475" s="422"/>
      <c r="AU475" s="422"/>
      <c r="AV475" s="422"/>
      <c r="AW475" s="422"/>
      <c r="AX475" s="422"/>
      <c r="AY475" s="422"/>
    </row>
    <row r="476" spans="1:51" x14ac:dyDescent="0.25">
      <c r="A476" s="3"/>
      <c r="B476" s="3"/>
      <c r="C476" s="3"/>
      <c r="D476" s="3"/>
      <c r="E476" s="3"/>
      <c r="F476" s="3"/>
      <c r="G476" s="3"/>
      <c r="H476" s="3"/>
      <c r="I476" s="3"/>
      <c r="J476" s="13"/>
      <c r="K476" s="13"/>
      <c r="L476" s="13"/>
      <c r="M476" s="13"/>
      <c r="N476" s="13"/>
      <c r="O476" s="13"/>
      <c r="P476" s="13"/>
      <c r="Q476" s="13"/>
      <c r="R476" s="13"/>
      <c r="S476" s="421"/>
      <c r="T476" s="421"/>
      <c r="U476" s="421"/>
      <c r="V476" s="421"/>
      <c r="W476" s="421"/>
      <c r="X476" s="421"/>
      <c r="Y476" s="421"/>
      <c r="Z476" s="421"/>
      <c r="AA476" s="421"/>
      <c r="AB476" s="421"/>
      <c r="AC476" s="421"/>
      <c r="AD476" s="421"/>
      <c r="AE476" s="421"/>
      <c r="AF476" s="421"/>
      <c r="AG476" s="421"/>
      <c r="AH476" s="421"/>
      <c r="AI476" s="421"/>
      <c r="AJ476" s="421"/>
      <c r="AK476" s="421"/>
      <c r="AL476" s="421"/>
      <c r="AM476" s="422"/>
      <c r="AN476" s="422"/>
      <c r="AO476" s="422"/>
      <c r="AP476" s="422"/>
      <c r="AQ476" s="422"/>
      <c r="AR476" s="422"/>
      <c r="AS476" s="422"/>
      <c r="AT476" s="422"/>
      <c r="AU476" s="422"/>
      <c r="AV476" s="422"/>
      <c r="AW476" s="422"/>
      <c r="AX476" s="422"/>
      <c r="AY476" s="422"/>
    </row>
    <row r="477" spans="1:51" x14ac:dyDescent="0.25">
      <c r="A477" s="3"/>
      <c r="B477" s="3"/>
      <c r="C477" s="3"/>
      <c r="D477" s="3"/>
      <c r="E477" s="3"/>
      <c r="F477" s="3"/>
      <c r="G477" s="3"/>
      <c r="H477" s="3"/>
      <c r="I477" s="3"/>
      <c r="J477" s="13"/>
      <c r="K477" s="13"/>
      <c r="L477" s="13"/>
      <c r="M477" s="13"/>
      <c r="N477" s="13"/>
      <c r="O477" s="13"/>
      <c r="P477" s="13"/>
      <c r="Q477" s="13"/>
      <c r="R477" s="13"/>
      <c r="S477" s="421"/>
      <c r="T477" s="421"/>
      <c r="U477" s="421"/>
      <c r="V477" s="421"/>
      <c r="W477" s="421"/>
      <c r="X477" s="421"/>
      <c r="Y477" s="421"/>
      <c r="Z477" s="421"/>
      <c r="AA477" s="421"/>
      <c r="AB477" s="421"/>
      <c r="AC477" s="421"/>
      <c r="AD477" s="421"/>
      <c r="AE477" s="421"/>
      <c r="AF477" s="421"/>
      <c r="AG477" s="421"/>
      <c r="AH477" s="421"/>
      <c r="AI477" s="421"/>
      <c r="AJ477" s="421"/>
      <c r="AK477" s="421"/>
      <c r="AL477" s="421"/>
      <c r="AM477" s="422"/>
      <c r="AN477" s="422"/>
      <c r="AO477" s="422"/>
      <c r="AP477" s="422"/>
      <c r="AQ477" s="422"/>
      <c r="AR477" s="422"/>
      <c r="AS477" s="422"/>
      <c r="AT477" s="422"/>
      <c r="AU477" s="422"/>
      <c r="AV477" s="422"/>
      <c r="AW477" s="422"/>
      <c r="AX477" s="422"/>
      <c r="AY477" s="422"/>
    </row>
    <row r="478" spans="1:51" x14ac:dyDescent="0.25">
      <c r="A478" s="3"/>
      <c r="B478" s="3"/>
      <c r="C478" s="3"/>
      <c r="D478" s="3"/>
      <c r="E478" s="3"/>
      <c r="F478" s="3"/>
      <c r="G478" s="3"/>
      <c r="H478" s="3"/>
      <c r="I478" s="3"/>
      <c r="J478" s="13"/>
      <c r="K478" s="13"/>
      <c r="L478" s="13"/>
      <c r="M478" s="13"/>
      <c r="N478" s="13"/>
      <c r="O478" s="13"/>
      <c r="P478" s="13"/>
      <c r="Q478" s="13"/>
      <c r="R478" s="13"/>
      <c r="S478" s="421"/>
      <c r="T478" s="421"/>
      <c r="U478" s="421"/>
      <c r="V478" s="421"/>
      <c r="W478" s="421"/>
      <c r="X478" s="421"/>
      <c r="Y478" s="421"/>
      <c r="Z478" s="421"/>
      <c r="AA478" s="421"/>
      <c r="AB478" s="421"/>
      <c r="AC478" s="421"/>
      <c r="AD478" s="421"/>
      <c r="AE478" s="421"/>
      <c r="AF478" s="421"/>
      <c r="AG478" s="421"/>
      <c r="AH478" s="421"/>
      <c r="AI478" s="421"/>
      <c r="AJ478" s="421"/>
      <c r="AK478" s="421"/>
      <c r="AL478" s="421"/>
      <c r="AM478" s="422"/>
      <c r="AN478" s="422"/>
      <c r="AO478" s="422"/>
      <c r="AP478" s="422"/>
      <c r="AQ478" s="422"/>
      <c r="AR478" s="422"/>
      <c r="AS478" s="422"/>
      <c r="AT478" s="422"/>
      <c r="AU478" s="422"/>
      <c r="AV478" s="422"/>
      <c r="AW478" s="422"/>
      <c r="AX478" s="422"/>
      <c r="AY478" s="422"/>
    </row>
    <row r="479" spans="1:51" x14ac:dyDescent="0.25">
      <c r="A479" s="3"/>
      <c r="B479" s="3"/>
      <c r="C479" s="3"/>
      <c r="D479" s="3"/>
      <c r="E479" s="3"/>
      <c r="F479" s="3"/>
      <c r="G479" s="3"/>
      <c r="H479" s="3"/>
      <c r="I479" s="3"/>
      <c r="J479" s="13"/>
      <c r="K479" s="13"/>
      <c r="L479" s="13"/>
      <c r="M479" s="13"/>
      <c r="N479" s="13"/>
      <c r="O479" s="13"/>
      <c r="P479" s="13"/>
      <c r="Q479" s="13"/>
      <c r="R479" s="13"/>
      <c r="S479" s="421"/>
      <c r="T479" s="421"/>
      <c r="U479" s="421"/>
      <c r="V479" s="421"/>
      <c r="W479" s="421"/>
      <c r="X479" s="421"/>
      <c r="Y479" s="421"/>
      <c r="Z479" s="421"/>
      <c r="AA479" s="421"/>
      <c r="AB479" s="421"/>
      <c r="AC479" s="421"/>
      <c r="AD479" s="421"/>
      <c r="AE479" s="421"/>
      <c r="AF479" s="421"/>
      <c r="AG479" s="421"/>
      <c r="AH479" s="421"/>
      <c r="AI479" s="421"/>
      <c r="AJ479" s="421"/>
      <c r="AK479" s="421"/>
      <c r="AL479" s="421"/>
      <c r="AM479" s="422"/>
      <c r="AN479" s="422"/>
      <c r="AO479" s="422"/>
      <c r="AP479" s="422"/>
      <c r="AQ479" s="422"/>
      <c r="AR479" s="422"/>
      <c r="AS479" s="422"/>
      <c r="AT479" s="422"/>
      <c r="AU479" s="422"/>
      <c r="AV479" s="422"/>
      <c r="AW479" s="422"/>
      <c r="AX479" s="422"/>
      <c r="AY479" s="422"/>
    </row>
    <row r="480" spans="1:51" x14ac:dyDescent="0.25">
      <c r="A480" s="3"/>
      <c r="B480" s="3"/>
      <c r="C480" s="3"/>
      <c r="D480" s="3"/>
      <c r="E480" s="3"/>
      <c r="F480" s="3"/>
      <c r="G480" s="3"/>
      <c r="H480" s="3"/>
      <c r="I480" s="3"/>
      <c r="J480" s="13"/>
      <c r="K480" s="13"/>
      <c r="L480" s="13"/>
      <c r="M480" s="13"/>
      <c r="N480" s="13"/>
      <c r="O480" s="13"/>
      <c r="P480" s="13"/>
      <c r="Q480" s="13"/>
      <c r="R480" s="13"/>
      <c r="S480" s="421"/>
      <c r="T480" s="421"/>
      <c r="U480" s="421"/>
      <c r="V480" s="421"/>
      <c r="W480" s="421"/>
      <c r="X480" s="421"/>
      <c r="Y480" s="421"/>
      <c r="Z480" s="421"/>
      <c r="AA480" s="421"/>
      <c r="AB480" s="421"/>
      <c r="AC480" s="421"/>
      <c r="AD480" s="421"/>
      <c r="AE480" s="421"/>
      <c r="AF480" s="421"/>
      <c r="AG480" s="421"/>
      <c r="AH480" s="421"/>
      <c r="AI480" s="421"/>
      <c r="AJ480" s="421"/>
      <c r="AK480" s="421"/>
      <c r="AL480" s="421"/>
      <c r="AM480" s="422"/>
      <c r="AN480" s="422"/>
      <c r="AO480" s="422"/>
      <c r="AP480" s="422"/>
      <c r="AQ480" s="422"/>
      <c r="AR480" s="422"/>
      <c r="AS480" s="422"/>
      <c r="AT480" s="422"/>
      <c r="AU480" s="422"/>
      <c r="AV480" s="422"/>
      <c r="AW480" s="422"/>
      <c r="AX480" s="422"/>
      <c r="AY480" s="422"/>
    </row>
    <row r="481" spans="1:51" x14ac:dyDescent="0.25">
      <c r="A481" s="3"/>
      <c r="B481" s="3"/>
      <c r="C481" s="3"/>
      <c r="D481" s="3"/>
      <c r="E481" s="3"/>
      <c r="F481" s="3"/>
      <c r="G481" s="3"/>
      <c r="H481" s="3"/>
      <c r="I481" s="3"/>
      <c r="J481" s="13"/>
      <c r="K481" s="13"/>
      <c r="L481" s="13"/>
      <c r="M481" s="13"/>
      <c r="N481" s="13"/>
      <c r="O481" s="13"/>
      <c r="P481" s="13"/>
      <c r="Q481" s="13"/>
      <c r="R481" s="13"/>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2"/>
      <c r="AN481" s="422"/>
      <c r="AO481" s="422"/>
      <c r="AP481" s="422"/>
      <c r="AQ481" s="422"/>
      <c r="AR481" s="422"/>
      <c r="AS481" s="422"/>
      <c r="AT481" s="422"/>
      <c r="AU481" s="422"/>
      <c r="AV481" s="422"/>
      <c r="AW481" s="422"/>
      <c r="AX481" s="422"/>
      <c r="AY481" s="422"/>
    </row>
    <row r="482" spans="1:51" x14ac:dyDescent="0.25">
      <c r="A482" s="3"/>
      <c r="B482" s="3"/>
      <c r="C482" s="3"/>
      <c r="D482" s="3"/>
      <c r="E482" s="3"/>
      <c r="F482" s="3"/>
      <c r="G482" s="3"/>
      <c r="H482" s="3"/>
      <c r="I482" s="3"/>
      <c r="J482" s="13"/>
      <c r="K482" s="13"/>
      <c r="L482" s="13"/>
      <c r="M482" s="13"/>
      <c r="N482" s="13"/>
      <c r="O482" s="13"/>
      <c r="P482" s="13"/>
      <c r="Q482" s="13"/>
      <c r="R482" s="13"/>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2"/>
      <c r="AN482" s="422"/>
      <c r="AO482" s="422"/>
      <c r="AP482" s="422"/>
      <c r="AQ482" s="422"/>
      <c r="AR482" s="422"/>
      <c r="AS482" s="422"/>
      <c r="AT482" s="422"/>
      <c r="AU482" s="422"/>
      <c r="AV482" s="422"/>
      <c r="AW482" s="422"/>
      <c r="AX482" s="422"/>
      <c r="AY482" s="422"/>
    </row>
    <row r="483" spans="1:51" x14ac:dyDescent="0.25">
      <c r="A483" s="3"/>
      <c r="B483" s="3"/>
      <c r="C483" s="3"/>
      <c r="D483" s="3"/>
      <c r="E483" s="3"/>
      <c r="F483" s="3"/>
      <c r="G483" s="3"/>
      <c r="H483" s="3"/>
      <c r="I483" s="3"/>
      <c r="J483" s="13"/>
      <c r="K483" s="13"/>
      <c r="L483" s="13"/>
      <c r="M483" s="13"/>
      <c r="N483" s="13"/>
      <c r="O483" s="13"/>
      <c r="P483" s="13"/>
      <c r="Q483" s="13"/>
      <c r="R483" s="13"/>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2"/>
      <c r="AN483" s="422"/>
      <c r="AO483" s="422"/>
      <c r="AP483" s="422"/>
      <c r="AQ483" s="422"/>
      <c r="AR483" s="422"/>
      <c r="AS483" s="422"/>
      <c r="AT483" s="422"/>
      <c r="AU483" s="422"/>
      <c r="AV483" s="422"/>
      <c r="AW483" s="422"/>
      <c r="AX483" s="422"/>
      <c r="AY483" s="422"/>
    </row>
    <row r="484" spans="1:51" x14ac:dyDescent="0.25">
      <c r="A484" s="3"/>
      <c r="B484" s="3"/>
      <c r="C484" s="3"/>
      <c r="D484" s="3"/>
      <c r="E484" s="3"/>
      <c r="F484" s="3"/>
      <c r="G484" s="3"/>
      <c r="H484" s="3"/>
      <c r="I484" s="3"/>
      <c r="J484" s="13"/>
      <c r="K484" s="13"/>
      <c r="L484" s="13"/>
      <c r="M484" s="13"/>
      <c r="N484" s="13"/>
      <c r="O484" s="13"/>
      <c r="P484" s="13"/>
      <c r="Q484" s="13"/>
      <c r="R484" s="13"/>
      <c r="S484" s="421"/>
      <c r="T484" s="421"/>
      <c r="U484" s="421"/>
      <c r="V484" s="421"/>
      <c r="W484" s="421"/>
      <c r="X484" s="421"/>
      <c r="Y484" s="421"/>
      <c r="Z484" s="421"/>
      <c r="AA484" s="421"/>
      <c r="AB484" s="421"/>
      <c r="AC484" s="421"/>
      <c r="AD484" s="421"/>
      <c r="AE484" s="421"/>
      <c r="AF484" s="421"/>
      <c r="AG484" s="421"/>
      <c r="AH484" s="421"/>
      <c r="AI484" s="421"/>
      <c r="AJ484" s="421"/>
      <c r="AK484" s="421"/>
      <c r="AL484" s="421"/>
      <c r="AM484" s="422"/>
      <c r="AN484" s="422"/>
      <c r="AO484" s="422"/>
      <c r="AP484" s="422"/>
      <c r="AQ484" s="422"/>
      <c r="AR484" s="422"/>
      <c r="AS484" s="422"/>
      <c r="AT484" s="422"/>
      <c r="AU484" s="422"/>
      <c r="AV484" s="422"/>
      <c r="AW484" s="422"/>
      <c r="AX484" s="422"/>
      <c r="AY484" s="422"/>
    </row>
    <row r="485" spans="1:51" x14ac:dyDescent="0.25">
      <c r="A485" s="3"/>
      <c r="B485" s="3"/>
      <c r="C485" s="3"/>
      <c r="D485" s="3"/>
      <c r="E485" s="3"/>
      <c r="F485" s="3"/>
      <c r="G485" s="3"/>
      <c r="H485" s="3"/>
      <c r="I485" s="3"/>
      <c r="J485" s="13"/>
      <c r="K485" s="13"/>
      <c r="L485" s="13"/>
      <c r="M485" s="13"/>
      <c r="N485" s="13"/>
      <c r="O485" s="13"/>
      <c r="P485" s="13"/>
      <c r="Q485" s="13"/>
      <c r="R485" s="13"/>
      <c r="S485" s="421"/>
      <c r="T485" s="421"/>
      <c r="U485" s="421"/>
      <c r="V485" s="421"/>
      <c r="W485" s="421"/>
      <c r="X485" s="421"/>
      <c r="Y485" s="421"/>
      <c r="Z485" s="421"/>
      <c r="AA485" s="421"/>
      <c r="AB485" s="421"/>
      <c r="AC485" s="421"/>
      <c r="AD485" s="421"/>
      <c r="AE485" s="421"/>
      <c r="AF485" s="421"/>
      <c r="AG485" s="421"/>
      <c r="AH485" s="421"/>
      <c r="AI485" s="421"/>
      <c r="AJ485" s="421"/>
      <c r="AK485" s="421"/>
      <c r="AL485" s="421"/>
      <c r="AM485" s="422"/>
      <c r="AN485" s="422"/>
      <c r="AO485" s="422"/>
      <c r="AP485" s="422"/>
      <c r="AQ485" s="422"/>
      <c r="AR485" s="422"/>
      <c r="AS485" s="422"/>
      <c r="AT485" s="422"/>
      <c r="AU485" s="422"/>
      <c r="AV485" s="422"/>
      <c r="AW485" s="422"/>
      <c r="AX485" s="422"/>
      <c r="AY485" s="422"/>
    </row>
    <row r="486" spans="1:51" x14ac:dyDescent="0.25">
      <c r="A486" s="3"/>
      <c r="B486" s="3"/>
      <c r="C486" s="3"/>
      <c r="D486" s="3"/>
      <c r="E486" s="3"/>
      <c r="F486" s="3"/>
      <c r="G486" s="3"/>
      <c r="H486" s="3"/>
      <c r="I486" s="3"/>
      <c r="J486" s="13"/>
      <c r="K486" s="13"/>
      <c r="L486" s="13"/>
      <c r="M486" s="13"/>
      <c r="N486" s="13"/>
      <c r="O486" s="13"/>
      <c r="P486" s="13"/>
      <c r="Q486" s="13"/>
      <c r="R486" s="13"/>
      <c r="S486" s="421"/>
      <c r="T486" s="421"/>
      <c r="U486" s="421"/>
      <c r="V486" s="421"/>
      <c r="W486" s="421"/>
      <c r="X486" s="421"/>
      <c r="Y486" s="421"/>
      <c r="Z486" s="421"/>
      <c r="AA486" s="421"/>
      <c r="AB486" s="421"/>
      <c r="AC486" s="421"/>
      <c r="AD486" s="421"/>
      <c r="AE486" s="421"/>
      <c r="AF486" s="421"/>
      <c r="AG486" s="421"/>
      <c r="AH486" s="421"/>
      <c r="AI486" s="421"/>
      <c r="AJ486" s="421"/>
      <c r="AK486" s="421"/>
      <c r="AL486" s="421"/>
      <c r="AM486" s="422"/>
      <c r="AN486" s="422"/>
      <c r="AO486" s="422"/>
      <c r="AP486" s="422"/>
      <c r="AQ486" s="422"/>
      <c r="AR486" s="422"/>
      <c r="AS486" s="422"/>
      <c r="AT486" s="422"/>
      <c r="AU486" s="422"/>
      <c r="AV486" s="422"/>
      <c r="AW486" s="422"/>
      <c r="AX486" s="422"/>
      <c r="AY486" s="422"/>
    </row>
    <row r="487" spans="1:51" x14ac:dyDescent="0.25">
      <c r="A487" s="3"/>
      <c r="B487" s="3"/>
      <c r="C487" s="3"/>
      <c r="D487" s="3"/>
      <c r="E487" s="3"/>
      <c r="F487" s="3"/>
      <c r="G487" s="3"/>
      <c r="H487" s="3"/>
      <c r="I487" s="3"/>
      <c r="J487" s="13"/>
      <c r="K487" s="13"/>
      <c r="L487" s="13"/>
      <c r="M487" s="13"/>
      <c r="N487" s="13"/>
      <c r="O487" s="13"/>
      <c r="P487" s="13"/>
      <c r="Q487" s="13"/>
      <c r="R487" s="13"/>
      <c r="S487" s="421"/>
      <c r="T487" s="421"/>
      <c r="U487" s="421"/>
      <c r="V487" s="421"/>
      <c r="W487" s="421"/>
      <c r="X487" s="421"/>
      <c r="Y487" s="421"/>
      <c r="Z487" s="421"/>
      <c r="AA487" s="421"/>
      <c r="AB487" s="421"/>
      <c r="AC487" s="421"/>
      <c r="AD487" s="421"/>
      <c r="AE487" s="421"/>
      <c r="AF487" s="421"/>
      <c r="AG487" s="421"/>
      <c r="AH487" s="421"/>
      <c r="AI487" s="421"/>
      <c r="AJ487" s="421"/>
      <c r="AK487" s="421"/>
      <c r="AL487" s="421"/>
      <c r="AM487" s="422"/>
      <c r="AN487" s="422"/>
      <c r="AO487" s="422"/>
      <c r="AP487" s="422"/>
      <c r="AQ487" s="422"/>
      <c r="AR487" s="422"/>
      <c r="AS487" s="422"/>
      <c r="AT487" s="422"/>
      <c r="AU487" s="422"/>
      <c r="AV487" s="422"/>
      <c r="AW487" s="422"/>
      <c r="AX487" s="422"/>
      <c r="AY487" s="422"/>
    </row>
    <row r="488" spans="1:51" x14ac:dyDescent="0.25">
      <c r="A488" s="3"/>
      <c r="B488" s="3"/>
      <c r="C488" s="3"/>
      <c r="D488" s="3"/>
      <c r="E488" s="3"/>
      <c r="F488" s="3"/>
      <c r="G488" s="3"/>
      <c r="H488" s="3"/>
      <c r="I488" s="3"/>
      <c r="J488" s="13"/>
      <c r="K488" s="13"/>
      <c r="L488" s="13"/>
      <c r="M488" s="13"/>
      <c r="N488" s="13"/>
      <c r="O488" s="13"/>
      <c r="P488" s="13"/>
      <c r="Q488" s="13"/>
      <c r="R488" s="13"/>
      <c r="S488" s="421"/>
      <c r="T488" s="421"/>
      <c r="U488" s="421"/>
      <c r="V488" s="421"/>
      <c r="W488" s="421"/>
      <c r="X488" s="421"/>
      <c r="Y488" s="421"/>
      <c r="Z488" s="421"/>
      <c r="AA488" s="421"/>
      <c r="AB488" s="421"/>
      <c r="AC488" s="421"/>
      <c r="AD488" s="421"/>
      <c r="AE488" s="421"/>
      <c r="AF488" s="421"/>
      <c r="AG488" s="421"/>
      <c r="AH488" s="421"/>
      <c r="AI488" s="421"/>
      <c r="AJ488" s="421"/>
      <c r="AK488" s="421"/>
      <c r="AL488" s="421"/>
      <c r="AM488" s="422"/>
      <c r="AN488" s="422"/>
      <c r="AO488" s="422"/>
      <c r="AP488" s="422"/>
      <c r="AQ488" s="422"/>
      <c r="AR488" s="422"/>
      <c r="AS488" s="422"/>
      <c r="AT488" s="422"/>
      <c r="AU488" s="422"/>
      <c r="AV488" s="422"/>
      <c r="AW488" s="422"/>
      <c r="AX488" s="422"/>
      <c r="AY488" s="422"/>
    </row>
    <row r="489" spans="1:51" x14ac:dyDescent="0.25">
      <c r="A489" s="3"/>
      <c r="B489" s="3"/>
      <c r="C489" s="3"/>
      <c r="D489" s="3"/>
      <c r="E489" s="3"/>
      <c r="F489" s="3"/>
      <c r="G489" s="3"/>
      <c r="H489" s="3"/>
      <c r="I489" s="3"/>
      <c r="J489" s="13"/>
      <c r="K489" s="13"/>
      <c r="L489" s="13"/>
      <c r="M489" s="13"/>
      <c r="N489" s="13"/>
      <c r="O489" s="13"/>
      <c r="P489" s="13"/>
      <c r="Q489" s="13"/>
      <c r="R489" s="13"/>
      <c r="S489" s="421"/>
      <c r="T489" s="421"/>
      <c r="U489" s="421"/>
      <c r="V489" s="421"/>
      <c r="W489" s="421"/>
      <c r="X489" s="421"/>
      <c r="Y489" s="421"/>
      <c r="Z489" s="421"/>
      <c r="AA489" s="421"/>
      <c r="AB489" s="421"/>
      <c r="AC489" s="421"/>
      <c r="AD489" s="421"/>
      <c r="AE489" s="421"/>
      <c r="AF489" s="421"/>
      <c r="AG489" s="421"/>
      <c r="AH489" s="421"/>
      <c r="AI489" s="421"/>
      <c r="AJ489" s="421"/>
      <c r="AK489" s="421"/>
      <c r="AL489" s="421"/>
      <c r="AM489" s="422"/>
      <c r="AN489" s="422"/>
      <c r="AO489" s="422"/>
      <c r="AP489" s="422"/>
      <c r="AQ489" s="422"/>
      <c r="AR489" s="422"/>
      <c r="AS489" s="422"/>
      <c r="AT489" s="422"/>
      <c r="AU489" s="422"/>
      <c r="AV489" s="422"/>
      <c r="AW489" s="422"/>
      <c r="AX489" s="422"/>
      <c r="AY489" s="422"/>
    </row>
    <row r="490" spans="1:51" x14ac:dyDescent="0.25">
      <c r="A490" s="3"/>
      <c r="B490" s="3"/>
      <c r="C490" s="3"/>
      <c r="D490" s="3"/>
      <c r="E490" s="3"/>
      <c r="F490" s="3"/>
      <c r="G490" s="3"/>
      <c r="H490" s="3"/>
      <c r="I490" s="3"/>
      <c r="J490" s="13"/>
      <c r="K490" s="13"/>
      <c r="L490" s="13"/>
      <c r="M490" s="13"/>
      <c r="N490" s="13"/>
      <c r="O490" s="13"/>
      <c r="P490" s="13"/>
      <c r="Q490" s="13"/>
      <c r="R490" s="13"/>
      <c r="S490" s="421"/>
      <c r="T490" s="421"/>
      <c r="U490" s="421"/>
      <c r="V490" s="421"/>
      <c r="W490" s="421"/>
      <c r="X490" s="421"/>
      <c r="Y490" s="421"/>
      <c r="Z490" s="421"/>
      <c r="AA490" s="421"/>
      <c r="AB490" s="421"/>
      <c r="AC490" s="421"/>
      <c r="AD490" s="421"/>
      <c r="AE490" s="421"/>
      <c r="AF490" s="421"/>
      <c r="AG490" s="421"/>
      <c r="AH490" s="421"/>
      <c r="AI490" s="421"/>
      <c r="AJ490" s="421"/>
      <c r="AK490" s="421"/>
      <c r="AL490" s="421"/>
      <c r="AM490" s="422"/>
      <c r="AN490" s="422"/>
      <c r="AO490" s="422"/>
      <c r="AP490" s="422"/>
      <c r="AQ490" s="422"/>
      <c r="AR490" s="422"/>
      <c r="AS490" s="422"/>
      <c r="AT490" s="422"/>
      <c r="AU490" s="422"/>
      <c r="AV490" s="422"/>
      <c r="AW490" s="422"/>
      <c r="AX490" s="422"/>
      <c r="AY490" s="422"/>
    </row>
    <row r="491" spans="1:51" x14ac:dyDescent="0.25">
      <c r="A491" s="3"/>
      <c r="B491" s="3"/>
      <c r="C491" s="3"/>
      <c r="D491" s="3"/>
      <c r="E491" s="3"/>
      <c r="F491" s="3"/>
      <c r="G491" s="3"/>
      <c r="H491" s="3"/>
      <c r="I491" s="3"/>
      <c r="J491" s="13"/>
      <c r="K491" s="13"/>
      <c r="L491" s="13"/>
      <c r="M491" s="13"/>
      <c r="N491" s="13"/>
      <c r="O491" s="13"/>
      <c r="P491" s="13"/>
      <c r="Q491" s="13"/>
      <c r="R491" s="13"/>
      <c r="S491" s="421"/>
      <c r="T491" s="421"/>
      <c r="U491" s="421"/>
      <c r="V491" s="421"/>
      <c r="W491" s="421"/>
      <c r="X491" s="421"/>
      <c r="Y491" s="421"/>
      <c r="Z491" s="421"/>
      <c r="AA491" s="421"/>
      <c r="AB491" s="421"/>
      <c r="AC491" s="421"/>
      <c r="AD491" s="421"/>
      <c r="AE491" s="421"/>
      <c r="AF491" s="421"/>
      <c r="AG491" s="421"/>
      <c r="AH491" s="421"/>
      <c r="AI491" s="421"/>
      <c r="AJ491" s="421"/>
      <c r="AK491" s="421"/>
      <c r="AL491" s="421"/>
      <c r="AM491" s="422"/>
      <c r="AN491" s="422"/>
      <c r="AO491" s="422"/>
      <c r="AP491" s="422"/>
      <c r="AQ491" s="422"/>
      <c r="AR491" s="422"/>
      <c r="AS491" s="422"/>
      <c r="AT491" s="422"/>
      <c r="AU491" s="422"/>
      <c r="AV491" s="422"/>
      <c r="AW491" s="422"/>
      <c r="AX491" s="422"/>
      <c r="AY491" s="422"/>
    </row>
    <row r="492" spans="1:51" x14ac:dyDescent="0.25">
      <c r="A492" s="3"/>
      <c r="B492" s="3"/>
      <c r="C492" s="3"/>
      <c r="D492" s="3"/>
      <c r="E492" s="3"/>
      <c r="F492" s="3"/>
      <c r="G492" s="3"/>
      <c r="H492" s="3"/>
      <c r="I492" s="3"/>
      <c r="J492" s="13"/>
      <c r="K492" s="13"/>
      <c r="L492" s="13"/>
      <c r="M492" s="13"/>
      <c r="N492" s="13"/>
      <c r="O492" s="13"/>
      <c r="P492" s="13"/>
      <c r="Q492" s="13"/>
      <c r="R492" s="13"/>
      <c r="S492" s="421"/>
      <c r="T492" s="421"/>
      <c r="U492" s="421"/>
      <c r="V492" s="421"/>
      <c r="W492" s="421"/>
      <c r="X492" s="421"/>
      <c r="Y492" s="421"/>
      <c r="Z492" s="421"/>
      <c r="AA492" s="421"/>
      <c r="AB492" s="421"/>
      <c r="AC492" s="421"/>
      <c r="AD492" s="421"/>
      <c r="AE492" s="421"/>
      <c r="AF492" s="421"/>
      <c r="AG492" s="421"/>
      <c r="AH492" s="421"/>
      <c r="AI492" s="421"/>
      <c r="AJ492" s="421"/>
      <c r="AK492" s="421"/>
      <c r="AL492" s="421"/>
      <c r="AM492" s="422"/>
      <c r="AN492" s="422"/>
      <c r="AO492" s="422"/>
      <c r="AP492" s="422"/>
      <c r="AQ492" s="422"/>
      <c r="AR492" s="422"/>
      <c r="AS492" s="422"/>
      <c r="AT492" s="422"/>
      <c r="AU492" s="422"/>
      <c r="AV492" s="422"/>
      <c r="AW492" s="422"/>
      <c r="AX492" s="422"/>
      <c r="AY492" s="422"/>
    </row>
    <row r="493" spans="1:51" x14ac:dyDescent="0.25">
      <c r="A493" s="3"/>
      <c r="B493" s="3"/>
      <c r="C493" s="3"/>
      <c r="D493" s="3"/>
      <c r="E493" s="3"/>
      <c r="F493" s="3"/>
      <c r="G493" s="3"/>
      <c r="H493" s="3"/>
      <c r="I493" s="3"/>
      <c r="J493" s="13"/>
      <c r="K493" s="13"/>
      <c r="L493" s="13"/>
      <c r="M493" s="13"/>
      <c r="N493" s="13"/>
      <c r="O493" s="13"/>
      <c r="P493" s="13"/>
      <c r="Q493" s="13"/>
      <c r="R493" s="13"/>
      <c r="S493" s="421"/>
      <c r="T493" s="421"/>
      <c r="U493" s="421"/>
      <c r="V493" s="421"/>
      <c r="W493" s="421"/>
      <c r="X493" s="421"/>
      <c r="Y493" s="421"/>
      <c r="Z493" s="421"/>
      <c r="AA493" s="421"/>
      <c r="AB493" s="421"/>
      <c r="AC493" s="421"/>
      <c r="AD493" s="421"/>
      <c r="AE493" s="421"/>
      <c r="AF493" s="421"/>
      <c r="AG493" s="421"/>
      <c r="AH493" s="421"/>
      <c r="AI493" s="421"/>
      <c r="AJ493" s="421"/>
      <c r="AK493" s="421"/>
      <c r="AL493" s="421"/>
      <c r="AM493" s="422"/>
      <c r="AN493" s="422"/>
      <c r="AO493" s="422"/>
      <c r="AP493" s="422"/>
      <c r="AQ493" s="422"/>
      <c r="AR493" s="422"/>
      <c r="AS493" s="422"/>
      <c r="AT493" s="422"/>
      <c r="AU493" s="422"/>
      <c r="AV493" s="422"/>
      <c r="AW493" s="422"/>
      <c r="AX493" s="422"/>
      <c r="AY493" s="422"/>
    </row>
    <row r="494" spans="1:51" x14ac:dyDescent="0.25">
      <c r="A494" s="3"/>
      <c r="B494" s="3"/>
      <c r="C494" s="3"/>
      <c r="D494" s="3"/>
      <c r="E494" s="3"/>
      <c r="F494" s="3"/>
      <c r="G494" s="3"/>
      <c r="H494" s="3"/>
      <c r="I494" s="3"/>
      <c r="J494" s="13"/>
      <c r="K494" s="13"/>
      <c r="L494" s="13"/>
      <c r="M494" s="13"/>
      <c r="N494" s="13"/>
      <c r="O494" s="13"/>
      <c r="P494" s="13"/>
      <c r="Q494" s="13"/>
      <c r="R494" s="13"/>
      <c r="S494" s="421"/>
      <c r="T494" s="421"/>
      <c r="U494" s="421"/>
      <c r="V494" s="421"/>
      <c r="W494" s="421"/>
      <c r="X494" s="421"/>
      <c r="Y494" s="421"/>
      <c r="Z494" s="421"/>
      <c r="AA494" s="421"/>
      <c r="AB494" s="421"/>
      <c r="AC494" s="421"/>
      <c r="AD494" s="421"/>
      <c r="AE494" s="421"/>
      <c r="AF494" s="421"/>
      <c r="AG494" s="421"/>
      <c r="AH494" s="421"/>
      <c r="AI494" s="421"/>
      <c r="AJ494" s="421"/>
      <c r="AK494" s="421"/>
      <c r="AL494" s="421"/>
      <c r="AM494" s="422"/>
      <c r="AN494" s="422"/>
      <c r="AO494" s="422"/>
      <c r="AP494" s="422"/>
      <c r="AQ494" s="422"/>
      <c r="AR494" s="422"/>
      <c r="AS494" s="422"/>
      <c r="AT494" s="422"/>
      <c r="AU494" s="422"/>
      <c r="AV494" s="422"/>
      <c r="AW494" s="422"/>
      <c r="AX494" s="422"/>
      <c r="AY494" s="422"/>
    </row>
    <row r="495" spans="1:51" x14ac:dyDescent="0.25">
      <c r="A495" s="3"/>
      <c r="B495" s="3"/>
      <c r="C495" s="3"/>
      <c r="D495" s="3"/>
      <c r="E495" s="3"/>
      <c r="F495" s="3"/>
      <c r="G495" s="3"/>
      <c r="H495" s="3"/>
      <c r="I495" s="3"/>
      <c r="J495" s="13"/>
      <c r="K495" s="13"/>
      <c r="L495" s="13"/>
      <c r="M495" s="13"/>
      <c r="N495" s="13"/>
      <c r="O495" s="13"/>
      <c r="P495" s="13"/>
      <c r="Q495" s="13"/>
      <c r="R495" s="13"/>
      <c r="S495" s="421"/>
      <c r="T495" s="421"/>
      <c r="U495" s="421"/>
      <c r="V495" s="421"/>
      <c r="W495" s="421"/>
      <c r="X495" s="421"/>
      <c r="Y495" s="421"/>
      <c r="Z495" s="421"/>
      <c r="AA495" s="421"/>
      <c r="AB495" s="421"/>
      <c r="AC495" s="421"/>
      <c r="AD495" s="421"/>
      <c r="AE495" s="421"/>
      <c r="AF495" s="421"/>
      <c r="AG495" s="421"/>
      <c r="AH495" s="421"/>
      <c r="AI495" s="421"/>
      <c r="AJ495" s="421"/>
      <c r="AK495" s="421"/>
      <c r="AL495" s="421"/>
      <c r="AM495" s="422"/>
      <c r="AN495" s="422"/>
      <c r="AO495" s="422"/>
      <c r="AP495" s="422"/>
      <c r="AQ495" s="422"/>
      <c r="AR495" s="422"/>
      <c r="AS495" s="422"/>
      <c r="AT495" s="422"/>
      <c r="AU495" s="422"/>
      <c r="AV495" s="422"/>
      <c r="AW495" s="422"/>
      <c r="AX495" s="422"/>
      <c r="AY495" s="422"/>
    </row>
    <row r="496" spans="1:51" x14ac:dyDescent="0.25">
      <c r="A496" s="3"/>
      <c r="B496" s="3"/>
      <c r="C496" s="3"/>
      <c r="D496" s="3"/>
      <c r="E496" s="3"/>
      <c r="F496" s="3"/>
      <c r="G496" s="3"/>
      <c r="H496" s="3"/>
      <c r="I496" s="3"/>
      <c r="J496" s="13"/>
      <c r="K496" s="13"/>
      <c r="L496" s="13"/>
      <c r="M496" s="13"/>
      <c r="N496" s="13"/>
      <c r="O496" s="13"/>
      <c r="P496" s="13"/>
      <c r="Q496" s="13"/>
      <c r="R496" s="13"/>
      <c r="S496" s="421"/>
      <c r="T496" s="421"/>
      <c r="U496" s="421"/>
      <c r="V496" s="421"/>
      <c r="W496" s="421"/>
      <c r="X496" s="421"/>
      <c r="Y496" s="421"/>
      <c r="Z496" s="421"/>
      <c r="AA496" s="421"/>
      <c r="AB496" s="421"/>
      <c r="AC496" s="421"/>
      <c r="AD496" s="421"/>
      <c r="AE496" s="421"/>
      <c r="AF496" s="421"/>
      <c r="AG496" s="421"/>
      <c r="AH496" s="421"/>
      <c r="AI496" s="421"/>
      <c r="AJ496" s="421"/>
      <c r="AK496" s="421"/>
      <c r="AL496" s="421"/>
      <c r="AM496" s="422"/>
      <c r="AN496" s="422"/>
      <c r="AO496" s="422"/>
      <c r="AP496" s="422"/>
      <c r="AQ496" s="422"/>
      <c r="AR496" s="422"/>
      <c r="AS496" s="422"/>
      <c r="AT496" s="422"/>
      <c r="AU496" s="422"/>
      <c r="AV496" s="422"/>
      <c r="AW496" s="422"/>
      <c r="AX496" s="422"/>
      <c r="AY496" s="422"/>
    </row>
    <row r="497" spans="1:51" x14ac:dyDescent="0.25">
      <c r="A497" s="3"/>
      <c r="B497" s="3"/>
      <c r="C497" s="3"/>
      <c r="D497" s="3"/>
      <c r="E497" s="3"/>
      <c r="F497" s="3"/>
      <c r="G497" s="3"/>
      <c r="H497" s="3"/>
      <c r="I497" s="3"/>
      <c r="J497" s="13"/>
      <c r="K497" s="13"/>
      <c r="L497" s="13"/>
      <c r="M497" s="13"/>
      <c r="N497" s="13"/>
      <c r="O497" s="13"/>
      <c r="P497" s="13"/>
      <c r="Q497" s="13"/>
      <c r="R497" s="13"/>
      <c r="S497" s="421"/>
      <c r="T497" s="421"/>
      <c r="U497" s="421"/>
      <c r="V497" s="421"/>
      <c r="W497" s="421"/>
      <c r="X497" s="421"/>
      <c r="Y497" s="421"/>
      <c r="Z497" s="421"/>
      <c r="AA497" s="421"/>
      <c r="AB497" s="421"/>
      <c r="AC497" s="421"/>
      <c r="AD497" s="421"/>
      <c r="AE497" s="421"/>
      <c r="AF497" s="421"/>
      <c r="AG497" s="421"/>
      <c r="AH497" s="421"/>
      <c r="AI497" s="421"/>
      <c r="AJ497" s="421"/>
      <c r="AK497" s="421"/>
      <c r="AL497" s="421"/>
      <c r="AM497" s="422"/>
      <c r="AN497" s="422"/>
      <c r="AO497" s="422"/>
      <c r="AP497" s="422"/>
      <c r="AQ497" s="422"/>
      <c r="AR497" s="422"/>
      <c r="AS497" s="422"/>
      <c r="AT497" s="422"/>
      <c r="AU497" s="422"/>
      <c r="AV497" s="422"/>
      <c r="AW497" s="422"/>
      <c r="AX497" s="422"/>
      <c r="AY497" s="422"/>
    </row>
    <row r="498" spans="1:51" x14ac:dyDescent="0.25">
      <c r="A498" s="3"/>
      <c r="B498" s="3"/>
      <c r="C498" s="3"/>
      <c r="D498" s="3"/>
      <c r="E498" s="3"/>
      <c r="F498" s="3"/>
      <c r="G498" s="3"/>
      <c r="H498" s="3"/>
      <c r="I498" s="3"/>
      <c r="J498" s="13"/>
      <c r="K498" s="13"/>
      <c r="L498" s="13"/>
      <c r="M498" s="13"/>
      <c r="N498" s="13"/>
      <c r="O498" s="13"/>
      <c r="P498" s="13"/>
      <c r="Q498" s="13"/>
      <c r="R498" s="13"/>
      <c r="S498" s="421"/>
      <c r="T498" s="421"/>
      <c r="U498" s="421"/>
      <c r="V498" s="421"/>
      <c r="W498" s="421"/>
      <c r="X498" s="421"/>
      <c r="Y498" s="421"/>
      <c r="Z498" s="421"/>
      <c r="AA498" s="421"/>
      <c r="AB498" s="421"/>
      <c r="AC498" s="421"/>
      <c r="AD498" s="421"/>
      <c r="AE498" s="421"/>
      <c r="AF498" s="421"/>
      <c r="AG498" s="421"/>
      <c r="AH498" s="421"/>
      <c r="AI498" s="421"/>
      <c r="AJ498" s="421"/>
      <c r="AK498" s="421"/>
      <c r="AL498" s="421"/>
      <c r="AM498" s="422"/>
      <c r="AN498" s="422"/>
      <c r="AO498" s="422"/>
      <c r="AP498" s="422"/>
      <c r="AQ498" s="422"/>
      <c r="AR498" s="422"/>
      <c r="AS498" s="422"/>
      <c r="AT498" s="422"/>
      <c r="AU498" s="422"/>
      <c r="AV498" s="422"/>
      <c r="AW498" s="422"/>
      <c r="AX498" s="422"/>
      <c r="AY498" s="422"/>
    </row>
    <row r="499" spans="1:51" x14ac:dyDescent="0.25">
      <c r="A499" s="3"/>
      <c r="B499" s="3"/>
      <c r="C499" s="3"/>
      <c r="D499" s="3"/>
      <c r="E499" s="3"/>
      <c r="F499" s="3"/>
      <c r="G499" s="3"/>
      <c r="H499" s="3"/>
      <c r="I499" s="3"/>
      <c r="J499" s="13"/>
      <c r="K499" s="13"/>
      <c r="L499" s="13"/>
      <c r="M499" s="13"/>
      <c r="N499" s="13"/>
      <c r="O499" s="13"/>
      <c r="P499" s="13"/>
      <c r="Q499" s="13"/>
      <c r="R499" s="13"/>
      <c r="S499" s="421"/>
      <c r="T499" s="421"/>
      <c r="U499" s="421"/>
      <c r="V499" s="421"/>
      <c r="W499" s="421"/>
      <c r="X499" s="421"/>
      <c r="Y499" s="421"/>
      <c r="Z499" s="421"/>
      <c r="AA499" s="421"/>
      <c r="AB499" s="421"/>
      <c r="AC499" s="421"/>
      <c r="AD499" s="421"/>
      <c r="AE499" s="421"/>
      <c r="AF499" s="421"/>
      <c r="AG499" s="421"/>
      <c r="AH499" s="421"/>
      <c r="AI499" s="421"/>
      <c r="AJ499" s="421"/>
      <c r="AK499" s="421"/>
      <c r="AL499" s="421"/>
      <c r="AM499" s="422"/>
      <c r="AN499" s="422"/>
      <c r="AO499" s="422"/>
      <c r="AP499" s="422"/>
      <c r="AQ499" s="422"/>
      <c r="AR499" s="422"/>
      <c r="AS499" s="422"/>
      <c r="AT499" s="422"/>
      <c r="AU499" s="422"/>
      <c r="AV499" s="422"/>
      <c r="AW499" s="422"/>
      <c r="AX499" s="422"/>
      <c r="AY499" s="422"/>
    </row>
    <row r="500" spans="1:51" x14ac:dyDescent="0.25">
      <c r="A500" s="3"/>
      <c r="B500" s="3"/>
      <c r="C500" s="3"/>
      <c r="D500" s="3"/>
      <c r="E500" s="3"/>
      <c r="F500" s="3"/>
      <c r="G500" s="3"/>
      <c r="H500" s="3"/>
      <c r="I500" s="3"/>
      <c r="J500" s="13"/>
      <c r="K500" s="13"/>
      <c r="L500" s="13"/>
      <c r="M500" s="13"/>
      <c r="N500" s="13"/>
      <c r="O500" s="13"/>
      <c r="P500" s="13"/>
      <c r="Q500" s="13"/>
      <c r="R500" s="13"/>
      <c r="S500" s="421"/>
      <c r="T500" s="421"/>
      <c r="U500" s="421"/>
      <c r="V500" s="421"/>
      <c r="W500" s="421"/>
      <c r="X500" s="421"/>
      <c r="Y500" s="421"/>
      <c r="Z500" s="421"/>
      <c r="AA500" s="421"/>
      <c r="AB500" s="421"/>
      <c r="AC500" s="421"/>
      <c r="AD500" s="421"/>
      <c r="AE500" s="421"/>
      <c r="AF500" s="421"/>
      <c r="AG500" s="421"/>
      <c r="AH500" s="421"/>
      <c r="AI500" s="421"/>
      <c r="AJ500" s="421"/>
      <c r="AK500" s="421"/>
      <c r="AL500" s="421"/>
      <c r="AM500" s="422"/>
      <c r="AN500" s="422"/>
      <c r="AO500" s="422"/>
      <c r="AP500" s="422"/>
      <c r="AQ500" s="422"/>
      <c r="AR500" s="422"/>
      <c r="AS500" s="422"/>
      <c r="AT500" s="422"/>
      <c r="AU500" s="422"/>
      <c r="AV500" s="422"/>
      <c r="AW500" s="422"/>
      <c r="AX500" s="422"/>
      <c r="AY500" s="422"/>
    </row>
    <row r="501" spans="1:51" x14ac:dyDescent="0.25">
      <c r="A501" s="3"/>
      <c r="B501" s="3"/>
      <c r="C501" s="3"/>
      <c r="D501" s="3"/>
      <c r="E501" s="3"/>
      <c r="F501" s="3"/>
      <c r="G501" s="3"/>
      <c r="H501" s="3"/>
      <c r="I501" s="3"/>
      <c r="J501" s="13"/>
      <c r="K501" s="13"/>
      <c r="L501" s="13"/>
      <c r="M501" s="13"/>
      <c r="N501" s="13"/>
      <c r="O501" s="13"/>
      <c r="P501" s="13"/>
      <c r="Q501" s="13"/>
      <c r="R501" s="13"/>
      <c r="S501" s="421"/>
      <c r="T501" s="421"/>
      <c r="U501" s="421"/>
      <c r="V501" s="421"/>
      <c r="W501" s="421"/>
      <c r="X501" s="421"/>
      <c r="Y501" s="421"/>
      <c r="Z501" s="421"/>
      <c r="AA501" s="421"/>
      <c r="AB501" s="421"/>
      <c r="AC501" s="421"/>
      <c r="AD501" s="421"/>
      <c r="AE501" s="421"/>
      <c r="AF501" s="421"/>
      <c r="AG501" s="421"/>
      <c r="AH501" s="421"/>
      <c r="AI501" s="421"/>
      <c r="AJ501" s="421"/>
      <c r="AK501" s="421"/>
      <c r="AL501" s="421"/>
      <c r="AM501" s="422"/>
      <c r="AN501" s="422"/>
      <c r="AO501" s="422"/>
      <c r="AP501" s="422"/>
      <c r="AQ501" s="422"/>
      <c r="AR501" s="422"/>
      <c r="AS501" s="422"/>
      <c r="AT501" s="422"/>
      <c r="AU501" s="422"/>
      <c r="AV501" s="422"/>
      <c r="AW501" s="422"/>
      <c r="AX501" s="422"/>
      <c r="AY501" s="422"/>
    </row>
    <row r="502" spans="1:51" x14ac:dyDescent="0.25">
      <c r="A502" s="3"/>
      <c r="B502" s="3"/>
      <c r="C502" s="3"/>
      <c r="D502" s="3"/>
      <c r="E502" s="3"/>
      <c r="F502" s="3"/>
      <c r="G502" s="3"/>
      <c r="H502" s="3"/>
      <c r="I502" s="3"/>
      <c r="J502" s="13"/>
      <c r="K502" s="13"/>
      <c r="L502" s="13"/>
      <c r="M502" s="13"/>
      <c r="N502" s="13"/>
      <c r="O502" s="13"/>
      <c r="P502" s="13"/>
      <c r="Q502" s="13"/>
      <c r="R502" s="13"/>
      <c r="S502" s="421"/>
      <c r="T502" s="421"/>
      <c r="U502" s="421"/>
      <c r="V502" s="421"/>
      <c r="W502" s="421"/>
      <c r="X502" s="421"/>
      <c r="Y502" s="421"/>
      <c r="Z502" s="421"/>
      <c r="AA502" s="421"/>
      <c r="AB502" s="421"/>
      <c r="AC502" s="421"/>
      <c r="AD502" s="421"/>
      <c r="AE502" s="421"/>
      <c r="AF502" s="421"/>
      <c r="AG502" s="421"/>
      <c r="AH502" s="421"/>
      <c r="AI502" s="421"/>
      <c r="AJ502" s="421"/>
      <c r="AK502" s="421"/>
      <c r="AL502" s="421"/>
      <c r="AM502" s="422"/>
      <c r="AN502" s="422"/>
      <c r="AO502" s="422"/>
      <c r="AP502" s="422"/>
      <c r="AQ502" s="422"/>
      <c r="AR502" s="422"/>
      <c r="AS502" s="422"/>
      <c r="AT502" s="422"/>
      <c r="AU502" s="422"/>
      <c r="AV502" s="422"/>
      <c r="AW502" s="422"/>
      <c r="AX502" s="422"/>
      <c r="AY502" s="422"/>
    </row>
    <row r="503" spans="1:51" x14ac:dyDescent="0.25">
      <c r="A503" s="3"/>
      <c r="B503" s="3"/>
      <c r="C503" s="3"/>
      <c r="D503" s="3"/>
      <c r="E503" s="3"/>
      <c r="F503" s="3"/>
      <c r="G503" s="3"/>
      <c r="H503" s="3"/>
      <c r="I503" s="3"/>
      <c r="J503" s="13"/>
      <c r="K503" s="13"/>
      <c r="L503" s="13"/>
      <c r="M503" s="13"/>
      <c r="N503" s="13"/>
      <c r="O503" s="13"/>
      <c r="P503" s="13"/>
      <c r="Q503" s="13"/>
      <c r="R503" s="13"/>
      <c r="S503" s="421"/>
      <c r="T503" s="421"/>
      <c r="U503" s="421"/>
      <c r="V503" s="421"/>
      <c r="W503" s="421"/>
      <c r="X503" s="421"/>
      <c r="Y503" s="421"/>
      <c r="Z503" s="421"/>
      <c r="AA503" s="421"/>
      <c r="AB503" s="421"/>
      <c r="AC503" s="421"/>
      <c r="AD503" s="421"/>
      <c r="AE503" s="421"/>
      <c r="AF503" s="421"/>
      <c r="AG503" s="421"/>
      <c r="AH503" s="421"/>
      <c r="AI503" s="421"/>
      <c r="AJ503" s="421"/>
      <c r="AK503" s="421"/>
      <c r="AL503" s="421"/>
      <c r="AM503" s="422"/>
      <c r="AN503" s="422"/>
      <c r="AO503" s="422"/>
      <c r="AP503" s="422"/>
      <c r="AQ503" s="422"/>
      <c r="AR503" s="422"/>
      <c r="AS503" s="422"/>
      <c r="AT503" s="422"/>
      <c r="AU503" s="422"/>
      <c r="AV503" s="422"/>
      <c r="AW503" s="422"/>
      <c r="AX503" s="422"/>
      <c r="AY503" s="422"/>
    </row>
    <row r="504" spans="1:51" x14ac:dyDescent="0.25">
      <c r="A504" s="3"/>
      <c r="B504" s="3"/>
      <c r="C504" s="3"/>
      <c r="D504" s="3"/>
      <c r="E504" s="3"/>
      <c r="F504" s="3"/>
      <c r="G504" s="3"/>
      <c r="H504" s="3"/>
      <c r="I504" s="3"/>
      <c r="J504" s="13"/>
      <c r="K504" s="13"/>
      <c r="L504" s="13"/>
      <c r="M504" s="13"/>
      <c r="N504" s="13"/>
      <c r="O504" s="13"/>
      <c r="P504" s="13"/>
      <c r="Q504" s="13"/>
      <c r="R504" s="13"/>
      <c r="S504" s="421"/>
      <c r="T504" s="421"/>
      <c r="U504" s="421"/>
      <c r="V504" s="421"/>
      <c r="W504" s="421"/>
      <c r="X504" s="421"/>
      <c r="Y504" s="421"/>
      <c r="Z504" s="421"/>
      <c r="AA504" s="421"/>
      <c r="AB504" s="421"/>
      <c r="AC504" s="421"/>
      <c r="AD504" s="421"/>
      <c r="AE504" s="421"/>
      <c r="AF504" s="421"/>
      <c r="AG504" s="421"/>
      <c r="AH504" s="421"/>
      <c r="AI504" s="421"/>
      <c r="AJ504" s="421"/>
      <c r="AK504" s="421"/>
      <c r="AL504" s="421"/>
      <c r="AM504" s="422"/>
      <c r="AN504" s="422"/>
      <c r="AO504" s="422"/>
      <c r="AP504" s="422"/>
      <c r="AQ504" s="422"/>
      <c r="AR504" s="422"/>
      <c r="AS504" s="422"/>
      <c r="AT504" s="422"/>
      <c r="AU504" s="422"/>
      <c r="AV504" s="422"/>
      <c r="AW504" s="422"/>
      <c r="AX504" s="422"/>
      <c r="AY504" s="422"/>
    </row>
    <row r="505" spans="1:51" x14ac:dyDescent="0.25">
      <c r="A505" s="3"/>
      <c r="B505" s="3"/>
      <c r="C505" s="3"/>
      <c r="D505" s="3"/>
      <c r="E505" s="3"/>
      <c r="F505" s="3"/>
      <c r="G505" s="3"/>
      <c r="H505" s="3"/>
      <c r="I505" s="3"/>
      <c r="J505" s="13"/>
      <c r="K505" s="13"/>
      <c r="L505" s="13"/>
      <c r="M505" s="13"/>
      <c r="N505" s="13"/>
      <c r="O505" s="13"/>
      <c r="P505" s="13"/>
      <c r="Q505" s="13"/>
      <c r="R505" s="13"/>
      <c r="S505" s="421"/>
      <c r="T505" s="421"/>
      <c r="U505" s="421"/>
      <c r="V505" s="421"/>
      <c r="W505" s="421"/>
      <c r="X505" s="421"/>
      <c r="Y505" s="421"/>
      <c r="Z505" s="421"/>
      <c r="AA505" s="421"/>
      <c r="AB505" s="421"/>
      <c r="AC505" s="421"/>
      <c r="AD505" s="421"/>
      <c r="AE505" s="421"/>
      <c r="AF505" s="421"/>
      <c r="AG505" s="421"/>
      <c r="AH505" s="421"/>
      <c r="AI505" s="421"/>
      <c r="AJ505" s="421"/>
      <c r="AK505" s="421"/>
      <c r="AL505" s="421"/>
      <c r="AM505" s="422"/>
      <c r="AN505" s="422"/>
      <c r="AO505" s="422"/>
      <c r="AP505" s="422"/>
      <c r="AQ505" s="422"/>
      <c r="AR505" s="422"/>
      <c r="AS505" s="422"/>
      <c r="AT505" s="422"/>
      <c r="AU505" s="422"/>
      <c r="AV505" s="422"/>
      <c r="AW505" s="422"/>
      <c r="AX505" s="422"/>
      <c r="AY505" s="422"/>
    </row>
    <row r="506" spans="1:51" x14ac:dyDescent="0.25">
      <c r="A506" s="3"/>
      <c r="B506" s="3"/>
      <c r="C506" s="3"/>
      <c r="D506" s="3"/>
      <c r="E506" s="3"/>
      <c r="F506" s="3"/>
      <c r="G506" s="3"/>
      <c r="H506" s="3"/>
      <c r="I506" s="3"/>
      <c r="J506" s="13"/>
      <c r="K506" s="13"/>
      <c r="L506" s="13"/>
      <c r="M506" s="13"/>
      <c r="N506" s="13"/>
      <c r="O506" s="13"/>
      <c r="P506" s="13"/>
      <c r="Q506" s="13"/>
      <c r="R506" s="13"/>
      <c r="S506" s="421"/>
      <c r="T506" s="421"/>
      <c r="U506" s="421"/>
      <c r="V506" s="421"/>
      <c r="W506" s="421"/>
      <c r="X506" s="421"/>
      <c r="Y506" s="421"/>
      <c r="Z506" s="421"/>
      <c r="AA506" s="421"/>
      <c r="AB506" s="421"/>
      <c r="AC506" s="421"/>
      <c r="AD506" s="421"/>
      <c r="AE506" s="421"/>
      <c r="AF506" s="421"/>
      <c r="AG506" s="421"/>
      <c r="AH506" s="421"/>
      <c r="AI506" s="421"/>
      <c r="AJ506" s="421"/>
      <c r="AK506" s="421"/>
      <c r="AL506" s="421"/>
      <c r="AM506" s="422"/>
      <c r="AN506" s="422"/>
      <c r="AO506" s="422"/>
      <c r="AP506" s="422"/>
      <c r="AQ506" s="422"/>
      <c r="AR506" s="422"/>
      <c r="AS506" s="422"/>
      <c r="AT506" s="422"/>
      <c r="AU506" s="422"/>
      <c r="AV506" s="422"/>
      <c r="AW506" s="422"/>
      <c r="AX506" s="422"/>
      <c r="AY506" s="422"/>
    </row>
    <row r="507" spans="1:51" x14ac:dyDescent="0.25">
      <c r="A507" s="3"/>
      <c r="B507" s="3"/>
      <c r="C507" s="3"/>
      <c r="D507" s="3"/>
      <c r="E507" s="3"/>
      <c r="F507" s="3"/>
      <c r="G507" s="3"/>
      <c r="H507" s="3"/>
      <c r="I507" s="3"/>
      <c r="J507" s="13"/>
      <c r="K507" s="13"/>
      <c r="L507" s="13"/>
      <c r="M507" s="13"/>
      <c r="N507" s="13"/>
      <c r="O507" s="13"/>
      <c r="P507" s="13"/>
      <c r="Q507" s="13"/>
      <c r="R507" s="13"/>
      <c r="S507" s="421"/>
      <c r="T507" s="421"/>
      <c r="U507" s="421"/>
      <c r="V507" s="421"/>
      <c r="W507" s="421"/>
      <c r="X507" s="421"/>
      <c r="Y507" s="421"/>
      <c r="Z507" s="421"/>
      <c r="AA507" s="421"/>
      <c r="AB507" s="421"/>
      <c r="AC507" s="421"/>
      <c r="AD507" s="421"/>
      <c r="AE507" s="421"/>
      <c r="AF507" s="421"/>
      <c r="AG507" s="421"/>
      <c r="AH507" s="421"/>
      <c r="AI507" s="421"/>
      <c r="AJ507" s="421"/>
      <c r="AK507" s="421"/>
      <c r="AL507" s="421"/>
      <c r="AM507" s="422"/>
      <c r="AN507" s="422"/>
      <c r="AO507" s="422"/>
      <c r="AP507" s="422"/>
      <c r="AQ507" s="422"/>
      <c r="AR507" s="422"/>
      <c r="AS507" s="422"/>
      <c r="AT507" s="422"/>
      <c r="AU507" s="422"/>
      <c r="AV507" s="422"/>
      <c r="AW507" s="422"/>
      <c r="AX507" s="422"/>
      <c r="AY507" s="422"/>
    </row>
    <row r="508" spans="1:51" x14ac:dyDescent="0.25">
      <c r="A508" s="3"/>
      <c r="B508" s="3"/>
      <c r="C508" s="3"/>
      <c r="D508" s="3"/>
      <c r="E508" s="3"/>
      <c r="F508" s="3"/>
      <c r="G508" s="3"/>
      <c r="H508" s="3"/>
      <c r="I508" s="3"/>
      <c r="J508" s="13"/>
      <c r="K508" s="13"/>
      <c r="L508" s="13"/>
      <c r="M508" s="13"/>
      <c r="N508" s="13"/>
      <c r="O508" s="13"/>
      <c r="P508" s="13"/>
      <c r="Q508" s="13"/>
      <c r="R508" s="13"/>
      <c r="S508" s="421"/>
      <c r="T508" s="421"/>
      <c r="U508" s="421"/>
      <c r="V508" s="421"/>
      <c r="W508" s="421"/>
      <c r="X508" s="421"/>
      <c r="Y508" s="421"/>
      <c r="Z508" s="421"/>
      <c r="AA508" s="421"/>
      <c r="AB508" s="421"/>
      <c r="AC508" s="421"/>
      <c r="AD508" s="421"/>
      <c r="AE508" s="421"/>
      <c r="AF508" s="421"/>
      <c r="AG508" s="421"/>
      <c r="AH508" s="421"/>
      <c r="AI508" s="421"/>
      <c r="AJ508" s="421"/>
      <c r="AK508" s="421"/>
      <c r="AL508" s="421"/>
      <c r="AM508" s="422"/>
      <c r="AN508" s="422"/>
      <c r="AO508" s="422"/>
      <c r="AP508" s="422"/>
      <c r="AQ508" s="422"/>
      <c r="AR508" s="422"/>
      <c r="AS508" s="422"/>
      <c r="AT508" s="422"/>
      <c r="AU508" s="422"/>
      <c r="AV508" s="422"/>
      <c r="AW508" s="422"/>
      <c r="AX508" s="422"/>
      <c r="AY508" s="422"/>
    </row>
    <row r="509" spans="1:51" x14ac:dyDescent="0.25">
      <c r="A509" s="3"/>
      <c r="B509" s="3"/>
      <c r="C509" s="3"/>
      <c r="D509" s="3"/>
      <c r="E509" s="3"/>
      <c r="F509" s="3"/>
      <c r="G509" s="3"/>
      <c r="H509" s="3"/>
      <c r="I509" s="3"/>
      <c r="J509" s="13"/>
      <c r="K509" s="13"/>
      <c r="L509" s="13"/>
      <c r="M509" s="13"/>
      <c r="N509" s="13"/>
      <c r="O509" s="13"/>
      <c r="P509" s="13"/>
      <c r="Q509" s="13"/>
      <c r="R509" s="13"/>
      <c r="S509" s="421"/>
      <c r="T509" s="421"/>
      <c r="U509" s="421"/>
      <c r="V509" s="421"/>
      <c r="W509" s="421"/>
      <c r="X509" s="421"/>
      <c r="Y509" s="421"/>
      <c r="Z509" s="421"/>
      <c r="AA509" s="421"/>
      <c r="AB509" s="421"/>
      <c r="AC509" s="421"/>
      <c r="AD509" s="421"/>
      <c r="AE509" s="421"/>
      <c r="AF509" s="421"/>
      <c r="AG509" s="421"/>
      <c r="AH509" s="421"/>
      <c r="AI509" s="421"/>
      <c r="AJ509" s="421"/>
      <c r="AK509" s="421"/>
      <c r="AL509" s="421"/>
      <c r="AM509" s="422"/>
      <c r="AN509" s="422"/>
      <c r="AO509" s="422"/>
      <c r="AP509" s="422"/>
      <c r="AQ509" s="422"/>
      <c r="AR509" s="422"/>
      <c r="AS509" s="422"/>
      <c r="AT509" s="422"/>
      <c r="AU509" s="422"/>
      <c r="AV509" s="422"/>
      <c r="AW509" s="422"/>
      <c r="AX509" s="422"/>
      <c r="AY509" s="422"/>
    </row>
    <row r="510" spans="1:51" x14ac:dyDescent="0.25">
      <c r="A510" s="3"/>
      <c r="B510" s="3"/>
      <c r="C510" s="3"/>
      <c r="D510" s="3"/>
      <c r="E510" s="3"/>
      <c r="F510" s="3"/>
      <c r="G510" s="3"/>
      <c r="H510" s="3"/>
      <c r="I510" s="3"/>
      <c r="J510" s="13"/>
      <c r="K510" s="13"/>
      <c r="L510" s="13"/>
      <c r="M510" s="13"/>
      <c r="N510" s="13"/>
      <c r="O510" s="13"/>
      <c r="P510" s="13"/>
      <c r="Q510" s="13"/>
      <c r="R510" s="13"/>
      <c r="S510" s="421"/>
      <c r="T510" s="421"/>
      <c r="U510" s="421"/>
      <c r="V510" s="421"/>
      <c r="W510" s="421"/>
      <c r="X510" s="421"/>
      <c r="Y510" s="421"/>
      <c r="Z510" s="421"/>
      <c r="AA510" s="421"/>
      <c r="AB510" s="421"/>
      <c r="AC510" s="421"/>
      <c r="AD510" s="421"/>
      <c r="AE510" s="421"/>
      <c r="AF510" s="421"/>
      <c r="AG510" s="421"/>
      <c r="AH510" s="421"/>
      <c r="AI510" s="421"/>
      <c r="AJ510" s="421"/>
      <c r="AK510" s="421"/>
      <c r="AL510" s="421"/>
      <c r="AM510" s="422"/>
      <c r="AN510" s="422"/>
      <c r="AO510" s="422"/>
      <c r="AP510" s="422"/>
      <c r="AQ510" s="422"/>
      <c r="AR510" s="422"/>
      <c r="AS510" s="422"/>
      <c r="AT510" s="422"/>
      <c r="AU510" s="422"/>
      <c r="AV510" s="422"/>
      <c r="AW510" s="422"/>
      <c r="AX510" s="422"/>
      <c r="AY510" s="422"/>
    </row>
    <row r="511" spans="1:51" x14ac:dyDescent="0.25">
      <c r="A511" s="3"/>
      <c r="B511" s="3"/>
      <c r="C511" s="3"/>
      <c r="D511" s="3"/>
      <c r="E511" s="3"/>
      <c r="F511" s="3"/>
      <c r="G511" s="3"/>
      <c r="H511" s="3"/>
      <c r="I511" s="3"/>
      <c r="J511" s="13"/>
      <c r="K511" s="13"/>
      <c r="L511" s="13"/>
      <c r="M511" s="13"/>
      <c r="N511" s="13"/>
      <c r="O511" s="13"/>
      <c r="P511" s="13"/>
      <c r="Q511" s="13"/>
      <c r="R511" s="13"/>
      <c r="S511" s="421"/>
      <c r="T511" s="421"/>
      <c r="U511" s="421"/>
      <c r="V511" s="421"/>
      <c r="W511" s="421"/>
      <c r="X511" s="421"/>
      <c r="Y511" s="421"/>
      <c r="Z511" s="421"/>
      <c r="AA511" s="421"/>
      <c r="AB511" s="421"/>
      <c r="AC511" s="421"/>
      <c r="AD511" s="421"/>
      <c r="AE511" s="421"/>
      <c r="AF511" s="421"/>
      <c r="AG511" s="421"/>
      <c r="AH511" s="421"/>
      <c r="AI511" s="421"/>
      <c r="AJ511" s="421"/>
      <c r="AK511" s="421"/>
      <c r="AL511" s="421"/>
      <c r="AM511" s="422"/>
      <c r="AN511" s="422"/>
      <c r="AO511" s="422"/>
      <c r="AP511" s="422"/>
      <c r="AQ511" s="422"/>
      <c r="AR511" s="422"/>
      <c r="AS511" s="422"/>
      <c r="AT511" s="422"/>
      <c r="AU511" s="422"/>
      <c r="AV511" s="422"/>
      <c r="AW511" s="422"/>
      <c r="AX511" s="422"/>
      <c r="AY511" s="422"/>
    </row>
    <row r="512" spans="1:51" x14ac:dyDescent="0.25">
      <c r="A512" s="3"/>
      <c r="B512" s="3"/>
      <c r="C512" s="3"/>
      <c r="D512" s="3"/>
      <c r="E512" s="3"/>
      <c r="F512" s="3"/>
      <c r="G512" s="3"/>
      <c r="H512" s="3"/>
      <c r="I512" s="3"/>
      <c r="J512" s="13"/>
      <c r="K512" s="13"/>
      <c r="L512" s="13"/>
      <c r="M512" s="13"/>
      <c r="N512" s="13"/>
      <c r="O512" s="13"/>
      <c r="P512" s="13"/>
      <c r="Q512" s="13"/>
      <c r="R512" s="13"/>
      <c r="S512" s="421"/>
      <c r="T512" s="421"/>
      <c r="U512" s="421"/>
      <c r="V512" s="421"/>
      <c r="W512" s="421"/>
      <c r="X512" s="421"/>
      <c r="Y512" s="421"/>
      <c r="Z512" s="421"/>
      <c r="AA512" s="421"/>
      <c r="AB512" s="421"/>
      <c r="AC512" s="421"/>
      <c r="AD512" s="421"/>
      <c r="AE512" s="421"/>
      <c r="AF512" s="421"/>
      <c r="AG512" s="421"/>
      <c r="AH512" s="421"/>
      <c r="AI512" s="421"/>
      <c r="AJ512" s="421"/>
      <c r="AK512" s="421"/>
      <c r="AL512" s="421"/>
      <c r="AM512" s="422"/>
      <c r="AN512" s="422"/>
      <c r="AO512" s="422"/>
      <c r="AP512" s="422"/>
      <c r="AQ512" s="422"/>
      <c r="AR512" s="422"/>
      <c r="AS512" s="422"/>
      <c r="AT512" s="422"/>
      <c r="AU512" s="422"/>
      <c r="AV512" s="422"/>
      <c r="AW512" s="422"/>
      <c r="AX512" s="422"/>
      <c r="AY512" s="422"/>
    </row>
    <row r="513" spans="1:51" x14ac:dyDescent="0.25">
      <c r="A513" s="3"/>
      <c r="B513" s="3"/>
      <c r="C513" s="3"/>
      <c r="D513" s="3"/>
      <c r="E513" s="3"/>
      <c r="F513" s="3"/>
      <c r="G513" s="3"/>
      <c r="H513" s="3"/>
      <c r="I513" s="3"/>
      <c r="J513" s="13"/>
      <c r="K513" s="13"/>
      <c r="L513" s="13"/>
      <c r="M513" s="13"/>
      <c r="N513" s="13"/>
      <c r="O513" s="13"/>
      <c r="P513" s="13"/>
      <c r="Q513" s="13"/>
      <c r="R513" s="13"/>
      <c r="S513" s="421"/>
      <c r="T513" s="421"/>
      <c r="U513" s="421"/>
      <c r="V513" s="421"/>
      <c r="W513" s="421"/>
      <c r="X513" s="421"/>
      <c r="Y513" s="421"/>
      <c r="Z513" s="421"/>
      <c r="AA513" s="421"/>
      <c r="AB513" s="421"/>
      <c r="AC513" s="421"/>
      <c r="AD513" s="421"/>
      <c r="AE513" s="421"/>
      <c r="AF513" s="421"/>
      <c r="AG513" s="421"/>
      <c r="AH513" s="421"/>
      <c r="AI513" s="421"/>
      <c r="AJ513" s="421"/>
      <c r="AK513" s="421"/>
      <c r="AL513" s="421"/>
      <c r="AM513" s="422"/>
      <c r="AN513" s="422"/>
      <c r="AO513" s="422"/>
      <c r="AP513" s="422"/>
      <c r="AQ513" s="422"/>
      <c r="AR513" s="422"/>
      <c r="AS513" s="422"/>
      <c r="AT513" s="422"/>
      <c r="AU513" s="422"/>
      <c r="AV513" s="422"/>
      <c r="AW513" s="422"/>
      <c r="AX513" s="422"/>
      <c r="AY513" s="422"/>
    </row>
    <row r="514" spans="1:51" x14ac:dyDescent="0.25">
      <c r="A514" s="3"/>
      <c r="B514" s="3"/>
      <c r="C514" s="3"/>
      <c r="D514" s="3"/>
      <c r="E514" s="3"/>
      <c r="F514" s="3"/>
      <c r="G514" s="3"/>
      <c r="H514" s="3"/>
      <c r="I514" s="3"/>
      <c r="J514" s="13"/>
      <c r="K514" s="13"/>
      <c r="L514" s="13"/>
      <c r="M514" s="13"/>
      <c r="N514" s="13"/>
      <c r="O514" s="13"/>
      <c r="P514" s="13"/>
      <c r="Q514" s="13"/>
      <c r="R514" s="13"/>
      <c r="S514" s="421"/>
      <c r="T514" s="421"/>
      <c r="U514" s="421"/>
      <c r="V514" s="421"/>
      <c r="W514" s="421"/>
      <c r="X514" s="421"/>
      <c r="Y514" s="421"/>
      <c r="Z514" s="421"/>
      <c r="AA514" s="421"/>
      <c r="AB514" s="421"/>
      <c r="AC514" s="421"/>
      <c r="AD514" s="421"/>
      <c r="AE514" s="421"/>
      <c r="AF514" s="421"/>
      <c r="AG514" s="421"/>
      <c r="AH514" s="421"/>
      <c r="AI514" s="421"/>
      <c r="AJ514" s="421"/>
      <c r="AK514" s="421"/>
      <c r="AL514" s="421"/>
      <c r="AM514" s="422"/>
      <c r="AN514" s="422"/>
      <c r="AO514" s="422"/>
      <c r="AP514" s="422"/>
      <c r="AQ514" s="422"/>
      <c r="AR514" s="422"/>
      <c r="AS514" s="422"/>
      <c r="AT514" s="422"/>
      <c r="AU514" s="422"/>
      <c r="AV514" s="422"/>
      <c r="AW514" s="422"/>
      <c r="AX514" s="422"/>
      <c r="AY514" s="422"/>
    </row>
    <row r="515" spans="1:51" x14ac:dyDescent="0.25">
      <c r="A515" s="3"/>
      <c r="B515" s="3"/>
      <c r="C515" s="3"/>
      <c r="D515" s="3"/>
      <c r="E515" s="3"/>
      <c r="F515" s="3"/>
      <c r="G515" s="3"/>
      <c r="H515" s="3"/>
      <c r="I515" s="3"/>
      <c r="J515" s="13"/>
      <c r="K515" s="13"/>
      <c r="L515" s="13"/>
      <c r="M515" s="13"/>
      <c r="N515" s="13"/>
      <c r="O515" s="13"/>
      <c r="P515" s="13"/>
      <c r="Q515" s="13"/>
      <c r="R515" s="13"/>
      <c r="S515" s="421"/>
      <c r="T515" s="421"/>
      <c r="U515" s="421"/>
      <c r="V515" s="421"/>
      <c r="W515" s="421"/>
      <c r="X515" s="421"/>
      <c r="Y515" s="421"/>
      <c r="Z515" s="421"/>
      <c r="AA515" s="421"/>
      <c r="AB515" s="421"/>
      <c r="AC515" s="421"/>
      <c r="AD515" s="421"/>
      <c r="AE515" s="421"/>
      <c r="AF515" s="421"/>
      <c r="AG515" s="421"/>
      <c r="AH515" s="421"/>
      <c r="AI515" s="421"/>
      <c r="AJ515" s="421"/>
      <c r="AK515" s="421"/>
      <c r="AL515" s="421"/>
      <c r="AM515" s="422"/>
      <c r="AN515" s="422"/>
      <c r="AO515" s="422"/>
      <c r="AP515" s="422"/>
      <c r="AQ515" s="422"/>
      <c r="AR515" s="422"/>
      <c r="AS515" s="422"/>
      <c r="AT515" s="422"/>
      <c r="AU515" s="422"/>
      <c r="AV515" s="422"/>
      <c r="AW515" s="422"/>
      <c r="AX515" s="422"/>
      <c r="AY515" s="422"/>
    </row>
    <row r="516" spans="1:51" x14ac:dyDescent="0.25">
      <c r="A516" s="3"/>
      <c r="B516" s="3"/>
      <c r="C516" s="3"/>
      <c r="D516" s="3"/>
      <c r="E516" s="3"/>
      <c r="F516" s="3"/>
      <c r="G516" s="3"/>
      <c r="H516" s="3"/>
      <c r="I516" s="3"/>
      <c r="J516" s="13"/>
      <c r="K516" s="13"/>
      <c r="L516" s="13"/>
      <c r="M516" s="13"/>
      <c r="N516" s="13"/>
      <c r="O516" s="13"/>
      <c r="P516" s="13"/>
      <c r="Q516" s="13"/>
      <c r="R516" s="13"/>
      <c r="S516" s="421"/>
      <c r="T516" s="421"/>
      <c r="U516" s="421"/>
      <c r="V516" s="421"/>
      <c r="W516" s="421"/>
      <c r="X516" s="421"/>
      <c r="Y516" s="421"/>
      <c r="Z516" s="421"/>
      <c r="AA516" s="421"/>
      <c r="AB516" s="421"/>
      <c r="AC516" s="421"/>
      <c r="AD516" s="421"/>
      <c r="AE516" s="421"/>
      <c r="AF516" s="421"/>
      <c r="AG516" s="421"/>
      <c r="AH516" s="421"/>
      <c r="AI516" s="421"/>
      <c r="AJ516" s="421"/>
      <c r="AK516" s="421"/>
      <c r="AL516" s="421"/>
      <c r="AM516" s="422"/>
      <c r="AN516" s="422"/>
      <c r="AO516" s="422"/>
      <c r="AP516" s="422"/>
      <c r="AQ516" s="422"/>
      <c r="AR516" s="422"/>
      <c r="AS516" s="422"/>
      <c r="AT516" s="422"/>
      <c r="AU516" s="422"/>
      <c r="AV516" s="422"/>
      <c r="AW516" s="422"/>
      <c r="AX516" s="422"/>
      <c r="AY516" s="422"/>
    </row>
    <row r="517" spans="1:51" x14ac:dyDescent="0.25">
      <c r="A517" s="3"/>
      <c r="B517" s="3"/>
      <c r="C517" s="3"/>
      <c r="D517" s="3"/>
      <c r="E517" s="3"/>
      <c r="F517" s="3"/>
      <c r="G517" s="3"/>
      <c r="H517" s="3"/>
      <c r="I517" s="3"/>
      <c r="J517" s="13"/>
      <c r="K517" s="13"/>
      <c r="L517" s="13"/>
      <c r="M517" s="13"/>
      <c r="N517" s="13"/>
      <c r="O517" s="13"/>
      <c r="P517" s="13"/>
      <c r="Q517" s="13"/>
      <c r="R517" s="13"/>
      <c r="S517" s="421"/>
      <c r="T517" s="421"/>
      <c r="U517" s="421"/>
      <c r="V517" s="421"/>
      <c r="W517" s="421"/>
      <c r="X517" s="421"/>
      <c r="Y517" s="421"/>
      <c r="Z517" s="421"/>
      <c r="AA517" s="421"/>
      <c r="AB517" s="421"/>
      <c r="AC517" s="421"/>
      <c r="AD517" s="421"/>
      <c r="AE517" s="421"/>
      <c r="AF517" s="421"/>
      <c r="AG517" s="421"/>
      <c r="AH517" s="421"/>
      <c r="AI517" s="421"/>
      <c r="AJ517" s="421"/>
      <c r="AK517" s="421"/>
      <c r="AL517" s="421"/>
      <c r="AM517" s="422"/>
      <c r="AN517" s="422"/>
      <c r="AO517" s="422"/>
      <c r="AP517" s="422"/>
      <c r="AQ517" s="422"/>
      <c r="AR517" s="422"/>
      <c r="AS517" s="422"/>
      <c r="AT517" s="422"/>
      <c r="AU517" s="422"/>
      <c r="AV517" s="422"/>
      <c r="AW517" s="422"/>
      <c r="AX517" s="422"/>
      <c r="AY517" s="422"/>
    </row>
    <row r="518" spans="1:51" x14ac:dyDescent="0.25">
      <c r="A518" s="3"/>
      <c r="B518" s="3"/>
      <c r="C518" s="3"/>
      <c r="D518" s="3"/>
      <c r="E518" s="3"/>
      <c r="F518" s="3"/>
      <c r="G518" s="3"/>
      <c r="H518" s="3"/>
      <c r="I518" s="3"/>
      <c r="J518" s="13"/>
      <c r="K518" s="13"/>
      <c r="L518" s="13"/>
      <c r="M518" s="13"/>
      <c r="N518" s="13"/>
      <c r="O518" s="13"/>
      <c r="P518" s="13"/>
      <c r="Q518" s="13"/>
      <c r="R518" s="13"/>
      <c r="S518" s="421"/>
      <c r="T518" s="421"/>
      <c r="U518" s="421"/>
      <c r="V518" s="421"/>
      <c r="W518" s="421"/>
      <c r="X518" s="421"/>
      <c r="Y518" s="421"/>
      <c r="Z518" s="421"/>
      <c r="AA518" s="421"/>
      <c r="AB518" s="421"/>
      <c r="AC518" s="421"/>
      <c r="AD518" s="421"/>
      <c r="AE518" s="421"/>
      <c r="AF518" s="421"/>
      <c r="AG518" s="421"/>
      <c r="AH518" s="421"/>
      <c r="AI518" s="421"/>
      <c r="AJ518" s="421"/>
      <c r="AK518" s="421"/>
      <c r="AL518" s="421"/>
      <c r="AM518" s="422"/>
      <c r="AN518" s="422"/>
      <c r="AO518" s="422"/>
      <c r="AP518" s="422"/>
      <c r="AQ518" s="422"/>
      <c r="AR518" s="422"/>
      <c r="AS518" s="422"/>
      <c r="AT518" s="422"/>
      <c r="AU518" s="422"/>
      <c r="AV518" s="422"/>
      <c r="AW518" s="422"/>
      <c r="AX518" s="422"/>
      <c r="AY518" s="422"/>
    </row>
    <row r="519" spans="1:51" x14ac:dyDescent="0.25">
      <c r="A519" s="3"/>
      <c r="B519" s="3"/>
      <c r="C519" s="3"/>
      <c r="D519" s="3"/>
      <c r="E519" s="3"/>
      <c r="F519" s="3"/>
      <c r="G519" s="3"/>
      <c r="H519" s="3"/>
      <c r="I519" s="3"/>
      <c r="J519" s="13"/>
      <c r="K519" s="13"/>
      <c r="L519" s="13"/>
      <c r="M519" s="13"/>
      <c r="N519" s="13"/>
      <c r="O519" s="13"/>
      <c r="P519" s="13"/>
      <c r="Q519" s="13"/>
      <c r="R519" s="13"/>
      <c r="S519" s="421"/>
      <c r="T519" s="421"/>
      <c r="U519" s="421"/>
      <c r="V519" s="421"/>
      <c r="W519" s="421"/>
      <c r="X519" s="421"/>
      <c r="Y519" s="421"/>
      <c r="Z519" s="421"/>
      <c r="AA519" s="421"/>
      <c r="AB519" s="421"/>
      <c r="AC519" s="421"/>
      <c r="AD519" s="421"/>
      <c r="AE519" s="421"/>
      <c r="AF519" s="421"/>
      <c r="AG519" s="421"/>
      <c r="AH519" s="421"/>
      <c r="AI519" s="421"/>
      <c r="AJ519" s="421"/>
      <c r="AK519" s="421"/>
      <c r="AL519" s="421"/>
      <c r="AM519" s="422"/>
      <c r="AN519" s="422"/>
      <c r="AO519" s="422"/>
      <c r="AP519" s="422"/>
      <c r="AQ519" s="422"/>
      <c r="AR519" s="422"/>
      <c r="AS519" s="422"/>
      <c r="AT519" s="422"/>
      <c r="AU519" s="422"/>
      <c r="AV519" s="422"/>
      <c r="AW519" s="422"/>
      <c r="AX519" s="422"/>
      <c r="AY519" s="422"/>
    </row>
    <row r="520" spans="1:51" x14ac:dyDescent="0.25">
      <c r="A520" s="3"/>
      <c r="B520" s="3"/>
      <c r="C520" s="3"/>
      <c r="D520" s="3"/>
      <c r="E520" s="3"/>
      <c r="F520" s="3"/>
      <c r="G520" s="3"/>
      <c r="H520" s="3"/>
      <c r="I520" s="3"/>
      <c r="J520" s="13"/>
      <c r="K520" s="13"/>
      <c r="L520" s="13"/>
      <c r="M520" s="13"/>
      <c r="N520" s="13"/>
      <c r="O520" s="13"/>
      <c r="P520" s="13"/>
      <c r="Q520" s="13"/>
      <c r="R520" s="13"/>
      <c r="S520" s="421"/>
      <c r="T520" s="421"/>
      <c r="U520" s="421"/>
      <c r="V520" s="421"/>
      <c r="W520" s="421"/>
      <c r="X520" s="421"/>
      <c r="Y520" s="421"/>
      <c r="Z520" s="421"/>
      <c r="AA520" s="421"/>
      <c r="AB520" s="421"/>
      <c r="AC520" s="421"/>
      <c r="AD520" s="421"/>
      <c r="AE520" s="421"/>
      <c r="AF520" s="421"/>
      <c r="AG520" s="421"/>
      <c r="AH520" s="421"/>
      <c r="AI520" s="421"/>
      <c r="AJ520" s="421"/>
      <c r="AK520" s="421"/>
      <c r="AL520" s="421"/>
      <c r="AM520" s="422"/>
      <c r="AN520" s="422"/>
      <c r="AO520" s="422"/>
      <c r="AP520" s="422"/>
      <c r="AQ520" s="422"/>
      <c r="AR520" s="422"/>
      <c r="AS520" s="422"/>
      <c r="AT520" s="422"/>
      <c r="AU520" s="422"/>
      <c r="AV520" s="422"/>
      <c r="AW520" s="422"/>
      <c r="AX520" s="422"/>
      <c r="AY520" s="422"/>
    </row>
    <row r="521" spans="1:51" x14ac:dyDescent="0.25">
      <c r="A521" s="3"/>
      <c r="B521" s="3"/>
      <c r="C521" s="3"/>
      <c r="D521" s="3"/>
      <c r="E521" s="3"/>
      <c r="F521" s="3"/>
      <c r="G521" s="3"/>
      <c r="H521" s="3"/>
      <c r="I521" s="3"/>
      <c r="J521" s="13"/>
      <c r="K521" s="13"/>
      <c r="L521" s="13"/>
      <c r="M521" s="13"/>
      <c r="N521" s="13"/>
      <c r="O521" s="13"/>
      <c r="P521" s="13"/>
      <c r="Q521" s="13"/>
      <c r="R521" s="13"/>
      <c r="S521" s="421"/>
      <c r="T521" s="421"/>
      <c r="U521" s="421"/>
      <c r="V521" s="421"/>
      <c r="W521" s="421"/>
      <c r="X521" s="421"/>
      <c r="Y521" s="421"/>
      <c r="Z521" s="421"/>
      <c r="AA521" s="421"/>
      <c r="AB521" s="421"/>
      <c r="AC521" s="421"/>
      <c r="AD521" s="421"/>
      <c r="AE521" s="421"/>
      <c r="AF521" s="421"/>
      <c r="AG521" s="421"/>
      <c r="AH521" s="421"/>
      <c r="AI521" s="421"/>
      <c r="AJ521" s="421"/>
      <c r="AK521" s="421"/>
      <c r="AL521" s="421"/>
      <c r="AM521" s="422"/>
      <c r="AN521" s="422"/>
      <c r="AO521" s="422"/>
      <c r="AP521" s="422"/>
      <c r="AQ521" s="422"/>
      <c r="AR521" s="422"/>
      <c r="AS521" s="422"/>
      <c r="AT521" s="422"/>
      <c r="AU521" s="422"/>
      <c r="AV521" s="422"/>
      <c r="AW521" s="422"/>
      <c r="AX521" s="422"/>
      <c r="AY521" s="422"/>
    </row>
    <row r="522" spans="1:51" x14ac:dyDescent="0.25">
      <c r="A522" s="3"/>
      <c r="B522" s="3"/>
      <c r="C522" s="3"/>
      <c r="D522" s="3"/>
      <c r="E522" s="3"/>
      <c r="F522" s="3"/>
      <c r="G522" s="3"/>
      <c r="H522" s="3"/>
      <c r="I522" s="3"/>
      <c r="J522" s="13"/>
      <c r="K522" s="13"/>
      <c r="L522" s="13"/>
      <c r="M522" s="13"/>
      <c r="N522" s="13"/>
      <c r="O522" s="13"/>
      <c r="P522" s="13"/>
      <c r="Q522" s="13"/>
      <c r="R522" s="13"/>
      <c r="S522" s="421"/>
      <c r="T522" s="421"/>
      <c r="U522" s="421"/>
      <c r="V522" s="421"/>
      <c r="W522" s="421"/>
      <c r="X522" s="421"/>
      <c r="Y522" s="421"/>
      <c r="Z522" s="421"/>
      <c r="AA522" s="421"/>
      <c r="AB522" s="421"/>
      <c r="AC522" s="421"/>
      <c r="AD522" s="421"/>
      <c r="AE522" s="421"/>
      <c r="AF522" s="421"/>
      <c r="AG522" s="421"/>
      <c r="AH522" s="421"/>
      <c r="AI522" s="421"/>
      <c r="AJ522" s="421"/>
      <c r="AK522" s="421"/>
      <c r="AL522" s="421"/>
      <c r="AM522" s="422"/>
      <c r="AN522" s="422"/>
      <c r="AO522" s="422"/>
      <c r="AP522" s="422"/>
      <c r="AQ522" s="422"/>
      <c r="AR522" s="422"/>
      <c r="AS522" s="422"/>
      <c r="AT522" s="422"/>
      <c r="AU522" s="422"/>
      <c r="AV522" s="422"/>
      <c r="AW522" s="422"/>
      <c r="AX522" s="422"/>
      <c r="AY522" s="422"/>
    </row>
    <row r="523" spans="1:51" x14ac:dyDescent="0.25">
      <c r="A523" s="3"/>
      <c r="B523" s="3"/>
      <c r="C523" s="3"/>
      <c r="D523" s="3"/>
      <c r="E523" s="3"/>
      <c r="F523" s="3"/>
      <c r="G523" s="3"/>
      <c r="H523" s="3"/>
      <c r="I523" s="3"/>
      <c r="J523" s="13"/>
      <c r="K523" s="13"/>
      <c r="L523" s="13"/>
      <c r="M523" s="13"/>
      <c r="N523" s="13"/>
      <c r="O523" s="13"/>
      <c r="P523" s="13"/>
      <c r="Q523" s="13"/>
      <c r="R523" s="13"/>
      <c r="S523" s="421"/>
      <c r="T523" s="421"/>
      <c r="U523" s="421"/>
      <c r="V523" s="421"/>
      <c r="W523" s="421"/>
      <c r="X523" s="421"/>
      <c r="Y523" s="421"/>
      <c r="Z523" s="421"/>
      <c r="AA523" s="421"/>
      <c r="AB523" s="421"/>
      <c r="AC523" s="421"/>
      <c r="AD523" s="421"/>
      <c r="AE523" s="421"/>
      <c r="AF523" s="421"/>
      <c r="AG523" s="421"/>
      <c r="AH523" s="421"/>
      <c r="AI523" s="421"/>
      <c r="AJ523" s="421"/>
      <c r="AK523" s="421"/>
      <c r="AL523" s="421"/>
      <c r="AM523" s="422"/>
      <c r="AN523" s="422"/>
      <c r="AO523" s="422"/>
      <c r="AP523" s="422"/>
      <c r="AQ523" s="422"/>
      <c r="AR523" s="422"/>
      <c r="AS523" s="422"/>
      <c r="AT523" s="422"/>
      <c r="AU523" s="422"/>
      <c r="AV523" s="422"/>
      <c r="AW523" s="422"/>
      <c r="AX523" s="422"/>
      <c r="AY523" s="422"/>
    </row>
    <row r="524" spans="1:51" x14ac:dyDescent="0.25">
      <c r="A524" s="3"/>
      <c r="B524" s="3"/>
      <c r="C524" s="3"/>
      <c r="D524" s="3"/>
      <c r="E524" s="3"/>
      <c r="F524" s="3"/>
      <c r="G524" s="3"/>
      <c r="H524" s="3"/>
      <c r="I524" s="3"/>
      <c r="J524" s="13"/>
      <c r="K524" s="13"/>
      <c r="L524" s="13"/>
      <c r="M524" s="13"/>
      <c r="N524" s="13"/>
      <c r="O524" s="13"/>
      <c r="P524" s="13"/>
      <c r="Q524" s="13"/>
      <c r="R524" s="13"/>
      <c r="S524" s="421"/>
      <c r="T524" s="421"/>
      <c r="U524" s="421"/>
      <c r="V524" s="421"/>
      <c r="W524" s="421"/>
      <c r="X524" s="421"/>
      <c r="Y524" s="421"/>
      <c r="Z524" s="421"/>
      <c r="AA524" s="421"/>
      <c r="AB524" s="421"/>
      <c r="AC524" s="421"/>
      <c r="AD524" s="421"/>
      <c r="AE524" s="421"/>
      <c r="AF524" s="421"/>
      <c r="AG524" s="421"/>
      <c r="AH524" s="421"/>
      <c r="AI524" s="421"/>
      <c r="AJ524" s="421"/>
      <c r="AK524" s="421"/>
      <c r="AL524" s="421"/>
      <c r="AM524" s="422"/>
      <c r="AN524" s="422"/>
      <c r="AO524" s="422"/>
      <c r="AP524" s="422"/>
      <c r="AQ524" s="422"/>
      <c r="AR524" s="422"/>
      <c r="AS524" s="422"/>
      <c r="AT524" s="422"/>
      <c r="AU524" s="422"/>
      <c r="AV524" s="422"/>
      <c r="AW524" s="422"/>
      <c r="AX524" s="422"/>
      <c r="AY524" s="422"/>
    </row>
    <row r="525" spans="1:51" x14ac:dyDescent="0.25">
      <c r="A525" s="3"/>
      <c r="B525" s="3"/>
      <c r="C525" s="3"/>
      <c r="D525" s="3"/>
      <c r="E525" s="3"/>
      <c r="F525" s="3"/>
      <c r="G525" s="3"/>
      <c r="H525" s="3"/>
      <c r="I525" s="3"/>
      <c r="J525" s="13"/>
      <c r="K525" s="13"/>
      <c r="L525" s="13"/>
      <c r="M525" s="13"/>
      <c r="N525" s="13"/>
      <c r="O525" s="13"/>
      <c r="P525" s="13"/>
      <c r="Q525" s="13"/>
      <c r="R525" s="13"/>
      <c r="S525" s="421"/>
      <c r="T525" s="421"/>
      <c r="U525" s="421"/>
      <c r="V525" s="421"/>
      <c r="W525" s="421"/>
      <c r="X525" s="421"/>
      <c r="Y525" s="421"/>
      <c r="Z525" s="421"/>
      <c r="AA525" s="421"/>
      <c r="AB525" s="421"/>
      <c r="AC525" s="421"/>
      <c r="AD525" s="421"/>
      <c r="AE525" s="421"/>
      <c r="AF525" s="421"/>
      <c r="AG525" s="421"/>
      <c r="AH525" s="421"/>
      <c r="AI525" s="421"/>
      <c r="AJ525" s="421"/>
      <c r="AK525" s="421"/>
      <c r="AL525" s="421"/>
      <c r="AM525" s="422"/>
      <c r="AN525" s="422"/>
      <c r="AO525" s="422"/>
      <c r="AP525" s="422"/>
      <c r="AQ525" s="422"/>
      <c r="AR525" s="422"/>
      <c r="AS525" s="422"/>
      <c r="AT525" s="422"/>
      <c r="AU525" s="422"/>
      <c r="AV525" s="422"/>
      <c r="AW525" s="422"/>
      <c r="AX525" s="422"/>
      <c r="AY525" s="422"/>
    </row>
    <row r="526" spans="1:51" x14ac:dyDescent="0.25">
      <c r="A526" s="3"/>
      <c r="B526" s="3"/>
      <c r="C526" s="3"/>
      <c r="D526" s="3"/>
      <c r="E526" s="3"/>
      <c r="F526" s="3"/>
      <c r="G526" s="3"/>
      <c r="H526" s="3"/>
      <c r="I526" s="3"/>
      <c r="J526" s="13"/>
      <c r="K526" s="13"/>
      <c r="L526" s="13"/>
      <c r="M526" s="13"/>
      <c r="N526" s="13"/>
      <c r="O526" s="13"/>
      <c r="P526" s="13"/>
      <c r="Q526" s="13"/>
      <c r="R526" s="13"/>
      <c r="S526" s="421"/>
      <c r="T526" s="421"/>
      <c r="U526" s="421"/>
      <c r="V526" s="421"/>
      <c r="W526" s="421"/>
      <c r="X526" s="421"/>
      <c r="Y526" s="421"/>
      <c r="Z526" s="421"/>
      <c r="AA526" s="421"/>
      <c r="AB526" s="421"/>
      <c r="AC526" s="421"/>
      <c r="AD526" s="421"/>
      <c r="AE526" s="421"/>
      <c r="AF526" s="421"/>
      <c r="AG526" s="421"/>
      <c r="AH526" s="421"/>
      <c r="AI526" s="421"/>
      <c r="AJ526" s="421"/>
      <c r="AK526" s="421"/>
      <c r="AL526" s="421"/>
      <c r="AM526" s="422"/>
      <c r="AN526" s="422"/>
      <c r="AO526" s="422"/>
      <c r="AP526" s="422"/>
      <c r="AQ526" s="422"/>
      <c r="AR526" s="422"/>
      <c r="AS526" s="422"/>
      <c r="AT526" s="422"/>
      <c r="AU526" s="422"/>
      <c r="AV526" s="422"/>
      <c r="AW526" s="422"/>
      <c r="AX526" s="422"/>
      <c r="AY526" s="422"/>
    </row>
    <row r="527" spans="1:51" x14ac:dyDescent="0.25">
      <c r="A527" s="3"/>
      <c r="B527" s="3"/>
      <c r="C527" s="3"/>
      <c r="D527" s="3"/>
      <c r="E527" s="3"/>
      <c r="F527" s="3"/>
      <c r="G527" s="3"/>
      <c r="H527" s="3"/>
      <c r="I527" s="3"/>
      <c r="J527" s="13"/>
      <c r="K527" s="13"/>
      <c r="L527" s="13"/>
      <c r="M527" s="13"/>
      <c r="N527" s="13"/>
      <c r="O527" s="13"/>
      <c r="P527" s="13"/>
      <c r="Q527" s="13"/>
      <c r="R527" s="13"/>
      <c r="S527" s="421"/>
      <c r="T527" s="421"/>
      <c r="U527" s="421"/>
      <c r="V527" s="421"/>
      <c r="W527" s="421"/>
      <c r="X527" s="421"/>
      <c r="Y527" s="421"/>
      <c r="Z527" s="421"/>
      <c r="AA527" s="421"/>
      <c r="AB527" s="421"/>
      <c r="AC527" s="421"/>
      <c r="AD527" s="421"/>
      <c r="AE527" s="421"/>
      <c r="AF527" s="421"/>
      <c r="AG527" s="421"/>
      <c r="AH527" s="421"/>
      <c r="AI527" s="421"/>
      <c r="AJ527" s="421"/>
      <c r="AK527" s="421"/>
      <c r="AL527" s="421"/>
      <c r="AM527" s="422"/>
      <c r="AN527" s="422"/>
      <c r="AO527" s="422"/>
      <c r="AP527" s="422"/>
      <c r="AQ527" s="422"/>
      <c r="AR527" s="422"/>
      <c r="AS527" s="422"/>
      <c r="AT527" s="422"/>
      <c r="AU527" s="422"/>
      <c r="AV527" s="422"/>
      <c r="AW527" s="422"/>
      <c r="AX527" s="422"/>
      <c r="AY527" s="422"/>
    </row>
    <row r="528" spans="1:51" x14ac:dyDescent="0.25">
      <c r="A528" s="3"/>
      <c r="B528" s="3"/>
      <c r="C528" s="3"/>
      <c r="D528" s="3"/>
      <c r="E528" s="3"/>
      <c r="F528" s="3"/>
      <c r="G528" s="3"/>
      <c r="H528" s="3"/>
      <c r="I528" s="3"/>
      <c r="J528" s="13"/>
      <c r="K528" s="13"/>
      <c r="L528" s="13"/>
      <c r="M528" s="13"/>
      <c r="N528" s="13"/>
      <c r="O528" s="13"/>
      <c r="P528" s="13"/>
      <c r="Q528" s="13"/>
      <c r="R528" s="13"/>
      <c r="S528" s="421"/>
      <c r="T528" s="421"/>
      <c r="U528" s="421"/>
      <c r="V528" s="421"/>
      <c r="W528" s="421"/>
      <c r="X528" s="421"/>
      <c r="Y528" s="421"/>
      <c r="Z528" s="421"/>
      <c r="AA528" s="421"/>
      <c r="AB528" s="421"/>
      <c r="AC528" s="421"/>
      <c r="AD528" s="421"/>
      <c r="AE528" s="421"/>
      <c r="AF528" s="421"/>
      <c r="AG528" s="421"/>
      <c r="AH528" s="421"/>
      <c r="AI528" s="421"/>
      <c r="AJ528" s="421"/>
      <c r="AK528" s="421"/>
      <c r="AL528" s="421"/>
      <c r="AM528" s="422"/>
      <c r="AN528" s="422"/>
      <c r="AO528" s="422"/>
      <c r="AP528" s="422"/>
      <c r="AQ528" s="422"/>
      <c r="AR528" s="422"/>
      <c r="AS528" s="422"/>
      <c r="AT528" s="422"/>
      <c r="AU528" s="422"/>
      <c r="AV528" s="422"/>
      <c r="AW528" s="422"/>
      <c r="AX528" s="422"/>
      <c r="AY528" s="422"/>
    </row>
    <row r="529" spans="1:51" x14ac:dyDescent="0.25">
      <c r="A529" s="3"/>
      <c r="B529" s="3"/>
      <c r="C529" s="3"/>
      <c r="D529" s="3"/>
      <c r="E529" s="3"/>
      <c r="F529" s="3"/>
      <c r="G529" s="3"/>
      <c r="H529" s="3"/>
      <c r="I529" s="3"/>
      <c r="J529" s="13"/>
      <c r="K529" s="13"/>
      <c r="L529" s="13"/>
      <c r="M529" s="13"/>
      <c r="N529" s="13"/>
      <c r="O529" s="13"/>
      <c r="P529" s="13"/>
      <c r="Q529" s="13"/>
      <c r="R529" s="13"/>
      <c r="S529" s="421"/>
      <c r="T529" s="421"/>
      <c r="U529" s="421"/>
      <c r="V529" s="421"/>
      <c r="W529" s="421"/>
      <c r="X529" s="421"/>
      <c r="Y529" s="421"/>
      <c r="Z529" s="421"/>
      <c r="AA529" s="421"/>
      <c r="AB529" s="421"/>
      <c r="AC529" s="421"/>
      <c r="AD529" s="421"/>
      <c r="AE529" s="421"/>
      <c r="AF529" s="421"/>
      <c r="AG529" s="421"/>
      <c r="AH529" s="421"/>
      <c r="AI529" s="421"/>
      <c r="AJ529" s="421"/>
      <c r="AK529" s="421"/>
      <c r="AL529" s="421"/>
      <c r="AM529" s="422"/>
      <c r="AN529" s="422"/>
      <c r="AO529" s="422"/>
      <c r="AP529" s="422"/>
      <c r="AQ529" s="422"/>
      <c r="AR529" s="422"/>
      <c r="AS529" s="422"/>
      <c r="AT529" s="422"/>
      <c r="AU529" s="422"/>
      <c r="AV529" s="422"/>
      <c r="AW529" s="422"/>
      <c r="AX529" s="422"/>
      <c r="AY529" s="422"/>
    </row>
    <row r="530" spans="1:51" x14ac:dyDescent="0.25">
      <c r="A530" s="3"/>
      <c r="B530" s="3"/>
      <c r="C530" s="3"/>
      <c r="D530" s="3"/>
      <c r="E530" s="3"/>
      <c r="F530" s="3"/>
      <c r="G530" s="3"/>
      <c r="H530" s="3"/>
      <c r="I530" s="3"/>
      <c r="J530" s="13"/>
      <c r="K530" s="13"/>
      <c r="L530" s="13"/>
      <c r="M530" s="13"/>
      <c r="N530" s="13"/>
      <c r="O530" s="13"/>
      <c r="P530" s="13"/>
      <c r="Q530" s="13"/>
      <c r="R530" s="13"/>
      <c r="S530" s="421"/>
      <c r="T530" s="421"/>
      <c r="U530" s="421"/>
      <c r="V530" s="421"/>
      <c r="W530" s="421"/>
      <c r="X530" s="421"/>
      <c r="Y530" s="421"/>
      <c r="Z530" s="421"/>
      <c r="AA530" s="421"/>
      <c r="AB530" s="421"/>
      <c r="AC530" s="421"/>
      <c r="AD530" s="421"/>
      <c r="AE530" s="421"/>
      <c r="AF530" s="421"/>
      <c r="AG530" s="421"/>
      <c r="AH530" s="421"/>
      <c r="AI530" s="421"/>
      <c r="AJ530" s="421"/>
      <c r="AK530" s="421"/>
      <c r="AL530" s="421"/>
      <c r="AM530" s="422"/>
      <c r="AN530" s="422"/>
      <c r="AO530" s="422"/>
      <c r="AP530" s="422"/>
      <c r="AQ530" s="422"/>
      <c r="AR530" s="422"/>
      <c r="AS530" s="422"/>
      <c r="AT530" s="422"/>
      <c r="AU530" s="422"/>
      <c r="AV530" s="422"/>
      <c r="AW530" s="422"/>
      <c r="AX530" s="422"/>
      <c r="AY530" s="422"/>
    </row>
    <row r="531" spans="1:51" x14ac:dyDescent="0.25">
      <c r="A531" s="3"/>
      <c r="B531" s="3"/>
      <c r="C531" s="3"/>
      <c r="D531" s="3"/>
      <c r="E531" s="3"/>
      <c r="F531" s="3"/>
      <c r="G531" s="3"/>
      <c r="H531" s="3"/>
      <c r="I531" s="3"/>
      <c r="J531" s="13"/>
      <c r="K531" s="13"/>
      <c r="L531" s="13"/>
      <c r="M531" s="13"/>
      <c r="N531" s="13"/>
      <c r="O531" s="13"/>
      <c r="P531" s="13"/>
      <c r="Q531" s="13"/>
      <c r="R531" s="13"/>
      <c r="S531" s="421"/>
      <c r="T531" s="421"/>
      <c r="U531" s="421"/>
      <c r="V531" s="421"/>
      <c r="W531" s="421"/>
      <c r="X531" s="421"/>
      <c r="Y531" s="421"/>
      <c r="Z531" s="421"/>
      <c r="AA531" s="421"/>
      <c r="AB531" s="421"/>
      <c r="AC531" s="421"/>
      <c r="AD531" s="421"/>
      <c r="AE531" s="421"/>
      <c r="AF531" s="421"/>
      <c r="AG531" s="421"/>
      <c r="AH531" s="421"/>
      <c r="AI531" s="421"/>
      <c r="AJ531" s="421"/>
      <c r="AK531" s="421"/>
      <c r="AL531" s="421"/>
      <c r="AM531" s="422"/>
      <c r="AN531" s="422"/>
      <c r="AO531" s="422"/>
      <c r="AP531" s="422"/>
      <c r="AQ531" s="422"/>
      <c r="AR531" s="422"/>
      <c r="AS531" s="422"/>
      <c r="AT531" s="422"/>
      <c r="AU531" s="422"/>
      <c r="AV531" s="422"/>
      <c r="AW531" s="422"/>
      <c r="AX531" s="422"/>
      <c r="AY531" s="422"/>
    </row>
    <row r="532" spans="1:51" x14ac:dyDescent="0.25">
      <c r="A532" s="3"/>
      <c r="B532" s="3"/>
      <c r="C532" s="3"/>
      <c r="D532" s="3"/>
      <c r="E532" s="3"/>
      <c r="F532" s="3"/>
      <c r="G532" s="3"/>
      <c r="H532" s="3"/>
      <c r="I532" s="3"/>
      <c r="J532" s="13"/>
      <c r="K532" s="13"/>
      <c r="L532" s="13"/>
      <c r="M532" s="13"/>
      <c r="N532" s="13"/>
      <c r="O532" s="13"/>
      <c r="P532" s="13"/>
      <c r="Q532" s="13"/>
      <c r="R532" s="13"/>
      <c r="S532" s="421"/>
      <c r="T532" s="421"/>
      <c r="U532" s="421"/>
      <c r="V532" s="421"/>
      <c r="W532" s="421"/>
      <c r="X532" s="421"/>
      <c r="Y532" s="421"/>
      <c r="Z532" s="421"/>
      <c r="AA532" s="421"/>
      <c r="AB532" s="421"/>
      <c r="AC532" s="421"/>
      <c r="AD532" s="421"/>
      <c r="AE532" s="421"/>
      <c r="AF532" s="421"/>
      <c r="AG532" s="421"/>
      <c r="AH532" s="421"/>
      <c r="AI532" s="421"/>
      <c r="AJ532" s="421"/>
      <c r="AK532" s="421"/>
      <c r="AL532" s="421"/>
      <c r="AM532" s="422"/>
      <c r="AN532" s="422"/>
      <c r="AO532" s="422"/>
      <c r="AP532" s="422"/>
      <c r="AQ532" s="422"/>
      <c r="AR532" s="422"/>
      <c r="AS532" s="422"/>
      <c r="AT532" s="422"/>
      <c r="AU532" s="422"/>
      <c r="AV532" s="422"/>
      <c r="AW532" s="422"/>
      <c r="AX532" s="422"/>
      <c r="AY532" s="422"/>
    </row>
    <row r="533" spans="1:51" x14ac:dyDescent="0.25">
      <c r="A533" s="3"/>
      <c r="B533" s="3"/>
      <c r="C533" s="3"/>
      <c r="D533" s="3"/>
      <c r="E533" s="3"/>
      <c r="F533" s="3"/>
      <c r="G533" s="3"/>
      <c r="H533" s="3"/>
      <c r="I533" s="3"/>
      <c r="J533" s="13"/>
      <c r="K533" s="13"/>
      <c r="L533" s="13"/>
      <c r="M533" s="13"/>
      <c r="N533" s="13"/>
      <c r="O533" s="13"/>
      <c r="P533" s="13"/>
      <c r="Q533" s="13"/>
      <c r="R533" s="13"/>
      <c r="S533" s="421"/>
      <c r="T533" s="421"/>
      <c r="U533" s="421"/>
      <c r="V533" s="421"/>
      <c r="W533" s="421"/>
      <c r="X533" s="421"/>
      <c r="Y533" s="421"/>
      <c r="Z533" s="421"/>
      <c r="AA533" s="421"/>
      <c r="AB533" s="421"/>
      <c r="AC533" s="421"/>
      <c r="AD533" s="421"/>
      <c r="AE533" s="421"/>
      <c r="AF533" s="421"/>
      <c r="AG533" s="421"/>
      <c r="AH533" s="421"/>
      <c r="AI533" s="421"/>
      <c r="AJ533" s="421"/>
      <c r="AK533" s="421"/>
      <c r="AL533" s="421"/>
      <c r="AM533" s="422"/>
      <c r="AN533" s="422"/>
      <c r="AO533" s="422"/>
      <c r="AP533" s="422"/>
      <c r="AQ533" s="422"/>
      <c r="AR533" s="422"/>
      <c r="AS533" s="422"/>
      <c r="AT533" s="422"/>
      <c r="AU533" s="422"/>
      <c r="AV533" s="422"/>
      <c r="AW533" s="422"/>
      <c r="AX533" s="422"/>
      <c r="AY533" s="422"/>
    </row>
    <row r="534" spans="1:51" x14ac:dyDescent="0.25">
      <c r="A534" s="3"/>
      <c r="B534" s="3"/>
      <c r="C534" s="3"/>
      <c r="D534" s="3"/>
      <c r="E534" s="3"/>
      <c r="F534" s="3"/>
      <c r="G534" s="3"/>
      <c r="H534" s="3"/>
      <c r="I534" s="3"/>
      <c r="J534" s="13"/>
      <c r="K534" s="13"/>
      <c r="L534" s="13"/>
      <c r="M534" s="13"/>
      <c r="N534" s="13"/>
      <c r="O534" s="13"/>
      <c r="P534" s="13"/>
      <c r="Q534" s="13"/>
      <c r="R534" s="13"/>
      <c r="S534" s="421"/>
      <c r="T534" s="421"/>
      <c r="U534" s="421"/>
      <c r="V534" s="421"/>
      <c r="W534" s="421"/>
      <c r="X534" s="421"/>
      <c r="Y534" s="421"/>
      <c r="Z534" s="421"/>
      <c r="AA534" s="421"/>
      <c r="AB534" s="421"/>
      <c r="AC534" s="421"/>
      <c r="AD534" s="421"/>
      <c r="AE534" s="421"/>
      <c r="AF534" s="421"/>
      <c r="AG534" s="421"/>
      <c r="AH534" s="421"/>
      <c r="AI534" s="421"/>
      <c r="AJ534" s="421"/>
      <c r="AK534" s="421"/>
      <c r="AL534" s="421"/>
      <c r="AM534" s="422"/>
      <c r="AN534" s="422"/>
      <c r="AO534" s="422"/>
      <c r="AP534" s="422"/>
      <c r="AQ534" s="422"/>
      <c r="AR534" s="422"/>
      <c r="AS534" s="422"/>
      <c r="AT534" s="422"/>
      <c r="AU534" s="422"/>
      <c r="AV534" s="422"/>
      <c r="AW534" s="422"/>
      <c r="AX534" s="422"/>
      <c r="AY534" s="422"/>
    </row>
    <row r="535" spans="1:51" x14ac:dyDescent="0.25">
      <c r="A535" s="3"/>
      <c r="B535" s="3"/>
      <c r="C535" s="3"/>
      <c r="D535" s="3"/>
      <c r="E535" s="3"/>
      <c r="F535" s="3"/>
      <c r="G535" s="3"/>
      <c r="H535" s="3"/>
      <c r="I535" s="3"/>
      <c r="J535" s="13"/>
      <c r="K535" s="13"/>
      <c r="L535" s="13"/>
      <c r="M535" s="13"/>
      <c r="N535" s="13"/>
      <c r="O535" s="13"/>
      <c r="P535" s="13"/>
      <c r="Q535" s="13"/>
      <c r="R535" s="13"/>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2"/>
      <c r="AN535" s="422"/>
      <c r="AO535" s="422"/>
      <c r="AP535" s="422"/>
      <c r="AQ535" s="422"/>
      <c r="AR535" s="422"/>
      <c r="AS535" s="422"/>
      <c r="AT535" s="422"/>
      <c r="AU535" s="422"/>
      <c r="AV535" s="422"/>
      <c r="AW535" s="422"/>
      <c r="AX535" s="422"/>
      <c r="AY535" s="422"/>
    </row>
    <row r="536" spans="1:51" x14ac:dyDescent="0.25">
      <c r="A536" s="3"/>
      <c r="B536" s="3"/>
      <c r="C536" s="3"/>
      <c r="D536" s="3"/>
      <c r="E536" s="3"/>
      <c r="F536" s="3"/>
      <c r="G536" s="3"/>
      <c r="H536" s="3"/>
      <c r="I536" s="3"/>
      <c r="J536" s="13"/>
      <c r="K536" s="13"/>
      <c r="L536" s="13"/>
      <c r="M536" s="13"/>
      <c r="N536" s="13"/>
      <c r="O536" s="13"/>
      <c r="P536" s="13"/>
      <c r="Q536" s="13"/>
      <c r="R536" s="13"/>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2"/>
      <c r="AN536" s="422"/>
      <c r="AO536" s="422"/>
      <c r="AP536" s="422"/>
      <c r="AQ536" s="422"/>
      <c r="AR536" s="422"/>
      <c r="AS536" s="422"/>
      <c r="AT536" s="422"/>
      <c r="AU536" s="422"/>
      <c r="AV536" s="422"/>
      <c r="AW536" s="422"/>
      <c r="AX536" s="422"/>
      <c r="AY536" s="422"/>
    </row>
    <row r="537" spans="1:51" x14ac:dyDescent="0.25">
      <c r="A537" s="3"/>
      <c r="B537" s="3"/>
      <c r="C537" s="3"/>
      <c r="D537" s="3"/>
      <c r="E537" s="3"/>
      <c r="F537" s="3"/>
      <c r="G537" s="3"/>
      <c r="H537" s="3"/>
      <c r="I537" s="3"/>
      <c r="J537" s="13"/>
      <c r="K537" s="13"/>
      <c r="L537" s="13"/>
      <c r="M537" s="13"/>
      <c r="N537" s="13"/>
      <c r="O537" s="13"/>
      <c r="P537" s="13"/>
      <c r="Q537" s="13"/>
      <c r="R537" s="13"/>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2"/>
      <c r="AN537" s="422"/>
      <c r="AO537" s="422"/>
      <c r="AP537" s="422"/>
      <c r="AQ537" s="422"/>
      <c r="AR537" s="422"/>
      <c r="AS537" s="422"/>
      <c r="AT537" s="422"/>
      <c r="AU537" s="422"/>
      <c r="AV537" s="422"/>
      <c r="AW537" s="422"/>
      <c r="AX537" s="422"/>
      <c r="AY537" s="422"/>
    </row>
    <row r="538" spans="1:51" x14ac:dyDescent="0.25">
      <c r="A538" s="3"/>
      <c r="B538" s="3"/>
      <c r="C538" s="3"/>
      <c r="D538" s="3"/>
      <c r="E538" s="3"/>
      <c r="F538" s="3"/>
      <c r="G538" s="3"/>
      <c r="H538" s="3"/>
      <c r="I538" s="3"/>
      <c r="J538" s="13"/>
      <c r="K538" s="13"/>
      <c r="L538" s="13"/>
      <c r="M538" s="13"/>
      <c r="N538" s="13"/>
      <c r="O538" s="13"/>
      <c r="P538" s="13"/>
      <c r="Q538" s="13"/>
      <c r="R538" s="13"/>
      <c r="S538" s="421"/>
      <c r="T538" s="421"/>
      <c r="U538" s="421"/>
      <c r="V538" s="421"/>
      <c r="W538" s="421"/>
      <c r="X538" s="421"/>
      <c r="Y538" s="421"/>
      <c r="Z538" s="421"/>
      <c r="AA538" s="421"/>
      <c r="AB538" s="421"/>
      <c r="AC538" s="421"/>
      <c r="AD538" s="421"/>
      <c r="AE538" s="421"/>
      <c r="AF538" s="421"/>
      <c r="AG538" s="421"/>
      <c r="AH538" s="421"/>
      <c r="AI538" s="421"/>
      <c r="AJ538" s="421"/>
      <c r="AK538" s="421"/>
      <c r="AL538" s="421"/>
      <c r="AM538" s="422"/>
      <c r="AN538" s="422"/>
      <c r="AO538" s="422"/>
      <c r="AP538" s="422"/>
      <c r="AQ538" s="422"/>
      <c r="AR538" s="422"/>
      <c r="AS538" s="422"/>
      <c r="AT538" s="422"/>
      <c r="AU538" s="422"/>
      <c r="AV538" s="422"/>
      <c r="AW538" s="422"/>
      <c r="AX538" s="422"/>
      <c r="AY538" s="422"/>
    </row>
    <row r="539" spans="1:51" x14ac:dyDescent="0.25">
      <c r="A539" s="3"/>
      <c r="B539" s="3"/>
      <c r="C539" s="3"/>
      <c r="D539" s="3"/>
      <c r="E539" s="3"/>
      <c r="F539" s="3"/>
      <c r="G539" s="3"/>
      <c r="H539" s="3"/>
      <c r="I539" s="3"/>
      <c r="J539" s="13"/>
      <c r="K539" s="13"/>
      <c r="L539" s="13"/>
      <c r="M539" s="13"/>
      <c r="N539" s="13"/>
      <c r="O539" s="13"/>
      <c r="P539" s="13"/>
      <c r="Q539" s="13"/>
      <c r="R539" s="13"/>
      <c r="S539" s="421"/>
      <c r="T539" s="421"/>
      <c r="U539" s="421"/>
      <c r="V539" s="421"/>
      <c r="W539" s="421"/>
      <c r="X539" s="421"/>
      <c r="Y539" s="421"/>
      <c r="Z539" s="421"/>
      <c r="AA539" s="421"/>
      <c r="AB539" s="421"/>
      <c r="AC539" s="421"/>
      <c r="AD539" s="421"/>
      <c r="AE539" s="421"/>
      <c r="AF539" s="421"/>
      <c r="AG539" s="421"/>
      <c r="AH539" s="421"/>
      <c r="AI539" s="421"/>
      <c r="AJ539" s="421"/>
      <c r="AK539" s="421"/>
      <c r="AL539" s="421"/>
      <c r="AM539" s="422"/>
      <c r="AN539" s="422"/>
      <c r="AO539" s="422"/>
      <c r="AP539" s="422"/>
      <c r="AQ539" s="422"/>
      <c r="AR539" s="422"/>
      <c r="AS539" s="422"/>
      <c r="AT539" s="422"/>
      <c r="AU539" s="422"/>
      <c r="AV539" s="422"/>
      <c r="AW539" s="422"/>
      <c r="AX539" s="422"/>
      <c r="AY539" s="422"/>
    </row>
    <row r="540" spans="1:51" x14ac:dyDescent="0.25">
      <c r="A540" s="3"/>
      <c r="B540" s="3"/>
      <c r="C540" s="3"/>
      <c r="D540" s="3"/>
      <c r="E540" s="3"/>
      <c r="F540" s="3"/>
      <c r="G540" s="3"/>
      <c r="H540" s="3"/>
      <c r="I540" s="3"/>
      <c r="J540" s="13"/>
      <c r="K540" s="13"/>
      <c r="L540" s="13"/>
      <c r="M540" s="13"/>
      <c r="N540" s="13"/>
      <c r="O540" s="13"/>
      <c r="P540" s="13"/>
      <c r="Q540" s="13"/>
      <c r="R540" s="13"/>
      <c r="S540" s="421"/>
      <c r="T540" s="421"/>
      <c r="U540" s="421"/>
      <c r="V540" s="421"/>
      <c r="W540" s="421"/>
      <c r="X540" s="421"/>
      <c r="Y540" s="421"/>
      <c r="Z540" s="421"/>
      <c r="AA540" s="421"/>
      <c r="AB540" s="421"/>
      <c r="AC540" s="421"/>
      <c r="AD540" s="421"/>
      <c r="AE540" s="421"/>
      <c r="AF540" s="421"/>
      <c r="AG540" s="421"/>
      <c r="AH540" s="421"/>
      <c r="AI540" s="421"/>
      <c r="AJ540" s="421"/>
      <c r="AK540" s="421"/>
      <c r="AL540" s="421"/>
      <c r="AM540" s="422"/>
      <c r="AN540" s="422"/>
      <c r="AO540" s="422"/>
      <c r="AP540" s="422"/>
      <c r="AQ540" s="422"/>
      <c r="AR540" s="422"/>
      <c r="AS540" s="422"/>
      <c r="AT540" s="422"/>
      <c r="AU540" s="422"/>
      <c r="AV540" s="422"/>
      <c r="AW540" s="422"/>
      <c r="AX540" s="422"/>
      <c r="AY540" s="422"/>
    </row>
    <row r="541" spans="1:51" x14ac:dyDescent="0.25">
      <c r="A541" s="3"/>
      <c r="B541" s="3"/>
      <c r="C541" s="3"/>
      <c r="D541" s="3"/>
      <c r="E541" s="3"/>
      <c r="F541" s="3"/>
      <c r="G541" s="3"/>
      <c r="H541" s="3"/>
      <c r="I541" s="3"/>
      <c r="J541" s="13"/>
      <c r="K541" s="13"/>
      <c r="L541" s="13"/>
      <c r="M541" s="13"/>
      <c r="N541" s="13"/>
      <c r="O541" s="13"/>
      <c r="P541" s="13"/>
      <c r="Q541" s="13"/>
      <c r="R541" s="13"/>
      <c r="S541" s="421"/>
      <c r="T541" s="421"/>
      <c r="U541" s="421"/>
      <c r="V541" s="421"/>
      <c r="W541" s="421"/>
      <c r="X541" s="421"/>
      <c r="Y541" s="421"/>
      <c r="Z541" s="421"/>
      <c r="AA541" s="421"/>
      <c r="AB541" s="421"/>
      <c r="AC541" s="421"/>
      <c r="AD541" s="421"/>
      <c r="AE541" s="421"/>
      <c r="AF541" s="421"/>
      <c r="AG541" s="421"/>
      <c r="AH541" s="421"/>
      <c r="AI541" s="421"/>
      <c r="AJ541" s="421"/>
      <c r="AK541" s="421"/>
      <c r="AL541" s="421"/>
      <c r="AM541" s="422"/>
      <c r="AN541" s="422"/>
      <c r="AO541" s="422"/>
      <c r="AP541" s="422"/>
      <c r="AQ541" s="422"/>
      <c r="AR541" s="422"/>
      <c r="AS541" s="422"/>
      <c r="AT541" s="422"/>
      <c r="AU541" s="422"/>
      <c r="AV541" s="422"/>
      <c r="AW541" s="422"/>
      <c r="AX541" s="422"/>
      <c r="AY541" s="422"/>
    </row>
    <row r="542" spans="1:51" x14ac:dyDescent="0.25">
      <c r="A542" s="3"/>
      <c r="B542" s="3"/>
      <c r="C542" s="3"/>
      <c r="D542" s="3"/>
      <c r="E542" s="3"/>
      <c r="F542" s="3"/>
      <c r="G542" s="3"/>
      <c r="H542" s="3"/>
      <c r="I542" s="3"/>
      <c r="J542" s="13"/>
      <c r="K542" s="13"/>
      <c r="L542" s="13"/>
      <c r="M542" s="13"/>
      <c r="N542" s="13"/>
      <c r="O542" s="13"/>
      <c r="P542" s="13"/>
      <c r="Q542" s="13"/>
      <c r="R542" s="13"/>
      <c r="S542" s="421"/>
      <c r="T542" s="421"/>
      <c r="U542" s="421"/>
      <c r="V542" s="421"/>
      <c r="W542" s="421"/>
      <c r="X542" s="421"/>
      <c r="Y542" s="421"/>
      <c r="Z542" s="421"/>
      <c r="AA542" s="421"/>
      <c r="AB542" s="421"/>
      <c r="AC542" s="421"/>
      <c r="AD542" s="421"/>
      <c r="AE542" s="421"/>
      <c r="AF542" s="421"/>
      <c r="AG542" s="421"/>
      <c r="AH542" s="421"/>
      <c r="AI542" s="421"/>
      <c r="AJ542" s="421"/>
      <c r="AK542" s="421"/>
      <c r="AL542" s="421"/>
      <c r="AM542" s="422"/>
      <c r="AN542" s="422"/>
      <c r="AO542" s="422"/>
      <c r="AP542" s="422"/>
      <c r="AQ542" s="422"/>
      <c r="AR542" s="422"/>
      <c r="AS542" s="422"/>
      <c r="AT542" s="422"/>
      <c r="AU542" s="422"/>
      <c r="AV542" s="422"/>
      <c r="AW542" s="422"/>
      <c r="AX542" s="422"/>
      <c r="AY542" s="422"/>
    </row>
    <row r="543" spans="1:51" x14ac:dyDescent="0.25">
      <c r="A543" s="3"/>
      <c r="B543" s="3"/>
      <c r="C543" s="3"/>
      <c r="D543" s="3"/>
      <c r="E543" s="3"/>
      <c r="F543" s="3"/>
      <c r="G543" s="3"/>
      <c r="H543" s="3"/>
      <c r="I543" s="3"/>
      <c r="J543" s="13"/>
      <c r="K543" s="13"/>
      <c r="L543" s="13"/>
      <c r="M543" s="13"/>
      <c r="N543" s="13"/>
      <c r="O543" s="13"/>
      <c r="P543" s="13"/>
      <c r="Q543" s="13"/>
      <c r="R543" s="13"/>
      <c r="S543" s="421"/>
      <c r="T543" s="421"/>
      <c r="U543" s="421"/>
      <c r="V543" s="421"/>
      <c r="W543" s="421"/>
      <c r="X543" s="421"/>
      <c r="Y543" s="421"/>
      <c r="Z543" s="421"/>
      <c r="AA543" s="421"/>
      <c r="AB543" s="421"/>
      <c r="AC543" s="421"/>
      <c r="AD543" s="421"/>
      <c r="AE543" s="421"/>
      <c r="AF543" s="421"/>
      <c r="AG543" s="421"/>
      <c r="AH543" s="421"/>
      <c r="AI543" s="421"/>
      <c r="AJ543" s="421"/>
      <c r="AK543" s="421"/>
      <c r="AL543" s="421"/>
      <c r="AM543" s="422"/>
      <c r="AN543" s="422"/>
      <c r="AO543" s="422"/>
      <c r="AP543" s="422"/>
      <c r="AQ543" s="422"/>
      <c r="AR543" s="422"/>
      <c r="AS543" s="422"/>
      <c r="AT543" s="422"/>
      <c r="AU543" s="422"/>
      <c r="AV543" s="422"/>
      <c r="AW543" s="422"/>
      <c r="AX543" s="422"/>
      <c r="AY543" s="422"/>
    </row>
    <row r="544" spans="1:51" x14ac:dyDescent="0.25">
      <c r="A544" s="3"/>
      <c r="B544" s="3"/>
      <c r="C544" s="3"/>
      <c r="D544" s="3"/>
      <c r="E544" s="3"/>
      <c r="F544" s="3"/>
      <c r="G544" s="3"/>
      <c r="H544" s="3"/>
      <c r="I544" s="3"/>
      <c r="J544" s="13"/>
      <c r="K544" s="13"/>
      <c r="L544" s="13"/>
      <c r="M544" s="13"/>
      <c r="N544" s="13"/>
      <c r="O544" s="13"/>
      <c r="P544" s="13"/>
      <c r="Q544" s="13"/>
      <c r="R544" s="13"/>
      <c r="S544" s="421"/>
      <c r="T544" s="421"/>
      <c r="U544" s="421"/>
      <c r="V544" s="421"/>
      <c r="W544" s="421"/>
      <c r="X544" s="421"/>
      <c r="Y544" s="421"/>
      <c r="Z544" s="421"/>
      <c r="AA544" s="421"/>
      <c r="AB544" s="421"/>
      <c r="AC544" s="421"/>
      <c r="AD544" s="421"/>
      <c r="AE544" s="421"/>
      <c r="AF544" s="421"/>
      <c r="AG544" s="421"/>
      <c r="AH544" s="421"/>
      <c r="AI544" s="421"/>
      <c r="AJ544" s="421"/>
      <c r="AK544" s="421"/>
      <c r="AL544" s="421"/>
      <c r="AM544" s="422"/>
      <c r="AN544" s="422"/>
      <c r="AO544" s="422"/>
      <c r="AP544" s="422"/>
      <c r="AQ544" s="422"/>
      <c r="AR544" s="422"/>
      <c r="AS544" s="422"/>
      <c r="AT544" s="422"/>
      <c r="AU544" s="422"/>
      <c r="AV544" s="422"/>
      <c r="AW544" s="422"/>
      <c r="AX544" s="422"/>
      <c r="AY544" s="422"/>
    </row>
    <row r="545" spans="1:51" x14ac:dyDescent="0.25">
      <c r="A545" s="3"/>
      <c r="B545" s="3"/>
      <c r="C545" s="3"/>
      <c r="D545" s="3"/>
      <c r="E545" s="3"/>
      <c r="F545" s="3"/>
      <c r="G545" s="3"/>
      <c r="H545" s="3"/>
      <c r="I545" s="3"/>
      <c r="J545" s="13"/>
      <c r="K545" s="13"/>
      <c r="L545" s="13"/>
      <c r="M545" s="13"/>
      <c r="N545" s="13"/>
      <c r="O545" s="13"/>
      <c r="P545" s="13"/>
      <c r="Q545" s="13"/>
      <c r="R545" s="13"/>
      <c r="S545" s="421"/>
      <c r="T545" s="421"/>
      <c r="U545" s="421"/>
      <c r="V545" s="421"/>
      <c r="W545" s="421"/>
      <c r="X545" s="421"/>
      <c r="Y545" s="421"/>
      <c r="Z545" s="421"/>
      <c r="AA545" s="421"/>
      <c r="AB545" s="421"/>
      <c r="AC545" s="421"/>
      <c r="AD545" s="421"/>
      <c r="AE545" s="421"/>
      <c r="AF545" s="421"/>
      <c r="AG545" s="421"/>
      <c r="AH545" s="421"/>
      <c r="AI545" s="421"/>
      <c r="AJ545" s="421"/>
      <c r="AK545" s="421"/>
      <c r="AL545" s="421"/>
      <c r="AM545" s="422"/>
      <c r="AN545" s="422"/>
      <c r="AO545" s="422"/>
      <c r="AP545" s="422"/>
      <c r="AQ545" s="422"/>
      <c r="AR545" s="422"/>
      <c r="AS545" s="422"/>
      <c r="AT545" s="422"/>
      <c r="AU545" s="422"/>
      <c r="AV545" s="422"/>
      <c r="AW545" s="422"/>
      <c r="AX545" s="422"/>
      <c r="AY545" s="422"/>
    </row>
    <row r="546" spans="1:51" x14ac:dyDescent="0.25">
      <c r="A546" s="3"/>
      <c r="B546" s="3"/>
      <c r="C546" s="3"/>
      <c r="D546" s="3"/>
      <c r="E546" s="3"/>
      <c r="F546" s="3"/>
      <c r="G546" s="3"/>
      <c r="H546" s="3"/>
      <c r="I546" s="3"/>
      <c r="J546" s="13"/>
      <c r="K546" s="13"/>
      <c r="L546" s="13"/>
      <c r="M546" s="13"/>
      <c r="N546" s="13"/>
      <c r="O546" s="13"/>
      <c r="P546" s="13"/>
      <c r="Q546" s="13"/>
      <c r="R546" s="13"/>
      <c r="S546" s="421"/>
      <c r="T546" s="421"/>
      <c r="U546" s="421"/>
      <c r="V546" s="421"/>
      <c r="W546" s="421"/>
      <c r="X546" s="421"/>
      <c r="Y546" s="421"/>
      <c r="Z546" s="421"/>
      <c r="AA546" s="421"/>
      <c r="AB546" s="421"/>
      <c r="AC546" s="421"/>
      <c r="AD546" s="421"/>
      <c r="AE546" s="421"/>
      <c r="AF546" s="421"/>
      <c r="AG546" s="421"/>
      <c r="AH546" s="421"/>
      <c r="AI546" s="421"/>
      <c r="AJ546" s="421"/>
      <c r="AK546" s="421"/>
      <c r="AL546" s="421"/>
      <c r="AM546" s="422"/>
      <c r="AN546" s="422"/>
      <c r="AO546" s="422"/>
      <c r="AP546" s="422"/>
      <c r="AQ546" s="422"/>
      <c r="AR546" s="422"/>
      <c r="AS546" s="422"/>
      <c r="AT546" s="422"/>
      <c r="AU546" s="422"/>
      <c r="AV546" s="422"/>
      <c r="AW546" s="422"/>
      <c r="AX546" s="422"/>
      <c r="AY546" s="422"/>
    </row>
    <row r="547" spans="1:51" x14ac:dyDescent="0.25">
      <c r="A547" s="3"/>
      <c r="B547" s="3"/>
      <c r="C547" s="3"/>
      <c r="D547" s="3"/>
      <c r="E547" s="3"/>
      <c r="F547" s="3"/>
      <c r="G547" s="3"/>
      <c r="H547" s="3"/>
      <c r="I547" s="3"/>
      <c r="J547" s="13"/>
      <c r="K547" s="13"/>
      <c r="L547" s="13"/>
      <c r="M547" s="13"/>
      <c r="N547" s="13"/>
      <c r="O547" s="13"/>
      <c r="P547" s="13"/>
      <c r="Q547" s="13"/>
      <c r="R547" s="13"/>
      <c r="S547" s="421"/>
      <c r="T547" s="421"/>
      <c r="U547" s="421"/>
      <c r="V547" s="421"/>
      <c r="W547" s="421"/>
      <c r="X547" s="421"/>
      <c r="Y547" s="421"/>
      <c r="Z547" s="421"/>
      <c r="AA547" s="421"/>
      <c r="AB547" s="421"/>
      <c r="AC547" s="421"/>
      <c r="AD547" s="421"/>
      <c r="AE547" s="421"/>
      <c r="AF547" s="421"/>
      <c r="AG547" s="421"/>
      <c r="AH547" s="421"/>
      <c r="AI547" s="421"/>
      <c r="AJ547" s="421"/>
      <c r="AK547" s="421"/>
      <c r="AL547" s="421"/>
      <c r="AM547" s="422"/>
      <c r="AN547" s="422"/>
      <c r="AO547" s="422"/>
      <c r="AP547" s="422"/>
      <c r="AQ547" s="422"/>
      <c r="AR547" s="422"/>
      <c r="AS547" s="422"/>
      <c r="AT547" s="422"/>
      <c r="AU547" s="422"/>
      <c r="AV547" s="422"/>
      <c r="AW547" s="422"/>
      <c r="AX547" s="422"/>
      <c r="AY547" s="422"/>
    </row>
    <row r="548" spans="1:51" x14ac:dyDescent="0.25">
      <c r="A548" s="3"/>
      <c r="B548" s="3"/>
      <c r="C548" s="3"/>
      <c r="D548" s="3"/>
      <c r="E548" s="3"/>
      <c r="F548" s="3"/>
      <c r="G548" s="3"/>
      <c r="H548" s="3"/>
      <c r="I548" s="3"/>
      <c r="J548" s="13"/>
      <c r="K548" s="13"/>
      <c r="L548" s="13"/>
      <c r="M548" s="13"/>
      <c r="N548" s="13"/>
      <c r="O548" s="13"/>
      <c r="P548" s="13"/>
      <c r="Q548" s="13"/>
      <c r="R548" s="13"/>
      <c r="S548" s="421"/>
      <c r="T548" s="421"/>
      <c r="U548" s="421"/>
      <c r="V548" s="421"/>
      <c r="W548" s="421"/>
      <c r="X548" s="421"/>
      <c r="Y548" s="421"/>
      <c r="Z548" s="421"/>
      <c r="AA548" s="421"/>
      <c r="AB548" s="421"/>
      <c r="AC548" s="421"/>
      <c r="AD548" s="421"/>
      <c r="AE548" s="421"/>
      <c r="AF548" s="421"/>
      <c r="AG548" s="421"/>
      <c r="AH548" s="421"/>
      <c r="AI548" s="421"/>
      <c r="AJ548" s="421"/>
      <c r="AK548" s="421"/>
      <c r="AL548" s="421"/>
      <c r="AM548" s="422"/>
      <c r="AN548" s="422"/>
      <c r="AO548" s="422"/>
      <c r="AP548" s="422"/>
      <c r="AQ548" s="422"/>
      <c r="AR548" s="422"/>
      <c r="AS548" s="422"/>
      <c r="AT548" s="422"/>
      <c r="AU548" s="422"/>
      <c r="AV548" s="422"/>
      <c r="AW548" s="422"/>
      <c r="AX548" s="422"/>
      <c r="AY548" s="422"/>
    </row>
    <row r="549" spans="1:51" x14ac:dyDescent="0.25">
      <c r="A549" s="3"/>
      <c r="B549" s="3"/>
      <c r="C549" s="3"/>
      <c r="D549" s="3"/>
      <c r="E549" s="3"/>
      <c r="F549" s="3"/>
      <c r="G549" s="3"/>
      <c r="H549" s="3"/>
      <c r="I549" s="3"/>
      <c r="J549" s="13"/>
      <c r="K549" s="13"/>
      <c r="L549" s="13"/>
      <c r="M549" s="13"/>
      <c r="N549" s="13"/>
      <c r="O549" s="13"/>
      <c r="P549" s="13"/>
      <c r="Q549" s="13"/>
      <c r="R549" s="13"/>
      <c r="S549" s="421"/>
      <c r="T549" s="421"/>
      <c r="U549" s="421"/>
      <c r="V549" s="421"/>
      <c r="W549" s="421"/>
      <c r="X549" s="421"/>
      <c r="Y549" s="421"/>
      <c r="Z549" s="421"/>
      <c r="AA549" s="421"/>
      <c r="AB549" s="421"/>
      <c r="AC549" s="421"/>
      <c r="AD549" s="421"/>
      <c r="AE549" s="421"/>
      <c r="AF549" s="421"/>
      <c r="AG549" s="421"/>
      <c r="AH549" s="421"/>
      <c r="AI549" s="421"/>
      <c r="AJ549" s="421"/>
      <c r="AK549" s="421"/>
      <c r="AL549" s="421"/>
      <c r="AM549" s="422"/>
      <c r="AN549" s="422"/>
      <c r="AO549" s="422"/>
      <c r="AP549" s="422"/>
      <c r="AQ549" s="422"/>
      <c r="AR549" s="422"/>
      <c r="AS549" s="422"/>
      <c r="AT549" s="422"/>
      <c r="AU549" s="422"/>
      <c r="AV549" s="422"/>
      <c r="AW549" s="422"/>
      <c r="AX549" s="422"/>
      <c r="AY549" s="422"/>
    </row>
    <row r="550" spans="1:51" x14ac:dyDescent="0.25">
      <c r="A550" s="3"/>
      <c r="B550" s="3"/>
      <c r="C550" s="3"/>
      <c r="D550" s="3"/>
      <c r="E550" s="3"/>
      <c r="F550" s="3"/>
      <c r="G550" s="3"/>
      <c r="H550" s="3"/>
      <c r="I550" s="3"/>
      <c r="J550" s="13"/>
      <c r="K550" s="13"/>
      <c r="L550" s="13"/>
      <c r="M550" s="13"/>
      <c r="N550" s="13"/>
      <c r="O550" s="13"/>
      <c r="P550" s="13"/>
      <c r="Q550" s="13"/>
      <c r="R550" s="13"/>
      <c r="S550" s="421"/>
      <c r="T550" s="421"/>
      <c r="U550" s="421"/>
      <c r="V550" s="421"/>
      <c r="W550" s="421"/>
      <c r="X550" s="421"/>
      <c r="Y550" s="421"/>
      <c r="Z550" s="421"/>
      <c r="AA550" s="421"/>
      <c r="AB550" s="421"/>
      <c r="AC550" s="421"/>
      <c r="AD550" s="421"/>
      <c r="AE550" s="421"/>
      <c r="AF550" s="421"/>
      <c r="AG550" s="421"/>
      <c r="AH550" s="421"/>
      <c r="AI550" s="421"/>
      <c r="AJ550" s="421"/>
      <c r="AK550" s="421"/>
      <c r="AL550" s="421"/>
      <c r="AM550" s="422"/>
      <c r="AN550" s="422"/>
      <c r="AO550" s="422"/>
      <c r="AP550" s="422"/>
      <c r="AQ550" s="422"/>
      <c r="AR550" s="422"/>
      <c r="AS550" s="422"/>
      <c r="AT550" s="422"/>
      <c r="AU550" s="422"/>
      <c r="AV550" s="422"/>
      <c r="AW550" s="422"/>
      <c r="AX550" s="422"/>
      <c r="AY550" s="422"/>
    </row>
    <row r="551" spans="1:51" x14ac:dyDescent="0.25">
      <c r="A551" s="3"/>
      <c r="B551" s="3"/>
      <c r="C551" s="3"/>
      <c r="D551" s="3"/>
      <c r="E551" s="3"/>
      <c r="F551" s="3"/>
      <c r="G551" s="3"/>
      <c r="H551" s="3"/>
      <c r="I551" s="3"/>
      <c r="J551" s="13"/>
      <c r="K551" s="13"/>
      <c r="L551" s="13"/>
      <c r="M551" s="13"/>
      <c r="N551" s="13"/>
      <c r="O551" s="13"/>
      <c r="P551" s="13"/>
      <c r="Q551" s="13"/>
      <c r="R551" s="13"/>
      <c r="S551" s="421"/>
      <c r="T551" s="421"/>
      <c r="U551" s="421"/>
      <c r="V551" s="421"/>
      <c r="W551" s="421"/>
      <c r="X551" s="421"/>
      <c r="Y551" s="421"/>
      <c r="Z551" s="421"/>
      <c r="AA551" s="421"/>
      <c r="AB551" s="421"/>
      <c r="AC551" s="421"/>
      <c r="AD551" s="421"/>
      <c r="AE551" s="421"/>
      <c r="AF551" s="421"/>
      <c r="AG551" s="421"/>
      <c r="AH551" s="421"/>
      <c r="AI551" s="421"/>
      <c r="AJ551" s="421"/>
      <c r="AK551" s="421"/>
      <c r="AL551" s="421"/>
      <c r="AM551" s="422"/>
      <c r="AN551" s="422"/>
      <c r="AO551" s="422"/>
      <c r="AP551" s="422"/>
      <c r="AQ551" s="422"/>
      <c r="AR551" s="422"/>
      <c r="AS551" s="422"/>
      <c r="AT551" s="422"/>
      <c r="AU551" s="422"/>
      <c r="AV551" s="422"/>
      <c r="AW551" s="422"/>
      <c r="AX551" s="422"/>
      <c r="AY551" s="422"/>
    </row>
    <row r="552" spans="1:51" x14ac:dyDescent="0.25">
      <c r="A552" s="3"/>
      <c r="B552" s="3"/>
      <c r="C552" s="3"/>
      <c r="D552" s="3"/>
      <c r="E552" s="3"/>
      <c r="F552" s="3"/>
      <c r="G552" s="3"/>
      <c r="H552" s="3"/>
      <c r="I552" s="3"/>
      <c r="J552" s="13"/>
      <c r="K552" s="13"/>
      <c r="L552" s="13"/>
      <c r="M552" s="13"/>
      <c r="N552" s="13"/>
      <c r="O552" s="13"/>
      <c r="P552" s="13"/>
      <c r="Q552" s="13"/>
      <c r="R552" s="13"/>
      <c r="S552" s="421"/>
      <c r="T552" s="421"/>
      <c r="U552" s="421"/>
      <c r="V552" s="421"/>
      <c r="W552" s="421"/>
      <c r="X552" s="421"/>
      <c r="Y552" s="421"/>
      <c r="Z552" s="421"/>
      <c r="AA552" s="421"/>
      <c r="AB552" s="421"/>
      <c r="AC552" s="421"/>
      <c r="AD552" s="421"/>
      <c r="AE552" s="421"/>
      <c r="AF552" s="421"/>
      <c r="AG552" s="421"/>
      <c r="AH552" s="421"/>
      <c r="AI552" s="421"/>
      <c r="AJ552" s="421"/>
      <c r="AK552" s="421"/>
      <c r="AL552" s="421"/>
      <c r="AM552" s="422"/>
      <c r="AN552" s="422"/>
      <c r="AO552" s="422"/>
      <c r="AP552" s="422"/>
      <c r="AQ552" s="422"/>
      <c r="AR552" s="422"/>
      <c r="AS552" s="422"/>
      <c r="AT552" s="422"/>
      <c r="AU552" s="422"/>
      <c r="AV552" s="422"/>
      <c r="AW552" s="422"/>
      <c r="AX552" s="422"/>
      <c r="AY552" s="422"/>
    </row>
    <row r="553" spans="1:51" x14ac:dyDescent="0.25">
      <c r="A553" s="3"/>
      <c r="B553" s="3"/>
      <c r="C553" s="3"/>
      <c r="D553" s="3"/>
      <c r="E553" s="3"/>
      <c r="F553" s="3"/>
      <c r="G553" s="3"/>
      <c r="H553" s="3"/>
      <c r="I553" s="3"/>
      <c r="J553" s="13"/>
      <c r="K553" s="13"/>
      <c r="L553" s="13"/>
      <c r="M553" s="13"/>
      <c r="N553" s="13"/>
      <c r="O553" s="13"/>
      <c r="P553" s="13"/>
      <c r="Q553" s="13"/>
      <c r="R553" s="13"/>
      <c r="S553" s="421"/>
      <c r="T553" s="421"/>
      <c r="U553" s="421"/>
      <c r="V553" s="421"/>
      <c r="W553" s="421"/>
      <c r="X553" s="421"/>
      <c r="Y553" s="421"/>
      <c r="Z553" s="421"/>
      <c r="AA553" s="421"/>
      <c r="AB553" s="421"/>
      <c r="AC553" s="421"/>
      <c r="AD553" s="421"/>
      <c r="AE553" s="421"/>
      <c r="AF553" s="421"/>
      <c r="AG553" s="421"/>
      <c r="AH553" s="421"/>
      <c r="AI553" s="421"/>
      <c r="AJ553" s="421"/>
      <c r="AK553" s="421"/>
      <c r="AL553" s="421"/>
      <c r="AM553" s="422"/>
      <c r="AN553" s="422"/>
      <c r="AO553" s="422"/>
      <c r="AP553" s="422"/>
      <c r="AQ553" s="422"/>
      <c r="AR553" s="422"/>
      <c r="AS553" s="422"/>
      <c r="AT553" s="422"/>
      <c r="AU553" s="422"/>
      <c r="AV553" s="422"/>
      <c r="AW553" s="422"/>
      <c r="AX553" s="422"/>
      <c r="AY553" s="422"/>
    </row>
    <row r="554" spans="1:51" x14ac:dyDescent="0.25">
      <c r="A554" s="3"/>
      <c r="B554" s="3"/>
      <c r="C554" s="3"/>
      <c r="D554" s="3"/>
      <c r="E554" s="3"/>
      <c r="F554" s="3"/>
      <c r="G554" s="3"/>
      <c r="H554" s="3"/>
      <c r="I554" s="3"/>
      <c r="J554" s="13"/>
      <c r="K554" s="13"/>
      <c r="L554" s="13"/>
      <c r="M554" s="13"/>
      <c r="N554" s="13"/>
      <c r="O554" s="13"/>
      <c r="P554" s="13"/>
      <c r="Q554" s="13"/>
      <c r="R554" s="13"/>
      <c r="S554" s="421"/>
      <c r="T554" s="421"/>
      <c r="U554" s="421"/>
      <c r="V554" s="421"/>
      <c r="W554" s="421"/>
      <c r="X554" s="421"/>
      <c r="Y554" s="421"/>
      <c r="Z554" s="421"/>
      <c r="AA554" s="421"/>
      <c r="AB554" s="421"/>
      <c r="AC554" s="421"/>
      <c r="AD554" s="421"/>
      <c r="AE554" s="421"/>
      <c r="AF554" s="421"/>
      <c r="AG554" s="421"/>
      <c r="AH554" s="421"/>
      <c r="AI554" s="421"/>
      <c r="AJ554" s="421"/>
      <c r="AK554" s="421"/>
      <c r="AL554" s="421"/>
      <c r="AM554" s="422"/>
      <c r="AN554" s="422"/>
      <c r="AO554" s="422"/>
      <c r="AP554" s="422"/>
      <c r="AQ554" s="422"/>
      <c r="AR554" s="422"/>
      <c r="AS554" s="422"/>
      <c r="AT554" s="422"/>
      <c r="AU554" s="422"/>
      <c r="AV554" s="422"/>
      <c r="AW554" s="422"/>
      <c r="AX554" s="422"/>
      <c r="AY554" s="422"/>
    </row>
    <row r="555" spans="1:51" x14ac:dyDescent="0.25">
      <c r="A555" s="3"/>
      <c r="B555" s="3"/>
      <c r="C555" s="3"/>
      <c r="D555" s="3"/>
      <c r="E555" s="3"/>
      <c r="F555" s="3"/>
      <c r="G555" s="3"/>
      <c r="H555" s="3"/>
      <c r="I555" s="3"/>
      <c r="J555" s="13"/>
      <c r="K555" s="13"/>
      <c r="L555" s="13"/>
      <c r="M555" s="13"/>
      <c r="N555" s="13"/>
      <c r="O555" s="13"/>
      <c r="P555" s="13"/>
      <c r="Q555" s="13"/>
      <c r="R555" s="13"/>
      <c r="S555" s="421"/>
      <c r="T555" s="421"/>
      <c r="U555" s="421"/>
      <c r="V555" s="421"/>
      <c r="W555" s="421"/>
      <c r="X555" s="421"/>
      <c r="Y555" s="421"/>
      <c r="Z555" s="421"/>
      <c r="AA555" s="421"/>
      <c r="AB555" s="421"/>
      <c r="AC555" s="421"/>
      <c r="AD555" s="421"/>
      <c r="AE555" s="421"/>
      <c r="AF555" s="421"/>
      <c r="AG555" s="421"/>
      <c r="AH555" s="421"/>
      <c r="AI555" s="421"/>
      <c r="AJ555" s="421"/>
      <c r="AK555" s="421"/>
      <c r="AL555" s="421"/>
      <c r="AM555" s="422"/>
      <c r="AN555" s="422"/>
      <c r="AO555" s="422"/>
      <c r="AP555" s="422"/>
      <c r="AQ555" s="422"/>
      <c r="AR555" s="422"/>
      <c r="AS555" s="422"/>
      <c r="AT555" s="422"/>
      <c r="AU555" s="422"/>
      <c r="AV555" s="422"/>
      <c r="AW555" s="422"/>
      <c r="AX555" s="422"/>
      <c r="AY555" s="422"/>
    </row>
    <row r="556" spans="1:51" x14ac:dyDescent="0.25">
      <c r="A556" s="3"/>
      <c r="B556" s="3"/>
      <c r="C556" s="3"/>
      <c r="D556" s="3"/>
      <c r="E556" s="3"/>
      <c r="F556" s="3"/>
      <c r="G556" s="3"/>
      <c r="H556" s="3"/>
      <c r="I556" s="3"/>
      <c r="J556" s="13"/>
      <c r="K556" s="13"/>
      <c r="L556" s="13"/>
      <c r="M556" s="13"/>
      <c r="N556" s="13"/>
      <c r="O556" s="13"/>
      <c r="P556" s="13"/>
      <c r="Q556" s="13"/>
      <c r="R556" s="13"/>
      <c r="S556" s="421"/>
      <c r="T556" s="421"/>
      <c r="U556" s="421"/>
      <c r="V556" s="421"/>
      <c r="W556" s="421"/>
      <c r="X556" s="421"/>
      <c r="Y556" s="421"/>
      <c r="Z556" s="421"/>
      <c r="AA556" s="421"/>
      <c r="AB556" s="421"/>
      <c r="AC556" s="421"/>
      <c r="AD556" s="421"/>
      <c r="AE556" s="421"/>
      <c r="AF556" s="421"/>
      <c r="AG556" s="421"/>
      <c r="AH556" s="421"/>
      <c r="AI556" s="421"/>
      <c r="AJ556" s="421"/>
      <c r="AK556" s="421"/>
      <c r="AL556" s="421"/>
      <c r="AM556" s="422"/>
      <c r="AN556" s="422"/>
      <c r="AO556" s="422"/>
      <c r="AP556" s="422"/>
      <c r="AQ556" s="422"/>
      <c r="AR556" s="422"/>
      <c r="AS556" s="422"/>
      <c r="AT556" s="422"/>
      <c r="AU556" s="422"/>
      <c r="AV556" s="422"/>
      <c r="AW556" s="422"/>
      <c r="AX556" s="422"/>
      <c r="AY556" s="422"/>
    </row>
    <row r="557" spans="1:51" x14ac:dyDescent="0.25">
      <c r="A557" s="3"/>
      <c r="B557" s="3"/>
      <c r="C557" s="3"/>
      <c r="D557" s="3"/>
      <c r="E557" s="3"/>
      <c r="F557" s="3"/>
      <c r="G557" s="3"/>
      <c r="H557" s="3"/>
      <c r="I557" s="3"/>
      <c r="J557" s="13"/>
      <c r="K557" s="13"/>
      <c r="L557" s="13"/>
      <c r="M557" s="13"/>
      <c r="N557" s="13"/>
      <c r="O557" s="13"/>
      <c r="P557" s="13"/>
      <c r="Q557" s="13"/>
      <c r="R557" s="13"/>
      <c r="S557" s="421"/>
      <c r="T557" s="421"/>
      <c r="U557" s="421"/>
      <c r="V557" s="421"/>
      <c r="W557" s="421"/>
      <c r="X557" s="421"/>
      <c r="Y557" s="421"/>
      <c r="Z557" s="421"/>
      <c r="AA557" s="421"/>
      <c r="AB557" s="421"/>
      <c r="AC557" s="421"/>
      <c r="AD557" s="421"/>
      <c r="AE557" s="421"/>
      <c r="AF557" s="421"/>
      <c r="AG557" s="421"/>
      <c r="AH557" s="421"/>
      <c r="AI557" s="421"/>
      <c r="AJ557" s="421"/>
      <c r="AK557" s="421"/>
      <c r="AL557" s="421"/>
      <c r="AM557" s="422"/>
      <c r="AN557" s="422"/>
      <c r="AO557" s="422"/>
      <c r="AP557" s="422"/>
      <c r="AQ557" s="422"/>
      <c r="AR557" s="422"/>
      <c r="AS557" s="422"/>
      <c r="AT557" s="422"/>
      <c r="AU557" s="422"/>
      <c r="AV557" s="422"/>
      <c r="AW557" s="422"/>
      <c r="AX557" s="422"/>
      <c r="AY557" s="422"/>
    </row>
    <row r="558" spans="1:51" x14ac:dyDescent="0.25">
      <c r="A558" s="3"/>
      <c r="B558" s="3"/>
      <c r="C558" s="3"/>
      <c r="D558" s="3"/>
      <c r="E558" s="3"/>
      <c r="F558" s="3"/>
      <c r="G558" s="3"/>
      <c r="H558" s="3"/>
      <c r="I558" s="3"/>
      <c r="J558" s="13"/>
      <c r="K558" s="13"/>
      <c r="L558" s="13"/>
      <c r="M558" s="13"/>
      <c r="N558" s="13"/>
      <c r="O558" s="13"/>
      <c r="P558" s="13"/>
      <c r="Q558" s="13"/>
      <c r="R558" s="13"/>
      <c r="S558" s="421"/>
      <c r="T558" s="421"/>
      <c r="U558" s="421"/>
      <c r="V558" s="421"/>
      <c r="W558" s="421"/>
      <c r="X558" s="421"/>
      <c r="Y558" s="421"/>
      <c r="Z558" s="421"/>
      <c r="AA558" s="421"/>
      <c r="AB558" s="421"/>
      <c r="AC558" s="421"/>
      <c r="AD558" s="421"/>
      <c r="AE558" s="421"/>
      <c r="AF558" s="421"/>
      <c r="AG558" s="421"/>
      <c r="AH558" s="421"/>
      <c r="AI558" s="421"/>
      <c r="AJ558" s="421"/>
      <c r="AK558" s="421"/>
      <c r="AL558" s="421"/>
      <c r="AM558" s="422"/>
      <c r="AN558" s="422"/>
      <c r="AO558" s="422"/>
      <c r="AP558" s="422"/>
      <c r="AQ558" s="422"/>
      <c r="AR558" s="422"/>
      <c r="AS558" s="422"/>
      <c r="AT558" s="422"/>
      <c r="AU558" s="422"/>
      <c r="AV558" s="422"/>
      <c r="AW558" s="422"/>
      <c r="AX558" s="422"/>
      <c r="AY558" s="422"/>
    </row>
    <row r="559" spans="1:51" x14ac:dyDescent="0.25">
      <c r="A559" s="3"/>
      <c r="B559" s="3"/>
      <c r="C559" s="3"/>
      <c r="D559" s="3"/>
      <c r="E559" s="3"/>
      <c r="F559" s="3"/>
      <c r="G559" s="3"/>
      <c r="H559" s="3"/>
      <c r="I559" s="3"/>
      <c r="J559" s="13"/>
      <c r="K559" s="13"/>
      <c r="L559" s="13"/>
      <c r="M559" s="13"/>
      <c r="N559" s="13"/>
      <c r="O559" s="13"/>
      <c r="P559" s="13"/>
      <c r="Q559" s="13"/>
      <c r="R559" s="13"/>
      <c r="S559" s="421"/>
      <c r="T559" s="421"/>
      <c r="U559" s="421"/>
      <c r="V559" s="421"/>
      <c r="W559" s="421"/>
      <c r="X559" s="421"/>
      <c r="Y559" s="421"/>
      <c r="Z559" s="421"/>
      <c r="AA559" s="421"/>
      <c r="AB559" s="421"/>
      <c r="AC559" s="421"/>
      <c r="AD559" s="421"/>
      <c r="AE559" s="421"/>
      <c r="AF559" s="421"/>
      <c r="AG559" s="421"/>
      <c r="AH559" s="421"/>
      <c r="AI559" s="421"/>
      <c r="AJ559" s="421"/>
      <c r="AK559" s="421"/>
      <c r="AL559" s="421"/>
      <c r="AM559" s="422"/>
      <c r="AN559" s="422"/>
      <c r="AO559" s="422"/>
      <c r="AP559" s="422"/>
      <c r="AQ559" s="422"/>
      <c r="AR559" s="422"/>
      <c r="AS559" s="422"/>
      <c r="AT559" s="422"/>
      <c r="AU559" s="422"/>
      <c r="AV559" s="422"/>
      <c r="AW559" s="422"/>
      <c r="AX559" s="422"/>
      <c r="AY559" s="422"/>
    </row>
    <row r="560" spans="1:51" x14ac:dyDescent="0.25">
      <c r="A560" s="3"/>
      <c r="B560" s="3"/>
      <c r="C560" s="3"/>
      <c r="D560" s="3"/>
      <c r="E560" s="3"/>
      <c r="F560" s="3"/>
      <c r="G560" s="3"/>
      <c r="H560" s="3"/>
      <c r="I560" s="3"/>
      <c r="J560" s="13"/>
      <c r="K560" s="13"/>
      <c r="L560" s="13"/>
      <c r="M560" s="13"/>
      <c r="N560" s="13"/>
      <c r="O560" s="13"/>
      <c r="P560" s="13"/>
      <c r="Q560" s="13"/>
      <c r="R560" s="13"/>
      <c r="S560" s="421"/>
      <c r="T560" s="421"/>
      <c r="U560" s="421"/>
      <c r="V560" s="421"/>
      <c r="W560" s="421"/>
      <c r="X560" s="421"/>
      <c r="Y560" s="421"/>
      <c r="Z560" s="421"/>
      <c r="AA560" s="421"/>
      <c r="AB560" s="421"/>
      <c r="AC560" s="421"/>
      <c r="AD560" s="421"/>
      <c r="AE560" s="421"/>
      <c r="AF560" s="421"/>
      <c r="AG560" s="421"/>
      <c r="AH560" s="421"/>
      <c r="AI560" s="421"/>
      <c r="AJ560" s="421"/>
      <c r="AK560" s="421"/>
      <c r="AL560" s="421"/>
      <c r="AM560" s="422"/>
      <c r="AN560" s="422"/>
      <c r="AO560" s="422"/>
      <c r="AP560" s="422"/>
      <c r="AQ560" s="422"/>
      <c r="AR560" s="422"/>
      <c r="AS560" s="422"/>
      <c r="AT560" s="422"/>
      <c r="AU560" s="422"/>
      <c r="AV560" s="422"/>
      <c r="AW560" s="422"/>
      <c r="AX560" s="422"/>
      <c r="AY560" s="422"/>
    </row>
    <row r="561" spans="1:51" x14ac:dyDescent="0.25">
      <c r="A561" s="3"/>
      <c r="B561" s="3"/>
      <c r="C561" s="3"/>
      <c r="D561" s="3"/>
      <c r="E561" s="3"/>
      <c r="F561" s="3"/>
      <c r="G561" s="3"/>
      <c r="H561" s="3"/>
      <c r="I561" s="3"/>
      <c r="J561" s="13"/>
      <c r="K561" s="13"/>
      <c r="L561" s="13"/>
      <c r="M561" s="13"/>
      <c r="N561" s="13"/>
      <c r="O561" s="13"/>
      <c r="P561" s="13"/>
      <c r="Q561" s="13"/>
      <c r="R561" s="13"/>
      <c r="S561" s="421"/>
      <c r="T561" s="421"/>
      <c r="U561" s="421"/>
      <c r="V561" s="421"/>
      <c r="W561" s="421"/>
      <c r="X561" s="421"/>
      <c r="Y561" s="421"/>
      <c r="Z561" s="421"/>
      <c r="AA561" s="421"/>
      <c r="AB561" s="421"/>
      <c r="AC561" s="421"/>
      <c r="AD561" s="421"/>
      <c r="AE561" s="421"/>
      <c r="AF561" s="421"/>
      <c r="AG561" s="421"/>
      <c r="AH561" s="421"/>
      <c r="AI561" s="421"/>
      <c r="AJ561" s="421"/>
      <c r="AK561" s="421"/>
      <c r="AL561" s="421"/>
      <c r="AM561" s="422"/>
      <c r="AN561" s="422"/>
      <c r="AO561" s="422"/>
      <c r="AP561" s="422"/>
      <c r="AQ561" s="422"/>
      <c r="AR561" s="422"/>
      <c r="AS561" s="422"/>
      <c r="AT561" s="422"/>
      <c r="AU561" s="422"/>
      <c r="AV561" s="422"/>
      <c r="AW561" s="422"/>
      <c r="AX561" s="422"/>
      <c r="AY561" s="422"/>
    </row>
    <row r="562" spans="1:51" x14ac:dyDescent="0.25">
      <c r="A562" s="3"/>
      <c r="B562" s="3"/>
      <c r="C562" s="3"/>
      <c r="D562" s="3"/>
      <c r="E562" s="3"/>
      <c r="F562" s="3"/>
      <c r="G562" s="3"/>
      <c r="H562" s="3"/>
      <c r="I562" s="3"/>
      <c r="J562" s="13"/>
      <c r="K562" s="13"/>
      <c r="L562" s="13"/>
      <c r="M562" s="13"/>
      <c r="N562" s="13"/>
      <c r="O562" s="13"/>
      <c r="P562" s="13"/>
      <c r="Q562" s="13"/>
      <c r="R562" s="13"/>
      <c r="S562" s="421"/>
      <c r="T562" s="421"/>
      <c r="U562" s="421"/>
      <c r="V562" s="421"/>
      <c r="W562" s="421"/>
      <c r="X562" s="421"/>
      <c r="Y562" s="421"/>
      <c r="Z562" s="421"/>
      <c r="AA562" s="421"/>
      <c r="AB562" s="421"/>
      <c r="AC562" s="421"/>
      <c r="AD562" s="421"/>
      <c r="AE562" s="421"/>
      <c r="AF562" s="421"/>
      <c r="AG562" s="421"/>
      <c r="AH562" s="421"/>
      <c r="AI562" s="421"/>
      <c r="AJ562" s="421"/>
      <c r="AK562" s="421"/>
      <c r="AL562" s="421"/>
      <c r="AM562" s="422"/>
      <c r="AN562" s="422"/>
      <c r="AO562" s="422"/>
      <c r="AP562" s="422"/>
      <c r="AQ562" s="422"/>
      <c r="AR562" s="422"/>
      <c r="AS562" s="422"/>
      <c r="AT562" s="422"/>
      <c r="AU562" s="422"/>
      <c r="AV562" s="422"/>
      <c r="AW562" s="422"/>
      <c r="AX562" s="422"/>
      <c r="AY562" s="422"/>
    </row>
    <row r="563" spans="1:51" x14ac:dyDescent="0.25">
      <c r="A563" s="3"/>
      <c r="B563" s="3"/>
      <c r="C563" s="3"/>
      <c r="D563" s="3"/>
      <c r="E563" s="3"/>
      <c r="F563" s="3"/>
      <c r="G563" s="3"/>
      <c r="H563" s="3"/>
      <c r="I563" s="3"/>
      <c r="J563" s="13"/>
      <c r="K563" s="13"/>
      <c r="L563" s="13"/>
      <c r="M563" s="13"/>
      <c r="N563" s="13"/>
      <c r="O563" s="13"/>
      <c r="P563" s="13"/>
      <c r="Q563" s="13"/>
      <c r="R563" s="13"/>
      <c r="S563" s="421"/>
      <c r="T563" s="421"/>
      <c r="U563" s="421"/>
      <c r="V563" s="421"/>
      <c r="W563" s="421"/>
      <c r="X563" s="421"/>
      <c r="Y563" s="421"/>
      <c r="Z563" s="421"/>
      <c r="AA563" s="421"/>
      <c r="AB563" s="421"/>
      <c r="AC563" s="421"/>
      <c r="AD563" s="421"/>
      <c r="AE563" s="421"/>
      <c r="AF563" s="421"/>
      <c r="AG563" s="421"/>
      <c r="AH563" s="421"/>
      <c r="AI563" s="421"/>
      <c r="AJ563" s="421"/>
      <c r="AK563" s="421"/>
      <c r="AL563" s="421"/>
      <c r="AM563" s="422"/>
      <c r="AN563" s="422"/>
      <c r="AO563" s="422"/>
      <c r="AP563" s="422"/>
      <c r="AQ563" s="422"/>
      <c r="AR563" s="422"/>
      <c r="AS563" s="422"/>
      <c r="AT563" s="422"/>
      <c r="AU563" s="422"/>
      <c r="AV563" s="422"/>
      <c r="AW563" s="422"/>
      <c r="AX563" s="422"/>
      <c r="AY563" s="422"/>
    </row>
    <row r="564" spans="1:51" x14ac:dyDescent="0.25">
      <c r="A564" s="3"/>
      <c r="B564" s="3"/>
      <c r="C564" s="3"/>
      <c r="D564" s="3"/>
      <c r="E564" s="3"/>
      <c r="F564" s="3"/>
      <c r="G564" s="3"/>
      <c r="H564" s="3"/>
      <c r="I564" s="3"/>
      <c r="J564" s="13"/>
      <c r="K564" s="13"/>
      <c r="L564" s="13"/>
      <c r="M564" s="13"/>
      <c r="N564" s="13"/>
      <c r="O564" s="13"/>
      <c r="P564" s="13"/>
      <c r="Q564" s="13"/>
      <c r="R564" s="13"/>
      <c r="S564" s="421"/>
      <c r="T564" s="421"/>
      <c r="U564" s="421"/>
      <c r="V564" s="421"/>
      <c r="W564" s="421"/>
      <c r="X564" s="421"/>
      <c r="Y564" s="421"/>
      <c r="Z564" s="421"/>
      <c r="AA564" s="421"/>
      <c r="AB564" s="421"/>
      <c r="AC564" s="421"/>
      <c r="AD564" s="421"/>
      <c r="AE564" s="421"/>
      <c r="AF564" s="421"/>
      <c r="AG564" s="421"/>
      <c r="AH564" s="421"/>
      <c r="AI564" s="421"/>
      <c r="AJ564" s="421"/>
      <c r="AK564" s="421"/>
      <c r="AL564" s="421"/>
      <c r="AM564" s="422"/>
      <c r="AN564" s="422"/>
      <c r="AO564" s="422"/>
      <c r="AP564" s="422"/>
      <c r="AQ564" s="422"/>
      <c r="AR564" s="422"/>
      <c r="AS564" s="422"/>
      <c r="AT564" s="422"/>
      <c r="AU564" s="422"/>
      <c r="AV564" s="422"/>
      <c r="AW564" s="422"/>
      <c r="AX564" s="422"/>
      <c r="AY564" s="422"/>
    </row>
    <row r="565" spans="1:51" x14ac:dyDescent="0.25">
      <c r="A565" s="3"/>
      <c r="B565" s="3"/>
      <c r="C565" s="3"/>
      <c r="D565" s="3"/>
      <c r="E565" s="3"/>
      <c r="F565" s="3"/>
      <c r="G565" s="3"/>
      <c r="H565" s="3"/>
      <c r="I565" s="3"/>
      <c r="J565" s="13"/>
      <c r="K565" s="13"/>
      <c r="L565" s="13"/>
      <c r="M565" s="13"/>
      <c r="N565" s="13"/>
      <c r="O565" s="13"/>
      <c r="P565" s="13"/>
      <c r="Q565" s="13"/>
      <c r="R565" s="13"/>
      <c r="S565" s="421"/>
      <c r="T565" s="421"/>
      <c r="U565" s="421"/>
      <c r="V565" s="421"/>
      <c r="W565" s="421"/>
      <c r="X565" s="421"/>
      <c r="Y565" s="421"/>
      <c r="Z565" s="421"/>
      <c r="AA565" s="421"/>
      <c r="AB565" s="421"/>
      <c r="AC565" s="421"/>
      <c r="AD565" s="421"/>
      <c r="AE565" s="421"/>
      <c r="AF565" s="421"/>
      <c r="AG565" s="421"/>
      <c r="AH565" s="421"/>
      <c r="AI565" s="421"/>
      <c r="AJ565" s="421"/>
      <c r="AK565" s="421"/>
      <c r="AL565" s="421"/>
      <c r="AM565" s="422"/>
      <c r="AN565" s="422"/>
      <c r="AO565" s="422"/>
      <c r="AP565" s="422"/>
      <c r="AQ565" s="422"/>
      <c r="AR565" s="422"/>
      <c r="AS565" s="422"/>
      <c r="AT565" s="422"/>
      <c r="AU565" s="422"/>
      <c r="AV565" s="422"/>
      <c r="AW565" s="422"/>
      <c r="AX565" s="422"/>
      <c r="AY565" s="422"/>
    </row>
    <row r="566" spans="1:51" x14ac:dyDescent="0.25">
      <c r="A566" s="3"/>
      <c r="B566" s="3"/>
      <c r="C566" s="3"/>
      <c r="D566" s="3"/>
      <c r="E566" s="3"/>
      <c r="F566" s="3"/>
      <c r="G566" s="3"/>
      <c r="H566" s="3"/>
      <c r="I566" s="3"/>
      <c r="J566" s="13"/>
      <c r="K566" s="13"/>
      <c r="L566" s="13"/>
      <c r="M566" s="13"/>
      <c r="N566" s="13"/>
      <c r="O566" s="13"/>
      <c r="P566" s="13"/>
      <c r="Q566" s="13"/>
      <c r="R566" s="13"/>
      <c r="S566" s="421"/>
      <c r="T566" s="421"/>
      <c r="U566" s="421"/>
      <c r="V566" s="421"/>
      <c r="W566" s="421"/>
      <c r="X566" s="421"/>
      <c r="Y566" s="421"/>
      <c r="Z566" s="421"/>
      <c r="AA566" s="421"/>
      <c r="AB566" s="421"/>
      <c r="AC566" s="421"/>
      <c r="AD566" s="421"/>
      <c r="AE566" s="421"/>
      <c r="AF566" s="421"/>
      <c r="AG566" s="421"/>
      <c r="AH566" s="421"/>
      <c r="AI566" s="421"/>
      <c r="AJ566" s="421"/>
      <c r="AK566" s="421"/>
      <c r="AL566" s="421"/>
      <c r="AM566" s="422"/>
      <c r="AN566" s="422"/>
      <c r="AO566" s="422"/>
      <c r="AP566" s="422"/>
      <c r="AQ566" s="422"/>
      <c r="AR566" s="422"/>
      <c r="AS566" s="422"/>
      <c r="AT566" s="422"/>
      <c r="AU566" s="422"/>
      <c r="AV566" s="422"/>
      <c r="AW566" s="422"/>
      <c r="AX566" s="422"/>
      <c r="AY566" s="422"/>
    </row>
    <row r="567" spans="1:51" x14ac:dyDescent="0.25">
      <c r="A567" s="3"/>
      <c r="B567" s="3"/>
      <c r="C567" s="3"/>
      <c r="D567" s="3"/>
      <c r="E567" s="3"/>
      <c r="F567" s="3"/>
      <c r="G567" s="3"/>
      <c r="H567" s="3"/>
      <c r="I567" s="3"/>
      <c r="J567" s="13"/>
      <c r="K567" s="13"/>
      <c r="L567" s="13"/>
      <c r="M567" s="13"/>
      <c r="N567" s="13"/>
      <c r="O567" s="13"/>
      <c r="P567" s="13"/>
      <c r="Q567" s="13"/>
      <c r="R567" s="13"/>
      <c r="S567" s="421"/>
      <c r="T567" s="421"/>
      <c r="U567" s="421"/>
      <c r="V567" s="421"/>
      <c r="W567" s="421"/>
      <c r="X567" s="421"/>
      <c r="Y567" s="421"/>
      <c r="Z567" s="421"/>
      <c r="AA567" s="421"/>
      <c r="AB567" s="421"/>
      <c r="AC567" s="421"/>
      <c r="AD567" s="421"/>
      <c r="AE567" s="421"/>
      <c r="AF567" s="421"/>
      <c r="AG567" s="421"/>
      <c r="AH567" s="421"/>
      <c r="AI567" s="421"/>
      <c r="AJ567" s="421"/>
      <c r="AK567" s="421"/>
      <c r="AL567" s="421"/>
      <c r="AM567" s="422"/>
      <c r="AN567" s="422"/>
      <c r="AO567" s="422"/>
      <c r="AP567" s="422"/>
      <c r="AQ567" s="422"/>
      <c r="AR567" s="422"/>
      <c r="AS567" s="422"/>
      <c r="AT567" s="422"/>
      <c r="AU567" s="422"/>
      <c r="AV567" s="422"/>
      <c r="AW567" s="422"/>
      <c r="AX567" s="422"/>
      <c r="AY567" s="422"/>
    </row>
    <row r="568" spans="1:51" x14ac:dyDescent="0.25">
      <c r="A568" s="3"/>
      <c r="B568" s="3"/>
      <c r="C568" s="3"/>
      <c r="D568" s="3"/>
      <c r="E568" s="3"/>
      <c r="F568" s="3"/>
      <c r="G568" s="3"/>
      <c r="H568" s="3"/>
      <c r="I568" s="3"/>
      <c r="J568" s="13"/>
      <c r="K568" s="13"/>
      <c r="L568" s="13"/>
      <c r="M568" s="13"/>
      <c r="N568" s="13"/>
      <c r="O568" s="13"/>
      <c r="P568" s="13"/>
      <c r="Q568" s="13"/>
      <c r="R568" s="13"/>
      <c r="S568" s="421"/>
      <c r="T568" s="421"/>
      <c r="U568" s="421"/>
      <c r="V568" s="421"/>
      <c r="W568" s="421"/>
      <c r="X568" s="421"/>
      <c r="Y568" s="421"/>
      <c r="Z568" s="421"/>
      <c r="AA568" s="421"/>
      <c r="AB568" s="421"/>
      <c r="AC568" s="421"/>
      <c r="AD568" s="421"/>
      <c r="AE568" s="421"/>
      <c r="AF568" s="421"/>
      <c r="AG568" s="421"/>
      <c r="AH568" s="421"/>
      <c r="AI568" s="421"/>
      <c r="AJ568" s="421"/>
      <c r="AK568" s="421"/>
      <c r="AL568" s="421"/>
      <c r="AM568" s="422"/>
      <c r="AN568" s="422"/>
      <c r="AO568" s="422"/>
      <c r="AP568" s="422"/>
      <c r="AQ568" s="422"/>
      <c r="AR568" s="422"/>
      <c r="AS568" s="422"/>
      <c r="AT568" s="422"/>
      <c r="AU568" s="422"/>
      <c r="AV568" s="422"/>
      <c r="AW568" s="422"/>
      <c r="AX568" s="422"/>
      <c r="AY568" s="422"/>
    </row>
    <row r="569" spans="1:51" x14ac:dyDescent="0.25">
      <c r="A569" s="3"/>
      <c r="B569" s="3"/>
      <c r="C569" s="3"/>
      <c r="D569" s="3"/>
      <c r="E569" s="3"/>
      <c r="F569" s="3"/>
      <c r="G569" s="3"/>
      <c r="H569" s="3"/>
      <c r="I569" s="3"/>
      <c r="J569" s="13"/>
      <c r="K569" s="13"/>
      <c r="L569" s="13"/>
      <c r="M569" s="13"/>
      <c r="N569" s="13"/>
      <c r="O569" s="13"/>
      <c r="P569" s="13"/>
      <c r="Q569" s="13"/>
      <c r="R569" s="13"/>
      <c r="S569" s="421"/>
      <c r="T569" s="421"/>
      <c r="U569" s="421"/>
      <c r="V569" s="421"/>
      <c r="W569" s="421"/>
      <c r="X569" s="421"/>
      <c r="Y569" s="421"/>
      <c r="Z569" s="421"/>
      <c r="AA569" s="421"/>
      <c r="AB569" s="421"/>
      <c r="AC569" s="421"/>
      <c r="AD569" s="421"/>
      <c r="AE569" s="421"/>
      <c r="AF569" s="421"/>
      <c r="AG569" s="421"/>
      <c r="AH569" s="421"/>
      <c r="AI569" s="421"/>
      <c r="AJ569" s="421"/>
      <c r="AK569" s="421"/>
      <c r="AL569" s="421"/>
      <c r="AM569" s="422"/>
      <c r="AN569" s="422"/>
      <c r="AO569" s="422"/>
      <c r="AP569" s="422"/>
      <c r="AQ569" s="422"/>
      <c r="AR569" s="422"/>
      <c r="AS569" s="422"/>
      <c r="AT569" s="422"/>
      <c r="AU569" s="422"/>
      <c r="AV569" s="422"/>
      <c r="AW569" s="422"/>
      <c r="AX569" s="422"/>
      <c r="AY569" s="422"/>
    </row>
    <row r="570" spans="1:51" x14ac:dyDescent="0.25">
      <c r="A570" s="3"/>
      <c r="B570" s="3"/>
      <c r="C570" s="3"/>
      <c r="D570" s="3"/>
      <c r="E570" s="3"/>
      <c r="F570" s="3"/>
      <c r="G570" s="3"/>
      <c r="H570" s="3"/>
      <c r="I570" s="3"/>
      <c r="J570" s="13"/>
      <c r="K570" s="13"/>
      <c r="L570" s="13"/>
      <c r="M570" s="13"/>
      <c r="N570" s="13"/>
      <c r="O570" s="13"/>
      <c r="P570" s="13"/>
      <c r="Q570" s="13"/>
      <c r="R570" s="13"/>
      <c r="S570" s="421"/>
      <c r="T570" s="421"/>
      <c r="U570" s="421"/>
      <c r="V570" s="421"/>
      <c r="W570" s="421"/>
      <c r="X570" s="421"/>
      <c r="Y570" s="421"/>
      <c r="Z570" s="421"/>
      <c r="AA570" s="421"/>
      <c r="AB570" s="421"/>
      <c r="AC570" s="421"/>
      <c r="AD570" s="421"/>
      <c r="AE570" s="421"/>
      <c r="AF570" s="421"/>
      <c r="AG570" s="421"/>
      <c r="AH570" s="421"/>
      <c r="AI570" s="421"/>
      <c r="AJ570" s="421"/>
      <c r="AK570" s="421"/>
      <c r="AL570" s="421"/>
      <c r="AM570" s="422"/>
      <c r="AN570" s="422"/>
      <c r="AO570" s="422"/>
      <c r="AP570" s="422"/>
      <c r="AQ570" s="422"/>
      <c r="AR570" s="422"/>
      <c r="AS570" s="422"/>
      <c r="AT570" s="422"/>
      <c r="AU570" s="422"/>
      <c r="AV570" s="422"/>
      <c r="AW570" s="422"/>
      <c r="AX570" s="422"/>
      <c r="AY570" s="422"/>
    </row>
    <row r="571" spans="1:51" x14ac:dyDescent="0.25">
      <c r="A571" s="3"/>
      <c r="B571" s="3"/>
      <c r="C571" s="3"/>
      <c r="D571" s="3"/>
      <c r="E571" s="3"/>
      <c r="F571" s="3"/>
      <c r="G571" s="3"/>
      <c r="H571" s="3"/>
      <c r="I571" s="3"/>
      <c r="J571" s="13"/>
      <c r="K571" s="13"/>
      <c r="L571" s="13"/>
      <c r="M571" s="13"/>
      <c r="N571" s="13"/>
      <c r="O571" s="13"/>
      <c r="P571" s="13"/>
      <c r="Q571" s="13"/>
      <c r="R571" s="13"/>
      <c r="S571" s="421"/>
      <c r="T571" s="421"/>
      <c r="U571" s="421"/>
      <c r="V571" s="421"/>
      <c r="W571" s="421"/>
      <c r="X571" s="421"/>
      <c r="Y571" s="421"/>
      <c r="Z571" s="421"/>
      <c r="AA571" s="421"/>
      <c r="AB571" s="421"/>
      <c r="AC571" s="421"/>
      <c r="AD571" s="421"/>
      <c r="AE571" s="421"/>
      <c r="AF571" s="421"/>
      <c r="AG571" s="421"/>
      <c r="AH571" s="421"/>
      <c r="AI571" s="421"/>
      <c r="AJ571" s="421"/>
      <c r="AK571" s="421"/>
      <c r="AL571" s="421"/>
      <c r="AM571" s="422"/>
      <c r="AN571" s="422"/>
      <c r="AO571" s="422"/>
      <c r="AP571" s="422"/>
      <c r="AQ571" s="422"/>
      <c r="AR571" s="422"/>
      <c r="AS571" s="422"/>
      <c r="AT571" s="422"/>
      <c r="AU571" s="422"/>
      <c r="AV571" s="422"/>
      <c r="AW571" s="422"/>
      <c r="AX571" s="422"/>
      <c r="AY571" s="422"/>
    </row>
    <row r="572" spans="1:51" x14ac:dyDescent="0.25">
      <c r="A572" s="3"/>
      <c r="B572" s="3"/>
      <c r="C572" s="3"/>
      <c r="D572" s="3"/>
      <c r="E572" s="3"/>
      <c r="F572" s="3"/>
      <c r="G572" s="3"/>
      <c r="H572" s="3"/>
      <c r="I572" s="3"/>
      <c r="J572" s="13"/>
      <c r="K572" s="13"/>
      <c r="L572" s="13"/>
      <c r="M572" s="13"/>
      <c r="N572" s="13"/>
      <c r="O572" s="13"/>
      <c r="P572" s="13"/>
      <c r="Q572" s="13"/>
      <c r="R572" s="13"/>
      <c r="S572" s="421"/>
      <c r="T572" s="421"/>
      <c r="U572" s="421"/>
      <c r="V572" s="421"/>
      <c r="W572" s="421"/>
      <c r="X572" s="421"/>
      <c r="Y572" s="421"/>
      <c r="Z572" s="421"/>
      <c r="AA572" s="421"/>
      <c r="AB572" s="421"/>
      <c r="AC572" s="421"/>
      <c r="AD572" s="421"/>
      <c r="AE572" s="421"/>
      <c r="AF572" s="421"/>
      <c r="AG572" s="421"/>
      <c r="AH572" s="421"/>
      <c r="AI572" s="421"/>
      <c r="AJ572" s="421"/>
      <c r="AK572" s="421"/>
      <c r="AL572" s="421"/>
      <c r="AM572" s="422"/>
      <c r="AN572" s="422"/>
      <c r="AO572" s="422"/>
      <c r="AP572" s="422"/>
      <c r="AQ572" s="422"/>
      <c r="AR572" s="422"/>
      <c r="AS572" s="422"/>
      <c r="AT572" s="422"/>
      <c r="AU572" s="422"/>
      <c r="AV572" s="422"/>
      <c r="AW572" s="422"/>
      <c r="AX572" s="422"/>
      <c r="AY572" s="422"/>
    </row>
    <row r="573" spans="1:51" x14ac:dyDescent="0.25">
      <c r="A573" s="3"/>
      <c r="B573" s="3"/>
      <c r="C573" s="3"/>
      <c r="D573" s="3"/>
      <c r="E573" s="3"/>
      <c r="F573" s="3"/>
      <c r="G573" s="3"/>
      <c r="H573" s="3"/>
      <c r="I573" s="3"/>
      <c r="J573" s="13"/>
      <c r="K573" s="13"/>
      <c r="L573" s="13"/>
      <c r="M573" s="13"/>
      <c r="N573" s="13"/>
      <c r="O573" s="13"/>
      <c r="P573" s="13"/>
      <c r="Q573" s="13"/>
      <c r="R573" s="13"/>
      <c r="S573" s="421"/>
      <c r="T573" s="421"/>
      <c r="U573" s="421"/>
      <c r="V573" s="421"/>
      <c r="W573" s="421"/>
      <c r="X573" s="421"/>
      <c r="Y573" s="421"/>
      <c r="Z573" s="421"/>
      <c r="AA573" s="421"/>
      <c r="AB573" s="421"/>
      <c r="AC573" s="421"/>
      <c r="AD573" s="421"/>
      <c r="AE573" s="421"/>
      <c r="AF573" s="421"/>
      <c r="AG573" s="421"/>
      <c r="AH573" s="421"/>
      <c r="AI573" s="421"/>
      <c r="AJ573" s="421"/>
      <c r="AK573" s="421"/>
      <c r="AL573" s="421"/>
      <c r="AM573" s="422"/>
      <c r="AN573" s="422"/>
      <c r="AO573" s="422"/>
      <c r="AP573" s="422"/>
      <c r="AQ573" s="422"/>
      <c r="AR573" s="422"/>
      <c r="AS573" s="422"/>
      <c r="AT573" s="422"/>
      <c r="AU573" s="422"/>
      <c r="AV573" s="422"/>
      <c r="AW573" s="422"/>
      <c r="AX573" s="422"/>
      <c r="AY573" s="422"/>
    </row>
    <row r="574" spans="1:51" x14ac:dyDescent="0.25">
      <c r="A574" s="3"/>
      <c r="B574" s="3"/>
      <c r="C574" s="3"/>
      <c r="D574" s="3"/>
      <c r="E574" s="3"/>
      <c r="F574" s="3"/>
      <c r="G574" s="3"/>
      <c r="H574" s="3"/>
      <c r="I574" s="3"/>
      <c r="J574" s="13"/>
      <c r="K574" s="13"/>
      <c r="L574" s="13"/>
      <c r="M574" s="13"/>
      <c r="N574" s="13"/>
      <c r="O574" s="13"/>
      <c r="P574" s="13"/>
      <c r="Q574" s="13"/>
      <c r="R574" s="13"/>
      <c r="S574" s="421"/>
      <c r="T574" s="421"/>
      <c r="U574" s="421"/>
      <c r="V574" s="421"/>
      <c r="W574" s="421"/>
      <c r="X574" s="421"/>
      <c r="Y574" s="421"/>
      <c r="Z574" s="421"/>
      <c r="AA574" s="421"/>
      <c r="AB574" s="421"/>
      <c r="AC574" s="421"/>
      <c r="AD574" s="421"/>
      <c r="AE574" s="421"/>
      <c r="AF574" s="421"/>
      <c r="AG574" s="421"/>
      <c r="AH574" s="421"/>
      <c r="AI574" s="421"/>
      <c r="AJ574" s="421"/>
      <c r="AK574" s="421"/>
      <c r="AL574" s="421"/>
      <c r="AM574" s="422"/>
      <c r="AN574" s="422"/>
      <c r="AO574" s="422"/>
      <c r="AP574" s="422"/>
      <c r="AQ574" s="422"/>
      <c r="AR574" s="422"/>
      <c r="AS574" s="422"/>
      <c r="AT574" s="422"/>
      <c r="AU574" s="422"/>
      <c r="AV574" s="422"/>
      <c r="AW574" s="422"/>
      <c r="AX574" s="422"/>
      <c r="AY574" s="422"/>
    </row>
    <row r="575" spans="1:51" x14ac:dyDescent="0.25">
      <c r="A575" s="3"/>
      <c r="B575" s="3"/>
      <c r="C575" s="3"/>
      <c r="D575" s="3"/>
      <c r="E575" s="3"/>
      <c r="F575" s="3"/>
      <c r="G575" s="3"/>
      <c r="H575" s="3"/>
      <c r="I575" s="3"/>
      <c r="J575" s="13"/>
      <c r="K575" s="13"/>
      <c r="L575" s="13"/>
      <c r="M575" s="13"/>
      <c r="N575" s="13"/>
      <c r="O575" s="13"/>
      <c r="P575" s="13"/>
      <c r="Q575" s="13"/>
      <c r="R575" s="13"/>
      <c r="S575" s="421"/>
      <c r="T575" s="421"/>
      <c r="U575" s="421"/>
      <c r="V575" s="421"/>
      <c r="W575" s="421"/>
      <c r="X575" s="421"/>
      <c r="Y575" s="421"/>
      <c r="Z575" s="421"/>
      <c r="AA575" s="421"/>
      <c r="AB575" s="421"/>
      <c r="AC575" s="421"/>
      <c r="AD575" s="421"/>
      <c r="AE575" s="421"/>
      <c r="AF575" s="421"/>
      <c r="AG575" s="421"/>
      <c r="AH575" s="421"/>
      <c r="AI575" s="421"/>
      <c r="AJ575" s="421"/>
      <c r="AK575" s="421"/>
      <c r="AL575" s="421"/>
      <c r="AM575" s="422"/>
      <c r="AN575" s="422"/>
      <c r="AO575" s="422"/>
      <c r="AP575" s="422"/>
      <c r="AQ575" s="422"/>
      <c r="AR575" s="422"/>
      <c r="AS575" s="422"/>
      <c r="AT575" s="422"/>
      <c r="AU575" s="422"/>
      <c r="AV575" s="422"/>
      <c r="AW575" s="422"/>
      <c r="AX575" s="422"/>
      <c r="AY575" s="422"/>
    </row>
    <row r="576" spans="1:51" x14ac:dyDescent="0.25">
      <c r="A576" s="3"/>
      <c r="B576" s="3"/>
      <c r="C576" s="3"/>
      <c r="D576" s="3"/>
      <c r="E576" s="3"/>
      <c r="F576" s="3"/>
      <c r="G576" s="3"/>
      <c r="H576" s="3"/>
      <c r="I576" s="3"/>
      <c r="J576" s="13"/>
      <c r="K576" s="13"/>
      <c r="L576" s="13"/>
      <c r="M576" s="13"/>
      <c r="N576" s="13"/>
      <c r="O576" s="13"/>
      <c r="P576" s="13"/>
      <c r="Q576" s="13"/>
      <c r="R576" s="13"/>
      <c r="S576" s="421"/>
      <c r="T576" s="421"/>
      <c r="U576" s="421"/>
      <c r="V576" s="421"/>
      <c r="W576" s="421"/>
      <c r="X576" s="421"/>
      <c r="Y576" s="421"/>
      <c r="Z576" s="421"/>
      <c r="AA576" s="421"/>
      <c r="AB576" s="421"/>
      <c r="AC576" s="421"/>
      <c r="AD576" s="421"/>
      <c r="AE576" s="421"/>
      <c r="AF576" s="421"/>
      <c r="AG576" s="421"/>
      <c r="AH576" s="421"/>
      <c r="AI576" s="421"/>
      <c r="AJ576" s="421"/>
      <c r="AK576" s="421"/>
      <c r="AL576" s="421"/>
      <c r="AM576" s="422"/>
      <c r="AN576" s="422"/>
      <c r="AO576" s="422"/>
      <c r="AP576" s="422"/>
      <c r="AQ576" s="422"/>
      <c r="AR576" s="422"/>
      <c r="AS576" s="422"/>
      <c r="AT576" s="422"/>
      <c r="AU576" s="422"/>
      <c r="AV576" s="422"/>
      <c r="AW576" s="422"/>
      <c r="AX576" s="422"/>
      <c r="AY576" s="422"/>
    </row>
    <row r="577" spans="1:51" x14ac:dyDescent="0.25">
      <c r="A577" s="3"/>
      <c r="B577" s="3"/>
      <c r="C577" s="3"/>
      <c r="D577" s="3"/>
      <c r="E577" s="3"/>
      <c r="F577" s="3"/>
      <c r="G577" s="3"/>
      <c r="H577" s="3"/>
      <c r="I577" s="3"/>
      <c r="J577" s="13"/>
      <c r="K577" s="13"/>
      <c r="L577" s="13"/>
      <c r="M577" s="13"/>
      <c r="N577" s="13"/>
      <c r="O577" s="13"/>
      <c r="P577" s="13"/>
      <c r="Q577" s="13"/>
      <c r="R577" s="13"/>
      <c r="S577" s="421"/>
      <c r="T577" s="421"/>
      <c r="U577" s="421"/>
      <c r="V577" s="421"/>
      <c r="W577" s="421"/>
      <c r="X577" s="421"/>
      <c r="Y577" s="421"/>
      <c r="Z577" s="421"/>
      <c r="AA577" s="421"/>
      <c r="AB577" s="421"/>
      <c r="AC577" s="421"/>
      <c r="AD577" s="421"/>
      <c r="AE577" s="421"/>
      <c r="AF577" s="421"/>
      <c r="AG577" s="421"/>
      <c r="AH577" s="421"/>
      <c r="AI577" s="421"/>
      <c r="AJ577" s="421"/>
      <c r="AK577" s="421"/>
      <c r="AL577" s="421"/>
      <c r="AM577" s="422"/>
      <c r="AN577" s="422"/>
      <c r="AO577" s="422"/>
      <c r="AP577" s="422"/>
      <c r="AQ577" s="422"/>
      <c r="AR577" s="422"/>
      <c r="AS577" s="422"/>
      <c r="AT577" s="422"/>
      <c r="AU577" s="422"/>
      <c r="AV577" s="422"/>
      <c r="AW577" s="422"/>
      <c r="AX577" s="422"/>
      <c r="AY577" s="422"/>
    </row>
    <row r="578" spans="1:51" x14ac:dyDescent="0.25">
      <c r="A578" s="3"/>
      <c r="B578" s="3"/>
      <c r="C578" s="3"/>
      <c r="D578" s="3"/>
      <c r="E578" s="3"/>
      <c r="F578" s="3"/>
      <c r="G578" s="3"/>
      <c r="H578" s="3"/>
      <c r="I578" s="3"/>
      <c r="J578" s="13"/>
      <c r="K578" s="13"/>
      <c r="L578" s="13"/>
      <c r="M578" s="13"/>
      <c r="N578" s="13"/>
      <c r="O578" s="13"/>
      <c r="P578" s="13"/>
      <c r="Q578" s="13"/>
      <c r="R578" s="13"/>
      <c r="S578" s="421"/>
      <c r="T578" s="421"/>
      <c r="U578" s="421"/>
      <c r="V578" s="421"/>
      <c r="W578" s="421"/>
      <c r="X578" s="421"/>
      <c r="Y578" s="421"/>
      <c r="Z578" s="421"/>
      <c r="AA578" s="421"/>
      <c r="AB578" s="421"/>
      <c r="AC578" s="421"/>
      <c r="AD578" s="421"/>
      <c r="AE578" s="421"/>
      <c r="AF578" s="421"/>
      <c r="AG578" s="421"/>
      <c r="AH578" s="421"/>
      <c r="AI578" s="421"/>
      <c r="AJ578" s="421"/>
      <c r="AK578" s="421"/>
      <c r="AL578" s="421"/>
      <c r="AM578" s="422"/>
      <c r="AN578" s="422"/>
      <c r="AO578" s="422"/>
      <c r="AP578" s="422"/>
      <c r="AQ578" s="422"/>
      <c r="AR578" s="422"/>
      <c r="AS578" s="422"/>
      <c r="AT578" s="422"/>
      <c r="AU578" s="422"/>
      <c r="AV578" s="422"/>
      <c r="AW578" s="422"/>
      <c r="AX578" s="422"/>
      <c r="AY578" s="422"/>
    </row>
    <row r="579" spans="1:51" x14ac:dyDescent="0.25">
      <c r="A579" s="3"/>
      <c r="B579" s="3"/>
      <c r="C579" s="3"/>
      <c r="D579" s="3"/>
      <c r="E579" s="3"/>
      <c r="F579" s="3"/>
      <c r="G579" s="3"/>
      <c r="H579" s="3"/>
      <c r="I579" s="3"/>
      <c r="J579" s="13"/>
      <c r="K579" s="13"/>
      <c r="L579" s="13"/>
      <c r="M579" s="13"/>
      <c r="N579" s="13"/>
      <c r="O579" s="13"/>
      <c r="P579" s="13"/>
      <c r="Q579" s="13"/>
      <c r="R579" s="13"/>
      <c r="S579" s="421"/>
      <c r="T579" s="421"/>
      <c r="U579" s="421"/>
      <c r="V579" s="421"/>
      <c r="W579" s="421"/>
      <c r="X579" s="421"/>
      <c r="Y579" s="421"/>
      <c r="Z579" s="421"/>
      <c r="AA579" s="421"/>
      <c r="AB579" s="421"/>
      <c r="AC579" s="421"/>
      <c r="AD579" s="421"/>
      <c r="AE579" s="421"/>
      <c r="AF579" s="421"/>
      <c r="AG579" s="421"/>
      <c r="AH579" s="421"/>
      <c r="AI579" s="421"/>
      <c r="AJ579" s="421"/>
      <c r="AK579" s="421"/>
      <c r="AL579" s="421"/>
      <c r="AM579" s="422"/>
      <c r="AN579" s="422"/>
      <c r="AO579" s="422"/>
      <c r="AP579" s="422"/>
      <c r="AQ579" s="422"/>
      <c r="AR579" s="422"/>
      <c r="AS579" s="422"/>
      <c r="AT579" s="422"/>
      <c r="AU579" s="422"/>
      <c r="AV579" s="422"/>
      <c r="AW579" s="422"/>
      <c r="AX579" s="422"/>
      <c r="AY579" s="422"/>
    </row>
    <row r="580" spans="1:51" x14ac:dyDescent="0.25">
      <c r="A580" s="3"/>
      <c r="B580" s="3"/>
      <c r="C580" s="3"/>
      <c r="D580" s="3"/>
      <c r="E580" s="3"/>
      <c r="F580" s="3"/>
      <c r="G580" s="3"/>
      <c r="H580" s="3"/>
      <c r="I580" s="3"/>
      <c r="J580" s="13"/>
      <c r="K580" s="13"/>
      <c r="L580" s="13"/>
      <c r="M580" s="13"/>
      <c r="N580" s="13"/>
      <c r="O580" s="13"/>
      <c r="P580" s="13"/>
      <c r="Q580" s="13"/>
      <c r="R580" s="13"/>
      <c r="S580" s="421"/>
      <c r="T580" s="421"/>
      <c r="U580" s="421"/>
      <c r="V580" s="421"/>
      <c r="W580" s="421"/>
      <c r="X580" s="421"/>
      <c r="Y580" s="421"/>
      <c r="Z580" s="421"/>
      <c r="AA580" s="421"/>
      <c r="AB580" s="421"/>
      <c r="AC580" s="421"/>
      <c r="AD580" s="421"/>
      <c r="AE580" s="421"/>
      <c r="AF580" s="421"/>
      <c r="AG580" s="421"/>
      <c r="AH580" s="421"/>
      <c r="AI580" s="421"/>
      <c r="AJ580" s="421"/>
      <c r="AK580" s="421"/>
      <c r="AL580" s="421"/>
      <c r="AM580" s="422"/>
      <c r="AN580" s="422"/>
      <c r="AO580" s="422"/>
      <c r="AP580" s="422"/>
      <c r="AQ580" s="422"/>
      <c r="AR580" s="422"/>
      <c r="AS580" s="422"/>
      <c r="AT580" s="422"/>
      <c r="AU580" s="422"/>
      <c r="AV580" s="422"/>
      <c r="AW580" s="422"/>
      <c r="AX580" s="422"/>
      <c r="AY580" s="422"/>
    </row>
    <row r="581" spans="1:51" x14ac:dyDescent="0.25">
      <c r="A581" s="3"/>
      <c r="B581" s="3"/>
      <c r="C581" s="3"/>
      <c r="D581" s="3"/>
      <c r="E581" s="3"/>
      <c r="F581" s="3"/>
      <c r="G581" s="3"/>
      <c r="H581" s="3"/>
      <c r="I581" s="3"/>
      <c r="J581" s="13"/>
      <c r="K581" s="13"/>
      <c r="L581" s="13"/>
      <c r="M581" s="13"/>
      <c r="N581" s="13"/>
      <c r="O581" s="13"/>
      <c r="P581" s="13"/>
      <c r="Q581" s="13"/>
      <c r="R581" s="13"/>
      <c r="S581" s="421"/>
      <c r="T581" s="421"/>
      <c r="U581" s="421"/>
      <c r="V581" s="421"/>
      <c r="W581" s="421"/>
      <c r="X581" s="421"/>
      <c r="Y581" s="421"/>
      <c r="Z581" s="421"/>
      <c r="AA581" s="421"/>
      <c r="AB581" s="421"/>
      <c r="AC581" s="421"/>
      <c r="AD581" s="421"/>
      <c r="AE581" s="421"/>
      <c r="AF581" s="421"/>
      <c r="AG581" s="421"/>
      <c r="AH581" s="421"/>
      <c r="AI581" s="421"/>
      <c r="AJ581" s="421"/>
      <c r="AK581" s="421"/>
      <c r="AL581" s="421"/>
      <c r="AM581" s="422"/>
      <c r="AN581" s="422"/>
      <c r="AO581" s="422"/>
      <c r="AP581" s="422"/>
      <c r="AQ581" s="422"/>
      <c r="AR581" s="422"/>
      <c r="AS581" s="422"/>
      <c r="AT581" s="422"/>
      <c r="AU581" s="422"/>
      <c r="AV581" s="422"/>
      <c r="AW581" s="422"/>
      <c r="AX581" s="422"/>
      <c r="AY581" s="422"/>
    </row>
    <row r="582" spans="1:51" x14ac:dyDescent="0.25">
      <c r="A582" s="3"/>
      <c r="B582" s="3"/>
      <c r="C582" s="3"/>
      <c r="D582" s="3"/>
      <c r="E582" s="3"/>
      <c r="F582" s="3"/>
      <c r="G582" s="3"/>
      <c r="H582" s="3"/>
      <c r="I582" s="3"/>
      <c r="J582" s="13"/>
      <c r="K582" s="13"/>
      <c r="L582" s="13"/>
      <c r="M582" s="13"/>
      <c r="N582" s="13"/>
      <c r="O582" s="13"/>
      <c r="P582" s="13"/>
      <c r="Q582" s="13"/>
      <c r="R582" s="13"/>
      <c r="S582" s="421"/>
      <c r="T582" s="421"/>
      <c r="U582" s="421"/>
      <c r="V582" s="421"/>
      <c r="W582" s="421"/>
      <c r="X582" s="421"/>
      <c r="Y582" s="421"/>
      <c r="Z582" s="421"/>
      <c r="AA582" s="421"/>
      <c r="AB582" s="421"/>
      <c r="AC582" s="421"/>
      <c r="AD582" s="421"/>
      <c r="AE582" s="421"/>
      <c r="AF582" s="421"/>
      <c r="AG582" s="421"/>
      <c r="AH582" s="421"/>
      <c r="AI582" s="421"/>
      <c r="AJ582" s="421"/>
      <c r="AK582" s="421"/>
      <c r="AL582" s="421"/>
      <c r="AM582" s="422"/>
      <c r="AN582" s="422"/>
      <c r="AO582" s="422"/>
      <c r="AP582" s="422"/>
      <c r="AQ582" s="422"/>
      <c r="AR582" s="422"/>
      <c r="AS582" s="422"/>
      <c r="AT582" s="422"/>
      <c r="AU582" s="422"/>
      <c r="AV582" s="422"/>
      <c r="AW582" s="422"/>
      <c r="AX582" s="422"/>
      <c r="AY582" s="422"/>
    </row>
    <row r="583" spans="1:51" x14ac:dyDescent="0.25">
      <c r="A583" s="3"/>
      <c r="B583" s="3"/>
      <c r="C583" s="3"/>
      <c r="D583" s="3"/>
      <c r="E583" s="3"/>
      <c r="F583" s="3"/>
      <c r="G583" s="3"/>
      <c r="H583" s="3"/>
      <c r="I583" s="3"/>
      <c r="J583" s="13"/>
      <c r="K583" s="13"/>
      <c r="L583" s="13"/>
      <c r="M583" s="13"/>
      <c r="N583" s="13"/>
      <c r="O583" s="13"/>
      <c r="P583" s="13"/>
      <c r="Q583" s="13"/>
      <c r="R583" s="13"/>
      <c r="S583" s="421"/>
      <c r="T583" s="421"/>
      <c r="U583" s="421"/>
      <c r="V583" s="421"/>
      <c r="W583" s="421"/>
      <c r="X583" s="421"/>
      <c r="Y583" s="421"/>
      <c r="Z583" s="421"/>
      <c r="AA583" s="421"/>
      <c r="AB583" s="421"/>
      <c r="AC583" s="421"/>
      <c r="AD583" s="421"/>
      <c r="AE583" s="421"/>
      <c r="AF583" s="421"/>
      <c r="AG583" s="421"/>
      <c r="AH583" s="421"/>
      <c r="AI583" s="421"/>
      <c r="AJ583" s="421"/>
      <c r="AK583" s="421"/>
      <c r="AL583" s="421"/>
      <c r="AM583" s="422"/>
      <c r="AN583" s="422"/>
      <c r="AO583" s="422"/>
      <c r="AP583" s="422"/>
      <c r="AQ583" s="422"/>
      <c r="AR583" s="422"/>
      <c r="AS583" s="422"/>
      <c r="AT583" s="422"/>
      <c r="AU583" s="422"/>
      <c r="AV583" s="422"/>
      <c r="AW583" s="422"/>
      <c r="AX583" s="422"/>
      <c r="AY583" s="422"/>
    </row>
    <row r="584" spans="1:51" x14ac:dyDescent="0.25">
      <c r="A584" s="3"/>
      <c r="B584" s="3"/>
      <c r="C584" s="3"/>
      <c r="D584" s="3"/>
      <c r="E584" s="3"/>
      <c r="F584" s="3"/>
      <c r="G584" s="3"/>
      <c r="H584" s="3"/>
      <c r="I584" s="3"/>
      <c r="J584" s="13"/>
      <c r="K584" s="13"/>
      <c r="L584" s="13"/>
      <c r="M584" s="13"/>
      <c r="N584" s="13"/>
      <c r="O584" s="13"/>
      <c r="P584" s="13"/>
      <c r="Q584" s="13"/>
      <c r="R584" s="13"/>
      <c r="S584" s="421"/>
      <c r="T584" s="421"/>
      <c r="U584" s="421"/>
      <c r="V584" s="421"/>
      <c r="W584" s="421"/>
      <c r="X584" s="421"/>
      <c r="Y584" s="421"/>
      <c r="Z584" s="421"/>
      <c r="AA584" s="421"/>
      <c r="AB584" s="421"/>
      <c r="AC584" s="421"/>
      <c r="AD584" s="421"/>
      <c r="AE584" s="421"/>
      <c r="AF584" s="421"/>
      <c r="AG584" s="421"/>
      <c r="AH584" s="421"/>
      <c r="AI584" s="421"/>
      <c r="AJ584" s="421"/>
      <c r="AK584" s="421"/>
      <c r="AL584" s="421"/>
      <c r="AM584" s="422"/>
      <c r="AN584" s="422"/>
      <c r="AO584" s="422"/>
      <c r="AP584" s="422"/>
      <c r="AQ584" s="422"/>
      <c r="AR584" s="422"/>
      <c r="AS584" s="422"/>
      <c r="AT584" s="422"/>
      <c r="AU584" s="422"/>
      <c r="AV584" s="422"/>
      <c r="AW584" s="422"/>
      <c r="AX584" s="422"/>
      <c r="AY584" s="422"/>
    </row>
    <row r="585" spans="1:51" x14ac:dyDescent="0.25">
      <c r="A585" s="3"/>
      <c r="B585" s="3"/>
      <c r="C585" s="3"/>
      <c r="D585" s="3"/>
      <c r="E585" s="3"/>
      <c r="F585" s="3"/>
      <c r="G585" s="3"/>
      <c r="H585" s="3"/>
      <c r="I585" s="3"/>
      <c r="J585" s="13"/>
      <c r="K585" s="13"/>
      <c r="L585" s="13"/>
      <c r="M585" s="13"/>
      <c r="N585" s="13"/>
      <c r="O585" s="13"/>
      <c r="P585" s="13"/>
      <c r="Q585" s="13"/>
      <c r="R585" s="13"/>
      <c r="S585" s="421"/>
      <c r="T585" s="421"/>
      <c r="U585" s="421"/>
      <c r="V585" s="421"/>
      <c r="W585" s="421"/>
      <c r="X585" s="421"/>
      <c r="Y585" s="421"/>
      <c r="Z585" s="421"/>
      <c r="AA585" s="421"/>
      <c r="AB585" s="421"/>
      <c r="AC585" s="421"/>
      <c r="AD585" s="421"/>
      <c r="AE585" s="421"/>
      <c r="AF585" s="421"/>
      <c r="AG585" s="421"/>
      <c r="AH585" s="421"/>
      <c r="AI585" s="421"/>
      <c r="AJ585" s="421"/>
      <c r="AK585" s="421"/>
      <c r="AL585" s="421"/>
      <c r="AM585" s="422"/>
      <c r="AN585" s="422"/>
      <c r="AO585" s="422"/>
      <c r="AP585" s="422"/>
      <c r="AQ585" s="422"/>
      <c r="AR585" s="422"/>
      <c r="AS585" s="422"/>
      <c r="AT585" s="422"/>
      <c r="AU585" s="422"/>
      <c r="AV585" s="422"/>
      <c r="AW585" s="422"/>
      <c r="AX585" s="422"/>
      <c r="AY585" s="422"/>
    </row>
    <row r="586" spans="1:51" x14ac:dyDescent="0.25">
      <c r="A586" s="3"/>
      <c r="B586" s="3"/>
      <c r="C586" s="3"/>
      <c r="D586" s="3"/>
      <c r="E586" s="3"/>
      <c r="F586" s="3"/>
      <c r="G586" s="3"/>
      <c r="H586" s="3"/>
      <c r="I586" s="3"/>
      <c r="J586" s="13"/>
      <c r="K586" s="13"/>
      <c r="L586" s="13"/>
      <c r="M586" s="13"/>
      <c r="N586" s="13"/>
      <c r="O586" s="13"/>
      <c r="P586" s="13"/>
      <c r="Q586" s="13"/>
      <c r="R586" s="13"/>
      <c r="S586" s="421"/>
      <c r="T586" s="421"/>
      <c r="U586" s="421"/>
      <c r="V586" s="421"/>
      <c r="W586" s="421"/>
      <c r="X586" s="421"/>
      <c r="Y586" s="421"/>
      <c r="Z586" s="421"/>
      <c r="AA586" s="421"/>
      <c r="AB586" s="421"/>
      <c r="AC586" s="421"/>
      <c r="AD586" s="421"/>
      <c r="AE586" s="421"/>
      <c r="AF586" s="421"/>
      <c r="AG586" s="421"/>
      <c r="AH586" s="421"/>
      <c r="AI586" s="421"/>
      <c r="AJ586" s="421"/>
      <c r="AK586" s="421"/>
      <c r="AL586" s="421"/>
      <c r="AM586" s="422"/>
      <c r="AN586" s="422"/>
      <c r="AO586" s="422"/>
      <c r="AP586" s="422"/>
      <c r="AQ586" s="422"/>
      <c r="AR586" s="422"/>
      <c r="AS586" s="422"/>
      <c r="AT586" s="422"/>
      <c r="AU586" s="422"/>
      <c r="AV586" s="422"/>
      <c r="AW586" s="422"/>
      <c r="AX586" s="422"/>
      <c r="AY586" s="422"/>
    </row>
    <row r="587" spans="1:51" x14ac:dyDescent="0.25">
      <c r="A587" s="3"/>
      <c r="B587" s="3"/>
      <c r="C587" s="3"/>
      <c r="D587" s="3"/>
      <c r="E587" s="3"/>
      <c r="F587" s="3"/>
      <c r="G587" s="3"/>
      <c r="H587" s="3"/>
      <c r="I587" s="3"/>
      <c r="J587" s="13"/>
      <c r="K587" s="13"/>
      <c r="L587" s="13"/>
      <c r="M587" s="13"/>
      <c r="N587" s="13"/>
      <c r="O587" s="13"/>
      <c r="P587" s="13"/>
      <c r="Q587" s="13"/>
      <c r="R587" s="13"/>
      <c r="S587" s="421"/>
      <c r="T587" s="421"/>
      <c r="U587" s="421"/>
      <c r="V587" s="421"/>
      <c r="W587" s="421"/>
      <c r="X587" s="421"/>
      <c r="Y587" s="421"/>
      <c r="Z587" s="421"/>
      <c r="AA587" s="421"/>
      <c r="AB587" s="421"/>
      <c r="AC587" s="421"/>
      <c r="AD587" s="421"/>
      <c r="AE587" s="421"/>
      <c r="AF587" s="421"/>
      <c r="AG587" s="421"/>
      <c r="AH587" s="421"/>
      <c r="AI587" s="421"/>
      <c r="AJ587" s="421"/>
      <c r="AK587" s="421"/>
      <c r="AL587" s="421"/>
      <c r="AM587" s="422"/>
      <c r="AN587" s="422"/>
      <c r="AO587" s="422"/>
      <c r="AP587" s="422"/>
      <c r="AQ587" s="422"/>
      <c r="AR587" s="422"/>
      <c r="AS587" s="422"/>
      <c r="AT587" s="422"/>
      <c r="AU587" s="422"/>
      <c r="AV587" s="422"/>
      <c r="AW587" s="422"/>
      <c r="AX587" s="422"/>
      <c r="AY587" s="422"/>
    </row>
    <row r="588" spans="1:51" x14ac:dyDescent="0.25">
      <c r="A588" s="3"/>
      <c r="B588" s="3"/>
      <c r="C588" s="3"/>
      <c r="D588" s="3"/>
      <c r="E588" s="3"/>
      <c r="F588" s="3"/>
      <c r="G588" s="3"/>
      <c r="H588" s="3"/>
      <c r="I588" s="3"/>
      <c r="J588" s="13"/>
      <c r="K588" s="13"/>
      <c r="L588" s="13"/>
      <c r="M588" s="13"/>
      <c r="N588" s="13"/>
      <c r="O588" s="13"/>
      <c r="P588" s="13"/>
      <c r="Q588" s="13"/>
      <c r="R588" s="13"/>
      <c r="S588" s="421"/>
      <c r="T588" s="421"/>
      <c r="U588" s="421"/>
      <c r="V588" s="421"/>
      <c r="W588" s="421"/>
      <c r="X588" s="421"/>
      <c r="Y588" s="421"/>
      <c r="Z588" s="421"/>
      <c r="AA588" s="421"/>
      <c r="AB588" s="421"/>
      <c r="AC588" s="421"/>
      <c r="AD588" s="421"/>
      <c r="AE588" s="421"/>
      <c r="AF588" s="421"/>
      <c r="AG588" s="421"/>
      <c r="AH588" s="421"/>
      <c r="AI588" s="421"/>
      <c r="AJ588" s="421"/>
      <c r="AK588" s="421"/>
      <c r="AL588" s="421"/>
      <c r="AM588" s="422"/>
      <c r="AN588" s="422"/>
      <c r="AO588" s="422"/>
      <c r="AP588" s="422"/>
      <c r="AQ588" s="422"/>
      <c r="AR588" s="422"/>
      <c r="AS588" s="422"/>
      <c r="AT588" s="422"/>
      <c r="AU588" s="422"/>
      <c r="AV588" s="422"/>
      <c r="AW588" s="422"/>
      <c r="AX588" s="422"/>
      <c r="AY588" s="422"/>
    </row>
    <row r="589" spans="1:51" x14ac:dyDescent="0.25">
      <c r="A589" s="3"/>
      <c r="B589" s="3"/>
      <c r="C589" s="3"/>
      <c r="D589" s="3"/>
      <c r="E589" s="3"/>
      <c r="F589" s="3"/>
      <c r="G589" s="3"/>
      <c r="H589" s="3"/>
      <c r="I589" s="3"/>
      <c r="J589" s="13"/>
      <c r="K589" s="13"/>
      <c r="L589" s="13"/>
      <c r="M589" s="13"/>
      <c r="N589" s="13"/>
      <c r="O589" s="13"/>
      <c r="P589" s="13"/>
      <c r="Q589" s="13"/>
      <c r="R589" s="13"/>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2"/>
      <c r="AN589" s="422"/>
      <c r="AO589" s="422"/>
      <c r="AP589" s="422"/>
      <c r="AQ589" s="422"/>
      <c r="AR589" s="422"/>
      <c r="AS589" s="422"/>
      <c r="AT589" s="422"/>
      <c r="AU589" s="422"/>
      <c r="AV589" s="422"/>
      <c r="AW589" s="422"/>
      <c r="AX589" s="422"/>
      <c r="AY589" s="422"/>
    </row>
    <row r="590" spans="1:51" x14ac:dyDescent="0.25">
      <c r="A590" s="3"/>
      <c r="B590" s="3"/>
      <c r="C590" s="3"/>
      <c r="D590" s="3"/>
      <c r="E590" s="3"/>
      <c r="F590" s="3"/>
      <c r="G590" s="3"/>
      <c r="H590" s="3"/>
      <c r="I590" s="3"/>
      <c r="J590" s="13"/>
      <c r="K590" s="13"/>
      <c r="L590" s="13"/>
      <c r="M590" s="13"/>
      <c r="N590" s="13"/>
      <c r="O590" s="13"/>
      <c r="P590" s="13"/>
      <c r="Q590" s="13"/>
      <c r="R590" s="13"/>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2"/>
      <c r="AN590" s="422"/>
      <c r="AO590" s="422"/>
      <c r="AP590" s="422"/>
      <c r="AQ590" s="422"/>
      <c r="AR590" s="422"/>
      <c r="AS590" s="422"/>
      <c r="AT590" s="422"/>
      <c r="AU590" s="422"/>
      <c r="AV590" s="422"/>
      <c r="AW590" s="422"/>
      <c r="AX590" s="422"/>
      <c r="AY590" s="422"/>
    </row>
    <row r="591" spans="1:51" x14ac:dyDescent="0.25">
      <c r="A591" s="3"/>
      <c r="B591" s="3"/>
      <c r="C591" s="3"/>
      <c r="D591" s="3"/>
      <c r="E591" s="3"/>
      <c r="F591" s="3"/>
      <c r="G591" s="3"/>
      <c r="H591" s="3"/>
      <c r="I591" s="3"/>
      <c r="J591" s="13"/>
      <c r="K591" s="13"/>
      <c r="L591" s="13"/>
      <c r="M591" s="13"/>
      <c r="N591" s="13"/>
      <c r="O591" s="13"/>
      <c r="P591" s="13"/>
      <c r="Q591" s="13"/>
      <c r="R591" s="13"/>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2"/>
      <c r="AN591" s="422"/>
      <c r="AO591" s="422"/>
      <c r="AP591" s="422"/>
      <c r="AQ591" s="422"/>
      <c r="AR591" s="422"/>
      <c r="AS591" s="422"/>
      <c r="AT591" s="422"/>
      <c r="AU591" s="422"/>
      <c r="AV591" s="422"/>
      <c r="AW591" s="422"/>
      <c r="AX591" s="422"/>
      <c r="AY591" s="422"/>
    </row>
    <row r="592" spans="1:51" x14ac:dyDescent="0.25">
      <c r="A592" s="3"/>
      <c r="B592" s="3"/>
      <c r="C592" s="3"/>
      <c r="D592" s="3"/>
      <c r="E592" s="3"/>
      <c r="F592" s="3"/>
      <c r="G592" s="3"/>
      <c r="H592" s="3"/>
      <c r="I592" s="3"/>
      <c r="J592" s="13"/>
      <c r="K592" s="13"/>
      <c r="L592" s="13"/>
      <c r="M592" s="13"/>
      <c r="N592" s="13"/>
      <c r="O592" s="13"/>
      <c r="P592" s="13"/>
      <c r="Q592" s="13"/>
      <c r="R592" s="13"/>
      <c r="S592" s="421"/>
      <c r="T592" s="421"/>
      <c r="U592" s="421"/>
      <c r="V592" s="421"/>
      <c r="W592" s="421"/>
      <c r="X592" s="421"/>
      <c r="Y592" s="421"/>
      <c r="Z592" s="421"/>
      <c r="AA592" s="421"/>
      <c r="AB592" s="421"/>
      <c r="AC592" s="421"/>
      <c r="AD592" s="421"/>
      <c r="AE592" s="421"/>
      <c r="AF592" s="421"/>
      <c r="AG592" s="421"/>
      <c r="AH592" s="421"/>
      <c r="AI592" s="421"/>
      <c r="AJ592" s="421"/>
      <c r="AK592" s="421"/>
      <c r="AL592" s="421"/>
      <c r="AM592" s="422"/>
      <c r="AN592" s="422"/>
      <c r="AO592" s="422"/>
      <c r="AP592" s="422"/>
      <c r="AQ592" s="422"/>
      <c r="AR592" s="422"/>
      <c r="AS592" s="422"/>
      <c r="AT592" s="422"/>
      <c r="AU592" s="422"/>
      <c r="AV592" s="422"/>
      <c r="AW592" s="422"/>
      <c r="AX592" s="422"/>
      <c r="AY592" s="422"/>
    </row>
    <row r="593" spans="1:51" x14ac:dyDescent="0.25">
      <c r="A593" s="3"/>
      <c r="B593" s="3"/>
      <c r="C593" s="3"/>
      <c r="D593" s="3"/>
      <c r="E593" s="3"/>
      <c r="F593" s="3"/>
      <c r="G593" s="3"/>
      <c r="H593" s="3"/>
      <c r="I593" s="3"/>
      <c r="J593" s="13"/>
      <c r="K593" s="13"/>
      <c r="L593" s="13"/>
      <c r="M593" s="13"/>
      <c r="N593" s="13"/>
      <c r="O593" s="13"/>
      <c r="P593" s="13"/>
      <c r="Q593" s="13"/>
      <c r="R593" s="13"/>
      <c r="S593" s="421"/>
      <c r="T593" s="421"/>
      <c r="U593" s="421"/>
      <c r="V593" s="421"/>
      <c r="W593" s="421"/>
      <c r="X593" s="421"/>
      <c r="Y593" s="421"/>
      <c r="Z593" s="421"/>
      <c r="AA593" s="421"/>
      <c r="AB593" s="421"/>
      <c r="AC593" s="421"/>
      <c r="AD593" s="421"/>
      <c r="AE593" s="421"/>
      <c r="AF593" s="421"/>
      <c r="AG593" s="421"/>
      <c r="AH593" s="421"/>
      <c r="AI593" s="421"/>
      <c r="AJ593" s="421"/>
      <c r="AK593" s="421"/>
      <c r="AL593" s="421"/>
      <c r="AM593" s="422"/>
      <c r="AN593" s="422"/>
      <c r="AO593" s="422"/>
      <c r="AP593" s="422"/>
      <c r="AQ593" s="422"/>
      <c r="AR593" s="422"/>
      <c r="AS593" s="422"/>
      <c r="AT593" s="422"/>
      <c r="AU593" s="422"/>
      <c r="AV593" s="422"/>
      <c r="AW593" s="422"/>
      <c r="AX593" s="422"/>
      <c r="AY593" s="422"/>
    </row>
    <row r="594" spans="1:51" x14ac:dyDescent="0.25">
      <c r="A594" s="3"/>
      <c r="B594" s="3"/>
      <c r="C594" s="3"/>
      <c r="D594" s="3"/>
      <c r="E594" s="3"/>
      <c r="F594" s="3"/>
      <c r="G594" s="3"/>
      <c r="H594" s="3"/>
      <c r="I594" s="3"/>
      <c r="J594" s="13"/>
      <c r="K594" s="13"/>
      <c r="L594" s="13"/>
      <c r="M594" s="13"/>
      <c r="N594" s="13"/>
      <c r="O594" s="13"/>
      <c r="P594" s="13"/>
      <c r="Q594" s="13"/>
      <c r="R594" s="13"/>
      <c r="S594" s="421"/>
      <c r="T594" s="421"/>
      <c r="U594" s="421"/>
      <c r="V594" s="421"/>
      <c r="W594" s="421"/>
      <c r="X594" s="421"/>
      <c r="Y594" s="421"/>
      <c r="Z594" s="421"/>
      <c r="AA594" s="421"/>
      <c r="AB594" s="421"/>
      <c r="AC594" s="421"/>
      <c r="AD594" s="421"/>
      <c r="AE594" s="421"/>
      <c r="AF594" s="421"/>
      <c r="AG594" s="421"/>
      <c r="AH594" s="421"/>
      <c r="AI594" s="421"/>
      <c r="AJ594" s="421"/>
      <c r="AK594" s="421"/>
      <c r="AL594" s="421"/>
      <c r="AM594" s="422"/>
      <c r="AN594" s="422"/>
      <c r="AO594" s="422"/>
      <c r="AP594" s="422"/>
      <c r="AQ594" s="422"/>
      <c r="AR594" s="422"/>
      <c r="AS594" s="422"/>
      <c r="AT594" s="422"/>
      <c r="AU594" s="422"/>
      <c r="AV594" s="422"/>
      <c r="AW594" s="422"/>
      <c r="AX594" s="422"/>
      <c r="AY594" s="422"/>
    </row>
    <row r="595" spans="1:51" x14ac:dyDescent="0.25">
      <c r="A595" s="3"/>
      <c r="B595" s="3"/>
      <c r="C595" s="3"/>
      <c r="D595" s="3"/>
      <c r="E595" s="3"/>
      <c r="F595" s="3"/>
      <c r="G595" s="3"/>
      <c r="H595" s="3"/>
      <c r="I595" s="3"/>
      <c r="J595" s="13"/>
      <c r="K595" s="13"/>
      <c r="L595" s="13"/>
      <c r="M595" s="13"/>
      <c r="N595" s="13"/>
      <c r="O595" s="13"/>
      <c r="P595" s="13"/>
      <c r="Q595" s="13"/>
      <c r="R595" s="13"/>
      <c r="S595" s="421"/>
      <c r="T595" s="421"/>
      <c r="U595" s="421"/>
      <c r="V595" s="421"/>
      <c r="W595" s="421"/>
      <c r="X595" s="421"/>
      <c r="Y595" s="421"/>
      <c r="Z595" s="421"/>
      <c r="AA595" s="421"/>
      <c r="AB595" s="421"/>
      <c r="AC595" s="421"/>
      <c r="AD595" s="421"/>
      <c r="AE595" s="421"/>
      <c r="AF595" s="421"/>
      <c r="AG595" s="421"/>
      <c r="AH595" s="421"/>
      <c r="AI595" s="421"/>
      <c r="AJ595" s="421"/>
      <c r="AK595" s="421"/>
      <c r="AL595" s="421"/>
      <c r="AM595" s="422"/>
      <c r="AN595" s="422"/>
      <c r="AO595" s="422"/>
      <c r="AP595" s="422"/>
      <c r="AQ595" s="422"/>
      <c r="AR595" s="422"/>
      <c r="AS595" s="422"/>
      <c r="AT595" s="422"/>
      <c r="AU595" s="422"/>
      <c r="AV595" s="422"/>
      <c r="AW595" s="422"/>
      <c r="AX595" s="422"/>
      <c r="AY595" s="422"/>
    </row>
    <row r="596" spans="1:51" x14ac:dyDescent="0.25">
      <c r="A596" s="3"/>
      <c r="B596" s="3"/>
      <c r="C596" s="3"/>
      <c r="D596" s="3"/>
      <c r="E596" s="3"/>
      <c r="F596" s="3"/>
      <c r="G596" s="3"/>
      <c r="H596" s="3"/>
      <c r="I596" s="3"/>
      <c r="J596" s="13"/>
      <c r="K596" s="13"/>
      <c r="L596" s="13"/>
      <c r="M596" s="13"/>
      <c r="N596" s="13"/>
      <c r="O596" s="13"/>
      <c r="P596" s="13"/>
      <c r="Q596" s="13"/>
      <c r="R596" s="13"/>
      <c r="S596" s="421"/>
      <c r="T596" s="421"/>
      <c r="U596" s="421"/>
      <c r="V596" s="421"/>
      <c r="W596" s="421"/>
      <c r="X596" s="421"/>
      <c r="Y596" s="421"/>
      <c r="Z596" s="421"/>
      <c r="AA596" s="421"/>
      <c r="AB596" s="421"/>
      <c r="AC596" s="421"/>
      <c r="AD596" s="421"/>
      <c r="AE596" s="421"/>
      <c r="AF596" s="421"/>
      <c r="AG596" s="421"/>
      <c r="AH596" s="421"/>
      <c r="AI596" s="421"/>
      <c r="AJ596" s="421"/>
      <c r="AK596" s="421"/>
      <c r="AL596" s="421"/>
      <c r="AM596" s="422"/>
      <c r="AN596" s="422"/>
      <c r="AO596" s="422"/>
      <c r="AP596" s="422"/>
      <c r="AQ596" s="422"/>
      <c r="AR596" s="422"/>
      <c r="AS596" s="422"/>
      <c r="AT596" s="422"/>
      <c r="AU596" s="422"/>
      <c r="AV596" s="422"/>
      <c r="AW596" s="422"/>
      <c r="AX596" s="422"/>
      <c r="AY596" s="422"/>
    </row>
    <row r="597" spans="1:51" x14ac:dyDescent="0.25">
      <c r="A597" s="3"/>
      <c r="B597" s="3"/>
      <c r="C597" s="3"/>
      <c r="D597" s="3"/>
      <c r="E597" s="3"/>
      <c r="F597" s="3"/>
      <c r="G597" s="3"/>
      <c r="H597" s="3"/>
      <c r="I597" s="3"/>
      <c r="J597" s="13"/>
      <c r="K597" s="13"/>
      <c r="L597" s="13"/>
      <c r="M597" s="13"/>
      <c r="N597" s="13"/>
      <c r="O597" s="13"/>
      <c r="P597" s="13"/>
      <c r="Q597" s="13"/>
      <c r="R597" s="13"/>
      <c r="S597" s="421"/>
      <c r="T597" s="421"/>
      <c r="U597" s="421"/>
      <c r="V597" s="421"/>
      <c r="W597" s="421"/>
      <c r="X597" s="421"/>
      <c r="Y597" s="421"/>
      <c r="Z597" s="421"/>
      <c r="AA597" s="421"/>
      <c r="AB597" s="421"/>
      <c r="AC597" s="421"/>
      <c r="AD597" s="421"/>
      <c r="AE597" s="421"/>
      <c r="AF597" s="421"/>
      <c r="AG597" s="421"/>
      <c r="AH597" s="421"/>
      <c r="AI597" s="421"/>
      <c r="AJ597" s="421"/>
      <c r="AK597" s="421"/>
      <c r="AL597" s="421"/>
      <c r="AM597" s="422"/>
      <c r="AN597" s="422"/>
      <c r="AO597" s="422"/>
      <c r="AP597" s="422"/>
      <c r="AQ597" s="422"/>
      <c r="AR597" s="422"/>
      <c r="AS597" s="422"/>
      <c r="AT597" s="422"/>
      <c r="AU597" s="422"/>
      <c r="AV597" s="422"/>
      <c r="AW597" s="422"/>
      <c r="AX597" s="422"/>
      <c r="AY597" s="422"/>
    </row>
    <row r="598" spans="1:51" x14ac:dyDescent="0.25">
      <c r="A598" s="3"/>
      <c r="B598" s="3"/>
      <c r="C598" s="3"/>
      <c r="D598" s="3"/>
      <c r="E598" s="3"/>
      <c r="F598" s="3"/>
      <c r="G598" s="3"/>
      <c r="H598" s="3"/>
      <c r="I598" s="3"/>
      <c r="J598" s="13"/>
      <c r="K598" s="13"/>
      <c r="L598" s="13"/>
      <c r="M598" s="13"/>
      <c r="N598" s="13"/>
      <c r="O598" s="13"/>
      <c r="P598" s="13"/>
      <c r="Q598" s="13"/>
      <c r="R598" s="13"/>
      <c r="S598" s="421"/>
      <c r="T598" s="421"/>
      <c r="U598" s="421"/>
      <c r="V598" s="421"/>
      <c r="W598" s="421"/>
      <c r="X598" s="421"/>
      <c r="Y598" s="421"/>
      <c r="Z598" s="421"/>
      <c r="AA598" s="421"/>
      <c r="AB598" s="421"/>
      <c r="AC598" s="421"/>
      <c r="AD598" s="421"/>
      <c r="AE598" s="421"/>
      <c r="AF598" s="421"/>
      <c r="AG598" s="421"/>
      <c r="AH598" s="421"/>
      <c r="AI598" s="421"/>
      <c r="AJ598" s="421"/>
      <c r="AK598" s="421"/>
      <c r="AL598" s="421"/>
      <c r="AM598" s="422"/>
      <c r="AN598" s="422"/>
      <c r="AO598" s="422"/>
      <c r="AP598" s="422"/>
      <c r="AQ598" s="422"/>
      <c r="AR598" s="422"/>
      <c r="AS598" s="422"/>
      <c r="AT598" s="422"/>
      <c r="AU598" s="422"/>
      <c r="AV598" s="422"/>
      <c r="AW598" s="422"/>
      <c r="AX598" s="422"/>
      <c r="AY598" s="422"/>
    </row>
    <row r="599" spans="1:51" x14ac:dyDescent="0.25">
      <c r="A599" s="3"/>
      <c r="B599" s="3"/>
      <c r="C599" s="3"/>
      <c r="D599" s="3"/>
      <c r="E599" s="3"/>
      <c r="F599" s="3"/>
      <c r="G599" s="3"/>
      <c r="H599" s="3"/>
      <c r="I599" s="3"/>
      <c r="J599" s="13"/>
      <c r="K599" s="13"/>
      <c r="L599" s="13"/>
      <c r="M599" s="13"/>
      <c r="N599" s="13"/>
      <c r="O599" s="13"/>
      <c r="P599" s="13"/>
      <c r="Q599" s="13"/>
      <c r="R599" s="13"/>
      <c r="S599" s="421"/>
      <c r="T599" s="421"/>
      <c r="U599" s="421"/>
      <c r="V599" s="421"/>
      <c r="W599" s="421"/>
      <c r="X599" s="421"/>
      <c r="Y599" s="421"/>
      <c r="Z599" s="421"/>
      <c r="AA599" s="421"/>
      <c r="AB599" s="421"/>
      <c r="AC599" s="421"/>
      <c r="AD599" s="421"/>
      <c r="AE599" s="421"/>
      <c r="AF599" s="421"/>
      <c r="AG599" s="421"/>
      <c r="AH599" s="421"/>
      <c r="AI599" s="421"/>
      <c r="AJ599" s="421"/>
      <c r="AK599" s="421"/>
      <c r="AL599" s="421"/>
      <c r="AM599" s="422"/>
      <c r="AN599" s="422"/>
      <c r="AO599" s="422"/>
      <c r="AP599" s="422"/>
      <c r="AQ599" s="422"/>
      <c r="AR599" s="422"/>
      <c r="AS599" s="422"/>
      <c r="AT599" s="422"/>
      <c r="AU599" s="422"/>
      <c r="AV599" s="422"/>
      <c r="AW599" s="422"/>
      <c r="AX599" s="422"/>
      <c r="AY599" s="422"/>
    </row>
    <row r="600" spans="1:51" x14ac:dyDescent="0.25">
      <c r="A600" s="3"/>
      <c r="B600" s="3"/>
      <c r="C600" s="3"/>
      <c r="D600" s="3"/>
      <c r="E600" s="3"/>
      <c r="F600" s="3"/>
      <c r="G600" s="3"/>
      <c r="H600" s="3"/>
      <c r="I600" s="3"/>
      <c r="J600" s="13"/>
      <c r="K600" s="13"/>
      <c r="L600" s="13"/>
      <c r="M600" s="13"/>
      <c r="N600" s="13"/>
      <c r="O600" s="13"/>
      <c r="P600" s="13"/>
      <c r="Q600" s="13"/>
      <c r="R600" s="13"/>
      <c r="S600" s="421"/>
      <c r="T600" s="421"/>
      <c r="U600" s="421"/>
      <c r="V600" s="421"/>
      <c r="W600" s="421"/>
      <c r="X600" s="421"/>
      <c r="Y600" s="421"/>
      <c r="Z600" s="421"/>
      <c r="AA600" s="421"/>
      <c r="AB600" s="421"/>
      <c r="AC600" s="421"/>
      <c r="AD600" s="421"/>
      <c r="AE600" s="421"/>
      <c r="AF600" s="421"/>
      <c r="AG600" s="421"/>
      <c r="AH600" s="421"/>
      <c r="AI600" s="421"/>
      <c r="AJ600" s="421"/>
      <c r="AK600" s="421"/>
      <c r="AL600" s="421"/>
      <c r="AM600" s="422"/>
      <c r="AN600" s="422"/>
      <c r="AO600" s="422"/>
      <c r="AP600" s="422"/>
      <c r="AQ600" s="422"/>
      <c r="AR600" s="422"/>
      <c r="AS600" s="422"/>
      <c r="AT600" s="422"/>
      <c r="AU600" s="422"/>
      <c r="AV600" s="422"/>
      <c r="AW600" s="422"/>
      <c r="AX600" s="422"/>
      <c r="AY600" s="422"/>
    </row>
    <row r="601" spans="1:51" x14ac:dyDescent="0.25">
      <c r="A601" s="3"/>
      <c r="B601" s="3"/>
      <c r="C601" s="3"/>
      <c r="D601" s="3"/>
      <c r="E601" s="3"/>
      <c r="F601" s="3"/>
      <c r="G601" s="3"/>
      <c r="H601" s="3"/>
      <c r="I601" s="3"/>
      <c r="J601" s="13"/>
      <c r="K601" s="13"/>
      <c r="L601" s="13"/>
      <c r="M601" s="13"/>
      <c r="N601" s="13"/>
      <c r="O601" s="13"/>
      <c r="P601" s="13"/>
      <c r="Q601" s="13"/>
      <c r="R601" s="13"/>
      <c r="S601" s="421"/>
      <c r="T601" s="421"/>
      <c r="U601" s="421"/>
      <c r="V601" s="421"/>
      <c r="W601" s="421"/>
      <c r="X601" s="421"/>
      <c r="Y601" s="421"/>
      <c r="Z601" s="421"/>
      <c r="AA601" s="421"/>
      <c r="AB601" s="421"/>
      <c r="AC601" s="421"/>
      <c r="AD601" s="421"/>
      <c r="AE601" s="421"/>
      <c r="AF601" s="421"/>
      <c r="AG601" s="421"/>
      <c r="AH601" s="421"/>
      <c r="AI601" s="421"/>
      <c r="AJ601" s="421"/>
      <c r="AK601" s="421"/>
      <c r="AL601" s="421"/>
      <c r="AM601" s="422"/>
      <c r="AN601" s="422"/>
      <c r="AO601" s="422"/>
      <c r="AP601" s="422"/>
      <c r="AQ601" s="422"/>
      <c r="AR601" s="422"/>
      <c r="AS601" s="422"/>
      <c r="AT601" s="422"/>
      <c r="AU601" s="422"/>
      <c r="AV601" s="422"/>
      <c r="AW601" s="422"/>
      <c r="AX601" s="422"/>
      <c r="AY601" s="422"/>
    </row>
    <row r="602" spans="1:51" x14ac:dyDescent="0.25">
      <c r="A602" s="3"/>
      <c r="B602" s="3"/>
      <c r="C602" s="3"/>
      <c r="D602" s="3"/>
      <c r="E602" s="3"/>
      <c r="F602" s="3"/>
      <c r="G602" s="3"/>
      <c r="H602" s="3"/>
      <c r="I602" s="3"/>
      <c r="J602" s="13"/>
      <c r="K602" s="13"/>
      <c r="L602" s="13"/>
      <c r="M602" s="13"/>
      <c r="N602" s="13"/>
      <c r="O602" s="13"/>
      <c r="P602" s="13"/>
      <c r="Q602" s="13"/>
      <c r="R602" s="13"/>
      <c r="S602" s="421"/>
      <c r="T602" s="421"/>
      <c r="U602" s="421"/>
      <c r="V602" s="421"/>
      <c r="W602" s="421"/>
      <c r="X602" s="421"/>
      <c r="Y602" s="421"/>
      <c r="Z602" s="421"/>
      <c r="AA602" s="421"/>
      <c r="AB602" s="421"/>
      <c r="AC602" s="421"/>
      <c r="AD602" s="421"/>
      <c r="AE602" s="421"/>
      <c r="AF602" s="421"/>
      <c r="AG602" s="421"/>
      <c r="AH602" s="421"/>
      <c r="AI602" s="421"/>
      <c r="AJ602" s="421"/>
      <c r="AK602" s="421"/>
      <c r="AL602" s="421"/>
      <c r="AM602" s="422"/>
      <c r="AN602" s="422"/>
      <c r="AO602" s="422"/>
      <c r="AP602" s="422"/>
      <c r="AQ602" s="422"/>
      <c r="AR602" s="422"/>
      <c r="AS602" s="422"/>
      <c r="AT602" s="422"/>
      <c r="AU602" s="422"/>
      <c r="AV602" s="422"/>
      <c r="AW602" s="422"/>
      <c r="AX602" s="422"/>
      <c r="AY602" s="422"/>
    </row>
    <row r="603" spans="1:51" x14ac:dyDescent="0.25">
      <c r="A603" s="3"/>
      <c r="B603" s="3"/>
      <c r="C603" s="3"/>
      <c r="D603" s="3"/>
      <c r="E603" s="3"/>
      <c r="F603" s="3"/>
      <c r="G603" s="3"/>
      <c r="H603" s="3"/>
      <c r="I603" s="3"/>
      <c r="J603" s="13"/>
      <c r="K603" s="13"/>
      <c r="L603" s="13"/>
      <c r="M603" s="13"/>
      <c r="N603" s="13"/>
      <c r="O603" s="13"/>
      <c r="P603" s="13"/>
      <c r="Q603" s="13"/>
      <c r="R603" s="13"/>
      <c r="S603" s="421"/>
      <c r="T603" s="421"/>
      <c r="U603" s="421"/>
      <c r="V603" s="421"/>
      <c r="W603" s="421"/>
      <c r="X603" s="421"/>
      <c r="Y603" s="421"/>
      <c r="Z603" s="421"/>
      <c r="AA603" s="421"/>
      <c r="AB603" s="421"/>
      <c r="AC603" s="421"/>
      <c r="AD603" s="421"/>
      <c r="AE603" s="421"/>
      <c r="AF603" s="421"/>
      <c r="AG603" s="421"/>
      <c r="AH603" s="421"/>
      <c r="AI603" s="421"/>
      <c r="AJ603" s="421"/>
      <c r="AK603" s="421"/>
      <c r="AL603" s="421"/>
      <c r="AM603" s="422"/>
      <c r="AN603" s="422"/>
      <c r="AO603" s="422"/>
      <c r="AP603" s="422"/>
      <c r="AQ603" s="422"/>
      <c r="AR603" s="422"/>
      <c r="AS603" s="422"/>
      <c r="AT603" s="422"/>
      <c r="AU603" s="422"/>
      <c r="AV603" s="422"/>
      <c r="AW603" s="422"/>
      <c r="AX603" s="422"/>
      <c r="AY603" s="422"/>
    </row>
    <row r="604" spans="1:51" x14ac:dyDescent="0.25">
      <c r="A604" s="3"/>
      <c r="B604" s="3"/>
      <c r="C604" s="3"/>
      <c r="D604" s="3"/>
      <c r="E604" s="3"/>
      <c r="F604" s="3"/>
      <c r="G604" s="3"/>
      <c r="H604" s="3"/>
      <c r="I604" s="3"/>
      <c r="J604" s="13"/>
      <c r="K604" s="13"/>
      <c r="L604" s="13"/>
      <c r="M604" s="13"/>
      <c r="N604" s="13"/>
      <c r="O604" s="13"/>
      <c r="P604" s="13"/>
      <c r="Q604" s="13"/>
      <c r="R604" s="13"/>
      <c r="S604" s="421"/>
      <c r="T604" s="421"/>
      <c r="U604" s="421"/>
      <c r="V604" s="421"/>
      <c r="W604" s="421"/>
      <c r="X604" s="421"/>
      <c r="Y604" s="421"/>
      <c r="Z604" s="421"/>
      <c r="AA604" s="421"/>
      <c r="AB604" s="421"/>
      <c r="AC604" s="421"/>
      <c r="AD604" s="421"/>
      <c r="AE604" s="421"/>
      <c r="AF604" s="421"/>
      <c r="AG604" s="421"/>
      <c r="AH604" s="421"/>
      <c r="AI604" s="421"/>
      <c r="AJ604" s="421"/>
      <c r="AK604" s="421"/>
      <c r="AL604" s="421"/>
      <c r="AM604" s="422"/>
      <c r="AN604" s="422"/>
      <c r="AO604" s="422"/>
      <c r="AP604" s="422"/>
      <c r="AQ604" s="422"/>
      <c r="AR604" s="422"/>
      <c r="AS604" s="422"/>
      <c r="AT604" s="422"/>
      <c r="AU604" s="422"/>
      <c r="AV604" s="422"/>
      <c r="AW604" s="422"/>
      <c r="AX604" s="422"/>
      <c r="AY604" s="422"/>
    </row>
    <row r="605" spans="1:51" x14ac:dyDescent="0.25">
      <c r="A605" s="3"/>
      <c r="B605" s="3"/>
      <c r="C605" s="3"/>
      <c r="D605" s="3"/>
      <c r="E605" s="3"/>
      <c r="F605" s="3"/>
      <c r="G605" s="3"/>
      <c r="H605" s="3"/>
      <c r="I605" s="3"/>
      <c r="J605" s="13"/>
      <c r="K605" s="13"/>
      <c r="L605" s="13"/>
      <c r="M605" s="13"/>
      <c r="N605" s="13"/>
      <c r="O605" s="13"/>
      <c r="P605" s="13"/>
      <c r="Q605" s="13"/>
      <c r="R605" s="13"/>
      <c r="S605" s="421"/>
      <c r="T605" s="421"/>
      <c r="U605" s="421"/>
      <c r="V605" s="421"/>
      <c r="W605" s="421"/>
      <c r="X605" s="421"/>
      <c r="Y605" s="421"/>
      <c r="Z605" s="421"/>
      <c r="AA605" s="421"/>
      <c r="AB605" s="421"/>
      <c r="AC605" s="421"/>
      <c r="AD605" s="421"/>
      <c r="AE605" s="421"/>
      <c r="AF605" s="421"/>
      <c r="AG605" s="421"/>
      <c r="AH605" s="421"/>
      <c r="AI605" s="421"/>
      <c r="AJ605" s="421"/>
      <c r="AK605" s="421"/>
      <c r="AL605" s="421"/>
      <c r="AM605" s="422"/>
      <c r="AN605" s="422"/>
      <c r="AO605" s="422"/>
      <c r="AP605" s="422"/>
      <c r="AQ605" s="422"/>
      <c r="AR605" s="422"/>
      <c r="AS605" s="422"/>
      <c r="AT605" s="422"/>
      <c r="AU605" s="422"/>
      <c r="AV605" s="422"/>
      <c r="AW605" s="422"/>
      <c r="AX605" s="422"/>
      <c r="AY605" s="422"/>
    </row>
    <row r="606" spans="1:51" x14ac:dyDescent="0.25">
      <c r="A606" s="3"/>
      <c r="B606" s="3"/>
      <c r="C606" s="3"/>
      <c r="D606" s="3"/>
      <c r="E606" s="3"/>
      <c r="F606" s="3"/>
      <c r="G606" s="3"/>
      <c r="H606" s="3"/>
      <c r="I606" s="3"/>
      <c r="J606" s="13"/>
      <c r="K606" s="13"/>
      <c r="L606" s="13"/>
      <c r="M606" s="13"/>
      <c r="N606" s="13"/>
      <c r="O606" s="13"/>
      <c r="P606" s="13"/>
      <c r="Q606" s="13"/>
      <c r="R606" s="13"/>
      <c r="S606" s="421"/>
      <c r="T606" s="421"/>
      <c r="U606" s="421"/>
      <c r="V606" s="421"/>
      <c r="W606" s="421"/>
      <c r="X606" s="421"/>
      <c r="Y606" s="421"/>
      <c r="Z606" s="421"/>
      <c r="AA606" s="421"/>
      <c r="AB606" s="421"/>
      <c r="AC606" s="421"/>
      <c r="AD606" s="421"/>
      <c r="AE606" s="421"/>
      <c r="AF606" s="421"/>
      <c r="AG606" s="421"/>
      <c r="AH606" s="421"/>
      <c r="AI606" s="421"/>
      <c r="AJ606" s="421"/>
      <c r="AK606" s="421"/>
      <c r="AL606" s="421"/>
      <c r="AM606" s="422"/>
      <c r="AN606" s="422"/>
      <c r="AO606" s="422"/>
      <c r="AP606" s="422"/>
      <c r="AQ606" s="422"/>
      <c r="AR606" s="422"/>
      <c r="AS606" s="422"/>
      <c r="AT606" s="422"/>
      <c r="AU606" s="422"/>
      <c r="AV606" s="422"/>
      <c r="AW606" s="422"/>
      <c r="AX606" s="422"/>
      <c r="AY606" s="422"/>
    </row>
    <row r="607" spans="1:51" x14ac:dyDescent="0.25">
      <c r="A607" s="3"/>
      <c r="B607" s="3"/>
      <c r="C607" s="3"/>
      <c r="D607" s="3"/>
      <c r="E607" s="3"/>
      <c r="F607" s="3"/>
      <c r="G607" s="3"/>
      <c r="H607" s="3"/>
      <c r="I607" s="3"/>
      <c r="J607" s="13"/>
      <c r="K607" s="13"/>
      <c r="L607" s="13"/>
      <c r="M607" s="13"/>
      <c r="N607" s="13"/>
      <c r="O607" s="13"/>
      <c r="P607" s="13"/>
      <c r="Q607" s="13"/>
      <c r="R607" s="13"/>
      <c r="S607" s="421"/>
      <c r="T607" s="421"/>
      <c r="U607" s="421"/>
      <c r="V607" s="421"/>
      <c r="W607" s="421"/>
      <c r="X607" s="421"/>
      <c r="Y607" s="421"/>
      <c r="Z607" s="421"/>
      <c r="AA607" s="421"/>
      <c r="AB607" s="421"/>
      <c r="AC607" s="421"/>
      <c r="AD607" s="421"/>
      <c r="AE607" s="421"/>
      <c r="AF607" s="421"/>
      <c r="AG607" s="421"/>
      <c r="AH607" s="421"/>
      <c r="AI607" s="421"/>
      <c r="AJ607" s="421"/>
      <c r="AK607" s="421"/>
      <c r="AL607" s="421"/>
      <c r="AM607" s="422"/>
      <c r="AN607" s="422"/>
      <c r="AO607" s="422"/>
      <c r="AP607" s="422"/>
      <c r="AQ607" s="422"/>
      <c r="AR607" s="422"/>
      <c r="AS607" s="422"/>
      <c r="AT607" s="422"/>
      <c r="AU607" s="422"/>
      <c r="AV607" s="422"/>
      <c r="AW607" s="422"/>
      <c r="AX607" s="422"/>
      <c r="AY607" s="422"/>
    </row>
    <row r="608" spans="1:51" x14ac:dyDescent="0.25">
      <c r="A608" s="3"/>
      <c r="B608" s="3"/>
      <c r="C608" s="3"/>
      <c r="D608" s="3"/>
      <c r="E608" s="3"/>
      <c r="F608" s="3"/>
      <c r="G608" s="3"/>
      <c r="H608" s="3"/>
      <c r="I608" s="3"/>
      <c r="J608" s="13"/>
      <c r="K608" s="13"/>
      <c r="L608" s="13"/>
      <c r="M608" s="13"/>
      <c r="N608" s="13"/>
      <c r="O608" s="13"/>
      <c r="P608" s="13"/>
      <c r="Q608" s="13"/>
      <c r="R608" s="13"/>
      <c r="S608" s="421"/>
      <c r="T608" s="421"/>
      <c r="U608" s="421"/>
      <c r="V608" s="421"/>
      <c r="W608" s="421"/>
      <c r="X608" s="421"/>
      <c r="Y608" s="421"/>
      <c r="Z608" s="421"/>
      <c r="AA608" s="421"/>
      <c r="AB608" s="421"/>
      <c r="AC608" s="421"/>
      <c r="AD608" s="421"/>
      <c r="AE608" s="421"/>
      <c r="AF608" s="421"/>
      <c r="AG608" s="421"/>
      <c r="AH608" s="421"/>
      <c r="AI608" s="421"/>
      <c r="AJ608" s="421"/>
      <c r="AK608" s="421"/>
      <c r="AL608" s="421"/>
      <c r="AM608" s="422"/>
      <c r="AN608" s="422"/>
      <c r="AO608" s="422"/>
      <c r="AP608" s="422"/>
      <c r="AQ608" s="422"/>
      <c r="AR608" s="422"/>
      <c r="AS608" s="422"/>
      <c r="AT608" s="422"/>
      <c r="AU608" s="422"/>
      <c r="AV608" s="422"/>
      <c r="AW608" s="422"/>
      <c r="AX608" s="422"/>
      <c r="AY608" s="422"/>
    </row>
    <row r="609" spans="1:51" x14ac:dyDescent="0.25">
      <c r="A609" s="3"/>
      <c r="B609" s="3"/>
      <c r="C609" s="3"/>
      <c r="D609" s="3"/>
      <c r="E609" s="3"/>
      <c r="F609" s="3"/>
      <c r="G609" s="3"/>
      <c r="H609" s="3"/>
      <c r="I609" s="3"/>
      <c r="J609" s="13"/>
      <c r="K609" s="13"/>
      <c r="L609" s="13"/>
      <c r="M609" s="13"/>
      <c r="N609" s="13"/>
      <c r="O609" s="13"/>
      <c r="P609" s="13"/>
      <c r="Q609" s="13"/>
      <c r="R609" s="13"/>
      <c r="S609" s="421"/>
      <c r="T609" s="421"/>
      <c r="U609" s="421"/>
      <c r="V609" s="421"/>
      <c r="W609" s="421"/>
      <c r="X609" s="421"/>
      <c r="Y609" s="421"/>
      <c r="Z609" s="421"/>
      <c r="AA609" s="421"/>
      <c r="AB609" s="421"/>
      <c r="AC609" s="421"/>
      <c r="AD609" s="421"/>
      <c r="AE609" s="421"/>
      <c r="AF609" s="421"/>
      <c r="AG609" s="421"/>
      <c r="AH609" s="421"/>
      <c r="AI609" s="421"/>
      <c r="AJ609" s="421"/>
      <c r="AK609" s="421"/>
      <c r="AL609" s="421"/>
      <c r="AM609" s="422"/>
      <c r="AN609" s="422"/>
      <c r="AO609" s="422"/>
      <c r="AP609" s="422"/>
      <c r="AQ609" s="422"/>
      <c r="AR609" s="422"/>
      <c r="AS609" s="422"/>
      <c r="AT609" s="422"/>
      <c r="AU609" s="422"/>
      <c r="AV609" s="422"/>
      <c r="AW609" s="422"/>
      <c r="AX609" s="422"/>
      <c r="AY609" s="422"/>
    </row>
    <row r="610" spans="1:51" x14ac:dyDescent="0.25">
      <c r="A610" s="3"/>
      <c r="B610" s="3"/>
      <c r="C610" s="3"/>
      <c r="D610" s="3"/>
      <c r="E610" s="3"/>
      <c r="F610" s="3"/>
      <c r="G610" s="3"/>
      <c r="H610" s="3"/>
      <c r="I610" s="3"/>
      <c r="J610" s="13"/>
      <c r="K610" s="13"/>
      <c r="L610" s="13"/>
      <c r="M610" s="13"/>
      <c r="N610" s="13"/>
      <c r="O610" s="13"/>
      <c r="P610" s="13"/>
      <c r="Q610" s="13"/>
      <c r="R610" s="13"/>
      <c r="S610" s="421"/>
      <c r="T610" s="421"/>
      <c r="U610" s="421"/>
      <c r="V610" s="421"/>
      <c r="W610" s="421"/>
      <c r="X610" s="421"/>
      <c r="Y610" s="421"/>
      <c r="Z610" s="421"/>
      <c r="AA610" s="421"/>
      <c r="AB610" s="421"/>
      <c r="AC610" s="421"/>
      <c r="AD610" s="421"/>
      <c r="AE610" s="421"/>
      <c r="AF610" s="421"/>
      <c r="AG610" s="421"/>
      <c r="AH610" s="421"/>
      <c r="AI610" s="421"/>
      <c r="AJ610" s="421"/>
      <c r="AK610" s="421"/>
      <c r="AL610" s="421"/>
      <c r="AM610" s="422"/>
      <c r="AN610" s="422"/>
      <c r="AO610" s="422"/>
      <c r="AP610" s="422"/>
      <c r="AQ610" s="422"/>
      <c r="AR610" s="422"/>
      <c r="AS610" s="422"/>
      <c r="AT610" s="422"/>
      <c r="AU610" s="422"/>
      <c r="AV610" s="422"/>
      <c r="AW610" s="422"/>
      <c r="AX610" s="422"/>
      <c r="AY610" s="422"/>
    </row>
    <row r="611" spans="1:51" x14ac:dyDescent="0.25">
      <c r="A611" s="3"/>
      <c r="B611" s="3"/>
      <c r="C611" s="3"/>
      <c r="D611" s="3"/>
      <c r="E611" s="3"/>
      <c r="F611" s="3"/>
      <c r="G611" s="3"/>
      <c r="H611" s="3"/>
      <c r="I611" s="3"/>
      <c r="J611" s="13"/>
      <c r="K611" s="13"/>
      <c r="L611" s="13"/>
      <c r="M611" s="13"/>
      <c r="N611" s="13"/>
      <c r="O611" s="13"/>
      <c r="P611" s="13"/>
      <c r="Q611" s="13"/>
      <c r="R611" s="13"/>
      <c r="S611" s="421"/>
      <c r="T611" s="421"/>
      <c r="U611" s="421"/>
      <c r="V611" s="421"/>
      <c r="W611" s="421"/>
      <c r="X611" s="421"/>
      <c r="Y611" s="421"/>
      <c r="Z611" s="421"/>
      <c r="AA611" s="421"/>
      <c r="AB611" s="421"/>
      <c r="AC611" s="421"/>
      <c r="AD611" s="421"/>
      <c r="AE611" s="421"/>
      <c r="AF611" s="421"/>
      <c r="AG611" s="421"/>
      <c r="AH611" s="421"/>
      <c r="AI611" s="421"/>
      <c r="AJ611" s="421"/>
      <c r="AK611" s="421"/>
      <c r="AL611" s="421"/>
      <c r="AM611" s="422"/>
      <c r="AN611" s="422"/>
      <c r="AO611" s="422"/>
      <c r="AP611" s="422"/>
      <c r="AQ611" s="422"/>
      <c r="AR611" s="422"/>
      <c r="AS611" s="422"/>
      <c r="AT611" s="422"/>
      <c r="AU611" s="422"/>
      <c r="AV611" s="422"/>
      <c r="AW611" s="422"/>
      <c r="AX611" s="422"/>
      <c r="AY611" s="422"/>
    </row>
    <row r="612" spans="1:51" x14ac:dyDescent="0.25">
      <c r="A612" s="3"/>
      <c r="B612" s="3"/>
      <c r="C612" s="3"/>
      <c r="D612" s="3"/>
      <c r="E612" s="3"/>
      <c r="F612" s="3"/>
      <c r="G612" s="3"/>
      <c r="H612" s="3"/>
      <c r="I612" s="3"/>
      <c r="J612" s="13"/>
      <c r="K612" s="13"/>
      <c r="L612" s="13"/>
      <c r="M612" s="13"/>
      <c r="N612" s="13"/>
      <c r="O612" s="13"/>
      <c r="P612" s="13"/>
      <c r="Q612" s="13"/>
      <c r="R612" s="13"/>
      <c r="S612" s="421"/>
      <c r="T612" s="421"/>
      <c r="U612" s="421"/>
      <c r="V612" s="421"/>
      <c r="W612" s="421"/>
      <c r="X612" s="421"/>
      <c r="Y612" s="421"/>
      <c r="Z612" s="421"/>
      <c r="AA612" s="421"/>
      <c r="AB612" s="421"/>
      <c r="AC612" s="421"/>
      <c r="AD612" s="421"/>
      <c r="AE612" s="421"/>
      <c r="AF612" s="421"/>
      <c r="AG612" s="421"/>
      <c r="AH612" s="421"/>
      <c r="AI612" s="421"/>
      <c r="AJ612" s="421"/>
      <c r="AK612" s="421"/>
      <c r="AL612" s="421"/>
      <c r="AM612" s="422"/>
      <c r="AN612" s="422"/>
      <c r="AO612" s="422"/>
      <c r="AP612" s="422"/>
      <c r="AQ612" s="422"/>
      <c r="AR612" s="422"/>
      <c r="AS612" s="422"/>
      <c r="AT612" s="422"/>
      <c r="AU612" s="422"/>
      <c r="AV612" s="422"/>
      <c r="AW612" s="422"/>
      <c r="AX612" s="422"/>
      <c r="AY612" s="422"/>
    </row>
    <row r="613" spans="1:51" x14ac:dyDescent="0.25">
      <c r="A613" s="3"/>
      <c r="B613" s="3"/>
      <c r="C613" s="3"/>
      <c r="D613" s="3"/>
      <c r="E613" s="3"/>
      <c r="F613" s="3"/>
      <c r="G613" s="3"/>
      <c r="H613" s="3"/>
      <c r="I613" s="3"/>
      <c r="J613" s="13"/>
      <c r="K613" s="13"/>
      <c r="L613" s="13"/>
      <c r="M613" s="13"/>
      <c r="N613" s="13"/>
      <c r="O613" s="13"/>
      <c r="P613" s="13"/>
      <c r="Q613" s="13"/>
      <c r="R613" s="13"/>
      <c r="S613" s="421"/>
      <c r="T613" s="421"/>
      <c r="U613" s="421"/>
      <c r="V613" s="421"/>
      <c r="W613" s="421"/>
      <c r="X613" s="421"/>
      <c r="Y613" s="421"/>
      <c r="Z613" s="421"/>
      <c r="AA613" s="421"/>
      <c r="AB613" s="421"/>
      <c r="AC613" s="421"/>
      <c r="AD613" s="421"/>
      <c r="AE613" s="421"/>
      <c r="AF613" s="421"/>
      <c r="AG613" s="421"/>
      <c r="AH613" s="421"/>
      <c r="AI613" s="421"/>
      <c r="AJ613" s="421"/>
      <c r="AK613" s="421"/>
      <c r="AL613" s="421"/>
      <c r="AM613" s="422"/>
      <c r="AN613" s="422"/>
      <c r="AO613" s="422"/>
      <c r="AP613" s="422"/>
      <c r="AQ613" s="422"/>
      <c r="AR613" s="422"/>
      <c r="AS613" s="422"/>
      <c r="AT613" s="422"/>
      <c r="AU613" s="422"/>
      <c r="AV613" s="422"/>
      <c r="AW613" s="422"/>
      <c r="AX613" s="422"/>
      <c r="AY613" s="422"/>
    </row>
    <row r="614" spans="1:51" x14ac:dyDescent="0.25">
      <c r="A614" s="3"/>
      <c r="B614" s="3"/>
      <c r="C614" s="3"/>
      <c r="D614" s="3"/>
      <c r="E614" s="3"/>
      <c r="F614" s="3"/>
      <c r="G614" s="3"/>
      <c r="H614" s="3"/>
      <c r="I614" s="3"/>
      <c r="J614" s="13"/>
      <c r="K614" s="13"/>
      <c r="L614" s="13"/>
      <c r="M614" s="13"/>
      <c r="N614" s="13"/>
      <c r="O614" s="13"/>
      <c r="P614" s="13"/>
      <c r="Q614" s="13"/>
      <c r="R614" s="13"/>
      <c r="S614" s="421"/>
      <c r="T614" s="421"/>
      <c r="U614" s="421"/>
      <c r="V614" s="421"/>
      <c r="W614" s="421"/>
      <c r="X614" s="421"/>
      <c r="Y614" s="421"/>
      <c r="Z614" s="421"/>
      <c r="AA614" s="421"/>
      <c r="AB614" s="421"/>
      <c r="AC614" s="421"/>
      <c r="AD614" s="421"/>
      <c r="AE614" s="421"/>
      <c r="AF614" s="421"/>
      <c r="AG614" s="421"/>
      <c r="AH614" s="421"/>
      <c r="AI614" s="421"/>
      <c r="AJ614" s="421"/>
      <c r="AK614" s="421"/>
      <c r="AL614" s="421"/>
      <c r="AM614" s="422"/>
      <c r="AN614" s="422"/>
      <c r="AO614" s="422"/>
      <c r="AP614" s="422"/>
      <c r="AQ614" s="422"/>
      <c r="AR614" s="422"/>
      <c r="AS614" s="422"/>
      <c r="AT614" s="422"/>
      <c r="AU614" s="422"/>
      <c r="AV614" s="422"/>
      <c r="AW614" s="422"/>
      <c r="AX614" s="422"/>
      <c r="AY614" s="422"/>
    </row>
    <row r="615" spans="1:51" x14ac:dyDescent="0.25">
      <c r="A615" s="3"/>
      <c r="B615" s="3"/>
      <c r="C615" s="3"/>
      <c r="D615" s="3"/>
      <c r="E615" s="3"/>
      <c r="F615" s="3"/>
      <c r="G615" s="3"/>
      <c r="H615" s="3"/>
      <c r="I615" s="3"/>
      <c r="J615" s="13"/>
      <c r="K615" s="13"/>
      <c r="L615" s="13"/>
      <c r="M615" s="13"/>
      <c r="N615" s="13"/>
      <c r="O615" s="13"/>
      <c r="P615" s="13"/>
      <c r="Q615" s="13"/>
      <c r="R615" s="13"/>
      <c r="S615" s="421"/>
      <c r="T615" s="421"/>
      <c r="U615" s="421"/>
      <c r="V615" s="421"/>
      <c r="W615" s="421"/>
      <c r="X615" s="421"/>
      <c r="Y615" s="421"/>
      <c r="Z615" s="421"/>
      <c r="AA615" s="421"/>
      <c r="AB615" s="421"/>
      <c r="AC615" s="421"/>
      <c r="AD615" s="421"/>
      <c r="AE615" s="421"/>
      <c r="AF615" s="421"/>
      <c r="AG615" s="421"/>
      <c r="AH615" s="421"/>
      <c r="AI615" s="421"/>
      <c r="AJ615" s="421"/>
      <c r="AK615" s="421"/>
      <c r="AL615" s="421"/>
      <c r="AM615" s="422"/>
      <c r="AN615" s="422"/>
      <c r="AO615" s="422"/>
      <c r="AP615" s="422"/>
      <c r="AQ615" s="422"/>
      <c r="AR615" s="422"/>
      <c r="AS615" s="422"/>
      <c r="AT615" s="422"/>
      <c r="AU615" s="422"/>
      <c r="AV615" s="422"/>
      <c r="AW615" s="422"/>
      <c r="AX615" s="422"/>
      <c r="AY615" s="422"/>
    </row>
    <row r="616" spans="1:51" x14ac:dyDescent="0.25">
      <c r="A616" s="3"/>
      <c r="B616" s="3"/>
      <c r="C616" s="3"/>
      <c r="D616" s="3"/>
      <c r="E616" s="3"/>
      <c r="F616" s="3"/>
      <c r="G616" s="3"/>
      <c r="H616" s="3"/>
      <c r="I616" s="3"/>
      <c r="J616" s="13"/>
      <c r="K616" s="13"/>
      <c r="L616" s="13"/>
      <c r="M616" s="13"/>
      <c r="N616" s="13"/>
      <c r="O616" s="13"/>
      <c r="P616" s="13"/>
      <c r="Q616" s="13"/>
      <c r="R616" s="13"/>
      <c r="S616" s="421"/>
      <c r="T616" s="421"/>
      <c r="U616" s="421"/>
      <c r="V616" s="421"/>
      <c r="W616" s="421"/>
      <c r="X616" s="421"/>
      <c r="Y616" s="421"/>
      <c r="Z616" s="421"/>
      <c r="AA616" s="421"/>
      <c r="AB616" s="421"/>
      <c r="AC616" s="421"/>
      <c r="AD616" s="421"/>
      <c r="AE616" s="421"/>
      <c r="AF616" s="421"/>
      <c r="AG616" s="421"/>
      <c r="AH616" s="421"/>
      <c r="AI616" s="421"/>
      <c r="AJ616" s="421"/>
      <c r="AK616" s="421"/>
      <c r="AL616" s="421"/>
      <c r="AM616" s="422"/>
      <c r="AN616" s="422"/>
      <c r="AO616" s="422"/>
      <c r="AP616" s="422"/>
      <c r="AQ616" s="422"/>
      <c r="AR616" s="422"/>
      <c r="AS616" s="422"/>
      <c r="AT616" s="422"/>
      <c r="AU616" s="422"/>
      <c r="AV616" s="422"/>
      <c r="AW616" s="422"/>
      <c r="AX616" s="422"/>
      <c r="AY616" s="422"/>
    </row>
    <row r="617" spans="1:51" x14ac:dyDescent="0.25">
      <c r="A617" s="3"/>
      <c r="B617" s="3"/>
      <c r="C617" s="3"/>
      <c r="D617" s="3"/>
      <c r="E617" s="3"/>
      <c r="F617" s="3"/>
      <c r="G617" s="3"/>
      <c r="H617" s="3"/>
      <c r="I617" s="3"/>
      <c r="J617" s="13"/>
      <c r="K617" s="13"/>
      <c r="L617" s="13"/>
      <c r="M617" s="13"/>
      <c r="N617" s="13"/>
      <c r="O617" s="13"/>
      <c r="P617" s="13"/>
      <c r="Q617" s="13"/>
      <c r="R617" s="13"/>
      <c r="S617" s="421"/>
      <c r="T617" s="421"/>
      <c r="U617" s="421"/>
      <c r="V617" s="421"/>
      <c r="W617" s="421"/>
      <c r="X617" s="421"/>
      <c r="Y617" s="421"/>
      <c r="Z617" s="421"/>
      <c r="AA617" s="421"/>
      <c r="AB617" s="421"/>
      <c r="AC617" s="421"/>
      <c r="AD617" s="421"/>
      <c r="AE617" s="421"/>
      <c r="AF617" s="421"/>
      <c r="AG617" s="421"/>
      <c r="AH617" s="421"/>
      <c r="AI617" s="421"/>
      <c r="AJ617" s="421"/>
      <c r="AK617" s="421"/>
      <c r="AL617" s="421"/>
      <c r="AM617" s="422"/>
      <c r="AN617" s="422"/>
      <c r="AO617" s="422"/>
      <c r="AP617" s="422"/>
      <c r="AQ617" s="422"/>
      <c r="AR617" s="422"/>
      <c r="AS617" s="422"/>
      <c r="AT617" s="422"/>
      <c r="AU617" s="422"/>
      <c r="AV617" s="422"/>
      <c r="AW617" s="422"/>
      <c r="AX617" s="422"/>
      <c r="AY617" s="422"/>
    </row>
    <row r="618" spans="1:51" x14ac:dyDescent="0.25">
      <c r="A618" s="3"/>
      <c r="B618" s="3"/>
      <c r="C618" s="3"/>
      <c r="D618" s="3"/>
      <c r="E618" s="3"/>
      <c r="F618" s="3"/>
      <c r="G618" s="3"/>
      <c r="H618" s="3"/>
      <c r="I618" s="3"/>
      <c r="J618" s="13"/>
      <c r="K618" s="13"/>
      <c r="L618" s="13"/>
      <c r="M618" s="13"/>
      <c r="N618" s="13"/>
      <c r="O618" s="13"/>
      <c r="P618" s="13"/>
      <c r="Q618" s="13"/>
      <c r="R618" s="13"/>
      <c r="S618" s="421"/>
      <c r="T618" s="421"/>
      <c r="U618" s="421"/>
      <c r="V618" s="421"/>
      <c r="W618" s="421"/>
      <c r="X618" s="421"/>
      <c r="Y618" s="421"/>
      <c r="Z618" s="421"/>
      <c r="AA618" s="421"/>
      <c r="AB618" s="421"/>
      <c r="AC618" s="421"/>
      <c r="AD618" s="421"/>
      <c r="AE618" s="421"/>
      <c r="AF618" s="421"/>
      <c r="AG618" s="421"/>
      <c r="AH618" s="421"/>
      <c r="AI618" s="421"/>
      <c r="AJ618" s="421"/>
      <c r="AK618" s="421"/>
      <c r="AL618" s="421"/>
      <c r="AM618" s="422"/>
      <c r="AN618" s="422"/>
      <c r="AO618" s="422"/>
      <c r="AP618" s="422"/>
      <c r="AQ618" s="422"/>
      <c r="AR618" s="422"/>
      <c r="AS618" s="422"/>
      <c r="AT618" s="422"/>
      <c r="AU618" s="422"/>
      <c r="AV618" s="422"/>
      <c r="AW618" s="422"/>
      <c r="AX618" s="422"/>
      <c r="AY618" s="422"/>
    </row>
    <row r="619" spans="1:51" x14ac:dyDescent="0.25">
      <c r="A619" s="3"/>
      <c r="B619" s="3"/>
      <c r="C619" s="3"/>
      <c r="D619" s="3"/>
      <c r="E619" s="3"/>
      <c r="F619" s="3"/>
      <c r="G619" s="3"/>
      <c r="H619" s="3"/>
      <c r="I619" s="3"/>
      <c r="J619" s="13"/>
      <c r="K619" s="13"/>
      <c r="L619" s="13"/>
      <c r="M619" s="13"/>
      <c r="N619" s="13"/>
      <c r="O619" s="13"/>
      <c r="P619" s="13"/>
      <c r="Q619" s="13"/>
      <c r="R619" s="13"/>
      <c r="S619" s="421"/>
      <c r="T619" s="421"/>
      <c r="U619" s="421"/>
      <c r="V619" s="421"/>
      <c r="W619" s="421"/>
      <c r="X619" s="421"/>
      <c r="Y619" s="421"/>
      <c r="Z619" s="421"/>
      <c r="AA619" s="421"/>
      <c r="AB619" s="421"/>
      <c r="AC619" s="421"/>
      <c r="AD619" s="421"/>
      <c r="AE619" s="421"/>
      <c r="AF619" s="421"/>
      <c r="AG619" s="421"/>
      <c r="AH619" s="421"/>
      <c r="AI619" s="421"/>
      <c r="AJ619" s="421"/>
      <c r="AK619" s="421"/>
      <c r="AL619" s="421"/>
      <c r="AM619" s="422"/>
      <c r="AN619" s="422"/>
      <c r="AO619" s="422"/>
      <c r="AP619" s="422"/>
      <c r="AQ619" s="422"/>
      <c r="AR619" s="422"/>
      <c r="AS619" s="422"/>
      <c r="AT619" s="422"/>
      <c r="AU619" s="422"/>
      <c r="AV619" s="422"/>
      <c r="AW619" s="422"/>
      <c r="AX619" s="422"/>
      <c r="AY619" s="422"/>
    </row>
    <row r="620" spans="1:51" x14ac:dyDescent="0.25">
      <c r="A620" s="3"/>
      <c r="B620" s="3"/>
      <c r="C620" s="3"/>
      <c r="D620" s="3"/>
      <c r="E620" s="3"/>
      <c r="F620" s="3"/>
      <c r="G620" s="3"/>
      <c r="H620" s="3"/>
      <c r="I620" s="3"/>
      <c r="J620" s="13"/>
      <c r="K620" s="13"/>
      <c r="L620" s="13"/>
      <c r="M620" s="13"/>
      <c r="N620" s="13"/>
      <c r="O620" s="13"/>
      <c r="P620" s="13"/>
      <c r="Q620" s="13"/>
      <c r="R620" s="13"/>
      <c r="S620" s="421"/>
      <c r="T620" s="421"/>
      <c r="U620" s="421"/>
      <c r="V620" s="421"/>
      <c r="W620" s="421"/>
      <c r="X620" s="421"/>
      <c r="Y620" s="421"/>
      <c r="Z620" s="421"/>
      <c r="AA620" s="421"/>
      <c r="AB620" s="421"/>
      <c r="AC620" s="421"/>
      <c r="AD620" s="421"/>
      <c r="AE620" s="421"/>
      <c r="AF620" s="421"/>
      <c r="AG620" s="421"/>
      <c r="AH620" s="421"/>
      <c r="AI620" s="421"/>
      <c r="AJ620" s="421"/>
      <c r="AK620" s="421"/>
      <c r="AL620" s="421"/>
      <c r="AM620" s="422"/>
      <c r="AN620" s="422"/>
      <c r="AO620" s="422"/>
      <c r="AP620" s="422"/>
      <c r="AQ620" s="422"/>
      <c r="AR620" s="422"/>
      <c r="AS620" s="422"/>
      <c r="AT620" s="422"/>
      <c r="AU620" s="422"/>
      <c r="AV620" s="422"/>
      <c r="AW620" s="422"/>
      <c r="AX620" s="422"/>
      <c r="AY620" s="422"/>
    </row>
    <row r="621" spans="1:51" x14ac:dyDescent="0.25">
      <c r="A621" s="3"/>
      <c r="B621" s="3"/>
      <c r="C621" s="3"/>
      <c r="D621" s="3"/>
      <c r="E621" s="3"/>
      <c r="F621" s="3"/>
      <c r="G621" s="3"/>
      <c r="H621" s="3"/>
      <c r="I621" s="3"/>
      <c r="J621" s="13"/>
      <c r="K621" s="13"/>
      <c r="L621" s="13"/>
      <c r="M621" s="13"/>
      <c r="N621" s="13"/>
      <c r="O621" s="13"/>
      <c r="P621" s="13"/>
      <c r="Q621" s="13"/>
      <c r="R621" s="13"/>
      <c r="S621" s="421"/>
      <c r="T621" s="421"/>
      <c r="U621" s="421"/>
      <c r="V621" s="421"/>
      <c r="W621" s="421"/>
      <c r="X621" s="421"/>
      <c r="Y621" s="421"/>
      <c r="Z621" s="421"/>
      <c r="AA621" s="421"/>
      <c r="AB621" s="421"/>
      <c r="AC621" s="421"/>
      <c r="AD621" s="421"/>
      <c r="AE621" s="421"/>
      <c r="AF621" s="421"/>
      <c r="AG621" s="421"/>
      <c r="AH621" s="421"/>
      <c r="AI621" s="421"/>
      <c r="AJ621" s="421"/>
      <c r="AK621" s="421"/>
      <c r="AL621" s="421"/>
      <c r="AM621" s="422"/>
      <c r="AN621" s="422"/>
      <c r="AO621" s="422"/>
      <c r="AP621" s="422"/>
      <c r="AQ621" s="422"/>
      <c r="AR621" s="422"/>
      <c r="AS621" s="422"/>
      <c r="AT621" s="422"/>
      <c r="AU621" s="422"/>
      <c r="AV621" s="422"/>
      <c r="AW621" s="422"/>
      <c r="AX621" s="422"/>
      <c r="AY621" s="422"/>
    </row>
    <row r="622" spans="1:51" x14ac:dyDescent="0.25">
      <c r="A622" s="3"/>
      <c r="B622" s="3"/>
      <c r="C622" s="3"/>
      <c r="D622" s="3"/>
      <c r="E622" s="3"/>
      <c r="F622" s="3"/>
      <c r="G622" s="3"/>
      <c r="H622" s="3"/>
      <c r="I622" s="3"/>
      <c r="J622" s="13"/>
      <c r="K622" s="13"/>
      <c r="L622" s="13"/>
      <c r="M622" s="13"/>
      <c r="N622" s="13"/>
      <c r="O622" s="13"/>
      <c r="P622" s="13"/>
      <c r="Q622" s="13"/>
      <c r="R622" s="13"/>
      <c r="S622" s="421"/>
      <c r="T622" s="421"/>
      <c r="U622" s="421"/>
      <c r="V622" s="421"/>
      <c r="W622" s="421"/>
      <c r="X622" s="421"/>
      <c r="Y622" s="421"/>
      <c r="Z622" s="421"/>
      <c r="AA622" s="421"/>
      <c r="AB622" s="421"/>
      <c r="AC622" s="421"/>
      <c r="AD622" s="421"/>
      <c r="AE622" s="421"/>
      <c r="AF622" s="421"/>
      <c r="AG622" s="421"/>
      <c r="AH622" s="421"/>
      <c r="AI622" s="421"/>
      <c r="AJ622" s="421"/>
      <c r="AK622" s="421"/>
      <c r="AL622" s="421"/>
      <c r="AM622" s="422"/>
      <c r="AN622" s="422"/>
      <c r="AO622" s="422"/>
      <c r="AP622" s="422"/>
      <c r="AQ622" s="422"/>
      <c r="AR622" s="422"/>
      <c r="AS622" s="422"/>
      <c r="AT622" s="422"/>
      <c r="AU622" s="422"/>
      <c r="AV622" s="422"/>
      <c r="AW622" s="422"/>
      <c r="AX622" s="422"/>
      <c r="AY622" s="422"/>
    </row>
    <row r="623" spans="1:51" x14ac:dyDescent="0.25">
      <c r="A623" s="3"/>
      <c r="B623" s="3"/>
      <c r="C623" s="3"/>
      <c r="D623" s="3"/>
      <c r="E623" s="3"/>
      <c r="F623" s="3"/>
      <c r="G623" s="3"/>
      <c r="H623" s="3"/>
      <c r="I623" s="3"/>
      <c r="J623" s="13"/>
      <c r="K623" s="13"/>
      <c r="L623" s="13"/>
      <c r="M623" s="13"/>
      <c r="N623" s="13"/>
      <c r="O623" s="13"/>
      <c r="P623" s="13"/>
      <c r="Q623" s="13"/>
      <c r="R623" s="13"/>
      <c r="S623" s="421"/>
      <c r="T623" s="421"/>
      <c r="U623" s="421"/>
      <c r="V623" s="421"/>
      <c r="W623" s="421"/>
      <c r="X623" s="421"/>
      <c r="Y623" s="421"/>
      <c r="Z623" s="421"/>
      <c r="AA623" s="421"/>
      <c r="AB623" s="421"/>
      <c r="AC623" s="421"/>
      <c r="AD623" s="421"/>
      <c r="AE623" s="421"/>
      <c r="AF623" s="421"/>
      <c r="AG623" s="421"/>
      <c r="AH623" s="421"/>
      <c r="AI623" s="421"/>
      <c r="AJ623" s="421"/>
      <c r="AK623" s="421"/>
      <c r="AL623" s="421"/>
      <c r="AM623" s="422"/>
      <c r="AN623" s="422"/>
      <c r="AO623" s="422"/>
      <c r="AP623" s="422"/>
      <c r="AQ623" s="422"/>
      <c r="AR623" s="422"/>
      <c r="AS623" s="422"/>
      <c r="AT623" s="422"/>
      <c r="AU623" s="422"/>
      <c r="AV623" s="422"/>
      <c r="AW623" s="422"/>
      <c r="AX623" s="422"/>
      <c r="AY623" s="422"/>
    </row>
    <row r="624" spans="1:51" x14ac:dyDescent="0.25">
      <c r="A624" s="3"/>
      <c r="B624" s="3"/>
      <c r="C624" s="3"/>
      <c r="D624" s="3"/>
      <c r="E624" s="3"/>
      <c r="F624" s="3"/>
      <c r="G624" s="3"/>
      <c r="H624" s="3"/>
      <c r="I624" s="3"/>
      <c r="J624" s="13"/>
      <c r="K624" s="13"/>
      <c r="L624" s="13"/>
      <c r="M624" s="13"/>
      <c r="N624" s="13"/>
      <c r="O624" s="13"/>
      <c r="P624" s="13"/>
      <c r="Q624" s="13"/>
      <c r="R624" s="13"/>
      <c r="S624" s="421"/>
      <c r="T624" s="421"/>
      <c r="U624" s="421"/>
      <c r="V624" s="421"/>
      <c r="W624" s="421"/>
      <c r="X624" s="421"/>
      <c r="Y624" s="421"/>
      <c r="Z624" s="421"/>
      <c r="AA624" s="421"/>
      <c r="AB624" s="421"/>
      <c r="AC624" s="421"/>
      <c r="AD624" s="421"/>
      <c r="AE624" s="421"/>
      <c r="AF624" s="421"/>
      <c r="AG624" s="421"/>
      <c r="AH624" s="421"/>
      <c r="AI624" s="421"/>
      <c r="AJ624" s="421"/>
      <c r="AK624" s="421"/>
      <c r="AL624" s="421"/>
      <c r="AM624" s="422"/>
      <c r="AN624" s="422"/>
      <c r="AO624" s="422"/>
      <c r="AP624" s="422"/>
      <c r="AQ624" s="422"/>
      <c r="AR624" s="422"/>
      <c r="AS624" s="422"/>
      <c r="AT624" s="422"/>
      <c r="AU624" s="422"/>
      <c r="AV624" s="422"/>
      <c r="AW624" s="422"/>
      <c r="AX624" s="422"/>
      <c r="AY624" s="422"/>
    </row>
    <row r="625" spans="1:51" x14ac:dyDescent="0.25">
      <c r="A625" s="3"/>
      <c r="B625" s="3"/>
      <c r="C625" s="3"/>
      <c r="D625" s="3"/>
      <c r="E625" s="3"/>
      <c r="F625" s="3"/>
      <c r="G625" s="3"/>
      <c r="H625" s="3"/>
      <c r="I625" s="3"/>
      <c r="J625" s="13"/>
      <c r="K625" s="13"/>
      <c r="L625" s="13"/>
      <c r="M625" s="13"/>
      <c r="N625" s="13"/>
      <c r="O625" s="13"/>
      <c r="P625" s="13"/>
      <c r="Q625" s="13"/>
      <c r="R625" s="13"/>
      <c r="S625" s="421"/>
      <c r="T625" s="421"/>
      <c r="U625" s="421"/>
      <c r="V625" s="421"/>
      <c r="W625" s="421"/>
      <c r="X625" s="421"/>
      <c r="Y625" s="421"/>
      <c r="Z625" s="421"/>
      <c r="AA625" s="421"/>
      <c r="AB625" s="421"/>
      <c r="AC625" s="421"/>
      <c r="AD625" s="421"/>
      <c r="AE625" s="421"/>
      <c r="AF625" s="421"/>
      <c r="AG625" s="421"/>
      <c r="AH625" s="421"/>
      <c r="AI625" s="421"/>
      <c r="AJ625" s="421"/>
      <c r="AK625" s="421"/>
      <c r="AL625" s="421"/>
      <c r="AM625" s="422"/>
      <c r="AN625" s="422"/>
      <c r="AO625" s="422"/>
      <c r="AP625" s="422"/>
      <c r="AQ625" s="422"/>
      <c r="AR625" s="422"/>
      <c r="AS625" s="422"/>
      <c r="AT625" s="422"/>
      <c r="AU625" s="422"/>
      <c r="AV625" s="422"/>
      <c r="AW625" s="422"/>
      <c r="AX625" s="422"/>
      <c r="AY625" s="422"/>
    </row>
    <row r="626" spans="1:51" x14ac:dyDescent="0.25">
      <c r="A626" s="3"/>
      <c r="B626" s="3"/>
      <c r="C626" s="3"/>
      <c r="D626" s="3"/>
      <c r="E626" s="3"/>
      <c r="F626" s="3"/>
      <c r="G626" s="3"/>
      <c r="H626" s="3"/>
      <c r="I626" s="3"/>
      <c r="J626" s="13"/>
      <c r="K626" s="13"/>
      <c r="L626" s="13"/>
      <c r="M626" s="13"/>
      <c r="N626" s="13"/>
      <c r="O626" s="13"/>
      <c r="P626" s="13"/>
      <c r="Q626" s="13"/>
      <c r="R626" s="13"/>
      <c r="S626" s="421"/>
      <c r="T626" s="421"/>
      <c r="U626" s="421"/>
      <c r="V626" s="421"/>
      <c r="W626" s="421"/>
      <c r="X626" s="421"/>
      <c r="Y626" s="421"/>
      <c r="Z626" s="421"/>
      <c r="AA626" s="421"/>
      <c r="AB626" s="421"/>
      <c r="AC626" s="421"/>
      <c r="AD626" s="421"/>
      <c r="AE626" s="421"/>
      <c r="AF626" s="421"/>
      <c r="AG626" s="421"/>
      <c r="AH626" s="421"/>
      <c r="AI626" s="421"/>
      <c r="AJ626" s="421"/>
      <c r="AK626" s="421"/>
      <c r="AL626" s="421"/>
      <c r="AM626" s="422"/>
      <c r="AN626" s="422"/>
      <c r="AO626" s="422"/>
      <c r="AP626" s="422"/>
      <c r="AQ626" s="422"/>
      <c r="AR626" s="422"/>
      <c r="AS626" s="422"/>
      <c r="AT626" s="422"/>
      <c r="AU626" s="422"/>
      <c r="AV626" s="422"/>
      <c r="AW626" s="422"/>
      <c r="AX626" s="422"/>
      <c r="AY626" s="422"/>
    </row>
    <row r="627" spans="1:51" x14ac:dyDescent="0.25">
      <c r="A627" s="3"/>
      <c r="B627" s="3"/>
      <c r="C627" s="3"/>
      <c r="D627" s="3"/>
      <c r="E627" s="3"/>
      <c r="F627" s="3"/>
      <c r="G627" s="3"/>
      <c r="H627" s="3"/>
      <c r="I627" s="3"/>
      <c r="J627" s="13"/>
      <c r="K627" s="13"/>
      <c r="L627" s="13"/>
      <c r="M627" s="13"/>
      <c r="N627" s="13"/>
      <c r="O627" s="13"/>
      <c r="P627" s="13"/>
      <c r="Q627" s="13"/>
      <c r="R627" s="13"/>
      <c r="S627" s="421"/>
      <c r="T627" s="421"/>
      <c r="U627" s="421"/>
      <c r="V627" s="421"/>
      <c r="W627" s="421"/>
      <c r="X627" s="421"/>
      <c r="Y627" s="421"/>
      <c r="Z627" s="421"/>
      <c r="AA627" s="421"/>
      <c r="AB627" s="421"/>
      <c r="AC627" s="421"/>
      <c r="AD627" s="421"/>
      <c r="AE627" s="421"/>
      <c r="AF627" s="421"/>
      <c r="AG627" s="421"/>
      <c r="AH627" s="421"/>
      <c r="AI627" s="421"/>
      <c r="AJ627" s="421"/>
      <c r="AK627" s="421"/>
      <c r="AL627" s="421"/>
      <c r="AM627" s="422"/>
      <c r="AN627" s="422"/>
      <c r="AO627" s="422"/>
      <c r="AP627" s="422"/>
      <c r="AQ627" s="422"/>
      <c r="AR627" s="422"/>
      <c r="AS627" s="422"/>
      <c r="AT627" s="422"/>
      <c r="AU627" s="422"/>
      <c r="AV627" s="422"/>
      <c r="AW627" s="422"/>
      <c r="AX627" s="422"/>
      <c r="AY627" s="422"/>
    </row>
    <row r="628" spans="1:51" x14ac:dyDescent="0.25">
      <c r="A628" s="3"/>
      <c r="B628" s="3"/>
      <c r="C628" s="3"/>
      <c r="D628" s="3"/>
      <c r="E628" s="3"/>
      <c r="F628" s="3"/>
      <c r="G628" s="3"/>
      <c r="H628" s="3"/>
      <c r="I628" s="3"/>
      <c r="J628" s="13"/>
      <c r="K628" s="13"/>
      <c r="L628" s="13"/>
      <c r="M628" s="13"/>
      <c r="N628" s="13"/>
      <c r="O628" s="13"/>
      <c r="P628" s="13"/>
      <c r="Q628" s="13"/>
      <c r="R628" s="13"/>
      <c r="S628" s="421"/>
      <c r="T628" s="421"/>
      <c r="U628" s="421"/>
      <c r="V628" s="421"/>
      <c r="W628" s="421"/>
      <c r="X628" s="421"/>
      <c r="Y628" s="421"/>
      <c r="Z628" s="421"/>
      <c r="AA628" s="421"/>
      <c r="AB628" s="421"/>
      <c r="AC628" s="421"/>
      <c r="AD628" s="421"/>
      <c r="AE628" s="421"/>
      <c r="AF628" s="421"/>
      <c r="AG628" s="421"/>
      <c r="AH628" s="421"/>
      <c r="AI628" s="421"/>
      <c r="AJ628" s="421"/>
      <c r="AK628" s="421"/>
      <c r="AL628" s="421"/>
      <c r="AM628" s="422"/>
      <c r="AN628" s="422"/>
      <c r="AO628" s="422"/>
      <c r="AP628" s="422"/>
      <c r="AQ628" s="422"/>
      <c r="AR628" s="422"/>
      <c r="AS628" s="422"/>
      <c r="AT628" s="422"/>
      <c r="AU628" s="422"/>
      <c r="AV628" s="422"/>
      <c r="AW628" s="422"/>
      <c r="AX628" s="422"/>
      <c r="AY628" s="422"/>
    </row>
    <row r="629" spans="1:51" x14ac:dyDescent="0.25">
      <c r="A629" s="3"/>
      <c r="B629" s="3"/>
      <c r="C629" s="3"/>
      <c r="D629" s="3"/>
      <c r="E629" s="3"/>
      <c r="F629" s="3"/>
      <c r="G629" s="3"/>
      <c r="H629" s="3"/>
      <c r="I629" s="3"/>
      <c r="J629" s="13"/>
      <c r="K629" s="13"/>
      <c r="L629" s="13"/>
      <c r="M629" s="13"/>
      <c r="N629" s="13"/>
      <c r="O629" s="13"/>
      <c r="P629" s="13"/>
      <c r="Q629" s="13"/>
      <c r="R629" s="13"/>
      <c r="S629" s="421"/>
      <c r="T629" s="421"/>
      <c r="U629" s="421"/>
      <c r="V629" s="421"/>
      <c r="W629" s="421"/>
      <c r="X629" s="421"/>
      <c r="Y629" s="421"/>
      <c r="Z629" s="421"/>
      <c r="AA629" s="421"/>
      <c r="AB629" s="421"/>
      <c r="AC629" s="421"/>
      <c r="AD629" s="421"/>
      <c r="AE629" s="421"/>
      <c r="AF629" s="421"/>
      <c r="AG629" s="421"/>
      <c r="AH629" s="421"/>
      <c r="AI629" s="421"/>
      <c r="AJ629" s="421"/>
      <c r="AK629" s="421"/>
      <c r="AL629" s="421"/>
      <c r="AM629" s="422"/>
      <c r="AN629" s="422"/>
      <c r="AO629" s="422"/>
      <c r="AP629" s="422"/>
      <c r="AQ629" s="422"/>
      <c r="AR629" s="422"/>
      <c r="AS629" s="422"/>
      <c r="AT629" s="422"/>
      <c r="AU629" s="422"/>
      <c r="AV629" s="422"/>
      <c r="AW629" s="422"/>
      <c r="AX629" s="422"/>
      <c r="AY629" s="422"/>
    </row>
    <row r="630" spans="1:51" x14ac:dyDescent="0.25">
      <c r="A630" s="3"/>
      <c r="B630" s="3"/>
      <c r="C630" s="3"/>
      <c r="D630" s="3"/>
      <c r="E630" s="3"/>
      <c r="F630" s="3"/>
      <c r="G630" s="3"/>
      <c r="H630" s="3"/>
      <c r="I630" s="3"/>
      <c r="J630" s="13"/>
      <c r="K630" s="13"/>
      <c r="L630" s="13"/>
      <c r="M630" s="13"/>
      <c r="N630" s="13"/>
      <c r="O630" s="13"/>
      <c r="P630" s="13"/>
      <c r="Q630" s="13"/>
      <c r="R630" s="13"/>
      <c r="S630" s="421"/>
      <c r="T630" s="421"/>
      <c r="U630" s="421"/>
      <c r="V630" s="421"/>
      <c r="W630" s="421"/>
      <c r="X630" s="421"/>
      <c r="Y630" s="421"/>
      <c r="Z630" s="421"/>
      <c r="AA630" s="421"/>
      <c r="AB630" s="421"/>
      <c r="AC630" s="421"/>
      <c r="AD630" s="421"/>
      <c r="AE630" s="421"/>
      <c r="AF630" s="421"/>
      <c r="AG630" s="421"/>
      <c r="AH630" s="421"/>
      <c r="AI630" s="421"/>
      <c r="AJ630" s="421"/>
      <c r="AK630" s="421"/>
      <c r="AL630" s="421"/>
      <c r="AM630" s="422"/>
      <c r="AN630" s="422"/>
      <c r="AO630" s="422"/>
      <c r="AP630" s="422"/>
      <c r="AQ630" s="422"/>
      <c r="AR630" s="422"/>
      <c r="AS630" s="422"/>
      <c r="AT630" s="422"/>
      <c r="AU630" s="422"/>
      <c r="AV630" s="422"/>
      <c r="AW630" s="422"/>
      <c r="AX630" s="422"/>
      <c r="AY630" s="422"/>
    </row>
    <row r="631" spans="1:51" x14ac:dyDescent="0.25">
      <c r="A631" s="3"/>
      <c r="B631" s="3"/>
      <c r="C631" s="3"/>
      <c r="D631" s="3"/>
      <c r="E631" s="3"/>
      <c r="F631" s="3"/>
      <c r="G631" s="3"/>
      <c r="H631" s="3"/>
      <c r="I631" s="3"/>
      <c r="J631" s="13"/>
      <c r="K631" s="13"/>
      <c r="L631" s="13"/>
      <c r="M631" s="13"/>
      <c r="N631" s="13"/>
      <c r="O631" s="13"/>
      <c r="P631" s="13"/>
      <c r="Q631" s="13"/>
      <c r="R631" s="13"/>
      <c r="S631" s="421"/>
      <c r="T631" s="421"/>
      <c r="U631" s="421"/>
      <c r="V631" s="421"/>
      <c r="W631" s="421"/>
      <c r="X631" s="421"/>
      <c r="Y631" s="421"/>
      <c r="Z631" s="421"/>
      <c r="AA631" s="421"/>
      <c r="AB631" s="421"/>
      <c r="AC631" s="421"/>
      <c r="AD631" s="421"/>
      <c r="AE631" s="421"/>
      <c r="AF631" s="421"/>
      <c r="AG631" s="421"/>
      <c r="AH631" s="421"/>
      <c r="AI631" s="421"/>
      <c r="AJ631" s="421"/>
      <c r="AK631" s="421"/>
      <c r="AL631" s="421"/>
      <c r="AM631" s="422"/>
      <c r="AN631" s="422"/>
      <c r="AO631" s="422"/>
      <c r="AP631" s="422"/>
      <c r="AQ631" s="422"/>
      <c r="AR631" s="422"/>
      <c r="AS631" s="422"/>
      <c r="AT631" s="422"/>
      <c r="AU631" s="422"/>
      <c r="AV631" s="422"/>
      <c r="AW631" s="422"/>
      <c r="AX631" s="422"/>
      <c r="AY631" s="422"/>
    </row>
    <row r="632" spans="1:51" x14ac:dyDescent="0.25">
      <c r="A632" s="3"/>
      <c r="B632" s="3"/>
      <c r="C632" s="3"/>
      <c r="D632" s="3"/>
      <c r="E632" s="3"/>
      <c r="F632" s="3"/>
      <c r="G632" s="3"/>
      <c r="H632" s="3"/>
      <c r="I632" s="3"/>
      <c r="J632" s="13"/>
      <c r="K632" s="13"/>
      <c r="L632" s="13"/>
      <c r="M632" s="13"/>
      <c r="N632" s="13"/>
      <c r="O632" s="13"/>
      <c r="P632" s="13"/>
      <c r="Q632" s="13"/>
      <c r="R632" s="13"/>
      <c r="S632" s="421"/>
      <c r="T632" s="421"/>
      <c r="U632" s="421"/>
      <c r="V632" s="421"/>
      <c r="W632" s="421"/>
      <c r="X632" s="421"/>
      <c r="Y632" s="421"/>
      <c r="Z632" s="421"/>
      <c r="AA632" s="421"/>
      <c r="AB632" s="421"/>
      <c r="AC632" s="421"/>
      <c r="AD632" s="421"/>
      <c r="AE632" s="421"/>
      <c r="AF632" s="421"/>
      <c r="AG632" s="421"/>
      <c r="AH632" s="421"/>
      <c r="AI632" s="421"/>
      <c r="AJ632" s="421"/>
      <c r="AK632" s="421"/>
      <c r="AL632" s="421"/>
      <c r="AM632" s="422"/>
      <c r="AN632" s="422"/>
      <c r="AO632" s="422"/>
      <c r="AP632" s="422"/>
      <c r="AQ632" s="422"/>
      <c r="AR632" s="422"/>
      <c r="AS632" s="422"/>
      <c r="AT632" s="422"/>
      <c r="AU632" s="422"/>
      <c r="AV632" s="422"/>
      <c r="AW632" s="422"/>
      <c r="AX632" s="422"/>
      <c r="AY632" s="422"/>
    </row>
    <row r="633" spans="1:51" x14ac:dyDescent="0.25">
      <c r="A633" s="3"/>
      <c r="B633" s="3"/>
      <c r="C633" s="3"/>
      <c r="D633" s="3"/>
      <c r="E633" s="3"/>
      <c r="F633" s="3"/>
      <c r="G633" s="3"/>
      <c r="H633" s="3"/>
      <c r="I633" s="3"/>
      <c r="J633" s="13"/>
      <c r="K633" s="13"/>
      <c r="L633" s="13"/>
      <c r="M633" s="13"/>
      <c r="N633" s="13"/>
      <c r="O633" s="13"/>
      <c r="P633" s="13"/>
      <c r="Q633" s="13"/>
      <c r="R633" s="13"/>
      <c r="S633" s="421"/>
      <c r="T633" s="421"/>
      <c r="U633" s="421"/>
      <c r="V633" s="421"/>
      <c r="W633" s="421"/>
      <c r="X633" s="421"/>
      <c r="Y633" s="421"/>
      <c r="Z633" s="421"/>
      <c r="AA633" s="421"/>
      <c r="AB633" s="421"/>
      <c r="AC633" s="421"/>
      <c r="AD633" s="421"/>
      <c r="AE633" s="421"/>
      <c r="AF633" s="421"/>
      <c r="AG633" s="421"/>
      <c r="AH633" s="421"/>
      <c r="AI633" s="421"/>
      <c r="AJ633" s="421"/>
      <c r="AK633" s="421"/>
      <c r="AL633" s="421"/>
      <c r="AM633" s="422"/>
      <c r="AN633" s="422"/>
      <c r="AO633" s="422"/>
      <c r="AP633" s="422"/>
      <c r="AQ633" s="422"/>
      <c r="AR633" s="422"/>
      <c r="AS633" s="422"/>
      <c r="AT633" s="422"/>
      <c r="AU633" s="422"/>
      <c r="AV633" s="422"/>
      <c r="AW633" s="422"/>
      <c r="AX633" s="422"/>
      <c r="AY633" s="422"/>
    </row>
    <row r="634" spans="1:51" x14ac:dyDescent="0.25">
      <c r="A634" s="3"/>
      <c r="B634" s="3"/>
      <c r="C634" s="3"/>
      <c r="D634" s="3"/>
      <c r="E634" s="3"/>
      <c r="F634" s="3"/>
      <c r="G634" s="3"/>
      <c r="H634" s="3"/>
      <c r="I634" s="3"/>
      <c r="J634" s="13"/>
      <c r="K634" s="13"/>
      <c r="L634" s="13"/>
      <c r="M634" s="13"/>
      <c r="N634" s="13"/>
      <c r="O634" s="13"/>
      <c r="P634" s="13"/>
      <c r="Q634" s="13"/>
      <c r="R634" s="13"/>
      <c r="S634" s="421"/>
      <c r="T634" s="421"/>
      <c r="U634" s="421"/>
      <c r="V634" s="421"/>
      <c r="W634" s="421"/>
      <c r="X634" s="421"/>
      <c r="Y634" s="421"/>
      <c r="Z634" s="421"/>
      <c r="AA634" s="421"/>
      <c r="AB634" s="421"/>
      <c r="AC634" s="421"/>
      <c r="AD634" s="421"/>
      <c r="AE634" s="421"/>
      <c r="AF634" s="421"/>
      <c r="AG634" s="421"/>
      <c r="AH634" s="421"/>
      <c r="AI634" s="421"/>
      <c r="AJ634" s="421"/>
      <c r="AK634" s="421"/>
      <c r="AL634" s="421"/>
      <c r="AM634" s="422"/>
      <c r="AN634" s="422"/>
      <c r="AO634" s="422"/>
      <c r="AP634" s="422"/>
      <c r="AQ634" s="422"/>
      <c r="AR634" s="422"/>
      <c r="AS634" s="422"/>
      <c r="AT634" s="422"/>
      <c r="AU634" s="422"/>
      <c r="AV634" s="422"/>
      <c r="AW634" s="422"/>
      <c r="AX634" s="422"/>
      <c r="AY634" s="422"/>
    </row>
    <row r="635" spans="1:51" x14ac:dyDescent="0.25">
      <c r="A635" s="3"/>
      <c r="B635" s="3"/>
      <c r="C635" s="3"/>
      <c r="D635" s="3"/>
      <c r="E635" s="3"/>
      <c r="F635" s="3"/>
      <c r="G635" s="3"/>
      <c r="H635" s="3"/>
      <c r="I635" s="3"/>
      <c r="J635" s="13"/>
      <c r="K635" s="13"/>
      <c r="L635" s="13"/>
      <c r="M635" s="13"/>
      <c r="N635" s="13"/>
      <c r="O635" s="13"/>
      <c r="P635" s="13"/>
      <c r="Q635" s="13"/>
      <c r="R635" s="13"/>
      <c r="S635" s="421"/>
      <c r="T635" s="421"/>
      <c r="U635" s="421"/>
      <c r="V635" s="421"/>
      <c r="W635" s="421"/>
      <c r="X635" s="421"/>
      <c r="Y635" s="421"/>
      <c r="Z635" s="421"/>
      <c r="AA635" s="421"/>
      <c r="AB635" s="421"/>
      <c r="AC635" s="421"/>
      <c r="AD635" s="421"/>
      <c r="AE635" s="421"/>
      <c r="AF635" s="421"/>
      <c r="AG635" s="421"/>
      <c r="AH635" s="421"/>
      <c r="AI635" s="421"/>
      <c r="AJ635" s="421"/>
      <c r="AK635" s="421"/>
      <c r="AL635" s="421"/>
      <c r="AM635" s="422"/>
      <c r="AN635" s="422"/>
      <c r="AO635" s="422"/>
      <c r="AP635" s="422"/>
      <c r="AQ635" s="422"/>
      <c r="AR635" s="422"/>
      <c r="AS635" s="422"/>
      <c r="AT635" s="422"/>
      <c r="AU635" s="422"/>
      <c r="AV635" s="422"/>
      <c r="AW635" s="422"/>
      <c r="AX635" s="422"/>
      <c r="AY635" s="422"/>
    </row>
    <row r="636" spans="1:51" x14ac:dyDescent="0.25">
      <c r="A636" s="3"/>
      <c r="B636" s="3"/>
      <c r="C636" s="3"/>
      <c r="D636" s="3"/>
      <c r="E636" s="3"/>
      <c r="F636" s="3"/>
      <c r="G636" s="3"/>
      <c r="H636" s="3"/>
      <c r="I636" s="3"/>
      <c r="J636" s="13"/>
      <c r="K636" s="13"/>
      <c r="L636" s="13"/>
      <c r="M636" s="13"/>
      <c r="N636" s="13"/>
      <c r="O636" s="13"/>
      <c r="P636" s="13"/>
      <c r="Q636" s="13"/>
      <c r="R636" s="13"/>
      <c r="S636" s="421"/>
      <c r="T636" s="421"/>
      <c r="U636" s="421"/>
      <c r="V636" s="421"/>
      <c r="W636" s="421"/>
      <c r="X636" s="421"/>
      <c r="Y636" s="421"/>
      <c r="Z636" s="421"/>
      <c r="AA636" s="421"/>
      <c r="AB636" s="421"/>
      <c r="AC636" s="421"/>
      <c r="AD636" s="421"/>
      <c r="AE636" s="421"/>
      <c r="AF636" s="421"/>
      <c r="AG636" s="421"/>
      <c r="AH636" s="421"/>
      <c r="AI636" s="421"/>
      <c r="AJ636" s="421"/>
      <c r="AK636" s="421"/>
      <c r="AL636" s="421"/>
      <c r="AM636" s="422"/>
      <c r="AN636" s="422"/>
      <c r="AO636" s="422"/>
      <c r="AP636" s="422"/>
      <c r="AQ636" s="422"/>
      <c r="AR636" s="422"/>
      <c r="AS636" s="422"/>
      <c r="AT636" s="422"/>
      <c r="AU636" s="422"/>
      <c r="AV636" s="422"/>
      <c r="AW636" s="422"/>
      <c r="AX636" s="422"/>
      <c r="AY636" s="422"/>
    </row>
    <row r="637" spans="1:51" x14ac:dyDescent="0.25">
      <c r="A637" s="3"/>
      <c r="B637" s="3"/>
      <c r="C637" s="3"/>
      <c r="D637" s="3"/>
      <c r="E637" s="3"/>
      <c r="F637" s="3"/>
      <c r="G637" s="3"/>
      <c r="H637" s="3"/>
      <c r="I637" s="3"/>
      <c r="J637" s="13"/>
      <c r="K637" s="13"/>
      <c r="L637" s="13"/>
      <c r="M637" s="13"/>
      <c r="N637" s="13"/>
      <c r="O637" s="13"/>
      <c r="P637" s="13"/>
      <c r="Q637" s="13"/>
      <c r="R637" s="13"/>
      <c r="S637" s="421"/>
      <c r="T637" s="421"/>
      <c r="U637" s="421"/>
      <c r="V637" s="421"/>
      <c r="W637" s="421"/>
      <c r="X637" s="421"/>
      <c r="Y637" s="421"/>
      <c r="Z637" s="421"/>
      <c r="AA637" s="421"/>
      <c r="AB637" s="421"/>
      <c r="AC637" s="421"/>
      <c r="AD637" s="421"/>
      <c r="AE637" s="421"/>
      <c r="AF637" s="421"/>
      <c r="AG637" s="421"/>
      <c r="AH637" s="421"/>
      <c r="AI637" s="421"/>
      <c r="AJ637" s="421"/>
      <c r="AK637" s="421"/>
      <c r="AL637" s="421"/>
      <c r="AM637" s="422"/>
      <c r="AN637" s="422"/>
      <c r="AO637" s="422"/>
      <c r="AP637" s="422"/>
      <c r="AQ637" s="422"/>
      <c r="AR637" s="422"/>
      <c r="AS637" s="422"/>
      <c r="AT637" s="422"/>
      <c r="AU637" s="422"/>
      <c r="AV637" s="422"/>
      <c r="AW637" s="422"/>
      <c r="AX637" s="422"/>
      <c r="AY637" s="422"/>
    </row>
    <row r="638" spans="1:51" x14ac:dyDescent="0.25">
      <c r="A638" s="3"/>
      <c r="B638" s="3"/>
      <c r="C638" s="3"/>
      <c r="D638" s="3"/>
      <c r="E638" s="3"/>
      <c r="F638" s="3"/>
      <c r="G638" s="3"/>
      <c r="H638" s="3"/>
      <c r="I638" s="3"/>
      <c r="J638" s="13"/>
      <c r="K638" s="13"/>
      <c r="L638" s="13"/>
      <c r="M638" s="13"/>
      <c r="N638" s="13"/>
      <c r="O638" s="13"/>
      <c r="P638" s="13"/>
      <c r="Q638" s="13"/>
      <c r="R638" s="13"/>
      <c r="S638" s="421"/>
      <c r="T638" s="421"/>
      <c r="U638" s="421"/>
      <c r="V638" s="421"/>
      <c r="W638" s="421"/>
      <c r="X638" s="421"/>
      <c r="Y638" s="421"/>
      <c r="Z638" s="421"/>
      <c r="AA638" s="421"/>
      <c r="AB638" s="421"/>
      <c r="AC638" s="421"/>
      <c r="AD638" s="421"/>
      <c r="AE638" s="421"/>
      <c r="AF638" s="421"/>
      <c r="AG638" s="421"/>
      <c r="AH638" s="421"/>
      <c r="AI638" s="421"/>
      <c r="AJ638" s="421"/>
      <c r="AK638" s="421"/>
      <c r="AL638" s="421"/>
      <c r="AM638" s="422"/>
      <c r="AN638" s="422"/>
      <c r="AO638" s="422"/>
      <c r="AP638" s="422"/>
      <c r="AQ638" s="422"/>
      <c r="AR638" s="422"/>
      <c r="AS638" s="422"/>
      <c r="AT638" s="422"/>
      <c r="AU638" s="422"/>
      <c r="AV638" s="422"/>
      <c r="AW638" s="422"/>
      <c r="AX638" s="422"/>
      <c r="AY638" s="422"/>
    </row>
    <row r="639" spans="1:51" x14ac:dyDescent="0.25">
      <c r="A639" s="3"/>
      <c r="B639" s="3"/>
      <c r="C639" s="3"/>
      <c r="D639" s="3"/>
      <c r="E639" s="3"/>
      <c r="F639" s="3"/>
      <c r="G639" s="3"/>
      <c r="H639" s="3"/>
      <c r="I639" s="3"/>
      <c r="J639" s="13"/>
      <c r="K639" s="13"/>
      <c r="L639" s="13"/>
      <c r="M639" s="13"/>
      <c r="N639" s="13"/>
      <c r="O639" s="13"/>
      <c r="P639" s="13"/>
      <c r="Q639" s="13"/>
      <c r="R639" s="13"/>
      <c r="S639" s="421"/>
      <c r="T639" s="421"/>
      <c r="U639" s="421"/>
      <c r="V639" s="421"/>
      <c r="W639" s="421"/>
      <c r="X639" s="421"/>
      <c r="Y639" s="421"/>
      <c r="Z639" s="421"/>
      <c r="AA639" s="421"/>
      <c r="AB639" s="421"/>
      <c r="AC639" s="421"/>
      <c r="AD639" s="421"/>
      <c r="AE639" s="421"/>
      <c r="AF639" s="421"/>
      <c r="AG639" s="421"/>
      <c r="AH639" s="421"/>
      <c r="AI639" s="421"/>
      <c r="AJ639" s="421"/>
      <c r="AK639" s="421"/>
      <c r="AL639" s="421"/>
      <c r="AM639" s="422"/>
      <c r="AN639" s="422"/>
      <c r="AO639" s="422"/>
      <c r="AP639" s="422"/>
      <c r="AQ639" s="422"/>
      <c r="AR639" s="422"/>
      <c r="AS639" s="422"/>
      <c r="AT639" s="422"/>
      <c r="AU639" s="422"/>
      <c r="AV639" s="422"/>
      <c r="AW639" s="422"/>
      <c r="AX639" s="422"/>
      <c r="AY639" s="422"/>
    </row>
    <row r="640" spans="1:51" x14ac:dyDescent="0.25">
      <c r="A640" s="3"/>
      <c r="B640" s="3"/>
      <c r="C640" s="3"/>
      <c r="D640" s="3"/>
      <c r="E640" s="3"/>
      <c r="F640" s="3"/>
      <c r="G640" s="3"/>
      <c r="H640" s="3"/>
      <c r="I640" s="3"/>
      <c r="J640" s="13"/>
      <c r="K640" s="13"/>
      <c r="L640" s="13"/>
      <c r="M640" s="13"/>
      <c r="N640" s="13"/>
      <c r="O640" s="13"/>
      <c r="P640" s="13"/>
      <c r="Q640" s="13"/>
      <c r="R640" s="13"/>
      <c r="S640" s="421"/>
      <c r="T640" s="421"/>
      <c r="U640" s="421"/>
      <c r="V640" s="421"/>
      <c r="W640" s="421"/>
      <c r="X640" s="421"/>
      <c r="Y640" s="421"/>
      <c r="Z640" s="421"/>
      <c r="AA640" s="421"/>
      <c r="AB640" s="421"/>
      <c r="AC640" s="421"/>
      <c r="AD640" s="421"/>
      <c r="AE640" s="421"/>
      <c r="AF640" s="421"/>
      <c r="AG640" s="421"/>
      <c r="AH640" s="421"/>
      <c r="AI640" s="421"/>
      <c r="AJ640" s="421"/>
      <c r="AK640" s="421"/>
      <c r="AL640" s="421"/>
      <c r="AM640" s="422"/>
      <c r="AN640" s="422"/>
      <c r="AO640" s="422"/>
      <c r="AP640" s="422"/>
      <c r="AQ640" s="422"/>
      <c r="AR640" s="422"/>
      <c r="AS640" s="422"/>
      <c r="AT640" s="422"/>
      <c r="AU640" s="422"/>
      <c r="AV640" s="422"/>
      <c r="AW640" s="422"/>
      <c r="AX640" s="422"/>
      <c r="AY640" s="422"/>
    </row>
    <row r="641" spans="1:51" x14ac:dyDescent="0.25">
      <c r="A641" s="3"/>
      <c r="B641" s="3"/>
      <c r="C641" s="3"/>
      <c r="D641" s="3"/>
      <c r="E641" s="3"/>
      <c r="F641" s="3"/>
      <c r="G641" s="3"/>
      <c r="H641" s="3"/>
      <c r="I641" s="3"/>
      <c r="J641" s="13"/>
      <c r="K641" s="13"/>
      <c r="L641" s="13"/>
      <c r="M641" s="13"/>
      <c r="N641" s="13"/>
      <c r="O641" s="13"/>
      <c r="P641" s="13"/>
      <c r="Q641" s="13"/>
      <c r="R641" s="13"/>
      <c r="S641" s="421"/>
      <c r="T641" s="421"/>
      <c r="U641" s="421"/>
      <c r="V641" s="421"/>
      <c r="W641" s="421"/>
      <c r="X641" s="421"/>
      <c r="Y641" s="421"/>
      <c r="Z641" s="421"/>
      <c r="AA641" s="421"/>
      <c r="AB641" s="421"/>
      <c r="AC641" s="421"/>
      <c r="AD641" s="421"/>
      <c r="AE641" s="421"/>
      <c r="AF641" s="421"/>
      <c r="AG641" s="421"/>
      <c r="AH641" s="421"/>
      <c r="AI641" s="421"/>
      <c r="AJ641" s="421"/>
      <c r="AK641" s="421"/>
      <c r="AL641" s="421"/>
      <c r="AM641" s="422"/>
      <c r="AN641" s="422"/>
      <c r="AO641" s="422"/>
      <c r="AP641" s="422"/>
      <c r="AQ641" s="422"/>
      <c r="AR641" s="422"/>
      <c r="AS641" s="422"/>
      <c r="AT641" s="422"/>
      <c r="AU641" s="422"/>
      <c r="AV641" s="422"/>
      <c r="AW641" s="422"/>
      <c r="AX641" s="422"/>
      <c r="AY641" s="422"/>
    </row>
    <row r="642" spans="1:51" x14ac:dyDescent="0.25">
      <c r="A642" s="3"/>
      <c r="B642" s="3"/>
      <c r="C642" s="3"/>
      <c r="D642" s="3"/>
      <c r="E642" s="3"/>
      <c r="F642" s="3"/>
      <c r="G642" s="3"/>
      <c r="H642" s="3"/>
      <c r="I642" s="3"/>
      <c r="J642" s="13"/>
      <c r="K642" s="13"/>
      <c r="L642" s="13"/>
      <c r="M642" s="13"/>
      <c r="N642" s="13"/>
      <c r="O642" s="13"/>
      <c r="P642" s="13"/>
      <c r="Q642" s="13"/>
      <c r="R642" s="13"/>
      <c r="S642" s="421"/>
      <c r="T642" s="421"/>
      <c r="U642" s="421"/>
      <c r="V642" s="421"/>
      <c r="W642" s="421"/>
      <c r="X642" s="421"/>
      <c r="Y642" s="421"/>
      <c r="Z642" s="421"/>
      <c r="AA642" s="421"/>
      <c r="AB642" s="421"/>
      <c r="AC642" s="421"/>
      <c r="AD642" s="421"/>
      <c r="AE642" s="421"/>
      <c r="AF642" s="421"/>
      <c r="AG642" s="421"/>
      <c r="AH642" s="421"/>
      <c r="AI642" s="421"/>
      <c r="AJ642" s="421"/>
      <c r="AK642" s="421"/>
      <c r="AL642" s="421"/>
      <c r="AM642" s="422"/>
      <c r="AN642" s="422"/>
      <c r="AO642" s="422"/>
      <c r="AP642" s="422"/>
      <c r="AQ642" s="422"/>
      <c r="AR642" s="422"/>
      <c r="AS642" s="422"/>
      <c r="AT642" s="422"/>
      <c r="AU642" s="422"/>
      <c r="AV642" s="422"/>
      <c r="AW642" s="422"/>
      <c r="AX642" s="422"/>
      <c r="AY642" s="422"/>
    </row>
    <row r="643" spans="1:51" x14ac:dyDescent="0.25">
      <c r="A643" s="3"/>
      <c r="B643" s="3"/>
      <c r="C643" s="3"/>
      <c r="D643" s="3"/>
      <c r="E643" s="3"/>
      <c r="F643" s="3"/>
      <c r="G643" s="3"/>
      <c r="H643" s="3"/>
      <c r="I643" s="3"/>
      <c r="J643" s="13"/>
      <c r="K643" s="13"/>
      <c r="L643" s="13"/>
      <c r="M643" s="13"/>
      <c r="N643" s="13"/>
      <c r="O643" s="13"/>
      <c r="P643" s="13"/>
      <c r="Q643" s="13"/>
      <c r="R643" s="13"/>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2"/>
      <c r="AN643" s="422"/>
      <c r="AO643" s="422"/>
      <c r="AP643" s="422"/>
      <c r="AQ643" s="422"/>
      <c r="AR643" s="422"/>
      <c r="AS643" s="422"/>
      <c r="AT643" s="422"/>
      <c r="AU643" s="422"/>
      <c r="AV643" s="422"/>
      <c r="AW643" s="422"/>
      <c r="AX643" s="422"/>
      <c r="AY643" s="422"/>
    </row>
    <row r="644" spans="1:51" x14ac:dyDescent="0.25">
      <c r="A644" s="3"/>
      <c r="B644" s="3"/>
      <c r="C644" s="3"/>
      <c r="D644" s="3"/>
      <c r="E644" s="3"/>
      <c r="F644" s="3"/>
      <c r="G644" s="3"/>
      <c r="H644" s="3"/>
      <c r="I644" s="3"/>
      <c r="J644" s="13"/>
      <c r="K644" s="13"/>
      <c r="L644" s="13"/>
      <c r="M644" s="13"/>
      <c r="N644" s="13"/>
      <c r="O644" s="13"/>
      <c r="P644" s="13"/>
      <c r="Q644" s="13"/>
      <c r="R644" s="13"/>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2"/>
      <c r="AN644" s="422"/>
      <c r="AO644" s="422"/>
      <c r="AP644" s="422"/>
      <c r="AQ644" s="422"/>
      <c r="AR644" s="422"/>
      <c r="AS644" s="422"/>
      <c r="AT644" s="422"/>
      <c r="AU644" s="422"/>
      <c r="AV644" s="422"/>
      <c r="AW644" s="422"/>
      <c r="AX644" s="422"/>
      <c r="AY644" s="422"/>
    </row>
    <row r="645" spans="1:51" x14ac:dyDescent="0.25">
      <c r="A645" s="3"/>
      <c r="B645" s="3"/>
      <c r="C645" s="3"/>
      <c r="D645" s="3"/>
      <c r="E645" s="3"/>
      <c r="F645" s="3"/>
      <c r="G645" s="3"/>
      <c r="H645" s="3"/>
      <c r="I645" s="3"/>
      <c r="J645" s="13"/>
      <c r="K645" s="13"/>
      <c r="L645" s="13"/>
      <c r="M645" s="13"/>
      <c r="N645" s="13"/>
      <c r="O645" s="13"/>
      <c r="P645" s="13"/>
      <c r="Q645" s="13"/>
      <c r="R645" s="13"/>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2"/>
      <c r="AN645" s="422"/>
      <c r="AO645" s="422"/>
      <c r="AP645" s="422"/>
      <c r="AQ645" s="422"/>
      <c r="AR645" s="422"/>
      <c r="AS645" s="422"/>
      <c r="AT645" s="422"/>
      <c r="AU645" s="422"/>
      <c r="AV645" s="422"/>
      <c r="AW645" s="422"/>
      <c r="AX645" s="422"/>
      <c r="AY645" s="422"/>
    </row>
    <row r="646" spans="1:51" x14ac:dyDescent="0.25">
      <c r="A646" s="3"/>
      <c r="B646" s="3"/>
      <c r="C646" s="3"/>
      <c r="D646" s="3"/>
      <c r="E646" s="3"/>
      <c r="F646" s="3"/>
      <c r="G646" s="3"/>
      <c r="H646" s="3"/>
      <c r="I646" s="3"/>
      <c r="J646" s="13"/>
      <c r="K646" s="13"/>
      <c r="L646" s="13"/>
      <c r="M646" s="13"/>
      <c r="N646" s="13"/>
      <c r="O646" s="13"/>
      <c r="P646" s="13"/>
      <c r="Q646" s="13"/>
      <c r="R646" s="13"/>
      <c r="S646" s="421"/>
      <c r="T646" s="421"/>
      <c r="U646" s="421"/>
      <c r="V646" s="421"/>
      <c r="W646" s="421"/>
      <c r="X646" s="421"/>
      <c r="Y646" s="421"/>
      <c r="Z646" s="421"/>
      <c r="AA646" s="421"/>
      <c r="AB646" s="421"/>
      <c r="AC646" s="421"/>
      <c r="AD646" s="421"/>
      <c r="AE646" s="421"/>
      <c r="AF646" s="421"/>
      <c r="AG646" s="421"/>
      <c r="AH646" s="421"/>
      <c r="AI646" s="421"/>
      <c r="AJ646" s="421"/>
      <c r="AK646" s="421"/>
      <c r="AL646" s="421"/>
      <c r="AM646" s="422"/>
      <c r="AN646" s="422"/>
      <c r="AO646" s="422"/>
      <c r="AP646" s="422"/>
      <c r="AQ646" s="422"/>
      <c r="AR646" s="422"/>
      <c r="AS646" s="422"/>
      <c r="AT646" s="422"/>
      <c r="AU646" s="422"/>
      <c r="AV646" s="422"/>
      <c r="AW646" s="422"/>
      <c r="AX646" s="422"/>
      <c r="AY646" s="422"/>
    </row>
    <row r="647" spans="1:51" x14ac:dyDescent="0.25">
      <c r="A647" s="3"/>
      <c r="B647" s="3"/>
      <c r="C647" s="3"/>
      <c r="D647" s="3"/>
      <c r="E647" s="3"/>
      <c r="F647" s="3"/>
      <c r="G647" s="3"/>
      <c r="H647" s="3"/>
      <c r="I647" s="3"/>
      <c r="J647" s="13"/>
      <c r="K647" s="13"/>
      <c r="L647" s="13"/>
      <c r="M647" s="13"/>
      <c r="N647" s="13"/>
      <c r="O647" s="13"/>
      <c r="P647" s="13"/>
      <c r="Q647" s="13"/>
      <c r="R647" s="13"/>
      <c r="S647" s="421"/>
      <c r="T647" s="421"/>
      <c r="U647" s="421"/>
      <c r="V647" s="421"/>
      <c r="W647" s="421"/>
      <c r="X647" s="421"/>
      <c r="Y647" s="421"/>
      <c r="Z647" s="421"/>
      <c r="AA647" s="421"/>
      <c r="AB647" s="421"/>
      <c r="AC647" s="421"/>
      <c r="AD647" s="421"/>
      <c r="AE647" s="421"/>
      <c r="AF647" s="421"/>
      <c r="AG647" s="421"/>
      <c r="AH647" s="421"/>
      <c r="AI647" s="421"/>
      <c r="AJ647" s="421"/>
      <c r="AK647" s="421"/>
      <c r="AL647" s="421"/>
      <c r="AM647" s="422"/>
      <c r="AN647" s="422"/>
      <c r="AO647" s="422"/>
      <c r="AP647" s="422"/>
      <c r="AQ647" s="422"/>
      <c r="AR647" s="422"/>
      <c r="AS647" s="422"/>
      <c r="AT647" s="422"/>
      <c r="AU647" s="422"/>
      <c r="AV647" s="422"/>
      <c r="AW647" s="422"/>
      <c r="AX647" s="422"/>
      <c r="AY647" s="422"/>
    </row>
    <row r="648" spans="1:51" x14ac:dyDescent="0.25">
      <c r="A648" s="3"/>
      <c r="B648" s="3"/>
      <c r="C648" s="3"/>
      <c r="D648" s="3"/>
      <c r="E648" s="3"/>
      <c r="F648" s="3"/>
      <c r="G648" s="3"/>
      <c r="H648" s="3"/>
      <c r="I648" s="3"/>
      <c r="J648" s="13"/>
      <c r="K648" s="13"/>
      <c r="L648" s="13"/>
      <c r="M648" s="13"/>
      <c r="N648" s="13"/>
      <c r="O648" s="13"/>
      <c r="P648" s="13"/>
      <c r="Q648" s="13"/>
      <c r="R648" s="13"/>
      <c r="S648" s="421"/>
      <c r="T648" s="421"/>
      <c r="U648" s="421"/>
      <c r="V648" s="421"/>
      <c r="W648" s="421"/>
      <c r="X648" s="421"/>
      <c r="Y648" s="421"/>
      <c r="Z648" s="421"/>
      <c r="AA648" s="421"/>
      <c r="AB648" s="421"/>
      <c r="AC648" s="421"/>
      <c r="AD648" s="421"/>
      <c r="AE648" s="421"/>
      <c r="AF648" s="421"/>
      <c r="AG648" s="421"/>
      <c r="AH648" s="421"/>
      <c r="AI648" s="421"/>
      <c r="AJ648" s="421"/>
      <c r="AK648" s="421"/>
      <c r="AL648" s="421"/>
      <c r="AM648" s="422"/>
      <c r="AN648" s="422"/>
      <c r="AO648" s="422"/>
      <c r="AP648" s="422"/>
      <c r="AQ648" s="422"/>
      <c r="AR648" s="422"/>
      <c r="AS648" s="422"/>
      <c r="AT648" s="422"/>
      <c r="AU648" s="422"/>
      <c r="AV648" s="422"/>
      <c r="AW648" s="422"/>
      <c r="AX648" s="422"/>
      <c r="AY648" s="422"/>
    </row>
    <row r="649" spans="1:51" x14ac:dyDescent="0.25">
      <c r="A649" s="3"/>
      <c r="B649" s="3"/>
      <c r="C649" s="3"/>
      <c r="D649" s="3"/>
      <c r="E649" s="3"/>
      <c r="F649" s="3"/>
      <c r="G649" s="3"/>
      <c r="H649" s="3"/>
      <c r="I649" s="3"/>
      <c r="J649" s="13"/>
      <c r="K649" s="13"/>
      <c r="L649" s="13"/>
      <c r="M649" s="13"/>
      <c r="N649" s="13"/>
      <c r="O649" s="13"/>
      <c r="P649" s="13"/>
      <c r="Q649" s="13"/>
      <c r="R649" s="13"/>
      <c r="S649" s="421"/>
      <c r="T649" s="421"/>
      <c r="U649" s="421"/>
      <c r="V649" s="421"/>
      <c r="W649" s="421"/>
      <c r="X649" s="421"/>
      <c r="Y649" s="421"/>
      <c r="Z649" s="421"/>
      <c r="AA649" s="421"/>
      <c r="AB649" s="421"/>
      <c r="AC649" s="421"/>
      <c r="AD649" s="421"/>
      <c r="AE649" s="421"/>
      <c r="AF649" s="421"/>
      <c r="AG649" s="421"/>
      <c r="AH649" s="421"/>
      <c r="AI649" s="421"/>
      <c r="AJ649" s="421"/>
      <c r="AK649" s="421"/>
      <c r="AL649" s="421"/>
      <c r="AM649" s="422"/>
      <c r="AN649" s="422"/>
      <c r="AO649" s="422"/>
      <c r="AP649" s="422"/>
      <c r="AQ649" s="422"/>
      <c r="AR649" s="422"/>
      <c r="AS649" s="422"/>
      <c r="AT649" s="422"/>
      <c r="AU649" s="422"/>
      <c r="AV649" s="422"/>
      <c r="AW649" s="422"/>
      <c r="AX649" s="422"/>
      <c r="AY649" s="422"/>
    </row>
    <row r="650" spans="1:51" x14ac:dyDescent="0.25">
      <c r="A650" s="3"/>
      <c r="B650" s="3"/>
      <c r="C650" s="3"/>
      <c r="D650" s="3"/>
      <c r="E650" s="3"/>
      <c r="F650" s="3"/>
      <c r="G650" s="3"/>
      <c r="H650" s="3"/>
      <c r="I650" s="3"/>
      <c r="J650" s="13"/>
      <c r="K650" s="13"/>
      <c r="L650" s="13"/>
      <c r="M650" s="13"/>
      <c r="N650" s="13"/>
      <c r="O650" s="13"/>
      <c r="P650" s="13"/>
      <c r="Q650" s="13"/>
      <c r="R650" s="13"/>
      <c r="S650" s="421"/>
      <c r="T650" s="421"/>
      <c r="U650" s="421"/>
      <c r="V650" s="421"/>
      <c r="W650" s="421"/>
      <c r="X650" s="421"/>
      <c r="Y650" s="421"/>
      <c r="Z650" s="421"/>
      <c r="AA650" s="421"/>
      <c r="AB650" s="421"/>
      <c r="AC650" s="421"/>
      <c r="AD650" s="421"/>
      <c r="AE650" s="421"/>
      <c r="AF650" s="421"/>
      <c r="AG650" s="421"/>
      <c r="AH650" s="421"/>
      <c r="AI650" s="421"/>
      <c r="AJ650" s="421"/>
      <c r="AK650" s="421"/>
      <c r="AL650" s="421"/>
      <c r="AM650" s="422"/>
      <c r="AN650" s="422"/>
      <c r="AO650" s="422"/>
      <c r="AP650" s="422"/>
      <c r="AQ650" s="422"/>
      <c r="AR650" s="422"/>
      <c r="AS650" s="422"/>
      <c r="AT650" s="422"/>
      <c r="AU650" s="422"/>
      <c r="AV650" s="422"/>
      <c r="AW650" s="422"/>
      <c r="AX650" s="422"/>
      <c r="AY650" s="422"/>
    </row>
    <row r="651" spans="1:51" x14ac:dyDescent="0.25">
      <c r="A651" s="3"/>
      <c r="B651" s="3"/>
      <c r="C651" s="3"/>
      <c r="D651" s="3"/>
      <c r="E651" s="3"/>
      <c r="F651" s="3"/>
      <c r="G651" s="3"/>
      <c r="H651" s="3"/>
      <c r="I651" s="3"/>
      <c r="J651" s="13"/>
      <c r="K651" s="13"/>
      <c r="L651" s="13"/>
      <c r="M651" s="13"/>
      <c r="N651" s="13"/>
      <c r="O651" s="13"/>
      <c r="P651" s="13"/>
      <c r="Q651" s="13"/>
      <c r="R651" s="13"/>
      <c r="S651" s="421"/>
      <c r="T651" s="421"/>
      <c r="U651" s="421"/>
      <c r="V651" s="421"/>
      <c r="W651" s="421"/>
      <c r="X651" s="421"/>
      <c r="Y651" s="421"/>
      <c r="Z651" s="421"/>
      <c r="AA651" s="421"/>
      <c r="AB651" s="421"/>
      <c r="AC651" s="421"/>
      <c r="AD651" s="421"/>
      <c r="AE651" s="421"/>
      <c r="AF651" s="421"/>
      <c r="AG651" s="421"/>
      <c r="AH651" s="421"/>
      <c r="AI651" s="421"/>
      <c r="AJ651" s="421"/>
      <c r="AK651" s="421"/>
      <c r="AL651" s="421"/>
      <c r="AM651" s="422"/>
      <c r="AN651" s="422"/>
      <c r="AO651" s="422"/>
      <c r="AP651" s="422"/>
      <c r="AQ651" s="422"/>
      <c r="AR651" s="422"/>
      <c r="AS651" s="422"/>
      <c r="AT651" s="422"/>
      <c r="AU651" s="422"/>
      <c r="AV651" s="422"/>
      <c r="AW651" s="422"/>
      <c r="AX651" s="422"/>
      <c r="AY651" s="422"/>
    </row>
    <row r="652" spans="1:51" x14ac:dyDescent="0.25">
      <c r="A652" s="3"/>
      <c r="B652" s="3"/>
      <c r="C652" s="3"/>
      <c r="D652" s="3"/>
      <c r="E652" s="3"/>
      <c r="F652" s="3"/>
      <c r="G652" s="3"/>
      <c r="H652" s="3"/>
      <c r="I652" s="3"/>
      <c r="J652" s="13"/>
      <c r="K652" s="13"/>
      <c r="L652" s="13"/>
      <c r="M652" s="13"/>
      <c r="N652" s="13"/>
      <c r="O652" s="13"/>
      <c r="P652" s="13"/>
      <c r="Q652" s="13"/>
      <c r="R652" s="13"/>
      <c r="S652" s="421"/>
      <c r="T652" s="421"/>
      <c r="U652" s="421"/>
      <c r="V652" s="421"/>
      <c r="W652" s="421"/>
      <c r="X652" s="421"/>
      <c r="Y652" s="421"/>
      <c r="Z652" s="421"/>
      <c r="AA652" s="421"/>
      <c r="AB652" s="421"/>
      <c r="AC652" s="421"/>
      <c r="AD652" s="421"/>
      <c r="AE652" s="421"/>
      <c r="AF652" s="421"/>
      <c r="AG652" s="421"/>
      <c r="AH652" s="421"/>
      <c r="AI652" s="421"/>
      <c r="AJ652" s="421"/>
      <c r="AK652" s="421"/>
      <c r="AL652" s="421"/>
      <c r="AM652" s="422"/>
      <c r="AN652" s="422"/>
      <c r="AO652" s="422"/>
      <c r="AP652" s="422"/>
      <c r="AQ652" s="422"/>
      <c r="AR652" s="422"/>
      <c r="AS652" s="422"/>
      <c r="AT652" s="422"/>
      <c r="AU652" s="422"/>
      <c r="AV652" s="422"/>
      <c r="AW652" s="422"/>
      <c r="AX652" s="422"/>
      <c r="AY652" s="422"/>
    </row>
    <row r="653" spans="1:51" x14ac:dyDescent="0.25">
      <c r="A653" s="3"/>
      <c r="B653" s="3"/>
      <c r="C653" s="3"/>
      <c r="D653" s="3"/>
      <c r="E653" s="3"/>
      <c r="F653" s="3"/>
      <c r="G653" s="3"/>
      <c r="H653" s="3"/>
      <c r="I653" s="3"/>
      <c r="J653" s="13"/>
      <c r="K653" s="13"/>
      <c r="L653" s="13"/>
      <c r="M653" s="13"/>
      <c r="N653" s="13"/>
      <c r="O653" s="13"/>
      <c r="P653" s="13"/>
      <c r="Q653" s="13"/>
      <c r="R653" s="13"/>
      <c r="S653" s="421"/>
      <c r="T653" s="421"/>
      <c r="U653" s="421"/>
      <c r="V653" s="421"/>
      <c r="W653" s="421"/>
      <c r="X653" s="421"/>
      <c r="Y653" s="421"/>
      <c r="Z653" s="421"/>
      <c r="AA653" s="421"/>
      <c r="AB653" s="421"/>
      <c r="AC653" s="421"/>
      <c r="AD653" s="421"/>
      <c r="AE653" s="421"/>
      <c r="AF653" s="421"/>
      <c r="AG653" s="421"/>
      <c r="AH653" s="421"/>
      <c r="AI653" s="421"/>
      <c r="AJ653" s="421"/>
      <c r="AK653" s="421"/>
      <c r="AL653" s="421"/>
      <c r="AM653" s="422"/>
      <c r="AN653" s="422"/>
      <c r="AO653" s="422"/>
      <c r="AP653" s="422"/>
      <c r="AQ653" s="422"/>
      <c r="AR653" s="422"/>
      <c r="AS653" s="422"/>
      <c r="AT653" s="422"/>
      <c r="AU653" s="422"/>
      <c r="AV653" s="422"/>
      <c r="AW653" s="422"/>
      <c r="AX653" s="422"/>
      <c r="AY653" s="422"/>
    </row>
    <row r="654" spans="1:51" x14ac:dyDescent="0.25">
      <c r="A654" s="3"/>
      <c r="B654" s="3"/>
      <c r="C654" s="3"/>
      <c r="D654" s="3"/>
      <c r="E654" s="3"/>
      <c r="F654" s="3"/>
      <c r="G654" s="3"/>
      <c r="H654" s="3"/>
      <c r="I654" s="3"/>
      <c r="J654" s="13"/>
      <c r="K654" s="13"/>
      <c r="L654" s="13"/>
      <c r="M654" s="13"/>
      <c r="N654" s="13"/>
      <c r="O654" s="13"/>
      <c r="P654" s="13"/>
      <c r="Q654" s="13"/>
      <c r="R654" s="13"/>
      <c r="S654" s="421"/>
      <c r="T654" s="421"/>
      <c r="U654" s="421"/>
      <c r="V654" s="421"/>
      <c r="W654" s="421"/>
      <c r="X654" s="421"/>
      <c r="Y654" s="421"/>
      <c r="Z654" s="421"/>
      <c r="AA654" s="421"/>
      <c r="AB654" s="421"/>
      <c r="AC654" s="421"/>
      <c r="AD654" s="421"/>
      <c r="AE654" s="421"/>
      <c r="AF654" s="421"/>
      <c r="AG654" s="421"/>
      <c r="AH654" s="421"/>
      <c r="AI654" s="421"/>
      <c r="AJ654" s="421"/>
      <c r="AK654" s="421"/>
      <c r="AL654" s="421"/>
      <c r="AM654" s="422"/>
      <c r="AN654" s="422"/>
      <c r="AO654" s="422"/>
      <c r="AP654" s="422"/>
      <c r="AQ654" s="422"/>
      <c r="AR654" s="422"/>
      <c r="AS654" s="422"/>
      <c r="AT654" s="422"/>
      <c r="AU654" s="422"/>
      <c r="AV654" s="422"/>
      <c r="AW654" s="422"/>
      <c r="AX654" s="422"/>
      <c r="AY654" s="422"/>
    </row>
    <row r="655" spans="1:51" x14ac:dyDescent="0.25">
      <c r="A655" s="3"/>
      <c r="B655" s="3"/>
      <c r="C655" s="3"/>
      <c r="D655" s="3"/>
      <c r="E655" s="3"/>
      <c r="F655" s="3"/>
      <c r="G655" s="3"/>
      <c r="H655" s="3"/>
      <c r="I655" s="3"/>
      <c r="J655" s="13"/>
      <c r="K655" s="13"/>
      <c r="L655" s="13"/>
      <c r="M655" s="13"/>
      <c r="N655" s="13"/>
      <c r="O655" s="13"/>
      <c r="P655" s="13"/>
      <c r="Q655" s="13"/>
      <c r="R655" s="13"/>
      <c r="S655" s="421"/>
      <c r="T655" s="421"/>
      <c r="U655" s="421"/>
      <c r="V655" s="421"/>
      <c r="W655" s="421"/>
      <c r="X655" s="421"/>
      <c r="Y655" s="421"/>
      <c r="Z655" s="421"/>
      <c r="AA655" s="421"/>
      <c r="AB655" s="421"/>
      <c r="AC655" s="421"/>
      <c r="AD655" s="421"/>
      <c r="AE655" s="421"/>
      <c r="AF655" s="421"/>
      <c r="AG655" s="421"/>
      <c r="AH655" s="421"/>
      <c r="AI655" s="421"/>
      <c r="AJ655" s="421"/>
      <c r="AK655" s="421"/>
      <c r="AL655" s="421"/>
      <c r="AM655" s="422"/>
      <c r="AN655" s="422"/>
      <c r="AO655" s="422"/>
      <c r="AP655" s="422"/>
      <c r="AQ655" s="422"/>
      <c r="AR655" s="422"/>
      <c r="AS655" s="422"/>
      <c r="AT655" s="422"/>
      <c r="AU655" s="422"/>
      <c r="AV655" s="422"/>
      <c r="AW655" s="422"/>
      <c r="AX655" s="422"/>
      <c r="AY655" s="422"/>
    </row>
    <row r="656" spans="1:51" x14ac:dyDescent="0.25">
      <c r="A656" s="3"/>
      <c r="B656" s="3"/>
      <c r="C656" s="3"/>
      <c r="D656" s="3"/>
      <c r="E656" s="3"/>
      <c r="F656" s="3"/>
      <c r="G656" s="3"/>
      <c r="H656" s="3"/>
      <c r="I656" s="3"/>
      <c r="J656" s="13"/>
      <c r="K656" s="13"/>
      <c r="L656" s="13"/>
      <c r="M656" s="13"/>
      <c r="N656" s="13"/>
      <c r="O656" s="13"/>
      <c r="P656" s="13"/>
      <c r="Q656" s="13"/>
      <c r="R656" s="13"/>
      <c r="S656" s="421"/>
      <c r="T656" s="421"/>
      <c r="U656" s="421"/>
      <c r="V656" s="421"/>
      <c r="W656" s="421"/>
      <c r="X656" s="421"/>
      <c r="Y656" s="421"/>
      <c r="Z656" s="421"/>
      <c r="AA656" s="421"/>
      <c r="AB656" s="421"/>
      <c r="AC656" s="421"/>
      <c r="AD656" s="421"/>
      <c r="AE656" s="421"/>
      <c r="AF656" s="421"/>
      <c r="AG656" s="421"/>
      <c r="AH656" s="421"/>
      <c r="AI656" s="421"/>
      <c r="AJ656" s="421"/>
      <c r="AK656" s="421"/>
      <c r="AL656" s="421"/>
      <c r="AM656" s="422"/>
      <c r="AN656" s="422"/>
      <c r="AO656" s="422"/>
      <c r="AP656" s="422"/>
      <c r="AQ656" s="422"/>
      <c r="AR656" s="422"/>
      <c r="AS656" s="422"/>
      <c r="AT656" s="422"/>
      <c r="AU656" s="422"/>
      <c r="AV656" s="422"/>
      <c r="AW656" s="422"/>
      <c r="AX656" s="422"/>
      <c r="AY656" s="422"/>
    </row>
    <row r="657" spans="1:51" x14ac:dyDescent="0.25">
      <c r="A657" s="3"/>
      <c r="B657" s="3"/>
      <c r="C657" s="3"/>
      <c r="D657" s="3"/>
      <c r="E657" s="3"/>
      <c r="F657" s="3"/>
      <c r="G657" s="3"/>
      <c r="H657" s="3"/>
      <c r="I657" s="3"/>
      <c r="J657" s="13"/>
      <c r="K657" s="13"/>
      <c r="L657" s="13"/>
      <c r="M657" s="13"/>
      <c r="N657" s="13"/>
      <c r="O657" s="13"/>
      <c r="P657" s="13"/>
      <c r="Q657" s="13"/>
      <c r="R657" s="13"/>
      <c r="S657" s="421"/>
      <c r="T657" s="421"/>
      <c r="U657" s="421"/>
      <c r="V657" s="421"/>
      <c r="W657" s="421"/>
      <c r="X657" s="421"/>
      <c r="Y657" s="421"/>
      <c r="Z657" s="421"/>
      <c r="AA657" s="421"/>
      <c r="AB657" s="421"/>
      <c r="AC657" s="421"/>
      <c r="AD657" s="421"/>
      <c r="AE657" s="421"/>
      <c r="AF657" s="421"/>
      <c r="AG657" s="421"/>
      <c r="AH657" s="421"/>
      <c r="AI657" s="421"/>
      <c r="AJ657" s="421"/>
      <c r="AK657" s="421"/>
      <c r="AL657" s="421"/>
      <c r="AM657" s="422"/>
      <c r="AN657" s="422"/>
      <c r="AO657" s="422"/>
      <c r="AP657" s="422"/>
      <c r="AQ657" s="422"/>
      <c r="AR657" s="422"/>
      <c r="AS657" s="422"/>
      <c r="AT657" s="422"/>
      <c r="AU657" s="422"/>
      <c r="AV657" s="422"/>
      <c r="AW657" s="422"/>
      <c r="AX657" s="422"/>
      <c r="AY657" s="422"/>
    </row>
    <row r="658" spans="1:51" x14ac:dyDescent="0.25">
      <c r="A658" s="3"/>
      <c r="B658" s="3"/>
      <c r="C658" s="3"/>
      <c r="D658" s="3"/>
      <c r="E658" s="3"/>
      <c r="F658" s="3"/>
      <c r="G658" s="3"/>
      <c r="H658" s="3"/>
      <c r="I658" s="3"/>
      <c r="J658" s="13"/>
      <c r="K658" s="13"/>
      <c r="L658" s="13"/>
      <c r="M658" s="13"/>
      <c r="N658" s="13"/>
      <c r="O658" s="13"/>
      <c r="P658" s="13"/>
      <c r="Q658" s="13"/>
      <c r="R658" s="13"/>
      <c r="S658" s="421"/>
      <c r="T658" s="421"/>
      <c r="U658" s="421"/>
      <c r="V658" s="421"/>
      <c r="W658" s="421"/>
      <c r="X658" s="421"/>
      <c r="Y658" s="421"/>
      <c r="Z658" s="421"/>
      <c r="AA658" s="421"/>
      <c r="AB658" s="421"/>
      <c r="AC658" s="421"/>
      <c r="AD658" s="421"/>
      <c r="AE658" s="421"/>
      <c r="AF658" s="421"/>
      <c r="AG658" s="421"/>
      <c r="AH658" s="421"/>
      <c r="AI658" s="421"/>
      <c r="AJ658" s="421"/>
      <c r="AK658" s="421"/>
      <c r="AL658" s="421"/>
      <c r="AM658" s="422"/>
      <c r="AN658" s="422"/>
      <c r="AO658" s="422"/>
      <c r="AP658" s="422"/>
      <c r="AQ658" s="422"/>
      <c r="AR658" s="422"/>
      <c r="AS658" s="422"/>
      <c r="AT658" s="422"/>
      <c r="AU658" s="422"/>
      <c r="AV658" s="422"/>
      <c r="AW658" s="422"/>
      <c r="AX658" s="422"/>
      <c r="AY658" s="422"/>
    </row>
    <row r="659" spans="1:51" x14ac:dyDescent="0.25">
      <c r="A659" s="3"/>
      <c r="B659" s="3"/>
      <c r="C659" s="3"/>
      <c r="D659" s="3"/>
      <c r="E659" s="3"/>
      <c r="F659" s="3"/>
      <c r="G659" s="3"/>
      <c r="H659" s="3"/>
      <c r="I659" s="3"/>
      <c r="J659" s="13"/>
      <c r="K659" s="13"/>
      <c r="L659" s="13"/>
      <c r="M659" s="13"/>
      <c r="N659" s="13"/>
      <c r="O659" s="13"/>
      <c r="P659" s="13"/>
      <c r="Q659" s="13"/>
      <c r="R659" s="13"/>
      <c r="S659" s="421"/>
      <c r="T659" s="421"/>
      <c r="U659" s="421"/>
      <c r="V659" s="421"/>
      <c r="W659" s="421"/>
      <c r="X659" s="421"/>
      <c r="Y659" s="421"/>
      <c r="Z659" s="421"/>
      <c r="AA659" s="421"/>
      <c r="AB659" s="421"/>
      <c r="AC659" s="421"/>
      <c r="AD659" s="421"/>
      <c r="AE659" s="421"/>
      <c r="AF659" s="421"/>
      <c r="AG659" s="421"/>
      <c r="AH659" s="421"/>
      <c r="AI659" s="421"/>
      <c r="AJ659" s="421"/>
      <c r="AK659" s="421"/>
      <c r="AL659" s="421"/>
      <c r="AM659" s="422"/>
      <c r="AN659" s="422"/>
      <c r="AO659" s="422"/>
      <c r="AP659" s="422"/>
      <c r="AQ659" s="422"/>
      <c r="AR659" s="422"/>
      <c r="AS659" s="422"/>
      <c r="AT659" s="422"/>
      <c r="AU659" s="422"/>
      <c r="AV659" s="422"/>
      <c r="AW659" s="422"/>
      <c r="AX659" s="422"/>
      <c r="AY659" s="422"/>
    </row>
    <row r="660" spans="1:51" x14ac:dyDescent="0.25">
      <c r="A660" s="3"/>
      <c r="B660" s="3"/>
      <c r="C660" s="3"/>
      <c r="D660" s="3"/>
      <c r="E660" s="3"/>
      <c r="F660" s="3"/>
      <c r="G660" s="3"/>
      <c r="H660" s="3"/>
      <c r="I660" s="3"/>
      <c r="J660" s="13"/>
      <c r="K660" s="13"/>
      <c r="L660" s="13"/>
      <c r="M660" s="13"/>
      <c r="N660" s="13"/>
      <c r="O660" s="13"/>
      <c r="P660" s="13"/>
      <c r="Q660" s="13"/>
      <c r="R660" s="13"/>
      <c r="S660" s="421"/>
      <c r="T660" s="421"/>
      <c r="U660" s="421"/>
      <c r="V660" s="421"/>
      <c r="W660" s="421"/>
      <c r="X660" s="421"/>
      <c r="Y660" s="421"/>
      <c r="Z660" s="421"/>
      <c r="AA660" s="421"/>
      <c r="AB660" s="421"/>
      <c r="AC660" s="421"/>
      <c r="AD660" s="421"/>
      <c r="AE660" s="421"/>
      <c r="AF660" s="421"/>
      <c r="AG660" s="421"/>
      <c r="AH660" s="421"/>
      <c r="AI660" s="421"/>
      <c r="AJ660" s="421"/>
      <c r="AK660" s="421"/>
      <c r="AL660" s="421"/>
      <c r="AM660" s="422"/>
      <c r="AN660" s="422"/>
      <c r="AO660" s="422"/>
      <c r="AP660" s="422"/>
      <c r="AQ660" s="422"/>
      <c r="AR660" s="422"/>
      <c r="AS660" s="422"/>
      <c r="AT660" s="422"/>
      <c r="AU660" s="422"/>
      <c r="AV660" s="422"/>
      <c r="AW660" s="422"/>
      <c r="AX660" s="422"/>
      <c r="AY660" s="422"/>
    </row>
    <row r="661" spans="1:51" x14ac:dyDescent="0.25">
      <c r="A661" s="3"/>
      <c r="B661" s="3"/>
      <c r="C661" s="3"/>
      <c r="D661" s="3"/>
      <c r="E661" s="3"/>
      <c r="F661" s="3"/>
      <c r="G661" s="3"/>
      <c r="H661" s="3"/>
      <c r="I661" s="3"/>
      <c r="J661" s="13"/>
      <c r="K661" s="13"/>
      <c r="L661" s="13"/>
      <c r="M661" s="13"/>
      <c r="N661" s="13"/>
      <c r="O661" s="13"/>
      <c r="P661" s="13"/>
      <c r="Q661" s="13"/>
      <c r="R661" s="13"/>
      <c r="S661" s="421"/>
      <c r="T661" s="421"/>
      <c r="U661" s="421"/>
      <c r="V661" s="421"/>
      <c r="W661" s="421"/>
      <c r="X661" s="421"/>
      <c r="Y661" s="421"/>
      <c r="Z661" s="421"/>
      <c r="AA661" s="421"/>
      <c r="AB661" s="421"/>
      <c r="AC661" s="421"/>
      <c r="AD661" s="421"/>
      <c r="AE661" s="421"/>
      <c r="AF661" s="421"/>
      <c r="AG661" s="421"/>
      <c r="AH661" s="421"/>
      <c r="AI661" s="421"/>
      <c r="AJ661" s="421"/>
      <c r="AK661" s="421"/>
      <c r="AL661" s="421"/>
      <c r="AM661" s="422"/>
      <c r="AN661" s="422"/>
      <c r="AO661" s="422"/>
      <c r="AP661" s="422"/>
      <c r="AQ661" s="422"/>
      <c r="AR661" s="422"/>
      <c r="AS661" s="422"/>
      <c r="AT661" s="422"/>
      <c r="AU661" s="422"/>
      <c r="AV661" s="422"/>
      <c r="AW661" s="422"/>
      <c r="AX661" s="422"/>
      <c r="AY661" s="422"/>
    </row>
    <row r="662" spans="1:51" x14ac:dyDescent="0.25">
      <c r="A662" s="3"/>
      <c r="B662" s="3"/>
      <c r="C662" s="3"/>
      <c r="D662" s="3"/>
      <c r="E662" s="3"/>
      <c r="F662" s="3"/>
      <c r="G662" s="3"/>
      <c r="H662" s="3"/>
      <c r="I662" s="3"/>
      <c r="J662" s="13"/>
      <c r="K662" s="13"/>
      <c r="L662" s="13"/>
      <c r="M662" s="13"/>
      <c r="N662" s="13"/>
      <c r="O662" s="13"/>
      <c r="P662" s="13"/>
      <c r="Q662" s="13"/>
      <c r="R662" s="13"/>
      <c r="S662" s="421"/>
      <c r="T662" s="421"/>
      <c r="U662" s="421"/>
      <c r="V662" s="421"/>
      <c r="W662" s="421"/>
      <c r="X662" s="421"/>
      <c r="Y662" s="421"/>
      <c r="Z662" s="421"/>
      <c r="AA662" s="421"/>
      <c r="AB662" s="421"/>
      <c r="AC662" s="421"/>
      <c r="AD662" s="421"/>
      <c r="AE662" s="421"/>
      <c r="AF662" s="421"/>
      <c r="AG662" s="421"/>
      <c r="AH662" s="421"/>
      <c r="AI662" s="421"/>
      <c r="AJ662" s="421"/>
      <c r="AK662" s="421"/>
      <c r="AL662" s="421"/>
      <c r="AM662" s="422"/>
      <c r="AN662" s="422"/>
      <c r="AO662" s="422"/>
      <c r="AP662" s="422"/>
      <c r="AQ662" s="422"/>
      <c r="AR662" s="422"/>
      <c r="AS662" s="422"/>
      <c r="AT662" s="422"/>
      <c r="AU662" s="422"/>
      <c r="AV662" s="422"/>
      <c r="AW662" s="422"/>
      <c r="AX662" s="422"/>
      <c r="AY662" s="422"/>
    </row>
    <row r="663" spans="1:51" x14ac:dyDescent="0.25">
      <c r="A663" s="3"/>
      <c r="B663" s="3"/>
      <c r="C663" s="3"/>
      <c r="D663" s="3"/>
      <c r="E663" s="3"/>
      <c r="F663" s="3"/>
      <c r="G663" s="3"/>
      <c r="H663" s="3"/>
      <c r="I663" s="3"/>
      <c r="J663" s="13"/>
      <c r="K663" s="13"/>
      <c r="L663" s="13"/>
      <c r="M663" s="13"/>
      <c r="N663" s="13"/>
      <c r="O663" s="13"/>
      <c r="P663" s="13"/>
      <c r="Q663" s="13"/>
      <c r="R663" s="13"/>
      <c r="S663" s="421"/>
      <c r="T663" s="421"/>
      <c r="U663" s="421"/>
      <c r="V663" s="421"/>
      <c r="W663" s="421"/>
      <c r="X663" s="421"/>
      <c r="Y663" s="421"/>
      <c r="Z663" s="421"/>
      <c r="AA663" s="421"/>
      <c r="AB663" s="421"/>
      <c r="AC663" s="421"/>
      <c r="AD663" s="421"/>
      <c r="AE663" s="421"/>
      <c r="AF663" s="421"/>
      <c r="AG663" s="421"/>
      <c r="AH663" s="421"/>
      <c r="AI663" s="421"/>
      <c r="AJ663" s="421"/>
      <c r="AK663" s="421"/>
      <c r="AL663" s="421"/>
      <c r="AM663" s="422"/>
      <c r="AN663" s="422"/>
      <c r="AO663" s="422"/>
      <c r="AP663" s="422"/>
      <c r="AQ663" s="422"/>
      <c r="AR663" s="422"/>
      <c r="AS663" s="422"/>
      <c r="AT663" s="422"/>
      <c r="AU663" s="422"/>
      <c r="AV663" s="422"/>
      <c r="AW663" s="422"/>
      <c r="AX663" s="422"/>
      <c r="AY663" s="422"/>
    </row>
    <row r="664" spans="1:51" x14ac:dyDescent="0.25">
      <c r="A664" s="3"/>
      <c r="B664" s="3"/>
      <c r="C664" s="3"/>
      <c r="D664" s="3"/>
      <c r="E664" s="3"/>
      <c r="F664" s="3"/>
      <c r="G664" s="3"/>
      <c r="H664" s="3"/>
      <c r="I664" s="3"/>
      <c r="J664" s="13"/>
      <c r="K664" s="13"/>
      <c r="L664" s="13"/>
      <c r="M664" s="13"/>
      <c r="N664" s="13"/>
      <c r="O664" s="13"/>
      <c r="P664" s="13"/>
      <c r="Q664" s="13"/>
      <c r="R664" s="13"/>
      <c r="S664" s="421"/>
      <c r="T664" s="421"/>
      <c r="U664" s="421"/>
      <c r="V664" s="421"/>
      <c r="W664" s="421"/>
      <c r="X664" s="421"/>
      <c r="Y664" s="421"/>
      <c r="Z664" s="421"/>
      <c r="AA664" s="421"/>
      <c r="AB664" s="421"/>
      <c r="AC664" s="421"/>
      <c r="AD664" s="421"/>
      <c r="AE664" s="421"/>
      <c r="AF664" s="421"/>
      <c r="AG664" s="421"/>
      <c r="AH664" s="421"/>
      <c r="AI664" s="421"/>
      <c r="AJ664" s="421"/>
      <c r="AK664" s="421"/>
      <c r="AL664" s="421"/>
      <c r="AM664" s="422"/>
      <c r="AN664" s="422"/>
      <c r="AO664" s="422"/>
      <c r="AP664" s="422"/>
      <c r="AQ664" s="422"/>
      <c r="AR664" s="422"/>
      <c r="AS664" s="422"/>
      <c r="AT664" s="422"/>
      <c r="AU664" s="422"/>
      <c r="AV664" s="422"/>
      <c r="AW664" s="422"/>
      <c r="AX664" s="422"/>
      <c r="AY664" s="422"/>
    </row>
    <row r="665" spans="1:51" x14ac:dyDescent="0.25">
      <c r="A665" s="3"/>
      <c r="B665" s="3"/>
      <c r="C665" s="3"/>
      <c r="D665" s="3"/>
      <c r="E665" s="3"/>
      <c r="F665" s="3"/>
      <c r="G665" s="3"/>
      <c r="H665" s="3"/>
      <c r="I665" s="3"/>
      <c r="J665" s="13"/>
      <c r="K665" s="13"/>
      <c r="L665" s="13"/>
      <c r="M665" s="13"/>
      <c r="N665" s="13"/>
      <c r="O665" s="13"/>
      <c r="P665" s="13"/>
      <c r="Q665" s="13"/>
      <c r="R665" s="13"/>
      <c r="S665" s="421"/>
      <c r="T665" s="421"/>
      <c r="U665" s="421"/>
      <c r="V665" s="421"/>
      <c r="W665" s="421"/>
      <c r="X665" s="421"/>
      <c r="Y665" s="421"/>
      <c r="Z665" s="421"/>
      <c r="AA665" s="421"/>
      <c r="AB665" s="421"/>
      <c r="AC665" s="421"/>
      <c r="AD665" s="421"/>
      <c r="AE665" s="421"/>
      <c r="AF665" s="421"/>
      <c r="AG665" s="421"/>
      <c r="AH665" s="421"/>
      <c r="AI665" s="421"/>
      <c r="AJ665" s="421"/>
      <c r="AK665" s="421"/>
      <c r="AL665" s="421"/>
      <c r="AM665" s="422"/>
      <c r="AN665" s="422"/>
      <c r="AO665" s="422"/>
      <c r="AP665" s="422"/>
      <c r="AQ665" s="422"/>
      <c r="AR665" s="422"/>
      <c r="AS665" s="422"/>
      <c r="AT665" s="422"/>
      <c r="AU665" s="422"/>
      <c r="AV665" s="422"/>
      <c r="AW665" s="422"/>
      <c r="AX665" s="422"/>
      <c r="AY665" s="422"/>
    </row>
    <row r="666" spans="1:51" x14ac:dyDescent="0.25">
      <c r="A666" s="3"/>
      <c r="B666" s="3"/>
      <c r="C666" s="3"/>
      <c r="D666" s="3"/>
      <c r="E666" s="3"/>
      <c r="F666" s="3"/>
      <c r="G666" s="3"/>
      <c r="H666" s="3"/>
      <c r="I666" s="3"/>
      <c r="J666" s="13"/>
      <c r="K666" s="13"/>
      <c r="L666" s="13"/>
      <c r="M666" s="13"/>
      <c r="N666" s="13"/>
      <c r="O666" s="13"/>
      <c r="P666" s="13"/>
      <c r="Q666" s="13"/>
      <c r="R666" s="13"/>
      <c r="S666" s="421"/>
      <c r="T666" s="421"/>
      <c r="U666" s="421"/>
      <c r="V666" s="421"/>
      <c r="W666" s="421"/>
      <c r="X666" s="421"/>
      <c r="Y666" s="421"/>
      <c r="Z666" s="421"/>
      <c r="AA666" s="421"/>
      <c r="AB666" s="421"/>
      <c r="AC666" s="421"/>
      <c r="AD666" s="421"/>
      <c r="AE666" s="421"/>
      <c r="AF666" s="421"/>
      <c r="AG666" s="421"/>
      <c r="AH666" s="421"/>
      <c r="AI666" s="421"/>
      <c r="AJ666" s="421"/>
      <c r="AK666" s="421"/>
      <c r="AL666" s="421"/>
      <c r="AM666" s="422"/>
      <c r="AN666" s="422"/>
      <c r="AO666" s="422"/>
      <c r="AP666" s="422"/>
      <c r="AQ666" s="422"/>
      <c r="AR666" s="422"/>
      <c r="AS666" s="422"/>
      <c r="AT666" s="422"/>
      <c r="AU666" s="422"/>
      <c r="AV666" s="422"/>
      <c r="AW666" s="422"/>
      <c r="AX666" s="422"/>
      <c r="AY666" s="422"/>
    </row>
    <row r="667" spans="1:51" x14ac:dyDescent="0.25">
      <c r="A667" s="3"/>
      <c r="B667" s="3"/>
      <c r="C667" s="3"/>
      <c r="D667" s="3"/>
      <c r="E667" s="3"/>
      <c r="F667" s="3"/>
      <c r="G667" s="3"/>
      <c r="H667" s="3"/>
      <c r="I667" s="3"/>
      <c r="J667" s="13"/>
      <c r="K667" s="13"/>
      <c r="L667" s="13"/>
      <c r="M667" s="13"/>
      <c r="N667" s="13"/>
      <c r="O667" s="13"/>
      <c r="P667" s="13"/>
      <c r="Q667" s="13"/>
      <c r="R667" s="13"/>
      <c r="S667" s="421"/>
      <c r="T667" s="421"/>
      <c r="U667" s="421"/>
      <c r="V667" s="421"/>
      <c r="W667" s="421"/>
      <c r="X667" s="421"/>
      <c r="Y667" s="421"/>
      <c r="Z667" s="421"/>
      <c r="AA667" s="421"/>
      <c r="AB667" s="421"/>
      <c r="AC667" s="421"/>
      <c r="AD667" s="421"/>
      <c r="AE667" s="421"/>
      <c r="AF667" s="421"/>
      <c r="AG667" s="421"/>
      <c r="AH667" s="421"/>
      <c r="AI667" s="421"/>
      <c r="AJ667" s="421"/>
      <c r="AK667" s="421"/>
      <c r="AL667" s="421"/>
      <c r="AM667" s="422"/>
      <c r="AN667" s="422"/>
      <c r="AO667" s="422"/>
      <c r="AP667" s="422"/>
      <c r="AQ667" s="422"/>
      <c r="AR667" s="422"/>
      <c r="AS667" s="422"/>
      <c r="AT667" s="422"/>
      <c r="AU667" s="422"/>
      <c r="AV667" s="422"/>
      <c r="AW667" s="422"/>
      <c r="AX667" s="422"/>
      <c r="AY667" s="422"/>
    </row>
    <row r="668" spans="1:51" x14ac:dyDescent="0.25">
      <c r="A668" s="3"/>
      <c r="B668" s="3"/>
      <c r="C668" s="3"/>
      <c r="D668" s="3"/>
      <c r="E668" s="3"/>
      <c r="F668" s="3"/>
      <c r="G668" s="3"/>
      <c r="H668" s="3"/>
      <c r="I668" s="3"/>
      <c r="J668" s="13"/>
      <c r="K668" s="13"/>
      <c r="L668" s="13"/>
      <c r="M668" s="13"/>
      <c r="N668" s="13"/>
      <c r="O668" s="13"/>
      <c r="P668" s="13"/>
      <c r="Q668" s="13"/>
      <c r="R668" s="13"/>
      <c r="S668" s="421"/>
      <c r="T668" s="421"/>
      <c r="U668" s="421"/>
      <c r="V668" s="421"/>
      <c r="W668" s="421"/>
      <c r="X668" s="421"/>
      <c r="Y668" s="421"/>
      <c r="Z668" s="421"/>
      <c r="AA668" s="421"/>
      <c r="AB668" s="421"/>
      <c r="AC668" s="421"/>
      <c r="AD668" s="421"/>
      <c r="AE668" s="421"/>
      <c r="AF668" s="421"/>
      <c r="AG668" s="421"/>
      <c r="AH668" s="421"/>
      <c r="AI668" s="421"/>
      <c r="AJ668" s="421"/>
      <c r="AK668" s="421"/>
      <c r="AL668" s="421"/>
      <c r="AM668" s="422"/>
      <c r="AN668" s="422"/>
      <c r="AO668" s="422"/>
      <c r="AP668" s="422"/>
      <c r="AQ668" s="422"/>
      <c r="AR668" s="422"/>
      <c r="AS668" s="422"/>
      <c r="AT668" s="422"/>
      <c r="AU668" s="422"/>
      <c r="AV668" s="422"/>
      <c r="AW668" s="422"/>
      <c r="AX668" s="422"/>
      <c r="AY668" s="422"/>
    </row>
    <row r="669" spans="1:51" x14ac:dyDescent="0.25">
      <c r="A669" s="3"/>
      <c r="B669" s="3"/>
      <c r="C669" s="3"/>
      <c r="D669" s="3"/>
      <c r="E669" s="3"/>
      <c r="F669" s="3"/>
      <c r="G669" s="3"/>
      <c r="H669" s="3"/>
      <c r="I669" s="3"/>
      <c r="J669" s="13"/>
      <c r="K669" s="13"/>
      <c r="L669" s="13"/>
      <c r="M669" s="13"/>
      <c r="N669" s="13"/>
      <c r="O669" s="13"/>
      <c r="P669" s="13"/>
      <c r="Q669" s="13"/>
      <c r="R669" s="13"/>
      <c r="S669" s="421"/>
      <c r="T669" s="421"/>
      <c r="U669" s="421"/>
      <c r="V669" s="421"/>
      <c r="W669" s="421"/>
      <c r="X669" s="421"/>
      <c r="Y669" s="421"/>
      <c r="Z669" s="421"/>
      <c r="AA669" s="421"/>
      <c r="AB669" s="421"/>
      <c r="AC669" s="421"/>
      <c r="AD669" s="421"/>
      <c r="AE669" s="421"/>
      <c r="AF669" s="421"/>
      <c r="AG669" s="421"/>
      <c r="AH669" s="421"/>
      <c r="AI669" s="421"/>
      <c r="AJ669" s="421"/>
      <c r="AK669" s="421"/>
      <c r="AL669" s="421"/>
      <c r="AM669" s="422"/>
      <c r="AN669" s="422"/>
      <c r="AO669" s="422"/>
      <c r="AP669" s="422"/>
      <c r="AQ669" s="422"/>
      <c r="AR669" s="422"/>
      <c r="AS669" s="422"/>
      <c r="AT669" s="422"/>
      <c r="AU669" s="422"/>
      <c r="AV669" s="422"/>
      <c r="AW669" s="422"/>
      <c r="AX669" s="422"/>
      <c r="AY669" s="422"/>
    </row>
    <row r="670" spans="1:51" x14ac:dyDescent="0.25">
      <c r="A670" s="3"/>
      <c r="B670" s="3"/>
      <c r="C670" s="3"/>
      <c r="D670" s="3"/>
      <c r="E670" s="3"/>
      <c r="F670" s="3"/>
      <c r="G670" s="3"/>
      <c r="H670" s="3"/>
      <c r="I670" s="3"/>
      <c r="J670" s="13"/>
      <c r="K670" s="13"/>
      <c r="L670" s="13"/>
      <c r="M670" s="13"/>
      <c r="N670" s="13"/>
      <c r="O670" s="13"/>
      <c r="P670" s="13"/>
      <c r="Q670" s="13"/>
      <c r="R670" s="13"/>
      <c r="S670" s="421"/>
      <c r="T670" s="421"/>
      <c r="U670" s="421"/>
      <c r="V670" s="421"/>
      <c r="W670" s="421"/>
      <c r="X670" s="421"/>
      <c r="Y670" s="421"/>
      <c r="Z670" s="421"/>
      <c r="AA670" s="421"/>
      <c r="AB670" s="421"/>
      <c r="AC670" s="421"/>
      <c r="AD670" s="421"/>
      <c r="AE670" s="421"/>
      <c r="AF670" s="421"/>
      <c r="AG670" s="421"/>
      <c r="AH670" s="421"/>
      <c r="AI670" s="421"/>
      <c r="AJ670" s="421"/>
      <c r="AK670" s="421"/>
      <c r="AL670" s="421"/>
      <c r="AM670" s="422"/>
      <c r="AN670" s="422"/>
      <c r="AO670" s="422"/>
      <c r="AP670" s="422"/>
      <c r="AQ670" s="422"/>
      <c r="AR670" s="422"/>
      <c r="AS670" s="422"/>
      <c r="AT670" s="422"/>
      <c r="AU670" s="422"/>
      <c r="AV670" s="422"/>
      <c r="AW670" s="422"/>
      <c r="AX670" s="422"/>
      <c r="AY670" s="422"/>
    </row>
    <row r="671" spans="1:51" x14ac:dyDescent="0.25">
      <c r="A671" s="3"/>
      <c r="B671" s="3"/>
      <c r="C671" s="3"/>
      <c r="D671" s="3"/>
      <c r="E671" s="3"/>
      <c r="F671" s="3"/>
      <c r="G671" s="3"/>
      <c r="H671" s="3"/>
      <c r="I671" s="3"/>
      <c r="J671" s="13"/>
      <c r="K671" s="13"/>
      <c r="L671" s="13"/>
      <c r="M671" s="13"/>
      <c r="N671" s="13"/>
      <c r="O671" s="13"/>
      <c r="P671" s="13"/>
      <c r="Q671" s="13"/>
      <c r="R671" s="13"/>
      <c r="S671" s="421"/>
      <c r="T671" s="421"/>
      <c r="U671" s="421"/>
      <c r="V671" s="421"/>
      <c r="W671" s="421"/>
      <c r="X671" s="421"/>
      <c r="Y671" s="421"/>
      <c r="Z671" s="421"/>
      <c r="AA671" s="421"/>
      <c r="AB671" s="421"/>
      <c r="AC671" s="421"/>
      <c r="AD671" s="421"/>
      <c r="AE671" s="421"/>
      <c r="AF671" s="421"/>
      <c r="AG671" s="421"/>
      <c r="AH671" s="421"/>
      <c r="AI671" s="421"/>
      <c r="AJ671" s="421"/>
      <c r="AK671" s="421"/>
      <c r="AL671" s="421"/>
      <c r="AM671" s="422"/>
      <c r="AN671" s="422"/>
      <c r="AO671" s="422"/>
      <c r="AP671" s="422"/>
      <c r="AQ671" s="422"/>
      <c r="AR671" s="422"/>
      <c r="AS671" s="422"/>
      <c r="AT671" s="422"/>
      <c r="AU671" s="422"/>
      <c r="AV671" s="422"/>
      <c r="AW671" s="422"/>
      <c r="AX671" s="422"/>
      <c r="AY671" s="422"/>
    </row>
    <row r="672" spans="1:51" x14ac:dyDescent="0.25">
      <c r="A672" s="3"/>
      <c r="B672" s="3"/>
      <c r="C672" s="3"/>
      <c r="D672" s="3"/>
      <c r="E672" s="3"/>
      <c r="F672" s="3"/>
      <c r="G672" s="3"/>
      <c r="H672" s="3"/>
      <c r="I672" s="3"/>
      <c r="J672" s="13"/>
      <c r="K672" s="13"/>
      <c r="L672" s="13"/>
      <c r="M672" s="13"/>
      <c r="N672" s="13"/>
      <c r="O672" s="13"/>
      <c r="P672" s="13"/>
      <c r="Q672" s="13"/>
      <c r="R672" s="13"/>
      <c r="S672" s="421"/>
      <c r="T672" s="421"/>
      <c r="U672" s="421"/>
      <c r="V672" s="421"/>
      <c r="W672" s="421"/>
      <c r="X672" s="421"/>
      <c r="Y672" s="421"/>
      <c r="Z672" s="421"/>
      <c r="AA672" s="421"/>
      <c r="AB672" s="421"/>
      <c r="AC672" s="421"/>
      <c r="AD672" s="421"/>
      <c r="AE672" s="421"/>
      <c r="AF672" s="421"/>
      <c r="AG672" s="421"/>
      <c r="AH672" s="421"/>
      <c r="AI672" s="421"/>
      <c r="AJ672" s="421"/>
      <c r="AK672" s="421"/>
      <c r="AL672" s="421"/>
      <c r="AM672" s="422"/>
      <c r="AN672" s="422"/>
      <c r="AO672" s="422"/>
      <c r="AP672" s="422"/>
      <c r="AQ672" s="422"/>
      <c r="AR672" s="422"/>
      <c r="AS672" s="422"/>
      <c r="AT672" s="422"/>
      <c r="AU672" s="422"/>
      <c r="AV672" s="422"/>
      <c r="AW672" s="422"/>
      <c r="AX672" s="422"/>
      <c r="AY672" s="422"/>
    </row>
    <row r="673" spans="1:51" x14ac:dyDescent="0.25">
      <c r="A673" s="3"/>
      <c r="B673" s="3"/>
      <c r="C673" s="3"/>
      <c r="D673" s="3"/>
      <c r="E673" s="3"/>
      <c r="F673" s="3"/>
      <c r="G673" s="3"/>
      <c r="H673" s="3"/>
      <c r="I673" s="3"/>
      <c r="J673" s="13"/>
      <c r="K673" s="13"/>
      <c r="L673" s="13"/>
      <c r="M673" s="13"/>
      <c r="N673" s="13"/>
      <c r="O673" s="13"/>
      <c r="P673" s="13"/>
      <c r="Q673" s="13"/>
      <c r="R673" s="13"/>
      <c r="S673" s="421"/>
      <c r="T673" s="421"/>
      <c r="U673" s="421"/>
      <c r="V673" s="421"/>
      <c r="W673" s="421"/>
      <c r="X673" s="421"/>
      <c r="Y673" s="421"/>
      <c r="Z673" s="421"/>
      <c r="AA673" s="421"/>
      <c r="AB673" s="421"/>
      <c r="AC673" s="421"/>
      <c r="AD673" s="421"/>
      <c r="AE673" s="421"/>
      <c r="AF673" s="421"/>
      <c r="AG673" s="421"/>
      <c r="AH673" s="421"/>
      <c r="AI673" s="421"/>
      <c r="AJ673" s="421"/>
      <c r="AK673" s="421"/>
      <c r="AL673" s="421"/>
      <c r="AM673" s="422"/>
      <c r="AN673" s="422"/>
      <c r="AO673" s="422"/>
      <c r="AP673" s="422"/>
      <c r="AQ673" s="422"/>
      <c r="AR673" s="422"/>
      <c r="AS673" s="422"/>
      <c r="AT673" s="422"/>
      <c r="AU673" s="422"/>
      <c r="AV673" s="422"/>
      <c r="AW673" s="422"/>
      <c r="AX673" s="422"/>
      <c r="AY673" s="422"/>
    </row>
    <row r="674" spans="1:51" x14ac:dyDescent="0.25">
      <c r="A674" s="3"/>
      <c r="B674" s="3"/>
      <c r="C674" s="3"/>
      <c r="D674" s="3"/>
      <c r="E674" s="3"/>
      <c r="F674" s="3"/>
      <c r="G674" s="3"/>
      <c r="H674" s="3"/>
      <c r="I674" s="3"/>
      <c r="J674" s="13"/>
      <c r="K674" s="13"/>
      <c r="L674" s="13"/>
      <c r="M674" s="13"/>
      <c r="N674" s="13"/>
      <c r="O674" s="13"/>
      <c r="P674" s="13"/>
      <c r="Q674" s="13"/>
      <c r="R674" s="13"/>
      <c r="S674" s="421"/>
      <c r="T674" s="421"/>
      <c r="U674" s="421"/>
      <c r="V674" s="421"/>
      <c r="W674" s="421"/>
      <c r="X674" s="421"/>
      <c r="Y674" s="421"/>
      <c r="Z674" s="421"/>
      <c r="AA674" s="421"/>
      <c r="AB674" s="421"/>
      <c r="AC674" s="421"/>
      <c r="AD674" s="421"/>
      <c r="AE674" s="421"/>
      <c r="AF674" s="421"/>
      <c r="AG674" s="421"/>
      <c r="AH674" s="421"/>
      <c r="AI674" s="421"/>
      <c r="AJ674" s="421"/>
      <c r="AK674" s="421"/>
      <c r="AL674" s="421"/>
      <c r="AM674" s="422"/>
      <c r="AN674" s="422"/>
      <c r="AO674" s="422"/>
      <c r="AP674" s="422"/>
      <c r="AQ674" s="422"/>
      <c r="AR674" s="422"/>
      <c r="AS674" s="422"/>
      <c r="AT674" s="422"/>
      <c r="AU674" s="422"/>
      <c r="AV674" s="422"/>
      <c r="AW674" s="422"/>
      <c r="AX674" s="422"/>
      <c r="AY674" s="422"/>
    </row>
    <row r="675" spans="1:51" x14ac:dyDescent="0.25">
      <c r="A675" s="3"/>
      <c r="B675" s="3"/>
      <c r="C675" s="3"/>
      <c r="D675" s="3"/>
      <c r="E675" s="3"/>
      <c r="F675" s="3"/>
      <c r="G675" s="3"/>
      <c r="H675" s="3"/>
      <c r="I675" s="3"/>
      <c r="J675" s="13"/>
      <c r="K675" s="13"/>
      <c r="L675" s="13"/>
      <c r="M675" s="13"/>
      <c r="N675" s="13"/>
      <c r="O675" s="13"/>
      <c r="P675" s="13"/>
      <c r="Q675" s="13"/>
      <c r="R675" s="13"/>
      <c r="S675" s="421"/>
      <c r="T675" s="421"/>
      <c r="U675" s="421"/>
      <c r="V675" s="421"/>
      <c r="W675" s="421"/>
      <c r="X675" s="421"/>
      <c r="Y675" s="421"/>
      <c r="Z675" s="421"/>
      <c r="AA675" s="421"/>
      <c r="AB675" s="421"/>
      <c r="AC675" s="421"/>
      <c r="AD675" s="421"/>
      <c r="AE675" s="421"/>
      <c r="AF675" s="421"/>
      <c r="AG675" s="421"/>
      <c r="AH675" s="421"/>
      <c r="AI675" s="421"/>
      <c r="AJ675" s="421"/>
      <c r="AK675" s="421"/>
      <c r="AL675" s="421"/>
      <c r="AM675" s="422"/>
      <c r="AN675" s="422"/>
      <c r="AO675" s="422"/>
      <c r="AP675" s="422"/>
      <c r="AQ675" s="422"/>
      <c r="AR675" s="422"/>
      <c r="AS675" s="422"/>
      <c r="AT675" s="422"/>
      <c r="AU675" s="422"/>
      <c r="AV675" s="422"/>
      <c r="AW675" s="422"/>
      <c r="AX675" s="422"/>
      <c r="AY675" s="422"/>
    </row>
    <row r="676" spans="1:51" x14ac:dyDescent="0.25">
      <c r="A676" s="3"/>
      <c r="B676" s="3"/>
      <c r="C676" s="3"/>
      <c r="D676" s="3"/>
      <c r="E676" s="3"/>
      <c r="F676" s="3"/>
      <c r="G676" s="3"/>
      <c r="H676" s="3"/>
      <c r="I676" s="3"/>
      <c r="J676" s="13"/>
      <c r="K676" s="13"/>
      <c r="L676" s="13"/>
      <c r="M676" s="13"/>
      <c r="N676" s="13"/>
      <c r="O676" s="13"/>
      <c r="P676" s="13"/>
      <c r="Q676" s="13"/>
      <c r="R676" s="13"/>
      <c r="S676" s="421"/>
      <c r="T676" s="421"/>
      <c r="U676" s="421"/>
      <c r="V676" s="421"/>
      <c r="W676" s="421"/>
      <c r="X676" s="421"/>
      <c r="Y676" s="421"/>
      <c r="Z676" s="421"/>
      <c r="AA676" s="421"/>
      <c r="AB676" s="421"/>
      <c r="AC676" s="421"/>
      <c r="AD676" s="421"/>
      <c r="AE676" s="421"/>
      <c r="AF676" s="421"/>
      <c r="AG676" s="421"/>
      <c r="AH676" s="421"/>
      <c r="AI676" s="421"/>
      <c r="AJ676" s="421"/>
      <c r="AK676" s="421"/>
      <c r="AL676" s="421"/>
      <c r="AM676" s="422"/>
      <c r="AN676" s="422"/>
      <c r="AO676" s="422"/>
      <c r="AP676" s="422"/>
      <c r="AQ676" s="422"/>
      <c r="AR676" s="422"/>
      <c r="AS676" s="422"/>
      <c r="AT676" s="422"/>
      <c r="AU676" s="422"/>
      <c r="AV676" s="422"/>
      <c r="AW676" s="422"/>
      <c r="AX676" s="422"/>
      <c r="AY676" s="422"/>
    </row>
    <row r="677" spans="1:51" x14ac:dyDescent="0.25">
      <c r="A677" s="3"/>
      <c r="B677" s="3"/>
      <c r="C677" s="3"/>
      <c r="D677" s="3"/>
      <c r="E677" s="3"/>
      <c r="F677" s="3"/>
      <c r="G677" s="3"/>
      <c r="H677" s="3"/>
      <c r="I677" s="3"/>
      <c r="J677" s="13"/>
      <c r="K677" s="13"/>
      <c r="L677" s="13"/>
      <c r="M677" s="13"/>
      <c r="N677" s="13"/>
      <c r="O677" s="13"/>
      <c r="P677" s="13"/>
      <c r="Q677" s="13"/>
      <c r="R677" s="13"/>
      <c r="S677" s="421"/>
      <c r="T677" s="421"/>
      <c r="U677" s="421"/>
      <c r="V677" s="421"/>
      <c r="W677" s="421"/>
      <c r="X677" s="421"/>
      <c r="Y677" s="421"/>
      <c r="Z677" s="421"/>
      <c r="AA677" s="421"/>
      <c r="AB677" s="421"/>
      <c r="AC677" s="421"/>
      <c r="AD677" s="421"/>
      <c r="AE677" s="421"/>
      <c r="AF677" s="421"/>
      <c r="AG677" s="421"/>
      <c r="AH677" s="421"/>
      <c r="AI677" s="421"/>
      <c r="AJ677" s="421"/>
      <c r="AK677" s="421"/>
      <c r="AL677" s="421"/>
      <c r="AM677" s="422"/>
      <c r="AN677" s="422"/>
      <c r="AO677" s="422"/>
      <c r="AP677" s="422"/>
      <c r="AQ677" s="422"/>
      <c r="AR677" s="422"/>
      <c r="AS677" s="422"/>
      <c r="AT677" s="422"/>
      <c r="AU677" s="422"/>
      <c r="AV677" s="422"/>
      <c r="AW677" s="422"/>
      <c r="AX677" s="422"/>
      <c r="AY677" s="422"/>
    </row>
    <row r="678" spans="1:51" x14ac:dyDescent="0.25">
      <c r="A678" s="3"/>
      <c r="B678" s="3"/>
      <c r="C678" s="3"/>
      <c r="D678" s="3"/>
      <c r="E678" s="3"/>
      <c r="F678" s="3"/>
      <c r="G678" s="3"/>
      <c r="H678" s="3"/>
      <c r="I678" s="3"/>
      <c r="J678" s="13"/>
      <c r="K678" s="13"/>
      <c r="L678" s="13"/>
      <c r="M678" s="13"/>
      <c r="N678" s="13"/>
      <c r="O678" s="13"/>
      <c r="P678" s="13"/>
      <c r="Q678" s="13"/>
      <c r="R678" s="13"/>
      <c r="S678" s="421"/>
      <c r="T678" s="421"/>
      <c r="U678" s="421"/>
      <c r="V678" s="421"/>
      <c r="W678" s="421"/>
      <c r="X678" s="421"/>
      <c r="Y678" s="421"/>
      <c r="Z678" s="421"/>
      <c r="AA678" s="421"/>
      <c r="AB678" s="421"/>
      <c r="AC678" s="421"/>
      <c r="AD678" s="421"/>
      <c r="AE678" s="421"/>
      <c r="AF678" s="421"/>
      <c r="AG678" s="421"/>
      <c r="AH678" s="421"/>
      <c r="AI678" s="421"/>
      <c r="AJ678" s="421"/>
      <c r="AK678" s="421"/>
      <c r="AL678" s="421"/>
      <c r="AM678" s="422"/>
      <c r="AN678" s="422"/>
      <c r="AO678" s="422"/>
      <c r="AP678" s="422"/>
      <c r="AQ678" s="422"/>
      <c r="AR678" s="422"/>
      <c r="AS678" s="422"/>
      <c r="AT678" s="422"/>
      <c r="AU678" s="422"/>
      <c r="AV678" s="422"/>
      <c r="AW678" s="422"/>
      <c r="AX678" s="422"/>
      <c r="AY678" s="422"/>
    </row>
    <row r="679" spans="1:51" x14ac:dyDescent="0.25">
      <c r="A679" s="3"/>
      <c r="B679" s="3"/>
      <c r="C679" s="3"/>
      <c r="D679" s="3"/>
      <c r="E679" s="3"/>
      <c r="F679" s="3"/>
      <c r="G679" s="3"/>
      <c r="H679" s="3"/>
      <c r="I679" s="3"/>
      <c r="J679" s="13"/>
      <c r="K679" s="13"/>
      <c r="L679" s="13"/>
      <c r="M679" s="13"/>
      <c r="N679" s="13"/>
      <c r="O679" s="13"/>
      <c r="P679" s="13"/>
      <c r="Q679" s="13"/>
      <c r="R679" s="13"/>
      <c r="S679" s="421"/>
      <c r="T679" s="421"/>
      <c r="U679" s="421"/>
      <c r="V679" s="421"/>
      <c r="W679" s="421"/>
      <c r="X679" s="421"/>
      <c r="Y679" s="421"/>
      <c r="Z679" s="421"/>
      <c r="AA679" s="421"/>
      <c r="AB679" s="421"/>
      <c r="AC679" s="421"/>
      <c r="AD679" s="421"/>
      <c r="AE679" s="421"/>
      <c r="AF679" s="421"/>
      <c r="AG679" s="421"/>
      <c r="AH679" s="421"/>
      <c r="AI679" s="421"/>
      <c r="AJ679" s="421"/>
      <c r="AK679" s="421"/>
      <c r="AL679" s="421"/>
      <c r="AM679" s="422"/>
      <c r="AN679" s="422"/>
      <c r="AO679" s="422"/>
      <c r="AP679" s="422"/>
      <c r="AQ679" s="422"/>
      <c r="AR679" s="422"/>
      <c r="AS679" s="422"/>
      <c r="AT679" s="422"/>
      <c r="AU679" s="422"/>
      <c r="AV679" s="422"/>
      <c r="AW679" s="422"/>
      <c r="AX679" s="422"/>
      <c r="AY679" s="422"/>
    </row>
    <row r="680" spans="1:51" x14ac:dyDescent="0.25">
      <c r="A680" s="3"/>
      <c r="B680" s="3"/>
      <c r="C680" s="3"/>
      <c r="D680" s="3"/>
      <c r="E680" s="3"/>
      <c r="F680" s="3"/>
      <c r="G680" s="3"/>
      <c r="H680" s="3"/>
      <c r="I680" s="3"/>
      <c r="J680" s="13"/>
      <c r="K680" s="13"/>
      <c r="L680" s="13"/>
      <c r="M680" s="13"/>
      <c r="N680" s="13"/>
      <c r="O680" s="13"/>
      <c r="P680" s="13"/>
      <c r="Q680" s="13"/>
      <c r="R680" s="13"/>
      <c r="S680" s="421"/>
      <c r="T680" s="421"/>
      <c r="U680" s="421"/>
      <c r="V680" s="421"/>
      <c r="W680" s="421"/>
      <c r="X680" s="421"/>
      <c r="Y680" s="421"/>
      <c r="Z680" s="421"/>
      <c r="AA680" s="421"/>
      <c r="AB680" s="421"/>
      <c r="AC680" s="421"/>
      <c r="AD680" s="421"/>
      <c r="AE680" s="421"/>
      <c r="AF680" s="421"/>
      <c r="AG680" s="421"/>
      <c r="AH680" s="421"/>
      <c r="AI680" s="421"/>
      <c r="AJ680" s="421"/>
      <c r="AK680" s="421"/>
      <c r="AL680" s="421"/>
      <c r="AM680" s="422"/>
      <c r="AN680" s="422"/>
      <c r="AO680" s="422"/>
      <c r="AP680" s="422"/>
      <c r="AQ680" s="422"/>
      <c r="AR680" s="422"/>
      <c r="AS680" s="422"/>
      <c r="AT680" s="422"/>
      <c r="AU680" s="422"/>
      <c r="AV680" s="422"/>
      <c r="AW680" s="422"/>
      <c r="AX680" s="422"/>
      <c r="AY680" s="422"/>
    </row>
    <row r="681" spans="1:51" x14ac:dyDescent="0.25">
      <c r="A681" s="3"/>
      <c r="B681" s="3"/>
      <c r="C681" s="3"/>
      <c r="D681" s="3"/>
      <c r="E681" s="3"/>
      <c r="F681" s="3"/>
      <c r="G681" s="3"/>
      <c r="H681" s="3"/>
      <c r="I681" s="3"/>
      <c r="J681" s="13"/>
      <c r="K681" s="13"/>
      <c r="L681" s="13"/>
      <c r="M681" s="13"/>
      <c r="N681" s="13"/>
      <c r="O681" s="13"/>
      <c r="P681" s="13"/>
      <c r="Q681" s="13"/>
      <c r="R681" s="13"/>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2"/>
      <c r="AN681" s="422"/>
      <c r="AO681" s="422"/>
      <c r="AP681" s="422"/>
      <c r="AQ681" s="422"/>
      <c r="AR681" s="422"/>
      <c r="AS681" s="422"/>
      <c r="AT681" s="422"/>
      <c r="AU681" s="422"/>
      <c r="AV681" s="422"/>
      <c r="AW681" s="422"/>
      <c r="AX681" s="422"/>
      <c r="AY681" s="422"/>
    </row>
    <row r="682" spans="1:51" x14ac:dyDescent="0.25">
      <c r="A682" s="3"/>
      <c r="B682" s="3"/>
      <c r="C682" s="3"/>
      <c r="D682" s="3"/>
      <c r="E682" s="3"/>
      <c r="F682" s="3"/>
      <c r="G682" s="3"/>
      <c r="H682" s="3"/>
      <c r="I682" s="3"/>
      <c r="J682" s="13"/>
      <c r="K682" s="13"/>
      <c r="L682" s="13"/>
      <c r="M682" s="13"/>
      <c r="N682" s="13"/>
      <c r="O682" s="13"/>
      <c r="P682" s="13"/>
      <c r="Q682" s="13"/>
      <c r="R682" s="13"/>
      <c r="S682" s="421"/>
      <c r="T682" s="421"/>
      <c r="U682" s="421"/>
      <c r="V682" s="421"/>
      <c r="W682" s="421"/>
      <c r="X682" s="421"/>
      <c r="Y682" s="421"/>
      <c r="Z682" s="421"/>
      <c r="AA682" s="421"/>
      <c r="AB682" s="421"/>
      <c r="AC682" s="421"/>
      <c r="AD682" s="421"/>
      <c r="AE682" s="421"/>
      <c r="AF682" s="421"/>
      <c r="AG682" s="421"/>
      <c r="AH682" s="421"/>
      <c r="AI682" s="421"/>
      <c r="AJ682" s="421"/>
      <c r="AK682" s="421"/>
      <c r="AL682" s="421"/>
      <c r="AM682" s="422"/>
      <c r="AN682" s="422"/>
      <c r="AO682" s="422"/>
      <c r="AP682" s="422"/>
      <c r="AQ682" s="422"/>
      <c r="AR682" s="422"/>
      <c r="AS682" s="422"/>
      <c r="AT682" s="422"/>
      <c r="AU682" s="422"/>
      <c r="AV682" s="422"/>
      <c r="AW682" s="422"/>
      <c r="AX682" s="422"/>
      <c r="AY682" s="422"/>
    </row>
    <row r="683" spans="1:51" x14ac:dyDescent="0.25">
      <c r="A683" s="3"/>
      <c r="B683" s="3"/>
      <c r="C683" s="3"/>
      <c r="D683" s="3"/>
      <c r="E683" s="3"/>
      <c r="F683" s="3"/>
      <c r="G683" s="3"/>
      <c r="H683" s="3"/>
      <c r="I683" s="3"/>
      <c r="J683" s="13"/>
      <c r="K683" s="13"/>
      <c r="L683" s="13"/>
      <c r="M683" s="13"/>
      <c r="N683" s="13"/>
      <c r="O683" s="13"/>
      <c r="P683" s="13"/>
      <c r="Q683" s="13"/>
      <c r="R683" s="13"/>
      <c r="S683" s="421"/>
      <c r="T683" s="421"/>
      <c r="U683" s="421"/>
      <c r="V683" s="421"/>
      <c r="W683" s="421"/>
      <c r="X683" s="421"/>
      <c r="Y683" s="421"/>
      <c r="Z683" s="421"/>
      <c r="AA683" s="421"/>
      <c r="AB683" s="421"/>
      <c r="AC683" s="421"/>
      <c r="AD683" s="421"/>
      <c r="AE683" s="421"/>
      <c r="AF683" s="421"/>
      <c r="AG683" s="421"/>
      <c r="AH683" s="421"/>
      <c r="AI683" s="421"/>
      <c r="AJ683" s="421"/>
      <c r="AK683" s="421"/>
      <c r="AL683" s="421"/>
      <c r="AM683" s="422"/>
      <c r="AN683" s="422"/>
      <c r="AO683" s="422"/>
      <c r="AP683" s="422"/>
      <c r="AQ683" s="422"/>
      <c r="AR683" s="422"/>
      <c r="AS683" s="422"/>
      <c r="AT683" s="422"/>
      <c r="AU683" s="422"/>
      <c r="AV683" s="422"/>
      <c r="AW683" s="422"/>
      <c r="AX683" s="422"/>
      <c r="AY683" s="422"/>
    </row>
    <row r="684" spans="1:51" x14ac:dyDescent="0.25">
      <c r="A684" s="3"/>
      <c r="B684" s="3"/>
      <c r="C684" s="3"/>
      <c r="D684" s="3"/>
      <c r="E684" s="3"/>
      <c r="F684" s="3"/>
      <c r="G684" s="3"/>
      <c r="H684" s="3"/>
      <c r="I684" s="3"/>
      <c r="J684" s="13"/>
      <c r="K684" s="13"/>
      <c r="L684" s="13"/>
      <c r="M684" s="13"/>
      <c r="N684" s="13"/>
      <c r="O684" s="13"/>
      <c r="P684" s="13"/>
      <c r="Q684" s="13"/>
      <c r="R684" s="13"/>
      <c r="S684" s="421"/>
      <c r="T684" s="421"/>
      <c r="U684" s="421"/>
      <c r="V684" s="421"/>
      <c r="W684" s="421"/>
      <c r="X684" s="421"/>
      <c r="Y684" s="421"/>
      <c r="Z684" s="421"/>
      <c r="AA684" s="421"/>
      <c r="AB684" s="421"/>
      <c r="AC684" s="421"/>
      <c r="AD684" s="421"/>
      <c r="AE684" s="421"/>
      <c r="AF684" s="421"/>
      <c r="AG684" s="421"/>
      <c r="AH684" s="421"/>
      <c r="AI684" s="421"/>
      <c r="AJ684" s="421"/>
      <c r="AK684" s="421"/>
      <c r="AL684" s="421"/>
      <c r="AM684" s="422"/>
      <c r="AN684" s="422"/>
      <c r="AO684" s="422"/>
      <c r="AP684" s="422"/>
      <c r="AQ684" s="422"/>
      <c r="AR684" s="422"/>
      <c r="AS684" s="422"/>
      <c r="AT684" s="422"/>
      <c r="AU684" s="422"/>
      <c r="AV684" s="422"/>
      <c r="AW684" s="422"/>
      <c r="AX684" s="422"/>
      <c r="AY684" s="422"/>
    </row>
    <row r="685" spans="1:51" x14ac:dyDescent="0.25">
      <c r="A685" s="3"/>
      <c r="B685" s="3"/>
      <c r="C685" s="3"/>
      <c r="D685" s="3"/>
      <c r="E685" s="3"/>
      <c r="F685" s="3"/>
      <c r="G685" s="3"/>
      <c r="H685" s="3"/>
      <c r="I685" s="3"/>
      <c r="J685" s="13"/>
      <c r="K685" s="13"/>
      <c r="L685" s="13"/>
      <c r="M685" s="13"/>
      <c r="N685" s="13"/>
      <c r="O685" s="13"/>
      <c r="P685" s="13"/>
      <c r="Q685" s="13"/>
      <c r="R685" s="13"/>
      <c r="S685" s="421"/>
      <c r="T685" s="421"/>
      <c r="U685" s="421"/>
      <c r="V685" s="421"/>
      <c r="W685" s="421"/>
      <c r="X685" s="421"/>
      <c r="Y685" s="421"/>
      <c r="Z685" s="421"/>
      <c r="AA685" s="421"/>
      <c r="AB685" s="421"/>
      <c r="AC685" s="421"/>
      <c r="AD685" s="421"/>
      <c r="AE685" s="421"/>
      <c r="AF685" s="421"/>
      <c r="AG685" s="421"/>
      <c r="AH685" s="421"/>
      <c r="AI685" s="421"/>
      <c r="AJ685" s="421"/>
      <c r="AK685" s="421"/>
      <c r="AL685" s="421"/>
      <c r="AM685" s="422"/>
      <c r="AN685" s="422"/>
      <c r="AO685" s="422"/>
      <c r="AP685" s="422"/>
      <c r="AQ685" s="422"/>
      <c r="AR685" s="422"/>
      <c r="AS685" s="422"/>
      <c r="AT685" s="422"/>
      <c r="AU685" s="422"/>
      <c r="AV685" s="422"/>
      <c r="AW685" s="422"/>
      <c r="AX685" s="422"/>
      <c r="AY685" s="422"/>
    </row>
    <row r="686" spans="1:51" x14ac:dyDescent="0.25">
      <c r="A686" s="3"/>
      <c r="B686" s="3"/>
      <c r="C686" s="3"/>
      <c r="D686" s="3"/>
      <c r="E686" s="3"/>
      <c r="F686" s="3"/>
      <c r="G686" s="3"/>
      <c r="H686" s="3"/>
      <c r="I686" s="3"/>
      <c r="J686" s="13"/>
      <c r="K686" s="13"/>
      <c r="L686" s="13"/>
      <c r="M686" s="13"/>
      <c r="N686" s="13"/>
      <c r="O686" s="13"/>
      <c r="P686" s="13"/>
      <c r="Q686" s="13"/>
      <c r="R686" s="13"/>
      <c r="S686" s="421"/>
      <c r="T686" s="421"/>
      <c r="U686" s="421"/>
      <c r="V686" s="421"/>
      <c r="W686" s="421"/>
      <c r="X686" s="421"/>
      <c r="Y686" s="421"/>
      <c r="Z686" s="421"/>
      <c r="AA686" s="421"/>
      <c r="AB686" s="421"/>
      <c r="AC686" s="421"/>
      <c r="AD686" s="421"/>
      <c r="AE686" s="421"/>
      <c r="AF686" s="421"/>
      <c r="AG686" s="421"/>
      <c r="AH686" s="421"/>
      <c r="AI686" s="421"/>
      <c r="AJ686" s="421"/>
      <c r="AK686" s="421"/>
      <c r="AL686" s="421"/>
      <c r="AM686" s="422"/>
      <c r="AN686" s="422"/>
      <c r="AO686" s="422"/>
      <c r="AP686" s="422"/>
      <c r="AQ686" s="422"/>
      <c r="AR686" s="422"/>
      <c r="AS686" s="422"/>
      <c r="AT686" s="422"/>
      <c r="AU686" s="422"/>
      <c r="AV686" s="422"/>
      <c r="AW686" s="422"/>
      <c r="AX686" s="422"/>
      <c r="AY686" s="422"/>
    </row>
    <row r="687" spans="1:51" x14ac:dyDescent="0.25">
      <c r="A687" s="3"/>
      <c r="B687" s="3"/>
      <c r="C687" s="3"/>
      <c r="D687" s="3"/>
      <c r="E687" s="3"/>
      <c r="F687" s="3"/>
      <c r="G687" s="3"/>
      <c r="H687" s="3"/>
      <c r="I687" s="3"/>
      <c r="J687" s="13"/>
      <c r="K687" s="13"/>
      <c r="L687" s="13"/>
      <c r="M687" s="13"/>
      <c r="N687" s="13"/>
      <c r="O687" s="13"/>
      <c r="P687" s="13"/>
      <c r="Q687" s="13"/>
      <c r="R687" s="13"/>
      <c r="S687" s="421"/>
      <c r="T687" s="421"/>
      <c r="U687" s="421"/>
      <c r="V687" s="421"/>
      <c r="W687" s="421"/>
      <c r="X687" s="421"/>
      <c r="Y687" s="421"/>
      <c r="Z687" s="421"/>
      <c r="AA687" s="421"/>
      <c r="AB687" s="421"/>
      <c r="AC687" s="421"/>
      <c r="AD687" s="421"/>
      <c r="AE687" s="421"/>
      <c r="AF687" s="421"/>
      <c r="AG687" s="421"/>
      <c r="AH687" s="421"/>
      <c r="AI687" s="421"/>
      <c r="AJ687" s="421"/>
      <c r="AK687" s="421"/>
      <c r="AL687" s="421"/>
      <c r="AM687" s="422"/>
      <c r="AN687" s="422"/>
      <c r="AO687" s="422"/>
      <c r="AP687" s="422"/>
      <c r="AQ687" s="422"/>
      <c r="AR687" s="422"/>
      <c r="AS687" s="422"/>
      <c r="AT687" s="422"/>
      <c r="AU687" s="422"/>
      <c r="AV687" s="422"/>
      <c r="AW687" s="422"/>
      <c r="AX687" s="422"/>
      <c r="AY687" s="422"/>
    </row>
    <row r="688" spans="1:51" x14ac:dyDescent="0.25">
      <c r="A688" s="3"/>
      <c r="B688" s="3"/>
      <c r="C688" s="3"/>
      <c r="D688" s="3"/>
      <c r="E688" s="3"/>
      <c r="F688" s="3"/>
      <c r="G688" s="3"/>
      <c r="H688" s="3"/>
      <c r="I688" s="3"/>
      <c r="J688" s="13"/>
      <c r="K688" s="13"/>
      <c r="L688" s="13"/>
      <c r="M688" s="13"/>
      <c r="N688" s="13"/>
      <c r="O688" s="13"/>
      <c r="P688" s="13"/>
      <c r="Q688" s="13"/>
      <c r="R688" s="13"/>
      <c r="S688" s="421"/>
      <c r="T688" s="421"/>
      <c r="U688" s="421"/>
      <c r="V688" s="421"/>
      <c r="W688" s="421"/>
      <c r="X688" s="421"/>
      <c r="Y688" s="421"/>
      <c r="Z688" s="421"/>
      <c r="AA688" s="421"/>
      <c r="AB688" s="421"/>
      <c r="AC688" s="421"/>
      <c r="AD688" s="421"/>
      <c r="AE688" s="421"/>
      <c r="AF688" s="421"/>
      <c r="AG688" s="421"/>
      <c r="AH688" s="421"/>
      <c r="AI688" s="421"/>
      <c r="AJ688" s="421"/>
      <c r="AK688" s="421"/>
      <c r="AL688" s="421"/>
      <c r="AM688" s="422"/>
      <c r="AN688" s="422"/>
      <c r="AO688" s="422"/>
      <c r="AP688" s="422"/>
      <c r="AQ688" s="422"/>
      <c r="AR688" s="422"/>
      <c r="AS688" s="422"/>
      <c r="AT688" s="422"/>
      <c r="AU688" s="422"/>
      <c r="AV688" s="422"/>
      <c r="AW688" s="422"/>
      <c r="AX688" s="422"/>
      <c r="AY688" s="422"/>
    </row>
    <row r="689" spans="1:51" x14ac:dyDescent="0.25">
      <c r="A689" s="3"/>
      <c r="B689" s="3"/>
      <c r="C689" s="3"/>
      <c r="D689" s="3"/>
      <c r="E689" s="3"/>
      <c r="F689" s="3"/>
      <c r="G689" s="3"/>
      <c r="H689" s="3"/>
      <c r="I689" s="3"/>
      <c r="J689" s="13"/>
      <c r="K689" s="13"/>
      <c r="L689" s="13"/>
      <c r="M689" s="13"/>
      <c r="N689" s="13"/>
      <c r="O689" s="13"/>
      <c r="P689" s="13"/>
      <c r="Q689" s="13"/>
      <c r="R689" s="13"/>
      <c r="S689" s="421"/>
      <c r="T689" s="421"/>
      <c r="U689" s="421"/>
      <c r="V689" s="421"/>
      <c r="W689" s="421"/>
      <c r="X689" s="421"/>
      <c r="Y689" s="421"/>
      <c r="Z689" s="421"/>
      <c r="AA689" s="421"/>
      <c r="AB689" s="421"/>
      <c r="AC689" s="421"/>
      <c r="AD689" s="421"/>
      <c r="AE689" s="421"/>
      <c r="AF689" s="421"/>
      <c r="AG689" s="421"/>
      <c r="AH689" s="421"/>
      <c r="AI689" s="421"/>
      <c r="AJ689" s="421"/>
      <c r="AK689" s="421"/>
      <c r="AL689" s="421"/>
      <c r="AM689" s="422"/>
      <c r="AN689" s="422"/>
      <c r="AO689" s="422"/>
      <c r="AP689" s="422"/>
      <c r="AQ689" s="422"/>
      <c r="AR689" s="422"/>
      <c r="AS689" s="422"/>
      <c r="AT689" s="422"/>
      <c r="AU689" s="422"/>
      <c r="AV689" s="422"/>
      <c r="AW689" s="422"/>
      <c r="AX689" s="422"/>
      <c r="AY689" s="422"/>
    </row>
    <row r="690" spans="1:51" x14ac:dyDescent="0.25">
      <c r="A690" s="3"/>
      <c r="B690" s="3"/>
      <c r="C690" s="3"/>
      <c r="D690" s="3"/>
      <c r="E690" s="3"/>
      <c r="F690" s="3"/>
      <c r="G690" s="3"/>
      <c r="H690" s="3"/>
      <c r="I690" s="3"/>
      <c r="J690" s="13"/>
      <c r="K690" s="13"/>
      <c r="L690" s="13"/>
      <c r="M690" s="13"/>
      <c r="N690" s="13"/>
      <c r="O690" s="13"/>
      <c r="P690" s="13"/>
      <c r="Q690" s="13"/>
      <c r="R690" s="13"/>
      <c r="S690" s="421"/>
      <c r="T690" s="421"/>
      <c r="U690" s="421"/>
      <c r="V690" s="421"/>
      <c r="W690" s="421"/>
      <c r="X690" s="421"/>
      <c r="Y690" s="421"/>
      <c r="Z690" s="421"/>
      <c r="AA690" s="421"/>
      <c r="AB690" s="421"/>
      <c r="AC690" s="421"/>
      <c r="AD690" s="421"/>
      <c r="AE690" s="421"/>
      <c r="AF690" s="421"/>
      <c r="AG690" s="421"/>
      <c r="AH690" s="421"/>
      <c r="AI690" s="421"/>
      <c r="AJ690" s="421"/>
      <c r="AK690" s="421"/>
      <c r="AL690" s="421"/>
      <c r="AM690" s="422"/>
      <c r="AN690" s="422"/>
      <c r="AO690" s="422"/>
      <c r="AP690" s="422"/>
      <c r="AQ690" s="422"/>
      <c r="AR690" s="422"/>
      <c r="AS690" s="422"/>
      <c r="AT690" s="422"/>
      <c r="AU690" s="422"/>
      <c r="AV690" s="422"/>
      <c r="AW690" s="422"/>
      <c r="AX690" s="422"/>
      <c r="AY690" s="422"/>
    </row>
    <row r="691" spans="1:51" x14ac:dyDescent="0.25">
      <c r="A691" s="3"/>
      <c r="B691" s="3"/>
      <c r="C691" s="3"/>
      <c r="D691" s="3"/>
      <c r="E691" s="3"/>
      <c r="F691" s="3"/>
      <c r="G691" s="3"/>
      <c r="H691" s="3"/>
      <c r="I691" s="3"/>
      <c r="J691" s="13"/>
      <c r="K691" s="13"/>
      <c r="L691" s="13"/>
      <c r="M691" s="13"/>
      <c r="N691" s="13"/>
      <c r="O691" s="13"/>
      <c r="P691" s="13"/>
      <c r="Q691" s="13"/>
      <c r="R691" s="13"/>
      <c r="S691" s="421"/>
      <c r="T691" s="421"/>
      <c r="U691" s="421"/>
      <c r="V691" s="421"/>
      <c r="W691" s="421"/>
      <c r="X691" s="421"/>
      <c r="Y691" s="421"/>
      <c r="Z691" s="421"/>
      <c r="AA691" s="421"/>
      <c r="AB691" s="421"/>
      <c r="AC691" s="421"/>
      <c r="AD691" s="421"/>
      <c r="AE691" s="421"/>
      <c r="AF691" s="421"/>
      <c r="AG691" s="421"/>
      <c r="AH691" s="421"/>
      <c r="AI691" s="421"/>
      <c r="AJ691" s="421"/>
      <c r="AK691" s="421"/>
      <c r="AL691" s="421"/>
      <c r="AM691" s="422"/>
      <c r="AN691" s="422"/>
      <c r="AO691" s="422"/>
      <c r="AP691" s="422"/>
      <c r="AQ691" s="422"/>
      <c r="AR691" s="422"/>
      <c r="AS691" s="422"/>
      <c r="AT691" s="422"/>
      <c r="AU691" s="422"/>
      <c r="AV691" s="422"/>
      <c r="AW691" s="422"/>
      <c r="AX691" s="422"/>
      <c r="AY691" s="422"/>
    </row>
    <row r="692" spans="1:51" x14ac:dyDescent="0.25">
      <c r="A692" s="3"/>
      <c r="B692" s="3"/>
      <c r="C692" s="3"/>
      <c r="D692" s="3"/>
      <c r="E692" s="3"/>
      <c r="F692" s="3"/>
      <c r="G692" s="3"/>
      <c r="H692" s="3"/>
      <c r="I692" s="3"/>
      <c r="J692" s="13"/>
      <c r="K692" s="13"/>
      <c r="L692" s="13"/>
      <c r="M692" s="13"/>
      <c r="N692" s="13"/>
      <c r="O692" s="13"/>
      <c r="P692" s="13"/>
      <c r="Q692" s="13"/>
      <c r="R692" s="13"/>
      <c r="S692" s="421"/>
      <c r="T692" s="421"/>
      <c r="U692" s="421"/>
      <c r="V692" s="421"/>
      <c r="W692" s="421"/>
      <c r="X692" s="421"/>
      <c r="Y692" s="421"/>
      <c r="Z692" s="421"/>
      <c r="AA692" s="421"/>
      <c r="AB692" s="421"/>
      <c r="AC692" s="421"/>
      <c r="AD692" s="421"/>
      <c r="AE692" s="421"/>
      <c r="AF692" s="421"/>
      <c r="AG692" s="421"/>
      <c r="AH692" s="421"/>
      <c r="AI692" s="421"/>
      <c r="AJ692" s="421"/>
      <c r="AK692" s="421"/>
      <c r="AL692" s="421"/>
      <c r="AM692" s="422"/>
      <c r="AN692" s="422"/>
      <c r="AO692" s="422"/>
      <c r="AP692" s="422"/>
      <c r="AQ692" s="422"/>
      <c r="AR692" s="422"/>
      <c r="AS692" s="422"/>
      <c r="AT692" s="422"/>
      <c r="AU692" s="422"/>
      <c r="AV692" s="422"/>
      <c r="AW692" s="422"/>
      <c r="AX692" s="422"/>
      <c r="AY692" s="422"/>
    </row>
    <row r="693" spans="1:51" x14ac:dyDescent="0.25">
      <c r="A693" s="3"/>
      <c r="B693" s="3"/>
      <c r="C693" s="3"/>
      <c r="D693" s="3"/>
      <c r="E693" s="3"/>
      <c r="F693" s="3"/>
      <c r="G693" s="3"/>
      <c r="H693" s="3"/>
      <c r="I693" s="3"/>
      <c r="J693" s="13"/>
      <c r="K693" s="13"/>
      <c r="L693" s="13"/>
      <c r="M693" s="13"/>
      <c r="N693" s="13"/>
      <c r="O693" s="13"/>
      <c r="P693" s="13"/>
      <c r="Q693" s="13"/>
      <c r="R693" s="13"/>
      <c r="S693" s="421"/>
      <c r="T693" s="421"/>
      <c r="U693" s="421"/>
      <c r="V693" s="421"/>
      <c r="W693" s="421"/>
      <c r="X693" s="421"/>
      <c r="Y693" s="421"/>
      <c r="Z693" s="421"/>
      <c r="AA693" s="421"/>
      <c r="AB693" s="421"/>
      <c r="AC693" s="421"/>
      <c r="AD693" s="421"/>
      <c r="AE693" s="421"/>
      <c r="AF693" s="421"/>
      <c r="AG693" s="421"/>
      <c r="AH693" s="421"/>
      <c r="AI693" s="421"/>
      <c r="AJ693" s="421"/>
      <c r="AK693" s="421"/>
      <c r="AL693" s="421"/>
      <c r="AM693" s="422"/>
      <c r="AN693" s="422"/>
      <c r="AO693" s="422"/>
      <c r="AP693" s="422"/>
      <c r="AQ693" s="422"/>
      <c r="AR693" s="422"/>
      <c r="AS693" s="422"/>
      <c r="AT693" s="422"/>
      <c r="AU693" s="422"/>
      <c r="AV693" s="422"/>
      <c r="AW693" s="422"/>
      <c r="AX693" s="422"/>
      <c r="AY693" s="422"/>
    </row>
    <row r="694" spans="1:51" x14ac:dyDescent="0.25">
      <c r="A694" s="3"/>
      <c r="B694" s="3"/>
      <c r="C694" s="3"/>
      <c r="D694" s="3"/>
      <c r="E694" s="3"/>
      <c r="F694" s="3"/>
      <c r="G694" s="3"/>
      <c r="H694" s="3"/>
      <c r="I694" s="3"/>
      <c r="J694" s="13"/>
      <c r="K694" s="13"/>
      <c r="L694" s="13"/>
      <c r="M694" s="13"/>
      <c r="N694" s="13"/>
      <c r="O694" s="13"/>
      <c r="P694" s="13"/>
      <c r="Q694" s="13"/>
      <c r="R694" s="13"/>
      <c r="S694" s="421"/>
      <c r="T694" s="421"/>
      <c r="U694" s="421"/>
      <c r="V694" s="421"/>
      <c r="W694" s="421"/>
      <c r="X694" s="421"/>
      <c r="Y694" s="421"/>
      <c r="Z694" s="421"/>
      <c r="AA694" s="421"/>
      <c r="AB694" s="421"/>
      <c r="AC694" s="421"/>
      <c r="AD694" s="421"/>
      <c r="AE694" s="421"/>
      <c r="AF694" s="421"/>
      <c r="AG694" s="421"/>
      <c r="AH694" s="421"/>
      <c r="AI694" s="421"/>
      <c r="AJ694" s="421"/>
      <c r="AK694" s="421"/>
      <c r="AL694" s="421"/>
      <c r="AM694" s="422"/>
      <c r="AN694" s="422"/>
      <c r="AO694" s="422"/>
      <c r="AP694" s="422"/>
      <c r="AQ694" s="422"/>
      <c r="AR694" s="422"/>
      <c r="AS694" s="422"/>
      <c r="AT694" s="422"/>
      <c r="AU694" s="422"/>
      <c r="AV694" s="422"/>
      <c r="AW694" s="422"/>
      <c r="AX694" s="422"/>
      <c r="AY694" s="422"/>
    </row>
    <row r="695" spans="1:51" x14ac:dyDescent="0.25">
      <c r="A695" s="3"/>
      <c r="B695" s="3"/>
      <c r="C695" s="3"/>
      <c r="D695" s="3"/>
      <c r="E695" s="3"/>
      <c r="F695" s="3"/>
      <c r="G695" s="3"/>
      <c r="H695" s="3"/>
      <c r="I695" s="3"/>
      <c r="J695" s="13"/>
      <c r="K695" s="13"/>
      <c r="L695" s="13"/>
      <c r="M695" s="13"/>
      <c r="N695" s="13"/>
      <c r="O695" s="13"/>
      <c r="P695" s="13"/>
      <c r="Q695" s="13"/>
      <c r="R695" s="13"/>
      <c r="S695" s="421"/>
      <c r="T695" s="421"/>
      <c r="U695" s="421"/>
      <c r="V695" s="421"/>
      <c r="W695" s="421"/>
      <c r="X695" s="421"/>
      <c r="Y695" s="421"/>
      <c r="Z695" s="421"/>
      <c r="AA695" s="421"/>
      <c r="AB695" s="421"/>
      <c r="AC695" s="421"/>
      <c r="AD695" s="421"/>
      <c r="AE695" s="421"/>
      <c r="AF695" s="421"/>
      <c r="AG695" s="421"/>
      <c r="AH695" s="421"/>
      <c r="AI695" s="421"/>
      <c r="AJ695" s="421"/>
      <c r="AK695" s="421"/>
      <c r="AL695" s="421"/>
      <c r="AM695" s="422"/>
      <c r="AN695" s="422"/>
      <c r="AO695" s="422"/>
      <c r="AP695" s="422"/>
      <c r="AQ695" s="422"/>
      <c r="AR695" s="422"/>
      <c r="AS695" s="422"/>
      <c r="AT695" s="422"/>
      <c r="AU695" s="422"/>
      <c r="AV695" s="422"/>
      <c r="AW695" s="422"/>
      <c r="AX695" s="422"/>
      <c r="AY695" s="422"/>
    </row>
    <row r="696" spans="1:51" x14ac:dyDescent="0.25">
      <c r="A696" s="3"/>
      <c r="B696" s="3"/>
      <c r="C696" s="3"/>
      <c r="D696" s="3"/>
      <c r="E696" s="3"/>
      <c r="F696" s="3"/>
      <c r="G696" s="3"/>
      <c r="H696" s="3"/>
      <c r="I696" s="3"/>
      <c r="J696" s="13"/>
      <c r="K696" s="13"/>
      <c r="L696" s="13"/>
      <c r="M696" s="13"/>
      <c r="N696" s="13"/>
      <c r="O696" s="13"/>
      <c r="P696" s="13"/>
      <c r="Q696" s="13"/>
      <c r="R696" s="13"/>
      <c r="S696" s="421"/>
      <c r="T696" s="421"/>
      <c r="U696" s="421"/>
      <c r="V696" s="421"/>
      <c r="W696" s="421"/>
      <c r="X696" s="421"/>
      <c r="Y696" s="421"/>
      <c r="Z696" s="421"/>
      <c r="AA696" s="421"/>
      <c r="AB696" s="421"/>
      <c r="AC696" s="421"/>
      <c r="AD696" s="421"/>
      <c r="AE696" s="421"/>
      <c r="AF696" s="421"/>
      <c r="AG696" s="421"/>
      <c r="AH696" s="421"/>
      <c r="AI696" s="421"/>
      <c r="AJ696" s="421"/>
      <c r="AK696" s="421"/>
      <c r="AL696" s="421"/>
      <c r="AM696" s="422"/>
      <c r="AN696" s="422"/>
      <c r="AO696" s="422"/>
      <c r="AP696" s="422"/>
      <c r="AQ696" s="422"/>
      <c r="AR696" s="422"/>
      <c r="AS696" s="422"/>
      <c r="AT696" s="422"/>
      <c r="AU696" s="422"/>
      <c r="AV696" s="422"/>
      <c r="AW696" s="422"/>
      <c r="AX696" s="422"/>
      <c r="AY696" s="422"/>
    </row>
    <row r="697" spans="1:51" x14ac:dyDescent="0.25">
      <c r="A697" s="3"/>
      <c r="B697" s="3"/>
      <c r="C697" s="3"/>
      <c r="D697" s="3"/>
      <c r="E697" s="3"/>
      <c r="F697" s="3"/>
      <c r="G697" s="3"/>
      <c r="H697" s="3"/>
      <c r="I697" s="3"/>
      <c r="J697" s="13"/>
      <c r="K697" s="13"/>
      <c r="L697" s="13"/>
      <c r="M697" s="13"/>
      <c r="N697" s="13"/>
      <c r="O697" s="13"/>
      <c r="P697" s="13"/>
      <c r="Q697" s="13"/>
      <c r="R697" s="13"/>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2"/>
      <c r="AN697" s="422"/>
      <c r="AO697" s="422"/>
      <c r="AP697" s="422"/>
      <c r="AQ697" s="422"/>
      <c r="AR697" s="422"/>
      <c r="AS697" s="422"/>
      <c r="AT697" s="422"/>
      <c r="AU697" s="422"/>
      <c r="AV697" s="422"/>
      <c r="AW697" s="422"/>
      <c r="AX697" s="422"/>
      <c r="AY697" s="422"/>
    </row>
    <row r="698" spans="1:51" x14ac:dyDescent="0.25">
      <c r="A698" s="3"/>
      <c r="B698" s="3"/>
      <c r="C698" s="3"/>
      <c r="D698" s="3"/>
      <c r="E698" s="3"/>
      <c r="F698" s="3"/>
      <c r="G698" s="3"/>
      <c r="H698" s="3"/>
      <c r="I698" s="3"/>
      <c r="J698" s="13"/>
      <c r="K698" s="13"/>
      <c r="L698" s="13"/>
      <c r="M698" s="13"/>
      <c r="N698" s="13"/>
      <c r="O698" s="13"/>
      <c r="P698" s="13"/>
      <c r="Q698" s="13"/>
      <c r="R698" s="13"/>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2"/>
      <c r="AN698" s="422"/>
      <c r="AO698" s="422"/>
      <c r="AP698" s="422"/>
      <c r="AQ698" s="422"/>
      <c r="AR698" s="422"/>
      <c r="AS698" s="422"/>
      <c r="AT698" s="422"/>
      <c r="AU698" s="422"/>
      <c r="AV698" s="422"/>
      <c r="AW698" s="422"/>
      <c r="AX698" s="422"/>
      <c r="AY698" s="422"/>
    </row>
    <row r="699" spans="1:51" x14ac:dyDescent="0.25">
      <c r="A699" s="3"/>
      <c r="B699" s="3"/>
      <c r="C699" s="3"/>
      <c r="D699" s="3"/>
      <c r="E699" s="3"/>
      <c r="F699" s="3"/>
      <c r="G699" s="3"/>
      <c r="H699" s="3"/>
      <c r="I699" s="3"/>
      <c r="J699" s="13"/>
      <c r="K699" s="13"/>
      <c r="L699" s="13"/>
      <c r="M699" s="13"/>
      <c r="N699" s="13"/>
      <c r="O699" s="13"/>
      <c r="P699" s="13"/>
      <c r="Q699" s="13"/>
      <c r="R699" s="13"/>
      <c r="S699" s="421"/>
      <c r="T699" s="421"/>
      <c r="U699" s="421"/>
      <c r="V699" s="421"/>
      <c r="W699" s="421"/>
      <c r="X699" s="421"/>
      <c r="Y699" s="421"/>
      <c r="Z699" s="421"/>
      <c r="AA699" s="421"/>
      <c r="AB699" s="421"/>
      <c r="AC699" s="421"/>
      <c r="AD699" s="421"/>
      <c r="AE699" s="421"/>
      <c r="AF699" s="421"/>
      <c r="AG699" s="421"/>
      <c r="AH699" s="421"/>
      <c r="AI699" s="421"/>
      <c r="AJ699" s="421"/>
      <c r="AK699" s="421"/>
      <c r="AL699" s="421"/>
      <c r="AM699" s="422"/>
      <c r="AN699" s="422"/>
      <c r="AO699" s="422"/>
      <c r="AP699" s="422"/>
      <c r="AQ699" s="422"/>
      <c r="AR699" s="422"/>
      <c r="AS699" s="422"/>
      <c r="AT699" s="422"/>
      <c r="AU699" s="422"/>
      <c r="AV699" s="422"/>
      <c r="AW699" s="422"/>
      <c r="AX699" s="422"/>
      <c r="AY699" s="422"/>
    </row>
    <row r="700" spans="1:51" x14ac:dyDescent="0.25">
      <c r="A700" s="3"/>
      <c r="B700" s="3"/>
      <c r="C700" s="3"/>
      <c r="D700" s="3"/>
      <c r="E700" s="3"/>
      <c r="F700" s="3"/>
      <c r="G700" s="3"/>
      <c r="H700" s="3"/>
      <c r="I700" s="3"/>
      <c r="J700" s="13"/>
      <c r="K700" s="13"/>
      <c r="L700" s="13"/>
      <c r="M700" s="13"/>
      <c r="N700" s="13"/>
      <c r="O700" s="13"/>
      <c r="P700" s="13"/>
      <c r="Q700" s="13"/>
      <c r="R700" s="13"/>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2"/>
      <c r="AN700" s="422"/>
      <c r="AO700" s="422"/>
      <c r="AP700" s="422"/>
      <c r="AQ700" s="422"/>
      <c r="AR700" s="422"/>
      <c r="AS700" s="422"/>
      <c r="AT700" s="422"/>
      <c r="AU700" s="422"/>
      <c r="AV700" s="422"/>
      <c r="AW700" s="422"/>
      <c r="AX700" s="422"/>
      <c r="AY700" s="422"/>
    </row>
    <row r="701" spans="1:51" x14ac:dyDescent="0.25">
      <c r="A701" s="3"/>
      <c r="B701" s="3"/>
      <c r="C701" s="3"/>
      <c r="D701" s="3"/>
      <c r="E701" s="3"/>
      <c r="F701" s="3"/>
      <c r="G701" s="3"/>
      <c r="H701" s="3"/>
      <c r="I701" s="3"/>
      <c r="J701" s="13"/>
      <c r="K701" s="13"/>
      <c r="L701" s="13"/>
      <c r="M701" s="13"/>
      <c r="N701" s="13"/>
      <c r="O701" s="13"/>
      <c r="P701" s="13"/>
      <c r="Q701" s="13"/>
      <c r="R701" s="13"/>
      <c r="S701" s="421"/>
      <c r="T701" s="421"/>
      <c r="U701" s="421"/>
      <c r="V701" s="421"/>
      <c r="W701" s="421"/>
      <c r="X701" s="421"/>
      <c r="Y701" s="421"/>
      <c r="Z701" s="421"/>
      <c r="AA701" s="421"/>
      <c r="AB701" s="421"/>
      <c r="AC701" s="421"/>
      <c r="AD701" s="421"/>
      <c r="AE701" s="421"/>
      <c r="AF701" s="421"/>
      <c r="AG701" s="421"/>
      <c r="AH701" s="421"/>
      <c r="AI701" s="421"/>
      <c r="AJ701" s="421"/>
      <c r="AK701" s="421"/>
      <c r="AL701" s="421"/>
      <c r="AM701" s="422"/>
      <c r="AN701" s="422"/>
      <c r="AO701" s="422"/>
      <c r="AP701" s="422"/>
      <c r="AQ701" s="422"/>
      <c r="AR701" s="422"/>
      <c r="AS701" s="422"/>
      <c r="AT701" s="422"/>
      <c r="AU701" s="422"/>
      <c r="AV701" s="422"/>
      <c r="AW701" s="422"/>
      <c r="AX701" s="422"/>
      <c r="AY701" s="422"/>
    </row>
    <row r="702" spans="1:51" x14ac:dyDescent="0.25">
      <c r="A702" s="3"/>
      <c r="B702" s="3"/>
      <c r="C702" s="3"/>
      <c r="D702" s="3"/>
      <c r="E702" s="3"/>
      <c r="F702" s="3"/>
      <c r="G702" s="3"/>
      <c r="H702" s="3"/>
      <c r="I702" s="3"/>
      <c r="J702" s="13"/>
      <c r="K702" s="13"/>
      <c r="L702" s="13"/>
      <c r="M702" s="13"/>
      <c r="N702" s="13"/>
      <c r="O702" s="13"/>
      <c r="P702" s="13"/>
      <c r="Q702" s="13"/>
      <c r="R702" s="13"/>
      <c r="S702" s="421"/>
      <c r="T702" s="421"/>
      <c r="U702" s="421"/>
      <c r="V702" s="421"/>
      <c r="W702" s="421"/>
      <c r="X702" s="421"/>
      <c r="Y702" s="421"/>
      <c r="Z702" s="421"/>
      <c r="AA702" s="421"/>
      <c r="AB702" s="421"/>
      <c r="AC702" s="421"/>
      <c r="AD702" s="421"/>
      <c r="AE702" s="421"/>
      <c r="AF702" s="421"/>
      <c r="AG702" s="421"/>
      <c r="AH702" s="421"/>
      <c r="AI702" s="421"/>
      <c r="AJ702" s="421"/>
      <c r="AK702" s="421"/>
      <c r="AL702" s="421"/>
      <c r="AM702" s="422"/>
      <c r="AN702" s="422"/>
      <c r="AO702" s="422"/>
      <c r="AP702" s="422"/>
      <c r="AQ702" s="422"/>
      <c r="AR702" s="422"/>
      <c r="AS702" s="422"/>
      <c r="AT702" s="422"/>
      <c r="AU702" s="422"/>
      <c r="AV702" s="422"/>
      <c r="AW702" s="422"/>
      <c r="AX702" s="422"/>
      <c r="AY702" s="422"/>
    </row>
    <row r="703" spans="1:51" x14ac:dyDescent="0.25">
      <c r="A703" s="3"/>
      <c r="B703" s="3"/>
      <c r="C703" s="3"/>
      <c r="D703" s="3"/>
      <c r="E703" s="3"/>
      <c r="F703" s="3"/>
      <c r="G703" s="3"/>
      <c r="H703" s="3"/>
      <c r="I703" s="3"/>
      <c r="J703" s="13"/>
      <c r="K703" s="13"/>
      <c r="L703" s="13"/>
      <c r="M703" s="13"/>
      <c r="N703" s="13"/>
      <c r="O703" s="13"/>
      <c r="P703" s="13"/>
      <c r="Q703" s="13"/>
      <c r="R703" s="13"/>
      <c r="S703" s="421"/>
      <c r="T703" s="421"/>
      <c r="U703" s="421"/>
      <c r="V703" s="421"/>
      <c r="W703" s="421"/>
      <c r="X703" s="421"/>
      <c r="Y703" s="421"/>
      <c r="Z703" s="421"/>
      <c r="AA703" s="421"/>
      <c r="AB703" s="421"/>
      <c r="AC703" s="421"/>
      <c r="AD703" s="421"/>
      <c r="AE703" s="421"/>
      <c r="AF703" s="421"/>
      <c r="AG703" s="421"/>
      <c r="AH703" s="421"/>
      <c r="AI703" s="421"/>
      <c r="AJ703" s="421"/>
      <c r="AK703" s="421"/>
      <c r="AL703" s="421"/>
      <c r="AM703" s="422"/>
      <c r="AN703" s="422"/>
      <c r="AO703" s="422"/>
      <c r="AP703" s="422"/>
      <c r="AQ703" s="422"/>
      <c r="AR703" s="422"/>
      <c r="AS703" s="422"/>
      <c r="AT703" s="422"/>
      <c r="AU703" s="422"/>
      <c r="AV703" s="422"/>
      <c r="AW703" s="422"/>
      <c r="AX703" s="422"/>
      <c r="AY703" s="422"/>
    </row>
    <row r="704" spans="1:51" x14ac:dyDescent="0.25">
      <c r="A704" s="3"/>
      <c r="B704" s="3"/>
      <c r="C704" s="3"/>
      <c r="D704" s="3"/>
      <c r="E704" s="3"/>
      <c r="F704" s="3"/>
      <c r="G704" s="3"/>
      <c r="H704" s="3"/>
      <c r="I704" s="3"/>
      <c r="J704" s="13"/>
      <c r="K704" s="13"/>
      <c r="L704" s="13"/>
      <c r="M704" s="13"/>
      <c r="N704" s="13"/>
      <c r="O704" s="13"/>
      <c r="P704" s="13"/>
      <c r="Q704" s="13"/>
      <c r="R704" s="13"/>
      <c r="S704" s="421"/>
      <c r="T704" s="421"/>
      <c r="U704" s="421"/>
      <c r="V704" s="421"/>
      <c r="W704" s="421"/>
      <c r="X704" s="421"/>
      <c r="Y704" s="421"/>
      <c r="Z704" s="421"/>
      <c r="AA704" s="421"/>
      <c r="AB704" s="421"/>
      <c r="AC704" s="421"/>
      <c r="AD704" s="421"/>
      <c r="AE704" s="421"/>
      <c r="AF704" s="421"/>
      <c r="AG704" s="421"/>
      <c r="AH704" s="421"/>
      <c r="AI704" s="421"/>
      <c r="AJ704" s="421"/>
      <c r="AK704" s="421"/>
      <c r="AL704" s="421"/>
      <c r="AM704" s="422"/>
      <c r="AN704" s="422"/>
      <c r="AO704" s="422"/>
      <c r="AP704" s="422"/>
      <c r="AQ704" s="422"/>
      <c r="AR704" s="422"/>
      <c r="AS704" s="422"/>
      <c r="AT704" s="422"/>
      <c r="AU704" s="422"/>
      <c r="AV704" s="422"/>
      <c r="AW704" s="422"/>
      <c r="AX704" s="422"/>
      <c r="AY704" s="422"/>
    </row>
    <row r="705" spans="1:51" x14ac:dyDescent="0.25">
      <c r="A705" s="3"/>
      <c r="B705" s="3"/>
      <c r="C705" s="3"/>
      <c r="D705" s="3"/>
      <c r="E705" s="3"/>
      <c r="F705" s="3"/>
      <c r="G705" s="3"/>
      <c r="H705" s="3"/>
      <c r="I705" s="3"/>
      <c r="J705" s="13"/>
      <c r="K705" s="13"/>
      <c r="L705" s="13"/>
      <c r="M705" s="13"/>
      <c r="N705" s="13"/>
      <c r="O705" s="13"/>
      <c r="P705" s="13"/>
      <c r="Q705" s="13"/>
      <c r="R705" s="13"/>
      <c r="S705" s="421"/>
      <c r="T705" s="421"/>
      <c r="U705" s="421"/>
      <c r="V705" s="421"/>
      <c r="W705" s="421"/>
      <c r="X705" s="421"/>
      <c r="Y705" s="421"/>
      <c r="Z705" s="421"/>
      <c r="AA705" s="421"/>
      <c r="AB705" s="421"/>
      <c r="AC705" s="421"/>
      <c r="AD705" s="421"/>
      <c r="AE705" s="421"/>
      <c r="AF705" s="421"/>
      <c r="AG705" s="421"/>
      <c r="AH705" s="421"/>
      <c r="AI705" s="421"/>
      <c r="AJ705" s="421"/>
      <c r="AK705" s="421"/>
      <c r="AL705" s="421"/>
      <c r="AM705" s="422"/>
      <c r="AN705" s="422"/>
      <c r="AO705" s="422"/>
      <c r="AP705" s="422"/>
      <c r="AQ705" s="422"/>
      <c r="AR705" s="422"/>
      <c r="AS705" s="422"/>
      <c r="AT705" s="422"/>
      <c r="AU705" s="422"/>
      <c r="AV705" s="422"/>
      <c r="AW705" s="422"/>
      <c r="AX705" s="422"/>
      <c r="AY705" s="422"/>
    </row>
    <row r="706" spans="1:51" x14ac:dyDescent="0.25">
      <c r="A706" s="3"/>
      <c r="B706" s="3"/>
      <c r="C706" s="3"/>
      <c r="D706" s="3"/>
      <c r="E706" s="3"/>
      <c r="F706" s="3"/>
      <c r="G706" s="3"/>
      <c r="H706" s="3"/>
      <c r="I706" s="3"/>
      <c r="J706" s="13"/>
      <c r="K706" s="13"/>
      <c r="L706" s="13"/>
      <c r="M706" s="13"/>
      <c r="N706" s="13"/>
      <c r="O706" s="13"/>
      <c r="P706" s="13"/>
      <c r="Q706" s="13"/>
      <c r="R706" s="13"/>
      <c r="S706" s="421"/>
      <c r="T706" s="421"/>
      <c r="U706" s="421"/>
      <c r="V706" s="421"/>
      <c r="W706" s="421"/>
      <c r="X706" s="421"/>
      <c r="Y706" s="421"/>
      <c r="Z706" s="421"/>
      <c r="AA706" s="421"/>
      <c r="AB706" s="421"/>
      <c r="AC706" s="421"/>
      <c r="AD706" s="421"/>
      <c r="AE706" s="421"/>
      <c r="AF706" s="421"/>
      <c r="AG706" s="421"/>
      <c r="AH706" s="421"/>
      <c r="AI706" s="421"/>
      <c r="AJ706" s="421"/>
      <c r="AK706" s="421"/>
      <c r="AL706" s="421"/>
      <c r="AM706" s="422"/>
      <c r="AN706" s="422"/>
      <c r="AO706" s="422"/>
      <c r="AP706" s="422"/>
      <c r="AQ706" s="422"/>
      <c r="AR706" s="422"/>
      <c r="AS706" s="422"/>
      <c r="AT706" s="422"/>
      <c r="AU706" s="422"/>
      <c r="AV706" s="422"/>
      <c r="AW706" s="422"/>
      <c r="AX706" s="422"/>
      <c r="AY706" s="422"/>
    </row>
    <row r="707" spans="1:51" x14ac:dyDescent="0.25">
      <c r="A707" s="3"/>
      <c r="B707" s="3"/>
      <c r="C707" s="3"/>
      <c r="D707" s="3"/>
      <c r="E707" s="3"/>
      <c r="F707" s="3"/>
      <c r="G707" s="3"/>
      <c r="H707" s="3"/>
      <c r="I707" s="3"/>
      <c r="J707" s="13"/>
      <c r="K707" s="13"/>
      <c r="L707" s="13"/>
      <c r="M707" s="13"/>
      <c r="N707" s="13"/>
      <c r="O707" s="13"/>
      <c r="P707" s="13"/>
      <c r="Q707" s="13"/>
      <c r="R707" s="13"/>
      <c r="S707" s="421"/>
      <c r="T707" s="421"/>
      <c r="U707" s="421"/>
      <c r="V707" s="421"/>
      <c r="W707" s="421"/>
      <c r="X707" s="421"/>
      <c r="Y707" s="421"/>
      <c r="Z707" s="421"/>
      <c r="AA707" s="421"/>
      <c r="AB707" s="421"/>
      <c r="AC707" s="421"/>
      <c r="AD707" s="421"/>
      <c r="AE707" s="421"/>
      <c r="AF707" s="421"/>
      <c r="AG707" s="421"/>
      <c r="AH707" s="421"/>
      <c r="AI707" s="421"/>
      <c r="AJ707" s="421"/>
      <c r="AK707" s="421"/>
      <c r="AL707" s="421"/>
      <c r="AM707" s="422"/>
      <c r="AN707" s="422"/>
      <c r="AO707" s="422"/>
      <c r="AP707" s="422"/>
      <c r="AQ707" s="422"/>
      <c r="AR707" s="422"/>
      <c r="AS707" s="422"/>
      <c r="AT707" s="422"/>
      <c r="AU707" s="422"/>
      <c r="AV707" s="422"/>
      <c r="AW707" s="422"/>
      <c r="AX707" s="422"/>
      <c r="AY707" s="422"/>
    </row>
    <row r="708" spans="1:51" x14ac:dyDescent="0.25">
      <c r="A708" s="3"/>
      <c r="B708" s="3"/>
      <c r="C708" s="3"/>
      <c r="D708" s="3"/>
      <c r="E708" s="3"/>
      <c r="F708" s="3"/>
      <c r="G708" s="3"/>
      <c r="H708" s="3"/>
      <c r="I708" s="3"/>
      <c r="J708" s="13"/>
      <c r="K708" s="13"/>
      <c r="L708" s="13"/>
      <c r="M708" s="13"/>
      <c r="N708" s="13"/>
      <c r="O708" s="13"/>
      <c r="P708" s="13"/>
      <c r="Q708" s="13"/>
      <c r="R708" s="13"/>
      <c r="S708" s="421"/>
      <c r="T708" s="421"/>
      <c r="U708" s="421"/>
      <c r="V708" s="421"/>
      <c r="W708" s="421"/>
      <c r="X708" s="421"/>
      <c r="Y708" s="421"/>
      <c r="Z708" s="421"/>
      <c r="AA708" s="421"/>
      <c r="AB708" s="421"/>
      <c r="AC708" s="421"/>
      <c r="AD708" s="421"/>
      <c r="AE708" s="421"/>
      <c r="AF708" s="421"/>
      <c r="AG708" s="421"/>
      <c r="AH708" s="421"/>
      <c r="AI708" s="421"/>
      <c r="AJ708" s="421"/>
      <c r="AK708" s="421"/>
      <c r="AL708" s="421"/>
      <c r="AM708" s="422"/>
      <c r="AN708" s="422"/>
      <c r="AO708" s="422"/>
      <c r="AP708" s="422"/>
      <c r="AQ708" s="422"/>
      <c r="AR708" s="422"/>
      <c r="AS708" s="422"/>
      <c r="AT708" s="422"/>
      <c r="AU708" s="422"/>
      <c r="AV708" s="422"/>
      <c r="AW708" s="422"/>
      <c r="AX708" s="422"/>
      <c r="AY708" s="422"/>
    </row>
    <row r="709" spans="1:51" x14ac:dyDescent="0.25">
      <c r="A709" s="3"/>
      <c r="B709" s="3"/>
      <c r="C709" s="3"/>
      <c r="D709" s="3"/>
      <c r="E709" s="3"/>
      <c r="F709" s="3"/>
      <c r="G709" s="3"/>
      <c r="H709" s="3"/>
      <c r="I709" s="3"/>
      <c r="J709" s="13"/>
      <c r="K709" s="13"/>
      <c r="L709" s="13"/>
      <c r="M709" s="13"/>
      <c r="N709" s="13"/>
      <c r="O709" s="13"/>
      <c r="P709" s="13"/>
      <c r="Q709" s="13"/>
      <c r="R709" s="13"/>
      <c r="S709" s="421"/>
      <c r="T709" s="421"/>
      <c r="U709" s="421"/>
      <c r="V709" s="421"/>
      <c r="W709" s="421"/>
      <c r="X709" s="421"/>
      <c r="Y709" s="421"/>
      <c r="Z709" s="421"/>
      <c r="AA709" s="421"/>
      <c r="AB709" s="421"/>
      <c r="AC709" s="421"/>
      <c r="AD709" s="421"/>
      <c r="AE709" s="421"/>
      <c r="AF709" s="421"/>
      <c r="AG709" s="421"/>
      <c r="AH709" s="421"/>
      <c r="AI709" s="421"/>
      <c r="AJ709" s="421"/>
      <c r="AK709" s="421"/>
      <c r="AL709" s="421"/>
      <c r="AM709" s="422"/>
      <c r="AN709" s="422"/>
      <c r="AO709" s="422"/>
      <c r="AP709" s="422"/>
      <c r="AQ709" s="422"/>
      <c r="AR709" s="422"/>
      <c r="AS709" s="422"/>
      <c r="AT709" s="422"/>
      <c r="AU709" s="422"/>
      <c r="AV709" s="422"/>
      <c r="AW709" s="422"/>
      <c r="AX709" s="422"/>
      <c r="AY709" s="422"/>
    </row>
    <row r="710" spans="1:51" x14ac:dyDescent="0.25">
      <c r="A710" s="3"/>
      <c r="B710" s="3"/>
      <c r="C710" s="3"/>
      <c r="D710" s="3"/>
      <c r="E710" s="3"/>
      <c r="F710" s="3"/>
      <c r="G710" s="3"/>
      <c r="H710" s="3"/>
      <c r="I710" s="3"/>
      <c r="J710" s="13"/>
      <c r="K710" s="13"/>
      <c r="L710" s="13"/>
      <c r="M710" s="13"/>
      <c r="N710" s="13"/>
      <c r="O710" s="13"/>
      <c r="P710" s="13"/>
      <c r="Q710" s="13"/>
      <c r="R710" s="13"/>
      <c r="S710" s="421"/>
      <c r="T710" s="421"/>
      <c r="U710" s="421"/>
      <c r="V710" s="421"/>
      <c r="W710" s="421"/>
      <c r="X710" s="421"/>
      <c r="Y710" s="421"/>
      <c r="Z710" s="421"/>
      <c r="AA710" s="421"/>
      <c r="AB710" s="421"/>
      <c r="AC710" s="421"/>
      <c r="AD710" s="421"/>
      <c r="AE710" s="421"/>
      <c r="AF710" s="421"/>
      <c r="AG710" s="421"/>
      <c r="AH710" s="421"/>
      <c r="AI710" s="421"/>
      <c r="AJ710" s="421"/>
      <c r="AK710" s="421"/>
      <c r="AL710" s="421"/>
      <c r="AM710" s="422"/>
      <c r="AN710" s="422"/>
      <c r="AO710" s="422"/>
      <c r="AP710" s="422"/>
      <c r="AQ710" s="422"/>
      <c r="AR710" s="422"/>
      <c r="AS710" s="422"/>
      <c r="AT710" s="422"/>
      <c r="AU710" s="422"/>
      <c r="AV710" s="422"/>
      <c r="AW710" s="422"/>
      <c r="AX710" s="422"/>
      <c r="AY710" s="422"/>
    </row>
    <row r="711" spans="1:51" x14ac:dyDescent="0.25">
      <c r="A711" s="3"/>
      <c r="B711" s="3"/>
      <c r="C711" s="3"/>
      <c r="D711" s="3"/>
      <c r="E711" s="3"/>
      <c r="F711" s="3"/>
      <c r="G711" s="3"/>
      <c r="H711" s="3"/>
      <c r="I711" s="3"/>
      <c r="J711" s="13"/>
      <c r="K711" s="13"/>
      <c r="L711" s="13"/>
      <c r="M711" s="13"/>
      <c r="N711" s="13"/>
      <c r="O711" s="13"/>
      <c r="P711" s="13"/>
      <c r="Q711" s="13"/>
      <c r="R711" s="13"/>
      <c r="S711" s="421"/>
      <c r="T711" s="421"/>
      <c r="U711" s="421"/>
      <c r="V711" s="421"/>
      <c r="W711" s="421"/>
      <c r="X711" s="421"/>
      <c r="Y711" s="421"/>
      <c r="Z711" s="421"/>
      <c r="AA711" s="421"/>
      <c r="AB711" s="421"/>
      <c r="AC711" s="421"/>
      <c r="AD711" s="421"/>
      <c r="AE711" s="421"/>
      <c r="AF711" s="421"/>
      <c r="AG711" s="421"/>
      <c r="AH711" s="421"/>
      <c r="AI711" s="421"/>
      <c r="AJ711" s="421"/>
      <c r="AK711" s="421"/>
      <c r="AL711" s="421"/>
      <c r="AM711" s="422"/>
      <c r="AN711" s="422"/>
      <c r="AO711" s="422"/>
      <c r="AP711" s="422"/>
      <c r="AQ711" s="422"/>
      <c r="AR711" s="422"/>
      <c r="AS711" s="422"/>
      <c r="AT711" s="422"/>
      <c r="AU711" s="422"/>
      <c r="AV711" s="422"/>
      <c r="AW711" s="422"/>
      <c r="AX711" s="422"/>
      <c r="AY711" s="422"/>
    </row>
    <row r="712" spans="1:51" x14ac:dyDescent="0.25">
      <c r="A712" s="3"/>
      <c r="B712" s="3"/>
      <c r="C712" s="3"/>
      <c r="D712" s="3"/>
      <c r="E712" s="3"/>
      <c r="F712" s="3"/>
      <c r="G712" s="3"/>
      <c r="H712" s="3"/>
      <c r="I712" s="3"/>
      <c r="J712" s="13"/>
      <c r="K712" s="13"/>
      <c r="L712" s="13"/>
      <c r="M712" s="13"/>
      <c r="N712" s="13"/>
      <c r="O712" s="13"/>
      <c r="P712" s="13"/>
      <c r="Q712" s="13"/>
      <c r="R712" s="13"/>
      <c r="S712" s="421"/>
      <c r="T712" s="421"/>
      <c r="U712" s="421"/>
      <c r="V712" s="421"/>
      <c r="W712" s="421"/>
      <c r="X712" s="421"/>
      <c r="Y712" s="421"/>
      <c r="Z712" s="421"/>
      <c r="AA712" s="421"/>
      <c r="AB712" s="421"/>
      <c r="AC712" s="421"/>
      <c r="AD712" s="421"/>
      <c r="AE712" s="421"/>
      <c r="AF712" s="421"/>
      <c r="AG712" s="421"/>
      <c r="AH712" s="421"/>
      <c r="AI712" s="421"/>
      <c r="AJ712" s="421"/>
      <c r="AK712" s="421"/>
      <c r="AL712" s="421"/>
      <c r="AM712" s="422"/>
      <c r="AN712" s="422"/>
      <c r="AO712" s="422"/>
      <c r="AP712" s="422"/>
      <c r="AQ712" s="422"/>
      <c r="AR712" s="422"/>
      <c r="AS712" s="422"/>
      <c r="AT712" s="422"/>
      <c r="AU712" s="422"/>
      <c r="AV712" s="422"/>
      <c r="AW712" s="422"/>
      <c r="AX712" s="422"/>
      <c r="AY712" s="422"/>
    </row>
    <row r="713" spans="1:51" x14ac:dyDescent="0.25">
      <c r="A713" s="3"/>
      <c r="B713" s="3"/>
      <c r="C713" s="3"/>
      <c r="D713" s="3"/>
      <c r="E713" s="3"/>
      <c r="F713" s="3"/>
      <c r="G713" s="3"/>
      <c r="H713" s="3"/>
      <c r="I713" s="3"/>
      <c r="J713" s="13"/>
      <c r="K713" s="13"/>
      <c r="L713" s="13"/>
      <c r="M713" s="13"/>
      <c r="N713" s="13"/>
      <c r="O713" s="13"/>
      <c r="P713" s="13"/>
      <c r="Q713" s="13"/>
      <c r="R713" s="13"/>
      <c r="S713" s="421"/>
      <c r="T713" s="421"/>
      <c r="U713" s="421"/>
      <c r="V713" s="421"/>
      <c r="W713" s="421"/>
      <c r="X713" s="421"/>
      <c r="Y713" s="421"/>
      <c r="Z713" s="421"/>
      <c r="AA713" s="421"/>
      <c r="AB713" s="421"/>
      <c r="AC713" s="421"/>
      <c r="AD713" s="421"/>
      <c r="AE713" s="421"/>
      <c r="AF713" s="421"/>
      <c r="AG713" s="421"/>
      <c r="AH713" s="421"/>
      <c r="AI713" s="421"/>
      <c r="AJ713" s="421"/>
      <c r="AK713" s="421"/>
      <c r="AL713" s="421"/>
      <c r="AM713" s="422"/>
      <c r="AN713" s="422"/>
      <c r="AO713" s="422"/>
      <c r="AP713" s="422"/>
      <c r="AQ713" s="422"/>
      <c r="AR713" s="422"/>
      <c r="AS713" s="422"/>
      <c r="AT713" s="422"/>
      <c r="AU713" s="422"/>
      <c r="AV713" s="422"/>
      <c r="AW713" s="422"/>
      <c r="AX713" s="422"/>
      <c r="AY713" s="422"/>
    </row>
    <row r="714" spans="1:51" x14ac:dyDescent="0.25">
      <c r="A714" s="3"/>
      <c r="B714" s="3"/>
      <c r="C714" s="3"/>
      <c r="D714" s="3"/>
      <c r="E714" s="3"/>
      <c r="F714" s="3"/>
      <c r="G714" s="3"/>
      <c r="H714" s="3"/>
      <c r="I714" s="3"/>
      <c r="J714" s="13"/>
      <c r="K714" s="13"/>
      <c r="L714" s="13"/>
      <c r="M714" s="13"/>
      <c r="N714" s="13"/>
      <c r="O714" s="13"/>
      <c r="P714" s="13"/>
      <c r="Q714" s="13"/>
      <c r="R714" s="13"/>
      <c r="S714" s="421"/>
      <c r="T714" s="421"/>
      <c r="U714" s="421"/>
      <c r="V714" s="421"/>
      <c r="W714" s="421"/>
      <c r="X714" s="421"/>
      <c r="Y714" s="421"/>
      <c r="Z714" s="421"/>
      <c r="AA714" s="421"/>
      <c r="AB714" s="421"/>
      <c r="AC714" s="421"/>
      <c r="AD714" s="421"/>
      <c r="AE714" s="421"/>
      <c r="AF714" s="421"/>
      <c r="AG714" s="421"/>
      <c r="AH714" s="421"/>
      <c r="AI714" s="421"/>
      <c r="AJ714" s="421"/>
      <c r="AK714" s="421"/>
      <c r="AL714" s="421"/>
      <c r="AM714" s="422"/>
      <c r="AN714" s="422"/>
      <c r="AO714" s="422"/>
      <c r="AP714" s="422"/>
      <c r="AQ714" s="422"/>
      <c r="AR714" s="422"/>
      <c r="AS714" s="422"/>
      <c r="AT714" s="422"/>
      <c r="AU714" s="422"/>
      <c r="AV714" s="422"/>
      <c r="AW714" s="422"/>
      <c r="AX714" s="422"/>
      <c r="AY714" s="422"/>
    </row>
    <row r="715" spans="1:51" x14ac:dyDescent="0.25">
      <c r="A715" s="3"/>
      <c r="B715" s="3"/>
      <c r="C715" s="3"/>
      <c r="D715" s="3"/>
      <c r="E715" s="3"/>
      <c r="F715" s="3"/>
      <c r="G715" s="3"/>
      <c r="H715" s="3"/>
      <c r="I715" s="3"/>
      <c r="J715" s="13"/>
      <c r="K715" s="13"/>
      <c r="L715" s="13"/>
      <c r="M715" s="13"/>
      <c r="N715" s="13"/>
      <c r="O715" s="13"/>
      <c r="P715" s="13"/>
      <c r="Q715" s="13"/>
      <c r="R715" s="13"/>
      <c r="S715" s="421"/>
      <c r="T715" s="421"/>
      <c r="U715" s="421"/>
      <c r="V715" s="421"/>
      <c r="W715" s="421"/>
      <c r="X715" s="421"/>
      <c r="Y715" s="421"/>
      <c r="Z715" s="421"/>
      <c r="AA715" s="421"/>
      <c r="AB715" s="421"/>
      <c r="AC715" s="421"/>
      <c r="AD715" s="421"/>
      <c r="AE715" s="421"/>
      <c r="AF715" s="421"/>
      <c r="AG715" s="421"/>
      <c r="AH715" s="421"/>
      <c r="AI715" s="421"/>
      <c r="AJ715" s="421"/>
      <c r="AK715" s="421"/>
      <c r="AL715" s="421"/>
      <c r="AM715" s="422"/>
      <c r="AN715" s="422"/>
      <c r="AO715" s="422"/>
      <c r="AP715" s="422"/>
      <c r="AQ715" s="422"/>
      <c r="AR715" s="422"/>
      <c r="AS715" s="422"/>
      <c r="AT715" s="422"/>
      <c r="AU715" s="422"/>
      <c r="AV715" s="422"/>
      <c r="AW715" s="422"/>
      <c r="AX715" s="422"/>
      <c r="AY715" s="422"/>
    </row>
    <row r="716" spans="1:51" x14ac:dyDescent="0.25">
      <c r="A716" s="3"/>
      <c r="B716" s="3"/>
      <c r="C716" s="3"/>
      <c r="D716" s="3"/>
      <c r="E716" s="3"/>
      <c r="F716" s="3"/>
      <c r="G716" s="3"/>
      <c r="H716" s="3"/>
      <c r="I716" s="3"/>
      <c r="J716" s="13"/>
      <c r="K716" s="13"/>
      <c r="L716" s="13"/>
      <c r="M716" s="13"/>
      <c r="N716" s="13"/>
      <c r="O716" s="13"/>
      <c r="P716" s="13"/>
      <c r="Q716" s="13"/>
      <c r="R716" s="13"/>
      <c r="S716" s="421"/>
      <c r="T716" s="421"/>
      <c r="U716" s="421"/>
      <c r="V716" s="421"/>
      <c r="W716" s="421"/>
      <c r="X716" s="421"/>
      <c r="Y716" s="421"/>
      <c r="Z716" s="421"/>
      <c r="AA716" s="421"/>
      <c r="AB716" s="421"/>
      <c r="AC716" s="421"/>
      <c r="AD716" s="421"/>
      <c r="AE716" s="421"/>
      <c r="AF716" s="421"/>
      <c r="AG716" s="421"/>
      <c r="AH716" s="421"/>
      <c r="AI716" s="421"/>
      <c r="AJ716" s="421"/>
      <c r="AK716" s="421"/>
      <c r="AL716" s="421"/>
      <c r="AM716" s="422"/>
      <c r="AN716" s="422"/>
      <c r="AO716" s="422"/>
      <c r="AP716" s="422"/>
      <c r="AQ716" s="422"/>
      <c r="AR716" s="422"/>
      <c r="AS716" s="422"/>
      <c r="AT716" s="422"/>
      <c r="AU716" s="422"/>
      <c r="AV716" s="422"/>
      <c r="AW716" s="422"/>
      <c r="AX716" s="422"/>
      <c r="AY716" s="422"/>
    </row>
    <row r="717" spans="1:51" x14ac:dyDescent="0.25">
      <c r="A717" s="3"/>
      <c r="B717" s="3"/>
      <c r="C717" s="3"/>
      <c r="D717" s="3"/>
      <c r="E717" s="3"/>
      <c r="F717" s="3"/>
      <c r="G717" s="3"/>
      <c r="H717" s="3"/>
      <c r="I717" s="3"/>
      <c r="J717" s="13"/>
      <c r="K717" s="13"/>
      <c r="L717" s="13"/>
      <c r="M717" s="13"/>
      <c r="N717" s="13"/>
      <c r="O717" s="13"/>
      <c r="P717" s="13"/>
      <c r="Q717" s="13"/>
      <c r="R717" s="13"/>
      <c r="S717" s="421"/>
      <c r="T717" s="421"/>
      <c r="U717" s="421"/>
      <c r="V717" s="421"/>
      <c r="W717" s="421"/>
      <c r="X717" s="421"/>
      <c r="Y717" s="421"/>
      <c r="Z717" s="421"/>
      <c r="AA717" s="421"/>
      <c r="AB717" s="421"/>
      <c r="AC717" s="421"/>
      <c r="AD717" s="421"/>
      <c r="AE717" s="421"/>
      <c r="AF717" s="421"/>
      <c r="AG717" s="421"/>
      <c r="AH717" s="421"/>
      <c r="AI717" s="421"/>
      <c r="AJ717" s="421"/>
      <c r="AK717" s="421"/>
      <c r="AL717" s="421"/>
      <c r="AM717" s="422"/>
      <c r="AN717" s="422"/>
      <c r="AO717" s="422"/>
      <c r="AP717" s="422"/>
      <c r="AQ717" s="422"/>
      <c r="AR717" s="422"/>
      <c r="AS717" s="422"/>
      <c r="AT717" s="422"/>
      <c r="AU717" s="422"/>
      <c r="AV717" s="422"/>
      <c r="AW717" s="422"/>
      <c r="AX717" s="422"/>
      <c r="AY717" s="422"/>
    </row>
    <row r="718" spans="1:51" x14ac:dyDescent="0.25">
      <c r="A718" s="3"/>
      <c r="B718" s="3"/>
      <c r="C718" s="3"/>
      <c r="D718" s="3"/>
      <c r="E718" s="3"/>
      <c r="F718" s="3"/>
      <c r="G718" s="3"/>
      <c r="H718" s="3"/>
      <c r="I718" s="3"/>
      <c r="J718" s="13"/>
      <c r="K718" s="13"/>
      <c r="L718" s="13"/>
      <c r="M718" s="13"/>
      <c r="N718" s="13"/>
      <c r="O718" s="13"/>
      <c r="P718" s="13"/>
      <c r="Q718" s="13"/>
      <c r="R718" s="13"/>
      <c r="S718" s="421"/>
      <c r="T718" s="421"/>
      <c r="U718" s="421"/>
      <c r="V718" s="421"/>
      <c r="W718" s="421"/>
      <c r="X718" s="421"/>
      <c r="Y718" s="421"/>
      <c r="Z718" s="421"/>
      <c r="AA718" s="421"/>
      <c r="AB718" s="421"/>
      <c r="AC718" s="421"/>
      <c r="AD718" s="421"/>
      <c r="AE718" s="421"/>
      <c r="AF718" s="421"/>
      <c r="AG718" s="421"/>
      <c r="AH718" s="421"/>
      <c r="AI718" s="421"/>
      <c r="AJ718" s="421"/>
      <c r="AK718" s="421"/>
      <c r="AL718" s="421"/>
      <c r="AM718" s="422"/>
      <c r="AN718" s="422"/>
      <c r="AO718" s="422"/>
      <c r="AP718" s="422"/>
      <c r="AQ718" s="422"/>
      <c r="AR718" s="422"/>
      <c r="AS718" s="422"/>
      <c r="AT718" s="422"/>
      <c r="AU718" s="422"/>
      <c r="AV718" s="422"/>
      <c r="AW718" s="422"/>
      <c r="AX718" s="422"/>
      <c r="AY718" s="422"/>
    </row>
    <row r="719" spans="1:51" x14ac:dyDescent="0.25">
      <c r="A719" s="3"/>
      <c r="B719" s="3"/>
      <c r="C719" s="3"/>
      <c r="D719" s="3"/>
      <c r="E719" s="3"/>
      <c r="F719" s="3"/>
      <c r="G719" s="3"/>
      <c r="H719" s="3"/>
      <c r="I719" s="3"/>
      <c r="J719" s="13"/>
      <c r="K719" s="13"/>
      <c r="L719" s="13"/>
      <c r="M719" s="13"/>
      <c r="N719" s="13"/>
      <c r="O719" s="13"/>
      <c r="P719" s="13"/>
      <c r="Q719" s="13"/>
      <c r="R719" s="13"/>
      <c r="S719" s="421"/>
      <c r="T719" s="421"/>
      <c r="U719" s="421"/>
      <c r="V719" s="421"/>
      <c r="W719" s="421"/>
      <c r="X719" s="421"/>
      <c r="Y719" s="421"/>
      <c r="Z719" s="421"/>
      <c r="AA719" s="421"/>
      <c r="AB719" s="421"/>
      <c r="AC719" s="421"/>
      <c r="AD719" s="421"/>
      <c r="AE719" s="421"/>
      <c r="AF719" s="421"/>
      <c r="AG719" s="421"/>
      <c r="AH719" s="421"/>
      <c r="AI719" s="421"/>
      <c r="AJ719" s="421"/>
      <c r="AK719" s="421"/>
      <c r="AL719" s="421"/>
      <c r="AM719" s="422"/>
      <c r="AN719" s="422"/>
      <c r="AO719" s="422"/>
      <c r="AP719" s="422"/>
      <c r="AQ719" s="422"/>
      <c r="AR719" s="422"/>
      <c r="AS719" s="422"/>
      <c r="AT719" s="422"/>
      <c r="AU719" s="422"/>
      <c r="AV719" s="422"/>
      <c r="AW719" s="422"/>
      <c r="AX719" s="422"/>
      <c r="AY719" s="422"/>
    </row>
    <row r="720" spans="1:51" x14ac:dyDescent="0.25">
      <c r="A720" s="3"/>
      <c r="B720" s="3"/>
      <c r="C720" s="3"/>
      <c r="D720" s="3"/>
      <c r="E720" s="3"/>
      <c r="F720" s="3"/>
      <c r="G720" s="3"/>
      <c r="H720" s="3"/>
      <c r="I720" s="3"/>
      <c r="J720" s="13"/>
      <c r="K720" s="13"/>
      <c r="L720" s="13"/>
      <c r="M720" s="13"/>
      <c r="N720" s="13"/>
      <c r="O720" s="13"/>
      <c r="P720" s="13"/>
      <c r="Q720" s="13"/>
      <c r="R720" s="13"/>
      <c r="S720" s="421"/>
      <c r="T720" s="421"/>
      <c r="U720" s="421"/>
      <c r="V720" s="421"/>
      <c r="W720" s="421"/>
      <c r="X720" s="421"/>
      <c r="Y720" s="421"/>
      <c r="Z720" s="421"/>
      <c r="AA720" s="421"/>
      <c r="AB720" s="421"/>
      <c r="AC720" s="421"/>
      <c r="AD720" s="421"/>
      <c r="AE720" s="421"/>
      <c r="AF720" s="421"/>
      <c r="AG720" s="421"/>
      <c r="AH720" s="421"/>
      <c r="AI720" s="421"/>
      <c r="AJ720" s="421"/>
      <c r="AK720" s="421"/>
      <c r="AL720" s="421"/>
      <c r="AM720" s="422"/>
      <c r="AN720" s="422"/>
      <c r="AO720" s="422"/>
      <c r="AP720" s="422"/>
      <c r="AQ720" s="422"/>
      <c r="AR720" s="422"/>
      <c r="AS720" s="422"/>
      <c r="AT720" s="422"/>
      <c r="AU720" s="422"/>
      <c r="AV720" s="422"/>
      <c r="AW720" s="422"/>
      <c r="AX720" s="422"/>
      <c r="AY720" s="422"/>
    </row>
    <row r="721" spans="1:51" x14ac:dyDescent="0.25">
      <c r="A721" s="3"/>
      <c r="B721" s="3"/>
      <c r="C721" s="3"/>
      <c r="D721" s="3"/>
      <c r="E721" s="3"/>
      <c r="F721" s="3"/>
      <c r="G721" s="3"/>
      <c r="H721" s="3"/>
      <c r="I721" s="3"/>
      <c r="J721" s="13"/>
      <c r="K721" s="13"/>
      <c r="L721" s="13"/>
      <c r="M721" s="13"/>
      <c r="N721" s="13"/>
      <c r="O721" s="13"/>
      <c r="P721" s="13"/>
      <c r="Q721" s="13"/>
      <c r="R721" s="13"/>
      <c r="S721" s="421"/>
      <c r="T721" s="421"/>
      <c r="U721" s="421"/>
      <c r="V721" s="421"/>
      <c r="W721" s="421"/>
      <c r="X721" s="421"/>
      <c r="Y721" s="421"/>
      <c r="Z721" s="421"/>
      <c r="AA721" s="421"/>
      <c r="AB721" s="421"/>
      <c r="AC721" s="421"/>
      <c r="AD721" s="421"/>
      <c r="AE721" s="421"/>
      <c r="AF721" s="421"/>
      <c r="AG721" s="421"/>
      <c r="AH721" s="421"/>
      <c r="AI721" s="421"/>
      <c r="AJ721" s="421"/>
      <c r="AK721" s="421"/>
      <c r="AL721" s="421"/>
      <c r="AM721" s="422"/>
      <c r="AN721" s="422"/>
      <c r="AO721" s="422"/>
      <c r="AP721" s="422"/>
      <c r="AQ721" s="422"/>
      <c r="AR721" s="422"/>
      <c r="AS721" s="422"/>
      <c r="AT721" s="422"/>
      <c r="AU721" s="422"/>
      <c r="AV721" s="422"/>
      <c r="AW721" s="422"/>
      <c r="AX721" s="422"/>
      <c r="AY721" s="422"/>
    </row>
    <row r="722" spans="1:51" x14ac:dyDescent="0.25">
      <c r="A722" s="3"/>
      <c r="B722" s="3"/>
      <c r="C722" s="3"/>
      <c r="D722" s="3"/>
      <c r="E722" s="3"/>
      <c r="F722" s="3"/>
      <c r="G722" s="3"/>
      <c r="H722" s="3"/>
      <c r="I722" s="3"/>
      <c r="J722" s="13"/>
      <c r="K722" s="13"/>
      <c r="L722" s="13"/>
      <c r="M722" s="13"/>
      <c r="N722" s="13"/>
      <c r="O722" s="13"/>
      <c r="P722" s="13"/>
      <c r="Q722" s="13"/>
      <c r="R722" s="13"/>
      <c r="S722" s="421"/>
      <c r="T722" s="421"/>
      <c r="U722" s="421"/>
      <c r="V722" s="421"/>
      <c r="W722" s="421"/>
      <c r="X722" s="421"/>
      <c r="Y722" s="421"/>
      <c r="Z722" s="421"/>
      <c r="AA722" s="421"/>
      <c r="AB722" s="421"/>
      <c r="AC722" s="421"/>
      <c r="AD722" s="421"/>
      <c r="AE722" s="421"/>
      <c r="AF722" s="421"/>
      <c r="AG722" s="421"/>
      <c r="AH722" s="421"/>
      <c r="AI722" s="421"/>
      <c r="AJ722" s="421"/>
      <c r="AK722" s="421"/>
      <c r="AL722" s="421"/>
      <c r="AM722" s="422"/>
      <c r="AN722" s="422"/>
      <c r="AO722" s="422"/>
      <c r="AP722" s="422"/>
      <c r="AQ722" s="422"/>
      <c r="AR722" s="422"/>
      <c r="AS722" s="422"/>
      <c r="AT722" s="422"/>
      <c r="AU722" s="422"/>
      <c r="AV722" s="422"/>
      <c r="AW722" s="422"/>
      <c r="AX722" s="422"/>
      <c r="AY722" s="422"/>
    </row>
    <row r="723" spans="1:51" x14ac:dyDescent="0.25">
      <c r="A723" s="3"/>
      <c r="B723" s="3"/>
      <c r="C723" s="3"/>
      <c r="D723" s="3"/>
      <c r="E723" s="3"/>
      <c r="F723" s="3"/>
      <c r="G723" s="3"/>
      <c r="H723" s="3"/>
      <c r="I723" s="3"/>
      <c r="J723" s="13"/>
      <c r="K723" s="13"/>
      <c r="L723" s="13"/>
      <c r="M723" s="13"/>
      <c r="N723" s="13"/>
      <c r="O723" s="13"/>
      <c r="P723" s="13"/>
      <c r="Q723" s="13"/>
      <c r="R723" s="13"/>
      <c r="S723" s="421"/>
      <c r="T723" s="421"/>
      <c r="U723" s="421"/>
      <c r="V723" s="421"/>
      <c r="W723" s="421"/>
      <c r="X723" s="421"/>
      <c r="Y723" s="421"/>
      <c r="Z723" s="421"/>
      <c r="AA723" s="421"/>
      <c r="AB723" s="421"/>
      <c r="AC723" s="421"/>
      <c r="AD723" s="421"/>
      <c r="AE723" s="421"/>
      <c r="AF723" s="421"/>
      <c r="AG723" s="421"/>
      <c r="AH723" s="421"/>
      <c r="AI723" s="421"/>
      <c r="AJ723" s="421"/>
      <c r="AK723" s="421"/>
      <c r="AL723" s="421"/>
      <c r="AM723" s="422"/>
      <c r="AN723" s="422"/>
      <c r="AO723" s="422"/>
      <c r="AP723" s="422"/>
      <c r="AQ723" s="422"/>
      <c r="AR723" s="422"/>
      <c r="AS723" s="422"/>
      <c r="AT723" s="422"/>
      <c r="AU723" s="422"/>
      <c r="AV723" s="422"/>
      <c r="AW723" s="422"/>
      <c r="AX723" s="422"/>
      <c r="AY723" s="422"/>
    </row>
    <row r="724" spans="1:51" x14ac:dyDescent="0.25">
      <c r="A724" s="3"/>
      <c r="B724" s="3"/>
      <c r="C724" s="3"/>
      <c r="D724" s="3"/>
      <c r="E724" s="3"/>
      <c r="F724" s="3"/>
      <c r="G724" s="3"/>
      <c r="H724" s="3"/>
      <c r="I724" s="3"/>
      <c r="J724" s="13"/>
      <c r="K724" s="13"/>
      <c r="L724" s="13"/>
      <c r="M724" s="13"/>
      <c r="N724" s="13"/>
      <c r="O724" s="13"/>
      <c r="P724" s="13"/>
      <c r="Q724" s="13"/>
      <c r="R724" s="13"/>
      <c r="S724" s="421"/>
      <c r="T724" s="421"/>
      <c r="U724" s="421"/>
      <c r="V724" s="421"/>
      <c r="W724" s="421"/>
      <c r="X724" s="421"/>
      <c r="Y724" s="421"/>
      <c r="Z724" s="421"/>
      <c r="AA724" s="421"/>
      <c r="AB724" s="421"/>
      <c r="AC724" s="421"/>
      <c r="AD724" s="421"/>
      <c r="AE724" s="421"/>
      <c r="AF724" s="421"/>
      <c r="AG724" s="421"/>
      <c r="AH724" s="421"/>
      <c r="AI724" s="421"/>
      <c r="AJ724" s="421"/>
      <c r="AK724" s="421"/>
      <c r="AL724" s="421"/>
      <c r="AM724" s="422"/>
      <c r="AN724" s="422"/>
      <c r="AO724" s="422"/>
      <c r="AP724" s="422"/>
      <c r="AQ724" s="422"/>
      <c r="AR724" s="422"/>
      <c r="AS724" s="422"/>
      <c r="AT724" s="422"/>
      <c r="AU724" s="422"/>
      <c r="AV724" s="422"/>
      <c r="AW724" s="422"/>
      <c r="AX724" s="422"/>
      <c r="AY724" s="422"/>
    </row>
    <row r="725" spans="1:51" x14ac:dyDescent="0.25">
      <c r="A725" s="3"/>
      <c r="B725" s="3"/>
      <c r="C725" s="3"/>
      <c r="D725" s="3"/>
      <c r="E725" s="3"/>
      <c r="F725" s="3"/>
      <c r="G725" s="3"/>
      <c r="H725" s="3"/>
      <c r="I725" s="3"/>
      <c r="J725" s="13"/>
      <c r="K725" s="13"/>
      <c r="L725" s="13"/>
      <c r="M725" s="13"/>
      <c r="N725" s="13"/>
      <c r="O725" s="13"/>
      <c r="P725" s="13"/>
      <c r="Q725" s="13"/>
      <c r="R725" s="13"/>
      <c r="S725" s="421"/>
      <c r="T725" s="421"/>
      <c r="U725" s="421"/>
      <c r="V725" s="421"/>
      <c r="W725" s="421"/>
      <c r="X725" s="421"/>
      <c r="Y725" s="421"/>
      <c r="Z725" s="421"/>
      <c r="AA725" s="421"/>
      <c r="AB725" s="421"/>
      <c r="AC725" s="421"/>
      <c r="AD725" s="421"/>
      <c r="AE725" s="421"/>
      <c r="AF725" s="421"/>
      <c r="AG725" s="421"/>
      <c r="AH725" s="421"/>
      <c r="AI725" s="421"/>
      <c r="AJ725" s="421"/>
      <c r="AK725" s="421"/>
      <c r="AL725" s="421"/>
      <c r="AM725" s="422"/>
      <c r="AN725" s="422"/>
      <c r="AO725" s="422"/>
      <c r="AP725" s="422"/>
      <c r="AQ725" s="422"/>
      <c r="AR725" s="422"/>
      <c r="AS725" s="422"/>
      <c r="AT725" s="422"/>
      <c r="AU725" s="422"/>
      <c r="AV725" s="422"/>
      <c r="AW725" s="422"/>
      <c r="AX725" s="422"/>
      <c r="AY725" s="422"/>
    </row>
    <row r="726" spans="1:51" x14ac:dyDescent="0.25">
      <c r="A726" s="3"/>
      <c r="B726" s="3"/>
      <c r="C726" s="3"/>
      <c r="D726" s="3"/>
      <c r="E726" s="3"/>
      <c r="F726" s="3"/>
      <c r="G726" s="3"/>
      <c r="H726" s="3"/>
      <c r="I726" s="3"/>
      <c r="J726" s="13"/>
      <c r="K726" s="13"/>
      <c r="L726" s="13"/>
      <c r="M726" s="13"/>
      <c r="N726" s="13"/>
      <c r="O726" s="13"/>
      <c r="P726" s="13"/>
      <c r="Q726" s="13"/>
      <c r="R726" s="13"/>
      <c r="S726" s="421"/>
      <c r="T726" s="421"/>
      <c r="U726" s="421"/>
      <c r="V726" s="421"/>
      <c r="W726" s="421"/>
      <c r="X726" s="421"/>
      <c r="Y726" s="421"/>
      <c r="Z726" s="421"/>
      <c r="AA726" s="421"/>
      <c r="AB726" s="421"/>
      <c r="AC726" s="421"/>
      <c r="AD726" s="421"/>
      <c r="AE726" s="421"/>
      <c r="AF726" s="421"/>
      <c r="AG726" s="421"/>
      <c r="AH726" s="421"/>
      <c r="AI726" s="421"/>
      <c r="AJ726" s="421"/>
      <c r="AK726" s="421"/>
      <c r="AL726" s="421"/>
      <c r="AM726" s="422"/>
      <c r="AN726" s="422"/>
      <c r="AO726" s="422"/>
      <c r="AP726" s="422"/>
      <c r="AQ726" s="422"/>
      <c r="AR726" s="422"/>
      <c r="AS726" s="422"/>
      <c r="AT726" s="422"/>
      <c r="AU726" s="422"/>
      <c r="AV726" s="422"/>
      <c r="AW726" s="422"/>
      <c r="AX726" s="422"/>
      <c r="AY726" s="422"/>
    </row>
    <row r="727" spans="1:51" x14ac:dyDescent="0.25">
      <c r="A727" s="3"/>
      <c r="B727" s="3"/>
      <c r="C727" s="3"/>
      <c r="D727" s="3"/>
      <c r="E727" s="3"/>
      <c r="F727" s="3"/>
      <c r="G727" s="3"/>
      <c r="H727" s="3"/>
      <c r="I727" s="3"/>
      <c r="J727" s="13"/>
      <c r="K727" s="13"/>
      <c r="L727" s="13"/>
      <c r="M727" s="13"/>
      <c r="N727" s="13"/>
      <c r="O727" s="13"/>
      <c r="P727" s="13"/>
      <c r="Q727" s="13"/>
      <c r="R727" s="13"/>
      <c r="S727" s="421"/>
      <c r="T727" s="421"/>
      <c r="U727" s="421"/>
      <c r="V727" s="421"/>
      <c r="W727" s="421"/>
      <c r="X727" s="421"/>
      <c r="Y727" s="421"/>
      <c r="Z727" s="421"/>
      <c r="AA727" s="421"/>
      <c r="AB727" s="421"/>
      <c r="AC727" s="421"/>
      <c r="AD727" s="421"/>
      <c r="AE727" s="421"/>
      <c r="AF727" s="421"/>
      <c r="AG727" s="421"/>
      <c r="AH727" s="421"/>
      <c r="AI727" s="421"/>
      <c r="AJ727" s="421"/>
      <c r="AK727" s="421"/>
      <c r="AL727" s="421"/>
      <c r="AM727" s="422"/>
      <c r="AN727" s="422"/>
      <c r="AO727" s="422"/>
      <c r="AP727" s="422"/>
      <c r="AQ727" s="422"/>
      <c r="AR727" s="422"/>
      <c r="AS727" s="422"/>
      <c r="AT727" s="422"/>
      <c r="AU727" s="422"/>
      <c r="AV727" s="422"/>
      <c r="AW727" s="422"/>
      <c r="AX727" s="422"/>
      <c r="AY727" s="422"/>
    </row>
    <row r="728" spans="1:51" x14ac:dyDescent="0.25">
      <c r="A728" s="3"/>
      <c r="B728" s="3"/>
      <c r="C728" s="3"/>
      <c r="D728" s="3"/>
      <c r="E728" s="3"/>
      <c r="F728" s="3"/>
      <c r="G728" s="3"/>
      <c r="H728" s="3"/>
      <c r="I728" s="3"/>
      <c r="J728" s="13"/>
      <c r="K728" s="13"/>
      <c r="L728" s="13"/>
      <c r="M728" s="13"/>
      <c r="N728" s="13"/>
      <c r="O728" s="13"/>
      <c r="P728" s="13"/>
      <c r="Q728" s="13"/>
      <c r="R728" s="13"/>
      <c r="S728" s="421"/>
      <c r="T728" s="421"/>
      <c r="U728" s="421"/>
      <c r="V728" s="421"/>
      <c r="W728" s="421"/>
      <c r="X728" s="421"/>
      <c r="Y728" s="421"/>
      <c r="Z728" s="421"/>
      <c r="AA728" s="421"/>
      <c r="AB728" s="421"/>
      <c r="AC728" s="421"/>
      <c r="AD728" s="421"/>
      <c r="AE728" s="421"/>
      <c r="AF728" s="421"/>
      <c r="AG728" s="421"/>
      <c r="AH728" s="421"/>
      <c r="AI728" s="421"/>
      <c r="AJ728" s="421"/>
      <c r="AK728" s="421"/>
      <c r="AL728" s="421"/>
      <c r="AM728" s="422"/>
      <c r="AN728" s="422"/>
      <c r="AO728" s="422"/>
      <c r="AP728" s="422"/>
      <c r="AQ728" s="422"/>
      <c r="AR728" s="422"/>
      <c r="AS728" s="422"/>
      <c r="AT728" s="422"/>
      <c r="AU728" s="422"/>
      <c r="AV728" s="422"/>
      <c r="AW728" s="422"/>
      <c r="AX728" s="422"/>
      <c r="AY728" s="422"/>
    </row>
    <row r="729" spans="1:51" x14ac:dyDescent="0.25">
      <c r="A729" s="3"/>
      <c r="B729" s="3"/>
      <c r="C729" s="3"/>
      <c r="D729" s="3"/>
      <c r="E729" s="3"/>
      <c r="F729" s="3"/>
      <c r="G729" s="3"/>
      <c r="H729" s="3"/>
      <c r="I729" s="3"/>
      <c r="J729" s="13"/>
      <c r="K729" s="13"/>
      <c r="L729" s="13"/>
      <c r="M729" s="13"/>
      <c r="N729" s="13"/>
      <c r="O729" s="13"/>
      <c r="P729" s="13"/>
      <c r="Q729" s="13"/>
      <c r="R729" s="13"/>
      <c r="S729" s="421"/>
      <c r="T729" s="421"/>
      <c r="U729" s="421"/>
      <c r="V729" s="421"/>
      <c r="W729" s="421"/>
      <c r="X729" s="421"/>
      <c r="Y729" s="421"/>
      <c r="Z729" s="421"/>
      <c r="AA729" s="421"/>
      <c r="AB729" s="421"/>
      <c r="AC729" s="421"/>
      <c r="AD729" s="421"/>
      <c r="AE729" s="421"/>
      <c r="AF729" s="421"/>
      <c r="AG729" s="421"/>
      <c r="AH729" s="421"/>
      <c r="AI729" s="421"/>
      <c r="AJ729" s="421"/>
      <c r="AK729" s="421"/>
      <c r="AL729" s="421"/>
      <c r="AM729" s="422"/>
      <c r="AN729" s="422"/>
      <c r="AO729" s="422"/>
      <c r="AP729" s="422"/>
      <c r="AQ729" s="422"/>
      <c r="AR729" s="422"/>
      <c r="AS729" s="422"/>
      <c r="AT729" s="422"/>
      <c r="AU729" s="422"/>
      <c r="AV729" s="422"/>
      <c r="AW729" s="422"/>
      <c r="AX729" s="422"/>
      <c r="AY729" s="422"/>
    </row>
    <row r="730" spans="1:51" x14ac:dyDescent="0.25">
      <c r="A730" s="3"/>
      <c r="B730" s="3"/>
      <c r="C730" s="3"/>
      <c r="D730" s="3"/>
      <c r="E730" s="3"/>
      <c r="F730" s="3"/>
      <c r="G730" s="3"/>
      <c r="H730" s="3"/>
      <c r="I730" s="3"/>
      <c r="J730" s="13"/>
      <c r="K730" s="13"/>
      <c r="L730" s="13"/>
      <c r="M730" s="13"/>
      <c r="N730" s="13"/>
      <c r="O730" s="13"/>
      <c r="P730" s="13"/>
      <c r="Q730" s="13"/>
      <c r="R730" s="13"/>
      <c r="S730" s="421"/>
      <c r="T730" s="421"/>
      <c r="U730" s="421"/>
      <c r="V730" s="421"/>
      <c r="W730" s="421"/>
      <c r="X730" s="421"/>
      <c r="Y730" s="421"/>
      <c r="Z730" s="421"/>
      <c r="AA730" s="421"/>
      <c r="AB730" s="421"/>
      <c r="AC730" s="421"/>
      <c r="AD730" s="421"/>
      <c r="AE730" s="421"/>
      <c r="AF730" s="421"/>
      <c r="AG730" s="421"/>
      <c r="AH730" s="421"/>
      <c r="AI730" s="421"/>
      <c r="AJ730" s="421"/>
      <c r="AK730" s="421"/>
      <c r="AL730" s="421"/>
      <c r="AM730" s="422"/>
      <c r="AN730" s="422"/>
      <c r="AO730" s="422"/>
      <c r="AP730" s="422"/>
      <c r="AQ730" s="422"/>
      <c r="AR730" s="422"/>
      <c r="AS730" s="422"/>
      <c r="AT730" s="422"/>
      <c r="AU730" s="422"/>
      <c r="AV730" s="422"/>
      <c r="AW730" s="422"/>
      <c r="AX730" s="422"/>
      <c r="AY730" s="422"/>
    </row>
    <row r="731" spans="1:51" x14ac:dyDescent="0.25">
      <c r="A731" s="3"/>
      <c r="B731" s="3"/>
      <c r="C731" s="3"/>
      <c r="D731" s="3"/>
      <c r="E731" s="3"/>
      <c r="F731" s="3"/>
      <c r="G731" s="3"/>
      <c r="H731" s="3"/>
      <c r="I731" s="3"/>
      <c r="J731" s="13"/>
      <c r="K731" s="13"/>
      <c r="L731" s="13"/>
      <c r="M731" s="13"/>
      <c r="N731" s="13"/>
      <c r="O731" s="13"/>
      <c r="P731" s="13"/>
      <c r="Q731" s="13"/>
      <c r="R731" s="13"/>
      <c r="S731" s="421"/>
      <c r="T731" s="421"/>
      <c r="U731" s="421"/>
      <c r="V731" s="421"/>
      <c r="W731" s="421"/>
      <c r="X731" s="421"/>
      <c r="Y731" s="421"/>
      <c r="Z731" s="421"/>
      <c r="AA731" s="421"/>
      <c r="AB731" s="421"/>
      <c r="AC731" s="421"/>
      <c r="AD731" s="421"/>
      <c r="AE731" s="421"/>
      <c r="AF731" s="421"/>
      <c r="AG731" s="421"/>
      <c r="AH731" s="421"/>
      <c r="AI731" s="421"/>
      <c r="AJ731" s="421"/>
      <c r="AK731" s="421"/>
      <c r="AL731" s="421"/>
      <c r="AM731" s="422"/>
      <c r="AN731" s="422"/>
      <c r="AO731" s="422"/>
      <c r="AP731" s="422"/>
      <c r="AQ731" s="422"/>
      <c r="AR731" s="422"/>
      <c r="AS731" s="422"/>
      <c r="AT731" s="422"/>
      <c r="AU731" s="422"/>
      <c r="AV731" s="422"/>
      <c r="AW731" s="422"/>
      <c r="AX731" s="422"/>
      <c r="AY731" s="422"/>
    </row>
    <row r="732" spans="1:51" x14ac:dyDescent="0.25">
      <c r="A732" s="3"/>
      <c r="B732" s="3"/>
      <c r="C732" s="3"/>
      <c r="D732" s="3"/>
      <c r="E732" s="3"/>
      <c r="F732" s="3"/>
      <c r="G732" s="3"/>
      <c r="H732" s="3"/>
      <c r="I732" s="3"/>
      <c r="J732" s="13"/>
      <c r="K732" s="13"/>
      <c r="L732" s="13"/>
      <c r="M732" s="13"/>
      <c r="N732" s="13"/>
      <c r="O732" s="13"/>
      <c r="P732" s="13"/>
      <c r="Q732" s="13"/>
      <c r="R732" s="13"/>
      <c r="S732" s="421"/>
      <c r="T732" s="421"/>
      <c r="U732" s="421"/>
      <c r="V732" s="421"/>
      <c r="W732" s="421"/>
      <c r="X732" s="421"/>
      <c r="Y732" s="421"/>
      <c r="Z732" s="421"/>
      <c r="AA732" s="421"/>
      <c r="AB732" s="421"/>
      <c r="AC732" s="421"/>
      <c r="AD732" s="421"/>
      <c r="AE732" s="421"/>
      <c r="AF732" s="421"/>
      <c r="AG732" s="421"/>
      <c r="AH732" s="421"/>
      <c r="AI732" s="421"/>
      <c r="AJ732" s="421"/>
      <c r="AK732" s="421"/>
      <c r="AL732" s="421"/>
      <c r="AM732" s="422"/>
      <c r="AN732" s="422"/>
      <c r="AO732" s="422"/>
      <c r="AP732" s="422"/>
      <c r="AQ732" s="422"/>
      <c r="AR732" s="422"/>
      <c r="AS732" s="422"/>
      <c r="AT732" s="422"/>
      <c r="AU732" s="422"/>
      <c r="AV732" s="422"/>
      <c r="AW732" s="422"/>
      <c r="AX732" s="422"/>
      <c r="AY732" s="422"/>
    </row>
    <row r="733" spans="1:51" x14ac:dyDescent="0.25">
      <c r="A733" s="3"/>
      <c r="B733" s="3"/>
      <c r="C733" s="3"/>
      <c r="D733" s="3"/>
      <c r="E733" s="3"/>
      <c r="F733" s="3"/>
      <c r="G733" s="3"/>
      <c r="H733" s="3"/>
      <c r="I733" s="3"/>
      <c r="J733" s="13"/>
      <c r="K733" s="13"/>
      <c r="L733" s="13"/>
      <c r="M733" s="13"/>
      <c r="N733" s="13"/>
      <c r="O733" s="13"/>
      <c r="P733" s="13"/>
      <c r="Q733" s="13"/>
      <c r="R733" s="13"/>
      <c r="S733" s="421"/>
      <c r="T733" s="421"/>
      <c r="U733" s="421"/>
      <c r="V733" s="421"/>
      <c r="W733" s="421"/>
      <c r="X733" s="421"/>
      <c r="Y733" s="421"/>
      <c r="Z733" s="421"/>
      <c r="AA733" s="421"/>
      <c r="AB733" s="421"/>
      <c r="AC733" s="421"/>
      <c r="AD733" s="421"/>
      <c r="AE733" s="421"/>
      <c r="AF733" s="421"/>
      <c r="AG733" s="421"/>
      <c r="AH733" s="421"/>
      <c r="AI733" s="421"/>
      <c r="AJ733" s="421"/>
      <c r="AK733" s="421"/>
      <c r="AL733" s="421"/>
      <c r="AM733" s="422"/>
      <c r="AN733" s="422"/>
      <c r="AO733" s="422"/>
      <c r="AP733" s="422"/>
      <c r="AQ733" s="422"/>
      <c r="AR733" s="422"/>
      <c r="AS733" s="422"/>
      <c r="AT733" s="422"/>
      <c r="AU733" s="422"/>
      <c r="AV733" s="422"/>
      <c r="AW733" s="422"/>
      <c r="AX733" s="422"/>
      <c r="AY733" s="422"/>
    </row>
    <row r="734" spans="1:51" x14ac:dyDescent="0.25">
      <c r="A734" s="3"/>
      <c r="B734" s="3"/>
      <c r="C734" s="3"/>
      <c r="D734" s="3"/>
      <c r="E734" s="3"/>
      <c r="F734" s="3"/>
      <c r="G734" s="3"/>
      <c r="H734" s="3"/>
      <c r="I734" s="3"/>
      <c r="J734" s="13"/>
      <c r="K734" s="13"/>
      <c r="L734" s="13"/>
      <c r="M734" s="13"/>
      <c r="N734" s="13"/>
      <c r="O734" s="13"/>
      <c r="P734" s="13"/>
      <c r="Q734" s="13"/>
      <c r="R734" s="13"/>
      <c r="S734" s="421"/>
      <c r="T734" s="421"/>
      <c r="U734" s="421"/>
      <c r="V734" s="421"/>
      <c r="W734" s="421"/>
      <c r="X734" s="421"/>
      <c r="Y734" s="421"/>
      <c r="Z734" s="421"/>
      <c r="AA734" s="421"/>
      <c r="AB734" s="421"/>
      <c r="AC734" s="421"/>
      <c r="AD734" s="421"/>
      <c r="AE734" s="421"/>
      <c r="AF734" s="421"/>
      <c r="AG734" s="421"/>
      <c r="AH734" s="421"/>
      <c r="AI734" s="421"/>
      <c r="AJ734" s="421"/>
      <c r="AK734" s="421"/>
      <c r="AL734" s="421"/>
      <c r="AM734" s="422"/>
      <c r="AN734" s="422"/>
      <c r="AO734" s="422"/>
      <c r="AP734" s="422"/>
      <c r="AQ734" s="422"/>
      <c r="AR734" s="422"/>
      <c r="AS734" s="422"/>
      <c r="AT734" s="422"/>
      <c r="AU734" s="422"/>
      <c r="AV734" s="422"/>
      <c r="AW734" s="422"/>
      <c r="AX734" s="422"/>
      <c r="AY734" s="422"/>
    </row>
    <row r="735" spans="1:51" x14ac:dyDescent="0.25">
      <c r="A735" s="3"/>
      <c r="B735" s="3"/>
      <c r="C735" s="3"/>
      <c r="D735" s="3"/>
      <c r="E735" s="3"/>
      <c r="F735" s="3"/>
      <c r="G735" s="3"/>
      <c r="H735" s="3"/>
      <c r="I735" s="3"/>
      <c r="J735" s="13"/>
      <c r="K735" s="13"/>
      <c r="L735" s="13"/>
      <c r="M735" s="13"/>
      <c r="N735" s="13"/>
      <c r="O735" s="13"/>
      <c r="P735" s="13"/>
      <c r="Q735" s="13"/>
      <c r="R735" s="13"/>
      <c r="S735" s="421"/>
      <c r="T735" s="421"/>
      <c r="U735" s="421"/>
      <c r="V735" s="421"/>
      <c r="W735" s="421"/>
      <c r="X735" s="421"/>
      <c r="Y735" s="421"/>
      <c r="Z735" s="421"/>
      <c r="AA735" s="421"/>
      <c r="AB735" s="421"/>
      <c r="AC735" s="421"/>
      <c r="AD735" s="421"/>
      <c r="AE735" s="421"/>
      <c r="AF735" s="421"/>
      <c r="AG735" s="421"/>
      <c r="AH735" s="421"/>
      <c r="AI735" s="421"/>
      <c r="AJ735" s="421"/>
      <c r="AK735" s="421"/>
      <c r="AL735" s="421"/>
      <c r="AM735" s="422"/>
      <c r="AN735" s="422"/>
      <c r="AO735" s="422"/>
      <c r="AP735" s="422"/>
      <c r="AQ735" s="422"/>
      <c r="AR735" s="422"/>
      <c r="AS735" s="422"/>
      <c r="AT735" s="422"/>
      <c r="AU735" s="422"/>
      <c r="AV735" s="422"/>
      <c r="AW735" s="422"/>
      <c r="AX735" s="422"/>
      <c r="AY735" s="422"/>
    </row>
    <row r="736" spans="1:51" x14ac:dyDescent="0.25">
      <c r="A736" s="3"/>
      <c r="B736" s="3"/>
      <c r="C736" s="3"/>
      <c r="D736" s="3"/>
      <c r="E736" s="3"/>
      <c r="F736" s="3"/>
      <c r="G736" s="3"/>
      <c r="H736" s="3"/>
      <c r="I736" s="3"/>
      <c r="J736" s="13"/>
      <c r="K736" s="13"/>
      <c r="L736" s="13"/>
      <c r="M736" s="13"/>
      <c r="N736" s="13"/>
      <c r="O736" s="13"/>
      <c r="P736" s="13"/>
      <c r="Q736" s="13"/>
      <c r="R736" s="13"/>
      <c r="S736" s="421"/>
      <c r="T736" s="421"/>
      <c r="U736" s="421"/>
      <c r="V736" s="421"/>
      <c r="W736" s="421"/>
      <c r="X736" s="421"/>
      <c r="Y736" s="421"/>
      <c r="Z736" s="421"/>
      <c r="AA736" s="421"/>
      <c r="AB736" s="421"/>
      <c r="AC736" s="421"/>
      <c r="AD736" s="421"/>
      <c r="AE736" s="421"/>
      <c r="AF736" s="421"/>
      <c r="AG736" s="421"/>
      <c r="AH736" s="421"/>
      <c r="AI736" s="421"/>
      <c r="AJ736" s="421"/>
      <c r="AK736" s="421"/>
      <c r="AL736" s="421"/>
      <c r="AM736" s="422"/>
      <c r="AN736" s="422"/>
      <c r="AO736" s="422"/>
      <c r="AP736" s="422"/>
      <c r="AQ736" s="422"/>
      <c r="AR736" s="422"/>
      <c r="AS736" s="422"/>
      <c r="AT736" s="422"/>
      <c r="AU736" s="422"/>
      <c r="AV736" s="422"/>
      <c r="AW736" s="422"/>
      <c r="AX736" s="422"/>
      <c r="AY736" s="422"/>
    </row>
    <row r="737" spans="1:51" x14ac:dyDescent="0.25">
      <c r="A737" s="3"/>
      <c r="B737" s="3"/>
      <c r="C737" s="3"/>
      <c r="D737" s="3"/>
      <c r="E737" s="3"/>
      <c r="F737" s="3"/>
      <c r="G737" s="3"/>
      <c r="H737" s="3"/>
      <c r="I737" s="3"/>
      <c r="J737" s="13"/>
      <c r="K737" s="13"/>
      <c r="L737" s="13"/>
      <c r="M737" s="13"/>
      <c r="N737" s="13"/>
      <c r="O737" s="13"/>
      <c r="P737" s="13"/>
      <c r="Q737" s="13"/>
      <c r="R737" s="13"/>
      <c r="S737" s="421"/>
      <c r="T737" s="421"/>
      <c r="U737" s="421"/>
      <c r="V737" s="421"/>
      <c r="W737" s="421"/>
      <c r="X737" s="421"/>
      <c r="Y737" s="421"/>
      <c r="Z737" s="421"/>
      <c r="AA737" s="421"/>
      <c r="AB737" s="421"/>
      <c r="AC737" s="421"/>
      <c r="AD737" s="421"/>
      <c r="AE737" s="421"/>
      <c r="AF737" s="421"/>
      <c r="AG737" s="421"/>
      <c r="AH737" s="421"/>
      <c r="AI737" s="421"/>
      <c r="AJ737" s="421"/>
      <c r="AK737" s="421"/>
      <c r="AL737" s="421"/>
      <c r="AM737" s="422"/>
      <c r="AN737" s="422"/>
      <c r="AO737" s="422"/>
      <c r="AP737" s="422"/>
      <c r="AQ737" s="422"/>
      <c r="AR737" s="422"/>
      <c r="AS737" s="422"/>
      <c r="AT737" s="422"/>
      <c r="AU737" s="422"/>
      <c r="AV737" s="422"/>
      <c r="AW737" s="422"/>
      <c r="AX737" s="422"/>
      <c r="AY737" s="422"/>
    </row>
    <row r="738" spans="1:51" x14ac:dyDescent="0.25">
      <c r="A738" s="3"/>
      <c r="B738" s="3"/>
      <c r="C738" s="3"/>
      <c r="D738" s="3"/>
      <c r="E738" s="3"/>
      <c r="F738" s="3"/>
      <c r="G738" s="3"/>
      <c r="H738" s="3"/>
      <c r="I738" s="3"/>
      <c r="J738" s="13"/>
      <c r="K738" s="13"/>
      <c r="L738" s="13"/>
      <c r="M738" s="13"/>
      <c r="N738" s="13"/>
      <c r="O738" s="13"/>
      <c r="P738" s="13"/>
      <c r="Q738" s="13"/>
      <c r="R738" s="13"/>
      <c r="S738" s="421"/>
      <c r="T738" s="421"/>
      <c r="U738" s="421"/>
      <c r="V738" s="421"/>
      <c r="W738" s="421"/>
      <c r="X738" s="421"/>
      <c r="Y738" s="421"/>
      <c r="Z738" s="421"/>
      <c r="AA738" s="421"/>
      <c r="AB738" s="421"/>
      <c r="AC738" s="421"/>
      <c r="AD738" s="421"/>
      <c r="AE738" s="421"/>
      <c r="AF738" s="421"/>
      <c r="AG738" s="421"/>
      <c r="AH738" s="421"/>
      <c r="AI738" s="421"/>
      <c r="AJ738" s="421"/>
      <c r="AK738" s="421"/>
      <c r="AL738" s="421"/>
      <c r="AM738" s="422"/>
      <c r="AN738" s="422"/>
      <c r="AO738" s="422"/>
      <c r="AP738" s="422"/>
      <c r="AQ738" s="422"/>
      <c r="AR738" s="422"/>
      <c r="AS738" s="422"/>
      <c r="AT738" s="422"/>
      <c r="AU738" s="422"/>
      <c r="AV738" s="422"/>
      <c r="AW738" s="422"/>
      <c r="AX738" s="422"/>
      <c r="AY738" s="422"/>
    </row>
    <row r="739" spans="1:51" x14ac:dyDescent="0.25">
      <c r="A739" s="3"/>
      <c r="B739" s="3"/>
      <c r="C739" s="3"/>
      <c r="D739" s="3"/>
      <c r="E739" s="3"/>
      <c r="F739" s="3"/>
      <c r="G739" s="3"/>
      <c r="H739" s="3"/>
      <c r="I739" s="3"/>
      <c r="J739" s="13"/>
      <c r="K739" s="13"/>
      <c r="L739" s="13"/>
      <c r="M739" s="13"/>
      <c r="N739" s="13"/>
      <c r="O739" s="13"/>
      <c r="P739" s="13"/>
      <c r="Q739" s="13"/>
      <c r="R739" s="13"/>
      <c r="S739" s="421"/>
      <c r="T739" s="421"/>
      <c r="U739" s="421"/>
      <c r="V739" s="421"/>
      <c r="W739" s="421"/>
      <c r="X739" s="421"/>
      <c r="Y739" s="421"/>
      <c r="Z739" s="421"/>
      <c r="AA739" s="421"/>
      <c r="AB739" s="421"/>
      <c r="AC739" s="421"/>
      <c r="AD739" s="421"/>
      <c r="AE739" s="421"/>
      <c r="AF739" s="421"/>
      <c r="AG739" s="421"/>
      <c r="AH739" s="421"/>
      <c r="AI739" s="421"/>
      <c r="AJ739" s="421"/>
      <c r="AK739" s="421"/>
      <c r="AL739" s="421"/>
      <c r="AM739" s="422"/>
      <c r="AN739" s="422"/>
      <c r="AO739" s="422"/>
      <c r="AP739" s="422"/>
      <c r="AQ739" s="422"/>
      <c r="AR739" s="422"/>
      <c r="AS739" s="422"/>
      <c r="AT739" s="422"/>
      <c r="AU739" s="422"/>
      <c r="AV739" s="422"/>
      <c r="AW739" s="422"/>
      <c r="AX739" s="422"/>
      <c r="AY739" s="422"/>
    </row>
    <row r="740" spans="1:51" x14ac:dyDescent="0.25">
      <c r="A740" s="3"/>
      <c r="B740" s="3"/>
      <c r="C740" s="3"/>
      <c r="D740" s="3"/>
      <c r="E740" s="3"/>
      <c r="F740" s="3"/>
      <c r="G740" s="3"/>
      <c r="H740" s="3"/>
      <c r="I740" s="3"/>
      <c r="J740" s="13"/>
      <c r="K740" s="13"/>
      <c r="L740" s="13"/>
      <c r="M740" s="13"/>
      <c r="N740" s="13"/>
      <c r="O740" s="13"/>
      <c r="P740" s="13"/>
      <c r="Q740" s="13"/>
      <c r="R740" s="13"/>
      <c r="S740" s="421"/>
      <c r="T740" s="421"/>
      <c r="U740" s="421"/>
      <c r="V740" s="421"/>
      <c r="W740" s="421"/>
      <c r="X740" s="421"/>
      <c r="Y740" s="421"/>
      <c r="Z740" s="421"/>
      <c r="AA740" s="421"/>
      <c r="AB740" s="421"/>
      <c r="AC740" s="421"/>
      <c r="AD740" s="421"/>
      <c r="AE740" s="421"/>
      <c r="AF740" s="421"/>
      <c r="AG740" s="421"/>
      <c r="AH740" s="421"/>
      <c r="AI740" s="421"/>
      <c r="AJ740" s="421"/>
      <c r="AK740" s="421"/>
      <c r="AL740" s="421"/>
      <c r="AM740" s="422"/>
      <c r="AN740" s="422"/>
      <c r="AO740" s="422"/>
      <c r="AP740" s="422"/>
      <c r="AQ740" s="422"/>
      <c r="AR740" s="422"/>
      <c r="AS740" s="422"/>
      <c r="AT740" s="422"/>
      <c r="AU740" s="422"/>
      <c r="AV740" s="422"/>
      <c r="AW740" s="422"/>
      <c r="AX740" s="422"/>
      <c r="AY740" s="422"/>
    </row>
    <row r="741" spans="1:51" x14ac:dyDescent="0.25">
      <c r="A741" s="3"/>
      <c r="B741" s="3"/>
      <c r="C741" s="3"/>
      <c r="D741" s="3"/>
      <c r="E741" s="3"/>
      <c r="F741" s="3"/>
      <c r="G741" s="3"/>
      <c r="H741" s="3"/>
      <c r="I741" s="3"/>
      <c r="J741" s="13"/>
      <c r="K741" s="13"/>
      <c r="L741" s="13"/>
      <c r="M741" s="13"/>
      <c r="N741" s="13"/>
      <c r="O741" s="13"/>
      <c r="P741" s="13"/>
      <c r="Q741" s="13"/>
      <c r="R741" s="13"/>
      <c r="S741" s="421"/>
      <c r="T741" s="421"/>
      <c r="U741" s="421"/>
      <c r="V741" s="421"/>
      <c r="W741" s="421"/>
      <c r="X741" s="421"/>
      <c r="Y741" s="421"/>
      <c r="Z741" s="421"/>
      <c r="AA741" s="421"/>
      <c r="AB741" s="421"/>
      <c r="AC741" s="421"/>
      <c r="AD741" s="421"/>
      <c r="AE741" s="421"/>
      <c r="AF741" s="421"/>
      <c r="AG741" s="421"/>
      <c r="AH741" s="421"/>
      <c r="AI741" s="421"/>
      <c r="AJ741" s="421"/>
      <c r="AK741" s="421"/>
      <c r="AL741" s="421"/>
      <c r="AM741" s="422"/>
      <c r="AN741" s="422"/>
      <c r="AO741" s="422"/>
      <c r="AP741" s="422"/>
      <c r="AQ741" s="422"/>
      <c r="AR741" s="422"/>
      <c r="AS741" s="422"/>
      <c r="AT741" s="422"/>
      <c r="AU741" s="422"/>
      <c r="AV741" s="422"/>
      <c r="AW741" s="422"/>
      <c r="AX741" s="422"/>
      <c r="AY741" s="422"/>
    </row>
    <row r="742" spans="1:51" x14ac:dyDescent="0.25">
      <c r="A742" s="3"/>
      <c r="B742" s="3"/>
      <c r="C742" s="3"/>
      <c r="D742" s="3"/>
      <c r="E742" s="3"/>
      <c r="F742" s="3"/>
      <c r="G742" s="3"/>
      <c r="H742" s="3"/>
      <c r="I742" s="3"/>
      <c r="J742" s="13"/>
      <c r="K742" s="13"/>
      <c r="L742" s="13"/>
      <c r="M742" s="13"/>
      <c r="N742" s="13"/>
      <c r="O742" s="13"/>
      <c r="P742" s="13"/>
      <c r="Q742" s="13"/>
      <c r="R742" s="13"/>
      <c r="S742" s="421"/>
      <c r="T742" s="421"/>
      <c r="U742" s="421"/>
      <c r="V742" s="421"/>
      <c r="W742" s="421"/>
      <c r="X742" s="421"/>
      <c r="Y742" s="421"/>
      <c r="Z742" s="421"/>
      <c r="AA742" s="421"/>
      <c r="AB742" s="421"/>
      <c r="AC742" s="421"/>
      <c r="AD742" s="421"/>
      <c r="AE742" s="421"/>
      <c r="AF742" s="421"/>
      <c r="AG742" s="421"/>
      <c r="AH742" s="421"/>
      <c r="AI742" s="421"/>
      <c r="AJ742" s="421"/>
      <c r="AK742" s="421"/>
      <c r="AL742" s="421"/>
      <c r="AM742" s="422"/>
      <c r="AN742" s="422"/>
      <c r="AO742" s="422"/>
      <c r="AP742" s="422"/>
      <c r="AQ742" s="422"/>
      <c r="AR742" s="422"/>
      <c r="AS742" s="422"/>
      <c r="AT742" s="422"/>
      <c r="AU742" s="422"/>
      <c r="AV742" s="422"/>
      <c r="AW742" s="422"/>
      <c r="AX742" s="422"/>
      <c r="AY742" s="422"/>
    </row>
    <row r="743" spans="1:51" x14ac:dyDescent="0.25">
      <c r="A743" s="3"/>
      <c r="B743" s="3"/>
      <c r="C743" s="3"/>
      <c r="D743" s="3"/>
      <c r="E743" s="3"/>
      <c r="F743" s="3"/>
      <c r="G743" s="3"/>
      <c r="H743" s="3"/>
      <c r="I743" s="3"/>
      <c r="J743" s="13"/>
      <c r="K743" s="13"/>
      <c r="L743" s="13"/>
      <c r="M743" s="13"/>
      <c r="N743" s="13"/>
      <c r="O743" s="13"/>
      <c r="P743" s="13"/>
      <c r="Q743" s="13"/>
      <c r="R743" s="13"/>
      <c r="S743" s="421"/>
      <c r="T743" s="421"/>
      <c r="U743" s="421"/>
      <c r="V743" s="421"/>
      <c r="W743" s="421"/>
      <c r="X743" s="421"/>
      <c r="Y743" s="421"/>
      <c r="Z743" s="421"/>
      <c r="AA743" s="421"/>
      <c r="AB743" s="421"/>
      <c r="AC743" s="421"/>
      <c r="AD743" s="421"/>
      <c r="AE743" s="421"/>
      <c r="AF743" s="421"/>
      <c r="AG743" s="421"/>
      <c r="AH743" s="421"/>
      <c r="AI743" s="421"/>
      <c r="AJ743" s="421"/>
      <c r="AK743" s="421"/>
      <c r="AL743" s="421"/>
      <c r="AM743" s="422"/>
      <c r="AN743" s="422"/>
      <c r="AO743" s="422"/>
      <c r="AP743" s="422"/>
      <c r="AQ743" s="422"/>
      <c r="AR743" s="422"/>
      <c r="AS743" s="422"/>
      <c r="AT743" s="422"/>
      <c r="AU743" s="422"/>
      <c r="AV743" s="422"/>
      <c r="AW743" s="422"/>
      <c r="AX743" s="422"/>
      <c r="AY743" s="422"/>
    </row>
    <row r="744" spans="1:51" x14ac:dyDescent="0.25">
      <c r="A744" s="3"/>
      <c r="B744" s="3"/>
      <c r="C744" s="3"/>
      <c r="D744" s="3"/>
      <c r="E744" s="3"/>
      <c r="F744" s="3"/>
      <c r="G744" s="3"/>
      <c r="H744" s="3"/>
      <c r="I744" s="3"/>
      <c r="J744" s="13"/>
      <c r="K744" s="13"/>
      <c r="L744" s="13"/>
      <c r="M744" s="13"/>
      <c r="N744" s="13"/>
      <c r="O744" s="13"/>
      <c r="P744" s="13"/>
      <c r="Q744" s="13"/>
      <c r="R744" s="13"/>
      <c r="S744" s="421"/>
      <c r="T744" s="421"/>
      <c r="U744" s="421"/>
      <c r="V744" s="421"/>
      <c r="W744" s="421"/>
      <c r="X744" s="421"/>
      <c r="Y744" s="421"/>
      <c r="Z744" s="421"/>
      <c r="AA744" s="421"/>
      <c r="AB744" s="421"/>
      <c r="AC744" s="421"/>
      <c r="AD744" s="421"/>
      <c r="AE744" s="421"/>
      <c r="AF744" s="421"/>
      <c r="AG744" s="421"/>
      <c r="AH744" s="421"/>
      <c r="AI744" s="421"/>
      <c r="AJ744" s="421"/>
      <c r="AK744" s="421"/>
      <c r="AL744" s="421"/>
      <c r="AM744" s="422"/>
      <c r="AN744" s="422"/>
      <c r="AO744" s="422"/>
      <c r="AP744" s="422"/>
      <c r="AQ744" s="422"/>
      <c r="AR744" s="422"/>
      <c r="AS744" s="422"/>
      <c r="AT744" s="422"/>
      <c r="AU744" s="422"/>
      <c r="AV744" s="422"/>
      <c r="AW744" s="422"/>
      <c r="AX744" s="422"/>
      <c r="AY744" s="422"/>
    </row>
    <row r="745" spans="1:51" x14ac:dyDescent="0.25">
      <c r="A745" s="3"/>
      <c r="B745" s="3"/>
      <c r="C745" s="3"/>
      <c r="D745" s="3"/>
      <c r="E745" s="3"/>
      <c r="F745" s="3"/>
      <c r="G745" s="3"/>
      <c r="H745" s="3"/>
      <c r="I745" s="3"/>
      <c r="J745" s="13"/>
      <c r="K745" s="13"/>
      <c r="L745" s="13"/>
      <c r="M745" s="13"/>
      <c r="N745" s="13"/>
      <c r="O745" s="13"/>
      <c r="P745" s="13"/>
      <c r="Q745" s="13"/>
      <c r="R745" s="13"/>
      <c r="S745" s="421"/>
      <c r="T745" s="421"/>
      <c r="U745" s="421"/>
      <c r="V745" s="421"/>
      <c r="W745" s="421"/>
      <c r="X745" s="421"/>
      <c r="Y745" s="421"/>
      <c r="Z745" s="421"/>
      <c r="AA745" s="421"/>
      <c r="AB745" s="421"/>
      <c r="AC745" s="421"/>
      <c r="AD745" s="421"/>
      <c r="AE745" s="421"/>
      <c r="AF745" s="421"/>
      <c r="AG745" s="421"/>
      <c r="AH745" s="421"/>
      <c r="AI745" s="421"/>
      <c r="AJ745" s="421"/>
      <c r="AK745" s="421"/>
      <c r="AL745" s="421"/>
      <c r="AM745" s="422"/>
      <c r="AN745" s="422"/>
      <c r="AO745" s="422"/>
      <c r="AP745" s="422"/>
      <c r="AQ745" s="422"/>
      <c r="AR745" s="422"/>
      <c r="AS745" s="422"/>
      <c r="AT745" s="422"/>
      <c r="AU745" s="422"/>
      <c r="AV745" s="422"/>
      <c r="AW745" s="422"/>
      <c r="AX745" s="422"/>
      <c r="AY745" s="422"/>
    </row>
    <row r="746" spans="1:51" x14ac:dyDescent="0.25">
      <c r="A746" s="3"/>
      <c r="B746" s="3"/>
      <c r="C746" s="3"/>
      <c r="D746" s="3"/>
      <c r="E746" s="3"/>
      <c r="F746" s="3"/>
      <c r="G746" s="3"/>
      <c r="H746" s="3"/>
      <c r="I746" s="3"/>
      <c r="J746" s="13"/>
      <c r="K746" s="13"/>
      <c r="L746" s="13"/>
      <c r="M746" s="13"/>
      <c r="N746" s="13"/>
      <c r="O746" s="13"/>
      <c r="P746" s="13"/>
      <c r="Q746" s="13"/>
      <c r="R746" s="13"/>
      <c r="S746" s="421"/>
      <c r="T746" s="421"/>
      <c r="U746" s="421"/>
      <c r="V746" s="421"/>
      <c r="W746" s="421"/>
      <c r="X746" s="421"/>
      <c r="Y746" s="421"/>
      <c r="Z746" s="421"/>
      <c r="AA746" s="421"/>
      <c r="AB746" s="421"/>
      <c r="AC746" s="421"/>
      <c r="AD746" s="421"/>
      <c r="AE746" s="421"/>
      <c r="AF746" s="421"/>
      <c r="AG746" s="421"/>
      <c r="AH746" s="421"/>
      <c r="AI746" s="421"/>
      <c r="AJ746" s="421"/>
      <c r="AK746" s="421"/>
      <c r="AL746" s="421"/>
      <c r="AM746" s="422"/>
      <c r="AN746" s="422"/>
      <c r="AO746" s="422"/>
      <c r="AP746" s="422"/>
      <c r="AQ746" s="422"/>
      <c r="AR746" s="422"/>
      <c r="AS746" s="422"/>
      <c r="AT746" s="422"/>
      <c r="AU746" s="422"/>
      <c r="AV746" s="422"/>
      <c r="AW746" s="422"/>
      <c r="AX746" s="422"/>
      <c r="AY746" s="422"/>
    </row>
    <row r="747" spans="1:51" x14ac:dyDescent="0.25">
      <c r="A747" s="3"/>
      <c r="B747" s="3"/>
      <c r="C747" s="3"/>
      <c r="D747" s="3"/>
      <c r="E747" s="3"/>
      <c r="F747" s="3"/>
      <c r="G747" s="3"/>
      <c r="H747" s="3"/>
      <c r="I747" s="3"/>
      <c r="J747" s="13"/>
      <c r="K747" s="13"/>
      <c r="L747" s="13"/>
      <c r="M747" s="13"/>
      <c r="N747" s="13"/>
      <c r="O747" s="13"/>
      <c r="P747" s="13"/>
      <c r="Q747" s="13"/>
      <c r="R747" s="13"/>
      <c r="S747" s="421"/>
      <c r="T747" s="421"/>
      <c r="U747" s="421"/>
      <c r="V747" s="421"/>
      <c r="W747" s="421"/>
      <c r="X747" s="421"/>
      <c r="Y747" s="421"/>
      <c r="Z747" s="421"/>
      <c r="AA747" s="421"/>
      <c r="AB747" s="421"/>
      <c r="AC747" s="421"/>
      <c r="AD747" s="421"/>
      <c r="AE747" s="421"/>
      <c r="AF747" s="421"/>
      <c r="AG747" s="421"/>
      <c r="AH747" s="421"/>
      <c r="AI747" s="421"/>
      <c r="AJ747" s="421"/>
      <c r="AK747" s="421"/>
      <c r="AL747" s="421"/>
      <c r="AM747" s="422"/>
      <c r="AN747" s="422"/>
      <c r="AO747" s="422"/>
      <c r="AP747" s="422"/>
      <c r="AQ747" s="422"/>
      <c r="AR747" s="422"/>
      <c r="AS747" s="422"/>
      <c r="AT747" s="422"/>
      <c r="AU747" s="422"/>
      <c r="AV747" s="422"/>
      <c r="AW747" s="422"/>
      <c r="AX747" s="422"/>
      <c r="AY747" s="422"/>
    </row>
    <row r="748" spans="1:51" x14ac:dyDescent="0.25">
      <c r="A748" s="3"/>
      <c r="B748" s="3"/>
      <c r="C748" s="3"/>
      <c r="D748" s="3"/>
      <c r="E748" s="3"/>
      <c r="F748" s="3"/>
      <c r="G748" s="3"/>
      <c r="H748" s="3"/>
      <c r="I748" s="3"/>
      <c r="J748" s="13"/>
      <c r="K748" s="13"/>
      <c r="L748" s="13"/>
      <c r="M748" s="13"/>
      <c r="N748" s="13"/>
      <c r="O748" s="13"/>
      <c r="P748" s="13"/>
      <c r="Q748" s="13"/>
      <c r="R748" s="13"/>
      <c r="S748" s="421"/>
      <c r="T748" s="421"/>
      <c r="U748" s="421"/>
      <c r="V748" s="421"/>
      <c r="W748" s="421"/>
      <c r="X748" s="421"/>
      <c r="Y748" s="421"/>
      <c r="Z748" s="421"/>
      <c r="AA748" s="421"/>
      <c r="AB748" s="421"/>
      <c r="AC748" s="421"/>
      <c r="AD748" s="421"/>
      <c r="AE748" s="421"/>
      <c r="AF748" s="421"/>
      <c r="AG748" s="421"/>
      <c r="AH748" s="421"/>
      <c r="AI748" s="421"/>
      <c r="AJ748" s="421"/>
      <c r="AK748" s="421"/>
      <c r="AL748" s="421"/>
      <c r="AM748" s="422"/>
      <c r="AN748" s="422"/>
      <c r="AO748" s="422"/>
      <c r="AP748" s="422"/>
      <c r="AQ748" s="422"/>
      <c r="AR748" s="422"/>
      <c r="AS748" s="422"/>
      <c r="AT748" s="422"/>
      <c r="AU748" s="422"/>
      <c r="AV748" s="422"/>
      <c r="AW748" s="422"/>
      <c r="AX748" s="422"/>
      <c r="AY748" s="422"/>
    </row>
    <row r="749" spans="1:51" x14ac:dyDescent="0.25">
      <c r="A749" s="3"/>
      <c r="B749" s="3"/>
      <c r="C749" s="3"/>
      <c r="D749" s="3"/>
      <c r="E749" s="3"/>
      <c r="F749" s="3"/>
      <c r="G749" s="3"/>
      <c r="H749" s="3"/>
      <c r="I749" s="3"/>
      <c r="J749" s="13"/>
      <c r="K749" s="13"/>
      <c r="L749" s="13"/>
      <c r="M749" s="13"/>
      <c r="N749" s="13"/>
      <c r="O749" s="13"/>
      <c r="P749" s="13"/>
      <c r="Q749" s="13"/>
      <c r="R749" s="13"/>
      <c r="S749" s="421"/>
      <c r="T749" s="421"/>
      <c r="U749" s="421"/>
      <c r="V749" s="421"/>
      <c r="W749" s="421"/>
      <c r="X749" s="421"/>
      <c r="Y749" s="421"/>
      <c r="Z749" s="421"/>
      <c r="AA749" s="421"/>
      <c r="AB749" s="421"/>
      <c r="AC749" s="421"/>
      <c r="AD749" s="421"/>
      <c r="AE749" s="421"/>
      <c r="AF749" s="421"/>
      <c r="AG749" s="421"/>
      <c r="AH749" s="421"/>
      <c r="AI749" s="421"/>
      <c r="AJ749" s="421"/>
      <c r="AK749" s="421"/>
      <c r="AL749" s="421"/>
      <c r="AM749" s="422"/>
      <c r="AN749" s="422"/>
      <c r="AO749" s="422"/>
      <c r="AP749" s="422"/>
      <c r="AQ749" s="422"/>
      <c r="AR749" s="422"/>
      <c r="AS749" s="422"/>
      <c r="AT749" s="422"/>
      <c r="AU749" s="422"/>
      <c r="AV749" s="422"/>
      <c r="AW749" s="422"/>
      <c r="AX749" s="422"/>
      <c r="AY749" s="422"/>
    </row>
    <row r="750" spans="1:51" x14ac:dyDescent="0.25">
      <c r="A750" s="3"/>
      <c r="B750" s="3"/>
      <c r="C750" s="3"/>
      <c r="D750" s="3"/>
      <c r="E750" s="3"/>
      <c r="F750" s="3"/>
      <c r="G750" s="3"/>
      <c r="H750" s="3"/>
      <c r="I750" s="3"/>
      <c r="J750" s="13"/>
      <c r="K750" s="13"/>
      <c r="L750" s="13"/>
      <c r="M750" s="13"/>
      <c r="N750" s="13"/>
      <c r="O750" s="13"/>
      <c r="P750" s="13"/>
      <c r="Q750" s="13"/>
      <c r="R750" s="13"/>
      <c r="S750" s="421"/>
      <c r="T750" s="421"/>
      <c r="U750" s="421"/>
      <c r="V750" s="421"/>
      <c r="W750" s="421"/>
      <c r="X750" s="421"/>
      <c r="Y750" s="421"/>
      <c r="Z750" s="421"/>
      <c r="AA750" s="421"/>
      <c r="AB750" s="421"/>
      <c r="AC750" s="421"/>
      <c r="AD750" s="421"/>
      <c r="AE750" s="421"/>
      <c r="AF750" s="421"/>
      <c r="AG750" s="421"/>
      <c r="AH750" s="421"/>
      <c r="AI750" s="421"/>
      <c r="AJ750" s="421"/>
      <c r="AK750" s="421"/>
      <c r="AL750" s="421"/>
      <c r="AM750" s="422"/>
      <c r="AN750" s="422"/>
      <c r="AO750" s="422"/>
      <c r="AP750" s="422"/>
      <c r="AQ750" s="422"/>
      <c r="AR750" s="422"/>
      <c r="AS750" s="422"/>
      <c r="AT750" s="422"/>
      <c r="AU750" s="422"/>
      <c r="AV750" s="422"/>
      <c r="AW750" s="422"/>
      <c r="AX750" s="422"/>
      <c r="AY750" s="422"/>
    </row>
    <row r="751" spans="1:51" x14ac:dyDescent="0.25">
      <c r="A751" s="3"/>
      <c r="B751" s="3"/>
      <c r="C751" s="3"/>
      <c r="D751" s="3"/>
      <c r="E751" s="3"/>
      <c r="F751" s="3"/>
      <c r="G751" s="3"/>
      <c r="H751" s="3"/>
      <c r="I751" s="3"/>
      <c r="J751" s="13"/>
      <c r="K751" s="13"/>
      <c r="L751" s="13"/>
      <c r="M751" s="13"/>
      <c r="N751" s="13"/>
      <c r="O751" s="13"/>
      <c r="P751" s="13"/>
      <c r="Q751" s="13"/>
      <c r="R751" s="13"/>
      <c r="S751" s="421"/>
      <c r="T751" s="421"/>
      <c r="U751" s="421"/>
      <c r="V751" s="421"/>
      <c r="W751" s="421"/>
      <c r="X751" s="421"/>
      <c r="Y751" s="421"/>
      <c r="Z751" s="421"/>
      <c r="AA751" s="421"/>
      <c r="AB751" s="421"/>
      <c r="AC751" s="421"/>
      <c r="AD751" s="421"/>
      <c r="AE751" s="421"/>
      <c r="AF751" s="421"/>
      <c r="AG751" s="421"/>
      <c r="AH751" s="421"/>
      <c r="AI751" s="421"/>
      <c r="AJ751" s="421"/>
      <c r="AK751" s="421"/>
      <c r="AL751" s="421"/>
      <c r="AM751" s="422"/>
      <c r="AN751" s="422"/>
      <c r="AO751" s="422"/>
      <c r="AP751" s="422"/>
      <c r="AQ751" s="422"/>
      <c r="AR751" s="422"/>
      <c r="AS751" s="422"/>
      <c r="AT751" s="422"/>
      <c r="AU751" s="422"/>
      <c r="AV751" s="422"/>
      <c r="AW751" s="422"/>
      <c r="AX751" s="422"/>
      <c r="AY751" s="422"/>
    </row>
    <row r="752" spans="1:51" x14ac:dyDescent="0.25">
      <c r="A752" s="3"/>
      <c r="B752" s="3"/>
      <c r="C752" s="3"/>
      <c r="D752" s="3"/>
      <c r="E752" s="3"/>
      <c r="F752" s="3"/>
      <c r="G752" s="3"/>
      <c r="H752" s="3"/>
      <c r="I752" s="3"/>
      <c r="J752" s="13"/>
      <c r="K752" s="13"/>
      <c r="L752" s="13"/>
      <c r="M752" s="13"/>
      <c r="N752" s="13"/>
      <c r="O752" s="13"/>
      <c r="P752" s="13"/>
      <c r="Q752" s="13"/>
      <c r="R752" s="13"/>
      <c r="S752" s="421"/>
      <c r="T752" s="421"/>
      <c r="U752" s="421"/>
      <c r="V752" s="421"/>
      <c r="W752" s="421"/>
      <c r="X752" s="421"/>
      <c r="Y752" s="421"/>
      <c r="Z752" s="421"/>
      <c r="AA752" s="421"/>
      <c r="AB752" s="421"/>
      <c r="AC752" s="421"/>
      <c r="AD752" s="421"/>
      <c r="AE752" s="421"/>
      <c r="AF752" s="421"/>
      <c r="AG752" s="421"/>
      <c r="AH752" s="421"/>
      <c r="AI752" s="421"/>
      <c r="AJ752" s="421"/>
      <c r="AK752" s="421"/>
      <c r="AL752" s="421"/>
      <c r="AM752" s="422"/>
      <c r="AN752" s="422"/>
      <c r="AO752" s="422"/>
      <c r="AP752" s="422"/>
      <c r="AQ752" s="422"/>
      <c r="AR752" s="422"/>
      <c r="AS752" s="422"/>
      <c r="AT752" s="422"/>
      <c r="AU752" s="422"/>
      <c r="AV752" s="422"/>
      <c r="AW752" s="422"/>
      <c r="AX752" s="422"/>
      <c r="AY752" s="422"/>
    </row>
    <row r="753" spans="1:51" x14ac:dyDescent="0.25">
      <c r="A753" s="3"/>
      <c r="B753" s="3"/>
      <c r="C753" s="3"/>
      <c r="D753" s="3"/>
      <c r="E753" s="3"/>
      <c r="F753" s="3"/>
      <c r="G753" s="3"/>
      <c r="H753" s="3"/>
      <c r="I753" s="3"/>
      <c r="J753" s="13"/>
      <c r="K753" s="13"/>
      <c r="L753" s="13"/>
      <c r="M753" s="13"/>
      <c r="N753" s="13"/>
      <c r="O753" s="13"/>
      <c r="P753" s="13"/>
      <c r="Q753" s="13"/>
      <c r="R753" s="13"/>
      <c r="S753" s="421"/>
      <c r="T753" s="421"/>
      <c r="U753" s="421"/>
      <c r="V753" s="421"/>
      <c r="W753" s="421"/>
      <c r="X753" s="421"/>
      <c r="Y753" s="421"/>
      <c r="Z753" s="421"/>
      <c r="AA753" s="421"/>
      <c r="AB753" s="421"/>
      <c r="AC753" s="421"/>
      <c r="AD753" s="421"/>
      <c r="AE753" s="421"/>
      <c r="AF753" s="421"/>
      <c r="AG753" s="421"/>
      <c r="AH753" s="421"/>
      <c r="AI753" s="421"/>
      <c r="AJ753" s="421"/>
      <c r="AK753" s="421"/>
      <c r="AL753" s="421"/>
      <c r="AM753" s="422"/>
      <c r="AN753" s="422"/>
      <c r="AO753" s="422"/>
      <c r="AP753" s="422"/>
      <c r="AQ753" s="422"/>
      <c r="AR753" s="422"/>
      <c r="AS753" s="422"/>
      <c r="AT753" s="422"/>
      <c r="AU753" s="422"/>
      <c r="AV753" s="422"/>
      <c r="AW753" s="422"/>
      <c r="AX753" s="422"/>
      <c r="AY753" s="422"/>
    </row>
    <row r="754" spans="1:51" x14ac:dyDescent="0.25">
      <c r="A754" s="3"/>
      <c r="B754" s="3"/>
      <c r="C754" s="3"/>
      <c r="D754" s="3"/>
      <c r="E754" s="3"/>
      <c r="F754" s="3"/>
      <c r="G754" s="3"/>
      <c r="H754" s="3"/>
      <c r="I754" s="3"/>
      <c r="J754" s="13"/>
      <c r="K754" s="13"/>
      <c r="L754" s="13"/>
      <c r="M754" s="13"/>
      <c r="N754" s="13"/>
      <c r="O754" s="13"/>
      <c r="P754" s="13"/>
      <c r="Q754" s="13"/>
      <c r="R754" s="13"/>
      <c r="S754" s="421"/>
      <c r="T754" s="421"/>
      <c r="U754" s="421"/>
      <c r="V754" s="421"/>
      <c r="W754" s="421"/>
      <c r="X754" s="421"/>
      <c r="Y754" s="421"/>
      <c r="Z754" s="421"/>
      <c r="AA754" s="421"/>
      <c r="AB754" s="421"/>
      <c r="AC754" s="421"/>
      <c r="AD754" s="421"/>
      <c r="AE754" s="421"/>
      <c r="AF754" s="421"/>
      <c r="AG754" s="421"/>
      <c r="AH754" s="421"/>
      <c r="AI754" s="421"/>
      <c r="AJ754" s="421"/>
      <c r="AK754" s="421"/>
      <c r="AL754" s="421"/>
      <c r="AM754" s="422"/>
      <c r="AN754" s="422"/>
      <c r="AO754" s="422"/>
      <c r="AP754" s="422"/>
      <c r="AQ754" s="422"/>
      <c r="AR754" s="422"/>
      <c r="AS754" s="422"/>
      <c r="AT754" s="422"/>
      <c r="AU754" s="422"/>
      <c r="AV754" s="422"/>
      <c r="AW754" s="422"/>
      <c r="AX754" s="422"/>
      <c r="AY754" s="422"/>
    </row>
    <row r="755" spans="1:51" x14ac:dyDescent="0.25">
      <c r="A755" s="3"/>
      <c r="B755" s="3"/>
      <c r="C755" s="3"/>
      <c r="D755" s="3"/>
      <c r="E755" s="3"/>
      <c r="F755" s="3"/>
      <c r="G755" s="3"/>
      <c r="H755" s="3"/>
      <c r="I755" s="3"/>
      <c r="J755" s="13"/>
      <c r="K755" s="13"/>
      <c r="L755" s="13"/>
      <c r="M755" s="13"/>
      <c r="N755" s="13"/>
      <c r="O755" s="13"/>
      <c r="P755" s="13"/>
      <c r="Q755" s="13"/>
      <c r="R755" s="13"/>
      <c r="S755" s="421"/>
      <c r="T755" s="421"/>
      <c r="U755" s="421"/>
      <c r="V755" s="421"/>
      <c r="W755" s="421"/>
      <c r="X755" s="421"/>
      <c r="Y755" s="421"/>
      <c r="Z755" s="421"/>
      <c r="AA755" s="421"/>
      <c r="AB755" s="421"/>
      <c r="AC755" s="421"/>
      <c r="AD755" s="421"/>
      <c r="AE755" s="421"/>
      <c r="AF755" s="421"/>
      <c r="AG755" s="421"/>
      <c r="AH755" s="421"/>
      <c r="AI755" s="421"/>
      <c r="AJ755" s="421"/>
      <c r="AK755" s="421"/>
      <c r="AL755" s="421"/>
      <c r="AM755" s="422"/>
      <c r="AN755" s="422"/>
      <c r="AO755" s="422"/>
      <c r="AP755" s="422"/>
      <c r="AQ755" s="422"/>
      <c r="AR755" s="422"/>
      <c r="AS755" s="422"/>
      <c r="AT755" s="422"/>
      <c r="AU755" s="422"/>
      <c r="AV755" s="422"/>
      <c r="AW755" s="422"/>
      <c r="AX755" s="422"/>
      <c r="AY755" s="422"/>
    </row>
    <row r="756" spans="1:51" x14ac:dyDescent="0.25">
      <c r="A756" s="3"/>
      <c r="B756" s="3"/>
      <c r="C756" s="3"/>
      <c r="D756" s="3"/>
      <c r="E756" s="3"/>
      <c r="F756" s="3"/>
      <c r="G756" s="3"/>
      <c r="H756" s="3"/>
      <c r="I756" s="3"/>
      <c r="J756" s="13"/>
      <c r="K756" s="13"/>
      <c r="L756" s="13"/>
      <c r="M756" s="13"/>
      <c r="N756" s="13"/>
      <c r="O756" s="13"/>
      <c r="P756" s="13"/>
      <c r="Q756" s="13"/>
      <c r="R756" s="13"/>
      <c r="S756" s="421"/>
      <c r="T756" s="421"/>
      <c r="U756" s="421"/>
      <c r="V756" s="421"/>
      <c r="W756" s="421"/>
      <c r="X756" s="421"/>
      <c r="Y756" s="421"/>
      <c r="Z756" s="421"/>
      <c r="AA756" s="421"/>
      <c r="AB756" s="421"/>
      <c r="AC756" s="421"/>
      <c r="AD756" s="421"/>
      <c r="AE756" s="421"/>
      <c r="AF756" s="421"/>
      <c r="AG756" s="421"/>
      <c r="AH756" s="421"/>
      <c r="AI756" s="421"/>
      <c r="AJ756" s="421"/>
      <c r="AK756" s="421"/>
      <c r="AL756" s="421"/>
      <c r="AM756" s="422"/>
      <c r="AN756" s="422"/>
      <c r="AO756" s="422"/>
      <c r="AP756" s="422"/>
      <c r="AQ756" s="422"/>
      <c r="AR756" s="422"/>
      <c r="AS756" s="422"/>
      <c r="AT756" s="422"/>
      <c r="AU756" s="422"/>
      <c r="AV756" s="422"/>
      <c r="AW756" s="422"/>
      <c r="AX756" s="422"/>
      <c r="AY756" s="422"/>
    </row>
    <row r="757" spans="1:51" x14ac:dyDescent="0.25">
      <c r="A757" s="3"/>
      <c r="B757" s="3"/>
      <c r="C757" s="3"/>
      <c r="D757" s="3"/>
      <c r="E757" s="3"/>
      <c r="F757" s="3"/>
      <c r="G757" s="3"/>
      <c r="H757" s="3"/>
      <c r="I757" s="3"/>
      <c r="J757" s="13"/>
      <c r="K757" s="13"/>
      <c r="L757" s="13"/>
      <c r="M757" s="13"/>
      <c r="N757" s="13"/>
      <c r="O757" s="13"/>
      <c r="P757" s="13"/>
      <c r="Q757" s="13"/>
      <c r="R757" s="13"/>
      <c r="S757" s="421"/>
      <c r="T757" s="421"/>
      <c r="U757" s="421"/>
      <c r="V757" s="421"/>
      <c r="W757" s="421"/>
      <c r="X757" s="421"/>
      <c r="Y757" s="421"/>
      <c r="Z757" s="421"/>
      <c r="AA757" s="421"/>
      <c r="AB757" s="421"/>
      <c r="AC757" s="421"/>
      <c r="AD757" s="421"/>
      <c r="AE757" s="421"/>
      <c r="AF757" s="421"/>
      <c r="AG757" s="421"/>
      <c r="AH757" s="421"/>
      <c r="AI757" s="421"/>
      <c r="AJ757" s="421"/>
      <c r="AK757" s="421"/>
      <c r="AL757" s="421"/>
      <c r="AM757" s="422"/>
      <c r="AN757" s="422"/>
      <c r="AO757" s="422"/>
      <c r="AP757" s="422"/>
      <c r="AQ757" s="422"/>
      <c r="AR757" s="422"/>
      <c r="AS757" s="422"/>
      <c r="AT757" s="422"/>
      <c r="AU757" s="422"/>
      <c r="AV757" s="422"/>
      <c r="AW757" s="422"/>
      <c r="AX757" s="422"/>
      <c r="AY757" s="422"/>
    </row>
    <row r="758" spans="1:51" x14ac:dyDescent="0.25">
      <c r="A758" s="3"/>
      <c r="B758" s="3"/>
      <c r="C758" s="3"/>
      <c r="D758" s="3"/>
      <c r="E758" s="3"/>
      <c r="F758" s="3"/>
      <c r="G758" s="3"/>
      <c r="H758" s="3"/>
      <c r="I758" s="3"/>
      <c r="J758" s="13"/>
      <c r="K758" s="13"/>
      <c r="L758" s="13"/>
      <c r="M758" s="13"/>
      <c r="N758" s="13"/>
      <c r="O758" s="13"/>
      <c r="P758" s="13"/>
      <c r="Q758" s="13"/>
      <c r="R758" s="13"/>
      <c r="S758" s="421"/>
      <c r="T758" s="421"/>
      <c r="U758" s="421"/>
      <c r="V758" s="421"/>
      <c r="W758" s="421"/>
      <c r="X758" s="421"/>
      <c r="Y758" s="421"/>
      <c r="Z758" s="421"/>
      <c r="AA758" s="421"/>
      <c r="AB758" s="421"/>
      <c r="AC758" s="421"/>
      <c r="AD758" s="421"/>
      <c r="AE758" s="421"/>
      <c r="AF758" s="421"/>
      <c r="AG758" s="421"/>
      <c r="AH758" s="421"/>
      <c r="AI758" s="421"/>
      <c r="AJ758" s="421"/>
      <c r="AK758" s="421"/>
      <c r="AL758" s="421"/>
      <c r="AM758" s="422"/>
      <c r="AN758" s="422"/>
      <c r="AO758" s="422"/>
      <c r="AP758" s="422"/>
      <c r="AQ758" s="422"/>
      <c r="AR758" s="422"/>
      <c r="AS758" s="422"/>
      <c r="AT758" s="422"/>
      <c r="AU758" s="422"/>
      <c r="AV758" s="422"/>
      <c r="AW758" s="422"/>
      <c r="AX758" s="422"/>
      <c r="AY758" s="422"/>
    </row>
    <row r="759" spans="1:51" x14ac:dyDescent="0.25">
      <c r="A759" s="3"/>
      <c r="B759" s="3"/>
      <c r="C759" s="3"/>
      <c r="D759" s="3"/>
      <c r="E759" s="3"/>
      <c r="F759" s="3"/>
      <c r="G759" s="3"/>
      <c r="H759" s="3"/>
      <c r="I759" s="3"/>
      <c r="J759" s="13"/>
      <c r="K759" s="13"/>
      <c r="L759" s="13"/>
      <c r="M759" s="13"/>
      <c r="N759" s="13"/>
      <c r="O759" s="13"/>
      <c r="P759" s="13"/>
      <c r="Q759" s="13"/>
      <c r="R759" s="13"/>
      <c r="S759" s="421"/>
      <c r="T759" s="421"/>
      <c r="U759" s="421"/>
      <c r="V759" s="421"/>
      <c r="W759" s="421"/>
      <c r="X759" s="421"/>
      <c r="Y759" s="421"/>
      <c r="Z759" s="421"/>
      <c r="AA759" s="421"/>
      <c r="AB759" s="421"/>
      <c r="AC759" s="421"/>
      <c r="AD759" s="421"/>
      <c r="AE759" s="421"/>
      <c r="AF759" s="421"/>
      <c r="AG759" s="421"/>
      <c r="AH759" s="421"/>
      <c r="AI759" s="421"/>
      <c r="AJ759" s="421"/>
      <c r="AK759" s="421"/>
      <c r="AL759" s="421"/>
      <c r="AM759" s="422"/>
      <c r="AN759" s="422"/>
      <c r="AO759" s="422"/>
      <c r="AP759" s="422"/>
      <c r="AQ759" s="422"/>
      <c r="AR759" s="422"/>
      <c r="AS759" s="422"/>
      <c r="AT759" s="422"/>
      <c r="AU759" s="422"/>
      <c r="AV759" s="422"/>
      <c r="AW759" s="422"/>
      <c r="AX759" s="422"/>
      <c r="AY759" s="422"/>
    </row>
    <row r="760" spans="1:51" x14ac:dyDescent="0.25">
      <c r="A760" s="3"/>
      <c r="B760" s="3"/>
      <c r="C760" s="3"/>
      <c r="D760" s="3"/>
      <c r="E760" s="3"/>
      <c r="F760" s="3"/>
      <c r="G760" s="3"/>
      <c r="H760" s="3"/>
      <c r="I760" s="3"/>
      <c r="J760" s="13"/>
      <c r="K760" s="13"/>
      <c r="L760" s="13"/>
      <c r="M760" s="13"/>
      <c r="N760" s="13"/>
      <c r="O760" s="13"/>
      <c r="P760" s="13"/>
      <c r="Q760" s="13"/>
      <c r="R760" s="13"/>
      <c r="S760" s="421"/>
      <c r="T760" s="421"/>
      <c r="U760" s="421"/>
      <c r="V760" s="421"/>
      <c r="W760" s="421"/>
      <c r="X760" s="421"/>
      <c r="Y760" s="421"/>
      <c r="Z760" s="421"/>
      <c r="AA760" s="421"/>
      <c r="AB760" s="421"/>
      <c r="AC760" s="421"/>
      <c r="AD760" s="421"/>
      <c r="AE760" s="421"/>
      <c r="AF760" s="421"/>
      <c r="AG760" s="421"/>
      <c r="AH760" s="421"/>
      <c r="AI760" s="421"/>
      <c r="AJ760" s="421"/>
      <c r="AK760" s="421"/>
      <c r="AL760" s="421"/>
      <c r="AM760" s="422"/>
      <c r="AN760" s="422"/>
      <c r="AO760" s="422"/>
      <c r="AP760" s="422"/>
      <c r="AQ760" s="422"/>
      <c r="AR760" s="422"/>
      <c r="AS760" s="422"/>
      <c r="AT760" s="422"/>
      <c r="AU760" s="422"/>
      <c r="AV760" s="422"/>
      <c r="AW760" s="422"/>
      <c r="AX760" s="422"/>
      <c r="AY760" s="422"/>
    </row>
    <row r="761" spans="1:51" x14ac:dyDescent="0.25">
      <c r="A761" s="3"/>
      <c r="B761" s="3"/>
      <c r="C761" s="3"/>
      <c r="D761" s="3"/>
      <c r="E761" s="3"/>
      <c r="F761" s="3"/>
      <c r="G761" s="3"/>
      <c r="H761" s="3"/>
      <c r="I761" s="3"/>
      <c r="J761" s="13"/>
      <c r="K761" s="13"/>
      <c r="L761" s="13"/>
      <c r="M761" s="13"/>
      <c r="N761" s="13"/>
      <c r="O761" s="13"/>
      <c r="P761" s="13"/>
      <c r="Q761" s="13"/>
      <c r="R761" s="13"/>
      <c r="S761" s="421"/>
      <c r="T761" s="421"/>
      <c r="U761" s="421"/>
      <c r="V761" s="421"/>
      <c r="W761" s="421"/>
      <c r="X761" s="421"/>
      <c r="Y761" s="421"/>
      <c r="Z761" s="421"/>
      <c r="AA761" s="421"/>
      <c r="AB761" s="421"/>
      <c r="AC761" s="421"/>
      <c r="AD761" s="421"/>
      <c r="AE761" s="421"/>
      <c r="AF761" s="421"/>
      <c r="AG761" s="421"/>
      <c r="AH761" s="421"/>
      <c r="AI761" s="421"/>
      <c r="AJ761" s="421"/>
      <c r="AK761" s="421"/>
      <c r="AL761" s="421"/>
      <c r="AM761" s="422"/>
      <c r="AN761" s="422"/>
      <c r="AO761" s="422"/>
      <c r="AP761" s="422"/>
      <c r="AQ761" s="422"/>
      <c r="AR761" s="422"/>
      <c r="AS761" s="422"/>
      <c r="AT761" s="422"/>
      <c r="AU761" s="422"/>
      <c r="AV761" s="422"/>
      <c r="AW761" s="422"/>
      <c r="AX761" s="422"/>
      <c r="AY761" s="422"/>
    </row>
    <row r="762" spans="1:51" x14ac:dyDescent="0.25">
      <c r="A762" s="3"/>
      <c r="B762" s="3"/>
      <c r="C762" s="3"/>
      <c r="D762" s="3"/>
      <c r="E762" s="3"/>
      <c r="F762" s="3"/>
      <c r="G762" s="3"/>
      <c r="H762" s="3"/>
      <c r="I762" s="3"/>
      <c r="J762" s="13"/>
      <c r="K762" s="13"/>
      <c r="L762" s="13"/>
      <c r="M762" s="13"/>
      <c r="N762" s="13"/>
      <c r="O762" s="13"/>
      <c r="P762" s="13"/>
      <c r="Q762" s="13"/>
      <c r="R762" s="13"/>
      <c r="S762" s="421"/>
      <c r="T762" s="421"/>
      <c r="U762" s="421"/>
      <c r="V762" s="421"/>
      <c r="W762" s="421"/>
      <c r="X762" s="421"/>
      <c r="Y762" s="421"/>
      <c r="Z762" s="421"/>
      <c r="AA762" s="421"/>
      <c r="AB762" s="421"/>
      <c r="AC762" s="421"/>
      <c r="AD762" s="421"/>
      <c r="AE762" s="421"/>
      <c r="AF762" s="421"/>
      <c r="AG762" s="421"/>
      <c r="AH762" s="421"/>
      <c r="AI762" s="421"/>
      <c r="AJ762" s="421"/>
      <c r="AK762" s="421"/>
      <c r="AL762" s="421"/>
      <c r="AM762" s="422"/>
      <c r="AN762" s="422"/>
      <c r="AO762" s="422"/>
      <c r="AP762" s="422"/>
      <c r="AQ762" s="422"/>
      <c r="AR762" s="422"/>
      <c r="AS762" s="422"/>
      <c r="AT762" s="422"/>
      <c r="AU762" s="422"/>
      <c r="AV762" s="422"/>
      <c r="AW762" s="422"/>
      <c r="AX762" s="422"/>
      <c r="AY762" s="422"/>
    </row>
    <row r="763" spans="1:51" x14ac:dyDescent="0.25">
      <c r="A763" s="3"/>
      <c r="B763" s="3"/>
      <c r="C763" s="3"/>
      <c r="D763" s="3"/>
      <c r="E763" s="3"/>
      <c r="F763" s="3"/>
      <c r="G763" s="3"/>
      <c r="H763" s="3"/>
      <c r="I763" s="3"/>
      <c r="J763" s="13"/>
      <c r="K763" s="13"/>
      <c r="L763" s="13"/>
      <c r="M763" s="13"/>
      <c r="N763" s="13"/>
      <c r="O763" s="13"/>
      <c r="P763" s="13"/>
      <c r="Q763" s="13"/>
      <c r="R763" s="13"/>
      <c r="S763" s="421"/>
      <c r="T763" s="421"/>
      <c r="U763" s="421"/>
      <c r="V763" s="421"/>
      <c r="W763" s="421"/>
      <c r="X763" s="421"/>
      <c r="Y763" s="421"/>
      <c r="Z763" s="421"/>
      <c r="AA763" s="421"/>
      <c r="AB763" s="421"/>
      <c r="AC763" s="421"/>
      <c r="AD763" s="421"/>
      <c r="AE763" s="421"/>
      <c r="AF763" s="421"/>
      <c r="AG763" s="421"/>
      <c r="AH763" s="421"/>
      <c r="AI763" s="421"/>
      <c r="AJ763" s="421"/>
      <c r="AK763" s="421"/>
      <c r="AL763" s="421"/>
      <c r="AM763" s="422"/>
      <c r="AN763" s="422"/>
      <c r="AO763" s="422"/>
      <c r="AP763" s="422"/>
      <c r="AQ763" s="422"/>
      <c r="AR763" s="422"/>
      <c r="AS763" s="422"/>
      <c r="AT763" s="422"/>
      <c r="AU763" s="422"/>
      <c r="AV763" s="422"/>
      <c r="AW763" s="422"/>
      <c r="AX763" s="422"/>
      <c r="AY763" s="422"/>
    </row>
    <row r="764" spans="1:51" x14ac:dyDescent="0.25">
      <c r="A764" s="3"/>
      <c r="B764" s="3"/>
      <c r="C764" s="3"/>
      <c r="D764" s="3"/>
      <c r="E764" s="3"/>
      <c r="F764" s="3"/>
      <c r="G764" s="3"/>
      <c r="H764" s="3"/>
      <c r="I764" s="3"/>
      <c r="J764" s="13"/>
      <c r="K764" s="13"/>
      <c r="L764" s="13"/>
      <c r="M764" s="13"/>
      <c r="N764" s="13"/>
      <c r="O764" s="13"/>
      <c r="P764" s="13"/>
      <c r="Q764" s="13"/>
      <c r="R764" s="13"/>
      <c r="S764" s="421"/>
      <c r="T764" s="421"/>
      <c r="U764" s="421"/>
      <c r="V764" s="421"/>
      <c r="W764" s="421"/>
      <c r="X764" s="421"/>
      <c r="Y764" s="421"/>
      <c r="Z764" s="421"/>
      <c r="AA764" s="421"/>
      <c r="AB764" s="421"/>
      <c r="AC764" s="421"/>
      <c r="AD764" s="421"/>
      <c r="AE764" s="421"/>
      <c r="AF764" s="421"/>
      <c r="AG764" s="421"/>
      <c r="AH764" s="421"/>
      <c r="AI764" s="421"/>
      <c r="AJ764" s="421"/>
      <c r="AK764" s="421"/>
      <c r="AL764" s="421"/>
      <c r="AM764" s="422"/>
      <c r="AN764" s="422"/>
      <c r="AO764" s="422"/>
      <c r="AP764" s="422"/>
      <c r="AQ764" s="422"/>
      <c r="AR764" s="422"/>
      <c r="AS764" s="422"/>
      <c r="AT764" s="422"/>
      <c r="AU764" s="422"/>
      <c r="AV764" s="422"/>
      <c r="AW764" s="422"/>
      <c r="AX764" s="422"/>
      <c r="AY764" s="422"/>
    </row>
    <row r="765" spans="1:51" x14ac:dyDescent="0.25">
      <c r="A765" s="3"/>
      <c r="B765" s="3"/>
      <c r="C765" s="3"/>
      <c r="D765" s="3"/>
      <c r="E765" s="3"/>
      <c r="F765" s="3"/>
      <c r="G765" s="3"/>
      <c r="H765" s="3"/>
      <c r="I765" s="3"/>
      <c r="J765" s="13"/>
      <c r="K765" s="13"/>
      <c r="L765" s="13"/>
      <c r="M765" s="13"/>
      <c r="N765" s="13"/>
      <c r="O765" s="13"/>
      <c r="P765" s="13"/>
      <c r="Q765" s="13"/>
      <c r="R765" s="13"/>
      <c r="S765" s="421"/>
      <c r="T765" s="421"/>
      <c r="U765" s="421"/>
      <c r="V765" s="421"/>
      <c r="W765" s="421"/>
      <c r="X765" s="421"/>
      <c r="Y765" s="421"/>
      <c r="Z765" s="421"/>
      <c r="AA765" s="421"/>
      <c r="AB765" s="421"/>
      <c r="AC765" s="421"/>
      <c r="AD765" s="421"/>
      <c r="AE765" s="421"/>
      <c r="AF765" s="421"/>
      <c r="AG765" s="421"/>
      <c r="AH765" s="421"/>
      <c r="AI765" s="421"/>
      <c r="AJ765" s="421"/>
      <c r="AK765" s="421"/>
      <c r="AL765" s="421"/>
      <c r="AM765" s="422"/>
      <c r="AN765" s="422"/>
      <c r="AO765" s="422"/>
      <c r="AP765" s="422"/>
      <c r="AQ765" s="422"/>
      <c r="AR765" s="422"/>
      <c r="AS765" s="422"/>
      <c r="AT765" s="422"/>
      <c r="AU765" s="422"/>
      <c r="AV765" s="422"/>
      <c r="AW765" s="422"/>
      <c r="AX765" s="422"/>
      <c r="AY765" s="422"/>
    </row>
    <row r="766" spans="1:51" x14ac:dyDescent="0.25">
      <c r="A766" s="3"/>
      <c r="B766" s="3"/>
      <c r="C766" s="3"/>
      <c r="D766" s="3"/>
      <c r="E766" s="3"/>
      <c r="F766" s="3"/>
      <c r="G766" s="3"/>
      <c r="H766" s="3"/>
      <c r="I766" s="3"/>
      <c r="J766" s="13"/>
      <c r="K766" s="13"/>
      <c r="L766" s="13"/>
      <c r="M766" s="13"/>
      <c r="N766" s="13"/>
      <c r="O766" s="13"/>
      <c r="P766" s="13"/>
      <c r="Q766" s="13"/>
      <c r="R766" s="13"/>
      <c r="S766" s="421"/>
      <c r="T766" s="421"/>
      <c r="U766" s="421"/>
      <c r="V766" s="421"/>
      <c r="W766" s="421"/>
      <c r="X766" s="421"/>
      <c r="Y766" s="421"/>
      <c r="Z766" s="421"/>
      <c r="AA766" s="421"/>
      <c r="AB766" s="421"/>
      <c r="AC766" s="421"/>
      <c r="AD766" s="421"/>
      <c r="AE766" s="421"/>
      <c r="AF766" s="421"/>
      <c r="AG766" s="421"/>
      <c r="AH766" s="421"/>
      <c r="AI766" s="421"/>
      <c r="AJ766" s="421"/>
      <c r="AK766" s="421"/>
      <c r="AL766" s="421"/>
      <c r="AM766" s="422"/>
      <c r="AN766" s="422"/>
      <c r="AO766" s="422"/>
      <c r="AP766" s="422"/>
      <c r="AQ766" s="422"/>
      <c r="AR766" s="422"/>
      <c r="AS766" s="422"/>
      <c r="AT766" s="422"/>
      <c r="AU766" s="422"/>
      <c r="AV766" s="422"/>
      <c r="AW766" s="422"/>
      <c r="AX766" s="422"/>
      <c r="AY766" s="422"/>
    </row>
    <row r="767" spans="1:51" x14ac:dyDescent="0.25">
      <c r="A767" s="3"/>
      <c r="B767" s="3"/>
      <c r="C767" s="3"/>
      <c r="D767" s="3"/>
      <c r="E767" s="3"/>
      <c r="F767" s="3"/>
      <c r="G767" s="3"/>
      <c r="H767" s="3"/>
      <c r="I767" s="3"/>
      <c r="J767" s="13"/>
      <c r="K767" s="13"/>
      <c r="L767" s="13"/>
      <c r="M767" s="13"/>
      <c r="N767" s="13"/>
      <c r="O767" s="13"/>
      <c r="P767" s="13"/>
      <c r="Q767" s="13"/>
      <c r="R767" s="13"/>
      <c r="S767" s="421"/>
      <c r="T767" s="421"/>
      <c r="U767" s="421"/>
      <c r="V767" s="421"/>
      <c r="W767" s="421"/>
      <c r="X767" s="421"/>
      <c r="Y767" s="421"/>
      <c r="Z767" s="421"/>
      <c r="AA767" s="421"/>
      <c r="AB767" s="421"/>
      <c r="AC767" s="421"/>
      <c r="AD767" s="421"/>
      <c r="AE767" s="421"/>
      <c r="AF767" s="421"/>
      <c r="AG767" s="421"/>
      <c r="AH767" s="421"/>
      <c r="AI767" s="421"/>
      <c r="AJ767" s="421"/>
      <c r="AK767" s="421"/>
      <c r="AL767" s="421"/>
      <c r="AM767" s="422"/>
      <c r="AN767" s="422"/>
      <c r="AO767" s="422"/>
      <c r="AP767" s="422"/>
      <c r="AQ767" s="422"/>
      <c r="AR767" s="422"/>
      <c r="AS767" s="422"/>
      <c r="AT767" s="422"/>
      <c r="AU767" s="422"/>
      <c r="AV767" s="422"/>
      <c r="AW767" s="422"/>
      <c r="AX767" s="422"/>
      <c r="AY767" s="422"/>
    </row>
    <row r="768" spans="1:51" x14ac:dyDescent="0.25">
      <c r="A768" s="3"/>
      <c r="B768" s="3"/>
      <c r="C768" s="3"/>
      <c r="D768" s="3"/>
      <c r="E768" s="3"/>
      <c r="F768" s="3"/>
      <c r="G768" s="3"/>
      <c r="H768" s="3"/>
      <c r="I768" s="3"/>
      <c r="J768" s="13"/>
      <c r="K768" s="13"/>
      <c r="L768" s="13"/>
      <c r="M768" s="13"/>
      <c r="N768" s="13"/>
      <c r="O768" s="13"/>
      <c r="P768" s="13"/>
      <c r="Q768" s="13"/>
      <c r="R768" s="13"/>
      <c r="S768" s="421"/>
      <c r="T768" s="421"/>
      <c r="U768" s="421"/>
      <c r="V768" s="421"/>
      <c r="W768" s="421"/>
      <c r="X768" s="421"/>
      <c r="Y768" s="421"/>
      <c r="Z768" s="421"/>
      <c r="AA768" s="421"/>
      <c r="AB768" s="421"/>
      <c r="AC768" s="421"/>
      <c r="AD768" s="421"/>
      <c r="AE768" s="421"/>
      <c r="AF768" s="421"/>
      <c r="AG768" s="421"/>
      <c r="AH768" s="421"/>
      <c r="AI768" s="421"/>
      <c r="AJ768" s="421"/>
      <c r="AK768" s="421"/>
      <c r="AL768" s="421"/>
      <c r="AM768" s="422"/>
      <c r="AN768" s="422"/>
      <c r="AO768" s="422"/>
      <c r="AP768" s="422"/>
      <c r="AQ768" s="422"/>
      <c r="AR768" s="422"/>
      <c r="AS768" s="422"/>
      <c r="AT768" s="422"/>
      <c r="AU768" s="422"/>
      <c r="AV768" s="422"/>
      <c r="AW768" s="422"/>
      <c r="AX768" s="422"/>
      <c r="AY768" s="422"/>
    </row>
    <row r="769" spans="1:51" x14ac:dyDescent="0.25">
      <c r="A769" s="3"/>
      <c r="B769" s="3"/>
      <c r="C769" s="3"/>
      <c r="D769" s="3"/>
      <c r="E769" s="3"/>
      <c r="F769" s="3"/>
      <c r="G769" s="3"/>
      <c r="H769" s="3"/>
      <c r="I769" s="3"/>
      <c r="J769" s="13"/>
      <c r="K769" s="13"/>
      <c r="L769" s="13"/>
      <c r="M769" s="13"/>
      <c r="N769" s="13"/>
      <c r="O769" s="13"/>
      <c r="P769" s="13"/>
      <c r="Q769" s="13"/>
      <c r="R769" s="13"/>
      <c r="S769" s="421"/>
      <c r="T769" s="421"/>
      <c r="U769" s="421"/>
      <c r="V769" s="421"/>
      <c r="W769" s="421"/>
      <c r="X769" s="421"/>
      <c r="Y769" s="421"/>
      <c r="Z769" s="421"/>
      <c r="AA769" s="421"/>
      <c r="AB769" s="421"/>
      <c r="AC769" s="421"/>
      <c r="AD769" s="421"/>
      <c r="AE769" s="421"/>
      <c r="AF769" s="421"/>
      <c r="AG769" s="421"/>
      <c r="AH769" s="421"/>
      <c r="AI769" s="421"/>
      <c r="AJ769" s="421"/>
      <c r="AK769" s="421"/>
      <c r="AL769" s="421"/>
      <c r="AM769" s="422"/>
      <c r="AN769" s="422"/>
      <c r="AO769" s="422"/>
      <c r="AP769" s="422"/>
      <c r="AQ769" s="422"/>
      <c r="AR769" s="422"/>
      <c r="AS769" s="422"/>
      <c r="AT769" s="422"/>
      <c r="AU769" s="422"/>
      <c r="AV769" s="422"/>
      <c r="AW769" s="422"/>
      <c r="AX769" s="422"/>
      <c r="AY769" s="422"/>
    </row>
    <row r="770" spans="1:51" x14ac:dyDescent="0.25">
      <c r="A770" s="3"/>
      <c r="B770" s="3"/>
      <c r="C770" s="3"/>
      <c r="D770" s="3"/>
      <c r="E770" s="3"/>
      <c r="F770" s="3"/>
      <c r="G770" s="3"/>
      <c r="H770" s="3"/>
      <c r="I770" s="3"/>
      <c r="J770" s="13"/>
      <c r="K770" s="13"/>
      <c r="L770" s="13"/>
      <c r="M770" s="13"/>
      <c r="N770" s="13"/>
      <c r="O770" s="13"/>
      <c r="P770" s="13"/>
      <c r="Q770" s="13"/>
      <c r="R770" s="13"/>
      <c r="S770" s="421"/>
      <c r="T770" s="421"/>
      <c r="U770" s="421"/>
      <c r="V770" s="421"/>
      <c r="W770" s="421"/>
      <c r="X770" s="421"/>
      <c r="Y770" s="421"/>
      <c r="Z770" s="421"/>
      <c r="AA770" s="421"/>
      <c r="AB770" s="421"/>
      <c r="AC770" s="421"/>
      <c r="AD770" s="421"/>
      <c r="AE770" s="421"/>
      <c r="AF770" s="421"/>
      <c r="AG770" s="421"/>
      <c r="AH770" s="421"/>
      <c r="AI770" s="421"/>
      <c r="AJ770" s="421"/>
      <c r="AK770" s="421"/>
      <c r="AL770" s="421"/>
      <c r="AM770" s="422"/>
      <c r="AN770" s="422"/>
      <c r="AO770" s="422"/>
      <c r="AP770" s="422"/>
      <c r="AQ770" s="422"/>
      <c r="AR770" s="422"/>
      <c r="AS770" s="422"/>
      <c r="AT770" s="422"/>
      <c r="AU770" s="422"/>
      <c r="AV770" s="422"/>
      <c r="AW770" s="422"/>
      <c r="AX770" s="422"/>
      <c r="AY770" s="422"/>
    </row>
    <row r="771" spans="1:51" x14ac:dyDescent="0.25">
      <c r="A771" s="3"/>
      <c r="B771" s="3"/>
      <c r="C771" s="3"/>
      <c r="D771" s="3"/>
      <c r="E771" s="3"/>
      <c r="F771" s="3"/>
      <c r="G771" s="3"/>
      <c r="H771" s="3"/>
      <c r="I771" s="3"/>
      <c r="J771" s="13"/>
      <c r="K771" s="13"/>
      <c r="L771" s="13"/>
      <c r="M771" s="13"/>
      <c r="N771" s="13"/>
      <c r="O771" s="13"/>
      <c r="P771" s="13"/>
      <c r="Q771" s="13"/>
      <c r="R771" s="13"/>
      <c r="S771" s="421"/>
      <c r="T771" s="421"/>
      <c r="U771" s="421"/>
      <c r="V771" s="421"/>
      <c r="W771" s="421"/>
      <c r="X771" s="421"/>
      <c r="Y771" s="421"/>
      <c r="Z771" s="421"/>
      <c r="AA771" s="421"/>
      <c r="AB771" s="421"/>
      <c r="AC771" s="421"/>
      <c r="AD771" s="421"/>
      <c r="AE771" s="421"/>
      <c r="AF771" s="421"/>
      <c r="AG771" s="421"/>
      <c r="AH771" s="421"/>
      <c r="AI771" s="421"/>
      <c r="AJ771" s="421"/>
      <c r="AK771" s="421"/>
      <c r="AL771" s="421"/>
      <c r="AM771" s="422"/>
      <c r="AN771" s="422"/>
      <c r="AO771" s="422"/>
      <c r="AP771" s="422"/>
      <c r="AQ771" s="422"/>
      <c r="AR771" s="422"/>
      <c r="AS771" s="422"/>
      <c r="AT771" s="422"/>
      <c r="AU771" s="422"/>
      <c r="AV771" s="422"/>
      <c r="AW771" s="422"/>
      <c r="AX771" s="422"/>
      <c r="AY771" s="422"/>
    </row>
    <row r="772" spans="1:51" x14ac:dyDescent="0.25">
      <c r="A772" s="3"/>
      <c r="B772" s="3"/>
      <c r="C772" s="3"/>
      <c r="D772" s="3"/>
      <c r="E772" s="3"/>
      <c r="F772" s="3"/>
      <c r="G772" s="3"/>
      <c r="H772" s="3"/>
      <c r="I772" s="3"/>
      <c r="J772" s="13"/>
      <c r="K772" s="13"/>
      <c r="L772" s="13"/>
      <c r="M772" s="13"/>
      <c r="N772" s="13"/>
      <c r="O772" s="13"/>
      <c r="P772" s="13"/>
      <c r="Q772" s="13"/>
      <c r="R772" s="13"/>
      <c r="S772" s="421"/>
      <c r="T772" s="421"/>
      <c r="U772" s="421"/>
      <c r="V772" s="421"/>
      <c r="W772" s="421"/>
      <c r="X772" s="421"/>
      <c r="Y772" s="421"/>
      <c r="Z772" s="421"/>
      <c r="AA772" s="421"/>
      <c r="AB772" s="421"/>
      <c r="AC772" s="421"/>
      <c r="AD772" s="421"/>
      <c r="AE772" s="421"/>
      <c r="AF772" s="421"/>
      <c r="AG772" s="421"/>
      <c r="AH772" s="421"/>
      <c r="AI772" s="421"/>
      <c r="AJ772" s="421"/>
      <c r="AK772" s="421"/>
      <c r="AL772" s="421"/>
      <c r="AM772" s="422"/>
      <c r="AN772" s="422"/>
      <c r="AO772" s="422"/>
      <c r="AP772" s="422"/>
      <c r="AQ772" s="422"/>
      <c r="AR772" s="422"/>
      <c r="AS772" s="422"/>
      <c r="AT772" s="422"/>
      <c r="AU772" s="422"/>
      <c r="AV772" s="422"/>
      <c r="AW772" s="422"/>
      <c r="AX772" s="422"/>
      <c r="AY772" s="422"/>
    </row>
    <row r="773" spans="1:51" x14ac:dyDescent="0.25">
      <c r="A773" s="3"/>
      <c r="B773" s="3"/>
      <c r="C773" s="3"/>
      <c r="D773" s="3"/>
      <c r="E773" s="3"/>
      <c r="F773" s="3"/>
      <c r="G773" s="3"/>
      <c r="H773" s="3"/>
      <c r="I773" s="3"/>
      <c r="J773" s="13"/>
      <c r="K773" s="13"/>
      <c r="L773" s="13"/>
      <c r="M773" s="13"/>
      <c r="N773" s="13"/>
      <c r="O773" s="13"/>
      <c r="P773" s="13"/>
      <c r="Q773" s="13"/>
      <c r="R773" s="13"/>
      <c r="S773" s="421"/>
      <c r="T773" s="421"/>
      <c r="U773" s="421"/>
      <c r="V773" s="421"/>
      <c r="W773" s="421"/>
      <c r="X773" s="421"/>
      <c r="Y773" s="421"/>
      <c r="Z773" s="421"/>
      <c r="AA773" s="421"/>
      <c r="AB773" s="421"/>
      <c r="AC773" s="421"/>
      <c r="AD773" s="421"/>
      <c r="AE773" s="421"/>
      <c r="AF773" s="421"/>
      <c r="AG773" s="421"/>
      <c r="AH773" s="421"/>
      <c r="AI773" s="421"/>
      <c r="AJ773" s="421"/>
      <c r="AK773" s="421"/>
      <c r="AL773" s="421"/>
      <c r="AM773" s="422"/>
      <c r="AN773" s="422"/>
      <c r="AO773" s="422"/>
      <c r="AP773" s="422"/>
      <c r="AQ773" s="422"/>
      <c r="AR773" s="422"/>
      <c r="AS773" s="422"/>
      <c r="AT773" s="422"/>
      <c r="AU773" s="422"/>
      <c r="AV773" s="422"/>
      <c r="AW773" s="422"/>
      <c r="AX773" s="422"/>
      <c r="AY773" s="422"/>
    </row>
    <row r="774" spans="1:51" x14ac:dyDescent="0.25">
      <c r="A774" s="3"/>
      <c r="B774" s="3"/>
      <c r="C774" s="3"/>
      <c r="D774" s="3"/>
      <c r="E774" s="3"/>
      <c r="F774" s="3"/>
      <c r="G774" s="3"/>
      <c r="H774" s="3"/>
      <c r="I774" s="3"/>
      <c r="J774" s="13"/>
      <c r="K774" s="13"/>
      <c r="L774" s="13"/>
      <c r="M774" s="13"/>
      <c r="N774" s="13"/>
      <c r="O774" s="13"/>
      <c r="P774" s="13"/>
      <c r="Q774" s="13"/>
      <c r="R774" s="13"/>
      <c r="S774" s="421"/>
      <c r="T774" s="421"/>
      <c r="U774" s="421"/>
      <c r="V774" s="421"/>
      <c r="W774" s="421"/>
      <c r="X774" s="421"/>
      <c r="Y774" s="421"/>
      <c r="Z774" s="421"/>
      <c r="AA774" s="421"/>
      <c r="AB774" s="421"/>
      <c r="AC774" s="421"/>
      <c r="AD774" s="421"/>
      <c r="AE774" s="421"/>
      <c r="AF774" s="421"/>
      <c r="AG774" s="421"/>
      <c r="AH774" s="421"/>
      <c r="AI774" s="421"/>
      <c r="AJ774" s="421"/>
      <c r="AK774" s="421"/>
      <c r="AL774" s="421"/>
      <c r="AM774" s="422"/>
      <c r="AN774" s="422"/>
      <c r="AO774" s="422"/>
      <c r="AP774" s="422"/>
      <c r="AQ774" s="422"/>
      <c r="AR774" s="422"/>
      <c r="AS774" s="422"/>
      <c r="AT774" s="422"/>
      <c r="AU774" s="422"/>
      <c r="AV774" s="422"/>
      <c r="AW774" s="422"/>
      <c r="AX774" s="422"/>
      <c r="AY774" s="422"/>
    </row>
    <row r="775" spans="1:51" x14ac:dyDescent="0.25">
      <c r="A775" s="3"/>
      <c r="B775" s="3"/>
      <c r="C775" s="3"/>
      <c r="D775" s="3"/>
      <c r="E775" s="3"/>
      <c r="F775" s="3"/>
      <c r="G775" s="3"/>
      <c r="H775" s="3"/>
      <c r="I775" s="3"/>
      <c r="J775" s="13"/>
      <c r="K775" s="13"/>
      <c r="L775" s="13"/>
      <c r="M775" s="13"/>
      <c r="N775" s="13"/>
      <c r="O775" s="13"/>
      <c r="P775" s="13"/>
      <c r="Q775" s="13"/>
      <c r="R775" s="13"/>
      <c r="S775" s="421"/>
      <c r="T775" s="421"/>
      <c r="U775" s="421"/>
      <c r="V775" s="421"/>
      <c r="W775" s="421"/>
      <c r="X775" s="421"/>
      <c r="Y775" s="421"/>
      <c r="Z775" s="421"/>
      <c r="AA775" s="421"/>
      <c r="AB775" s="421"/>
      <c r="AC775" s="421"/>
      <c r="AD775" s="421"/>
      <c r="AE775" s="421"/>
      <c r="AF775" s="421"/>
      <c r="AG775" s="421"/>
      <c r="AH775" s="421"/>
      <c r="AI775" s="421"/>
      <c r="AJ775" s="421"/>
      <c r="AK775" s="421"/>
      <c r="AL775" s="421"/>
      <c r="AM775" s="422"/>
      <c r="AN775" s="422"/>
      <c r="AO775" s="422"/>
      <c r="AP775" s="422"/>
      <c r="AQ775" s="422"/>
      <c r="AR775" s="422"/>
      <c r="AS775" s="422"/>
      <c r="AT775" s="422"/>
      <c r="AU775" s="422"/>
      <c r="AV775" s="422"/>
      <c r="AW775" s="422"/>
      <c r="AX775" s="422"/>
      <c r="AY775" s="422"/>
    </row>
    <row r="776" spans="1:51" x14ac:dyDescent="0.25">
      <c r="A776" s="3"/>
      <c r="B776" s="3"/>
      <c r="C776" s="3"/>
      <c r="D776" s="3"/>
      <c r="E776" s="3"/>
      <c r="F776" s="3"/>
      <c r="G776" s="3"/>
      <c r="H776" s="3"/>
      <c r="I776" s="3"/>
      <c r="J776" s="13"/>
      <c r="K776" s="13"/>
      <c r="L776" s="13"/>
      <c r="M776" s="13"/>
      <c r="N776" s="13"/>
      <c r="O776" s="13"/>
      <c r="P776" s="13"/>
      <c r="Q776" s="13"/>
      <c r="R776" s="13"/>
      <c r="S776" s="421"/>
      <c r="T776" s="421"/>
      <c r="U776" s="421"/>
      <c r="V776" s="421"/>
      <c r="W776" s="421"/>
      <c r="X776" s="421"/>
      <c r="Y776" s="421"/>
      <c r="Z776" s="421"/>
      <c r="AA776" s="421"/>
      <c r="AB776" s="421"/>
      <c r="AC776" s="421"/>
      <c r="AD776" s="421"/>
      <c r="AE776" s="421"/>
      <c r="AF776" s="421"/>
      <c r="AG776" s="421"/>
      <c r="AH776" s="421"/>
      <c r="AI776" s="421"/>
      <c r="AJ776" s="421"/>
      <c r="AK776" s="421"/>
      <c r="AL776" s="421"/>
      <c r="AM776" s="422"/>
      <c r="AN776" s="422"/>
      <c r="AO776" s="422"/>
      <c r="AP776" s="422"/>
      <c r="AQ776" s="422"/>
      <c r="AR776" s="422"/>
      <c r="AS776" s="422"/>
      <c r="AT776" s="422"/>
      <c r="AU776" s="422"/>
      <c r="AV776" s="422"/>
      <c r="AW776" s="422"/>
      <c r="AX776" s="422"/>
      <c r="AY776" s="422"/>
    </row>
    <row r="777" spans="1:51" x14ac:dyDescent="0.25">
      <c r="A777" s="3"/>
      <c r="B777" s="3"/>
      <c r="C777" s="3"/>
      <c r="D777" s="3"/>
      <c r="E777" s="3"/>
      <c r="F777" s="3"/>
      <c r="G777" s="3"/>
      <c r="H777" s="3"/>
      <c r="I777" s="3"/>
      <c r="J777" s="13"/>
      <c r="K777" s="13"/>
      <c r="L777" s="13"/>
      <c r="M777" s="13"/>
      <c r="N777" s="13"/>
      <c r="O777" s="13"/>
      <c r="P777" s="13"/>
      <c r="Q777" s="13"/>
      <c r="R777" s="13"/>
      <c r="S777" s="421"/>
      <c r="T777" s="421"/>
      <c r="U777" s="421"/>
      <c r="V777" s="421"/>
      <c r="W777" s="421"/>
      <c r="X777" s="421"/>
      <c r="Y777" s="421"/>
      <c r="Z777" s="421"/>
      <c r="AA777" s="421"/>
      <c r="AB777" s="421"/>
      <c r="AC777" s="421"/>
      <c r="AD777" s="421"/>
      <c r="AE777" s="421"/>
      <c r="AF777" s="421"/>
      <c r="AG777" s="421"/>
      <c r="AH777" s="421"/>
      <c r="AI777" s="421"/>
      <c r="AJ777" s="421"/>
      <c r="AK777" s="421"/>
      <c r="AL777" s="421"/>
      <c r="AM777" s="422"/>
      <c r="AN777" s="422"/>
      <c r="AO777" s="422"/>
      <c r="AP777" s="422"/>
      <c r="AQ777" s="422"/>
      <c r="AR777" s="422"/>
      <c r="AS777" s="422"/>
      <c r="AT777" s="422"/>
      <c r="AU777" s="422"/>
      <c r="AV777" s="422"/>
      <c r="AW777" s="422"/>
      <c r="AX777" s="422"/>
      <c r="AY777" s="422"/>
    </row>
    <row r="778" spans="1:51" x14ac:dyDescent="0.25">
      <c r="A778" s="3"/>
      <c r="B778" s="3"/>
      <c r="C778" s="3"/>
      <c r="D778" s="3"/>
      <c r="E778" s="3"/>
      <c r="F778" s="3"/>
      <c r="G778" s="3"/>
      <c r="H778" s="3"/>
      <c r="I778" s="3"/>
      <c r="J778" s="13"/>
      <c r="K778" s="13"/>
      <c r="L778" s="13"/>
      <c r="M778" s="13"/>
      <c r="N778" s="13"/>
      <c r="O778" s="13"/>
      <c r="P778" s="13"/>
      <c r="Q778" s="13"/>
      <c r="R778" s="13"/>
      <c r="S778" s="421"/>
      <c r="T778" s="421"/>
      <c r="U778" s="421"/>
      <c r="V778" s="421"/>
      <c r="W778" s="421"/>
      <c r="X778" s="421"/>
      <c r="Y778" s="421"/>
      <c r="Z778" s="421"/>
      <c r="AA778" s="421"/>
      <c r="AB778" s="421"/>
      <c r="AC778" s="421"/>
      <c r="AD778" s="421"/>
      <c r="AE778" s="421"/>
      <c r="AF778" s="421"/>
      <c r="AG778" s="421"/>
      <c r="AH778" s="421"/>
      <c r="AI778" s="421"/>
      <c r="AJ778" s="421"/>
      <c r="AK778" s="421"/>
      <c r="AL778" s="421"/>
      <c r="AM778" s="422"/>
      <c r="AN778" s="422"/>
      <c r="AO778" s="422"/>
      <c r="AP778" s="422"/>
      <c r="AQ778" s="422"/>
      <c r="AR778" s="422"/>
      <c r="AS778" s="422"/>
      <c r="AT778" s="422"/>
      <c r="AU778" s="422"/>
      <c r="AV778" s="422"/>
      <c r="AW778" s="422"/>
      <c r="AX778" s="422"/>
      <c r="AY778" s="422"/>
    </row>
    <row r="779" spans="1:51" x14ac:dyDescent="0.25">
      <c r="A779" s="3"/>
      <c r="B779" s="3"/>
      <c r="C779" s="3"/>
      <c r="D779" s="3"/>
      <c r="E779" s="3"/>
      <c r="F779" s="3"/>
      <c r="G779" s="3"/>
      <c r="H779" s="3"/>
      <c r="I779" s="3"/>
      <c r="J779" s="13"/>
      <c r="K779" s="13"/>
      <c r="L779" s="13"/>
      <c r="M779" s="13"/>
      <c r="N779" s="13"/>
      <c r="O779" s="13"/>
      <c r="P779" s="13"/>
      <c r="Q779" s="13"/>
      <c r="R779" s="13"/>
      <c r="S779" s="421"/>
      <c r="T779" s="421"/>
      <c r="U779" s="421"/>
      <c r="V779" s="421"/>
      <c r="W779" s="421"/>
      <c r="X779" s="421"/>
      <c r="Y779" s="421"/>
      <c r="Z779" s="421"/>
      <c r="AA779" s="421"/>
      <c r="AB779" s="421"/>
      <c r="AC779" s="421"/>
      <c r="AD779" s="421"/>
      <c r="AE779" s="421"/>
      <c r="AF779" s="421"/>
      <c r="AG779" s="421"/>
      <c r="AH779" s="421"/>
      <c r="AI779" s="421"/>
      <c r="AJ779" s="421"/>
      <c r="AK779" s="421"/>
      <c r="AL779" s="421"/>
      <c r="AM779" s="422"/>
      <c r="AN779" s="422"/>
      <c r="AO779" s="422"/>
      <c r="AP779" s="422"/>
      <c r="AQ779" s="422"/>
      <c r="AR779" s="422"/>
      <c r="AS779" s="422"/>
      <c r="AT779" s="422"/>
      <c r="AU779" s="422"/>
      <c r="AV779" s="422"/>
      <c r="AW779" s="422"/>
      <c r="AX779" s="422"/>
      <c r="AY779" s="422"/>
    </row>
    <row r="780" spans="1:51" x14ac:dyDescent="0.25">
      <c r="A780" s="3"/>
      <c r="B780" s="3"/>
      <c r="C780" s="3"/>
      <c r="D780" s="3"/>
      <c r="E780" s="3"/>
      <c r="F780" s="3"/>
      <c r="G780" s="3"/>
      <c r="H780" s="3"/>
      <c r="I780" s="3"/>
      <c r="J780" s="13"/>
      <c r="K780" s="13"/>
      <c r="L780" s="13"/>
      <c r="M780" s="13"/>
      <c r="N780" s="13"/>
      <c r="O780" s="13"/>
      <c r="P780" s="13"/>
      <c r="Q780" s="13"/>
      <c r="R780" s="13"/>
      <c r="S780" s="421"/>
      <c r="T780" s="421"/>
      <c r="U780" s="421"/>
      <c r="V780" s="421"/>
      <c r="W780" s="421"/>
      <c r="X780" s="421"/>
      <c r="Y780" s="421"/>
      <c r="Z780" s="421"/>
      <c r="AA780" s="421"/>
      <c r="AB780" s="421"/>
      <c r="AC780" s="421"/>
      <c r="AD780" s="421"/>
      <c r="AE780" s="421"/>
      <c r="AF780" s="421"/>
      <c r="AG780" s="421"/>
      <c r="AH780" s="421"/>
      <c r="AI780" s="421"/>
      <c r="AJ780" s="421"/>
      <c r="AK780" s="421"/>
      <c r="AL780" s="421"/>
      <c r="AM780" s="422"/>
      <c r="AN780" s="422"/>
      <c r="AO780" s="422"/>
      <c r="AP780" s="422"/>
      <c r="AQ780" s="422"/>
      <c r="AR780" s="422"/>
      <c r="AS780" s="422"/>
      <c r="AT780" s="422"/>
      <c r="AU780" s="422"/>
      <c r="AV780" s="422"/>
      <c r="AW780" s="422"/>
      <c r="AX780" s="422"/>
      <c r="AY780" s="422"/>
    </row>
    <row r="781" spans="1:51" x14ac:dyDescent="0.25">
      <c r="A781" s="3"/>
      <c r="B781" s="3"/>
      <c r="C781" s="3"/>
      <c r="D781" s="3"/>
      <c r="E781" s="3"/>
      <c r="F781" s="3"/>
      <c r="G781" s="3"/>
      <c r="H781" s="3"/>
      <c r="I781" s="3"/>
      <c r="J781" s="13"/>
      <c r="K781" s="13"/>
      <c r="L781" s="13"/>
      <c r="M781" s="13"/>
      <c r="N781" s="13"/>
      <c r="O781" s="13"/>
      <c r="P781" s="13"/>
      <c r="Q781" s="13"/>
      <c r="R781" s="13"/>
      <c r="S781" s="421"/>
      <c r="T781" s="421"/>
      <c r="U781" s="421"/>
      <c r="V781" s="421"/>
      <c r="W781" s="421"/>
      <c r="X781" s="421"/>
      <c r="Y781" s="421"/>
      <c r="Z781" s="421"/>
      <c r="AA781" s="421"/>
      <c r="AB781" s="421"/>
      <c r="AC781" s="421"/>
      <c r="AD781" s="421"/>
      <c r="AE781" s="421"/>
      <c r="AF781" s="421"/>
      <c r="AG781" s="421"/>
      <c r="AH781" s="421"/>
      <c r="AI781" s="421"/>
      <c r="AJ781" s="421"/>
      <c r="AK781" s="421"/>
      <c r="AL781" s="421"/>
      <c r="AM781" s="422"/>
      <c r="AN781" s="422"/>
      <c r="AO781" s="422"/>
      <c r="AP781" s="422"/>
      <c r="AQ781" s="422"/>
      <c r="AR781" s="422"/>
      <c r="AS781" s="422"/>
      <c r="AT781" s="422"/>
      <c r="AU781" s="422"/>
      <c r="AV781" s="422"/>
      <c r="AW781" s="422"/>
      <c r="AX781" s="422"/>
      <c r="AY781" s="422"/>
    </row>
    <row r="782" spans="1:51" x14ac:dyDescent="0.25">
      <c r="A782" s="3"/>
      <c r="B782" s="3"/>
      <c r="C782" s="3"/>
      <c r="D782" s="3"/>
      <c r="E782" s="3"/>
      <c r="F782" s="3"/>
      <c r="G782" s="3"/>
      <c r="H782" s="3"/>
      <c r="I782" s="3"/>
      <c r="J782" s="13"/>
      <c r="K782" s="13"/>
      <c r="L782" s="13"/>
      <c r="M782" s="13"/>
      <c r="N782" s="13"/>
      <c r="O782" s="13"/>
      <c r="P782" s="13"/>
      <c r="Q782" s="13"/>
      <c r="R782" s="13"/>
      <c r="S782" s="421"/>
      <c r="T782" s="421"/>
      <c r="U782" s="421"/>
      <c r="V782" s="421"/>
      <c r="W782" s="421"/>
      <c r="X782" s="421"/>
      <c r="Y782" s="421"/>
      <c r="Z782" s="421"/>
      <c r="AA782" s="421"/>
      <c r="AB782" s="421"/>
      <c r="AC782" s="421"/>
      <c r="AD782" s="421"/>
      <c r="AE782" s="421"/>
      <c r="AF782" s="421"/>
      <c r="AG782" s="421"/>
      <c r="AH782" s="421"/>
      <c r="AI782" s="421"/>
      <c r="AJ782" s="421"/>
      <c r="AK782" s="421"/>
      <c r="AL782" s="421"/>
      <c r="AM782" s="422"/>
      <c r="AN782" s="422"/>
      <c r="AO782" s="422"/>
      <c r="AP782" s="422"/>
      <c r="AQ782" s="422"/>
      <c r="AR782" s="422"/>
      <c r="AS782" s="422"/>
      <c r="AT782" s="422"/>
      <c r="AU782" s="422"/>
      <c r="AV782" s="422"/>
      <c r="AW782" s="422"/>
      <c r="AX782" s="422"/>
      <c r="AY782" s="422"/>
    </row>
    <row r="783" spans="1:51" x14ac:dyDescent="0.25">
      <c r="A783" s="3"/>
      <c r="B783" s="3"/>
      <c r="C783" s="3"/>
      <c r="D783" s="3"/>
      <c r="E783" s="3"/>
      <c r="F783" s="3"/>
      <c r="G783" s="3"/>
      <c r="H783" s="3"/>
      <c r="I783" s="3"/>
      <c r="J783" s="13"/>
      <c r="K783" s="13"/>
      <c r="L783" s="13"/>
      <c r="M783" s="13"/>
      <c r="N783" s="13"/>
      <c r="O783" s="13"/>
      <c r="P783" s="13"/>
      <c r="Q783" s="13"/>
      <c r="R783" s="13"/>
      <c r="S783" s="421"/>
      <c r="T783" s="421"/>
      <c r="U783" s="421"/>
      <c r="V783" s="421"/>
      <c r="W783" s="421"/>
      <c r="X783" s="421"/>
      <c r="Y783" s="421"/>
      <c r="Z783" s="421"/>
      <c r="AA783" s="421"/>
      <c r="AB783" s="421"/>
      <c r="AC783" s="421"/>
      <c r="AD783" s="421"/>
      <c r="AE783" s="421"/>
      <c r="AF783" s="421"/>
      <c r="AG783" s="421"/>
      <c r="AH783" s="421"/>
      <c r="AI783" s="421"/>
      <c r="AJ783" s="421"/>
      <c r="AK783" s="421"/>
      <c r="AL783" s="421"/>
      <c r="AM783" s="422"/>
      <c r="AN783" s="422"/>
      <c r="AO783" s="422"/>
      <c r="AP783" s="422"/>
      <c r="AQ783" s="422"/>
      <c r="AR783" s="422"/>
      <c r="AS783" s="422"/>
      <c r="AT783" s="422"/>
      <c r="AU783" s="422"/>
      <c r="AV783" s="422"/>
      <c r="AW783" s="422"/>
      <c r="AX783" s="422"/>
      <c r="AY783" s="422"/>
    </row>
    <row r="784" spans="1:51" x14ac:dyDescent="0.25">
      <c r="A784" s="3"/>
      <c r="B784" s="3"/>
      <c r="C784" s="3"/>
      <c r="D784" s="3"/>
      <c r="E784" s="3"/>
      <c r="F784" s="3"/>
      <c r="G784" s="3"/>
      <c r="H784" s="3"/>
      <c r="I784" s="3"/>
      <c r="J784" s="13"/>
      <c r="K784" s="13"/>
      <c r="L784" s="13"/>
      <c r="M784" s="13"/>
      <c r="N784" s="13"/>
      <c r="O784" s="13"/>
      <c r="P784" s="13"/>
      <c r="Q784" s="13"/>
      <c r="R784" s="13"/>
      <c r="S784" s="421"/>
      <c r="T784" s="421"/>
      <c r="U784" s="421"/>
      <c r="V784" s="421"/>
      <c r="W784" s="421"/>
      <c r="X784" s="421"/>
      <c r="Y784" s="421"/>
      <c r="Z784" s="421"/>
      <c r="AA784" s="421"/>
      <c r="AB784" s="421"/>
      <c r="AC784" s="421"/>
      <c r="AD784" s="421"/>
      <c r="AE784" s="421"/>
      <c r="AF784" s="421"/>
      <c r="AG784" s="421"/>
      <c r="AH784" s="421"/>
      <c r="AI784" s="421"/>
      <c r="AJ784" s="421"/>
      <c r="AK784" s="421"/>
      <c r="AL784" s="421"/>
      <c r="AM784" s="422"/>
      <c r="AN784" s="422"/>
      <c r="AO784" s="422"/>
      <c r="AP784" s="422"/>
      <c r="AQ784" s="422"/>
      <c r="AR784" s="422"/>
      <c r="AS784" s="422"/>
      <c r="AT784" s="422"/>
      <c r="AU784" s="422"/>
      <c r="AV784" s="422"/>
      <c r="AW784" s="422"/>
      <c r="AX784" s="422"/>
      <c r="AY784" s="422"/>
    </row>
    <row r="785" spans="1:51" x14ac:dyDescent="0.25">
      <c r="A785" s="3"/>
      <c r="B785" s="3"/>
      <c r="C785" s="3"/>
      <c r="D785" s="3"/>
      <c r="E785" s="3"/>
      <c r="F785" s="3"/>
      <c r="G785" s="3"/>
      <c r="H785" s="3"/>
      <c r="I785" s="3"/>
      <c r="J785" s="13"/>
      <c r="K785" s="13"/>
      <c r="L785" s="13"/>
      <c r="M785" s="13"/>
      <c r="N785" s="13"/>
      <c r="O785" s="13"/>
      <c r="P785" s="13"/>
      <c r="Q785" s="13"/>
      <c r="R785" s="13"/>
      <c r="S785" s="421"/>
      <c r="T785" s="421"/>
      <c r="U785" s="421"/>
      <c r="V785" s="421"/>
      <c r="W785" s="421"/>
      <c r="X785" s="421"/>
      <c r="Y785" s="421"/>
      <c r="Z785" s="421"/>
      <c r="AA785" s="421"/>
      <c r="AB785" s="421"/>
      <c r="AC785" s="421"/>
      <c r="AD785" s="421"/>
      <c r="AE785" s="421"/>
      <c r="AF785" s="421"/>
      <c r="AG785" s="421"/>
      <c r="AH785" s="421"/>
      <c r="AI785" s="421"/>
      <c r="AJ785" s="421"/>
      <c r="AK785" s="421"/>
      <c r="AL785" s="421"/>
      <c r="AM785" s="422"/>
      <c r="AN785" s="422"/>
      <c r="AO785" s="422"/>
      <c r="AP785" s="422"/>
      <c r="AQ785" s="422"/>
      <c r="AR785" s="422"/>
      <c r="AS785" s="422"/>
      <c r="AT785" s="422"/>
      <c r="AU785" s="422"/>
      <c r="AV785" s="422"/>
      <c r="AW785" s="422"/>
      <c r="AX785" s="422"/>
      <c r="AY785" s="422"/>
    </row>
    <row r="786" spans="1:51" x14ac:dyDescent="0.25">
      <c r="A786" s="3"/>
      <c r="B786" s="3"/>
      <c r="C786" s="3"/>
      <c r="D786" s="3"/>
      <c r="E786" s="3"/>
      <c r="F786" s="3"/>
      <c r="G786" s="3"/>
      <c r="H786" s="3"/>
      <c r="I786" s="3"/>
      <c r="J786" s="13"/>
      <c r="K786" s="13"/>
      <c r="L786" s="13"/>
      <c r="M786" s="13"/>
      <c r="N786" s="13"/>
      <c r="O786" s="13"/>
      <c r="P786" s="13"/>
      <c r="Q786" s="13"/>
      <c r="R786" s="13"/>
      <c r="S786" s="421"/>
      <c r="T786" s="421"/>
      <c r="U786" s="421"/>
      <c r="V786" s="421"/>
      <c r="W786" s="421"/>
      <c r="X786" s="421"/>
      <c r="Y786" s="421"/>
      <c r="Z786" s="421"/>
      <c r="AA786" s="421"/>
      <c r="AB786" s="421"/>
      <c r="AC786" s="421"/>
      <c r="AD786" s="421"/>
      <c r="AE786" s="421"/>
      <c r="AF786" s="421"/>
      <c r="AG786" s="421"/>
      <c r="AH786" s="421"/>
      <c r="AI786" s="421"/>
      <c r="AJ786" s="421"/>
      <c r="AK786" s="421"/>
      <c r="AL786" s="421"/>
      <c r="AM786" s="422"/>
      <c r="AN786" s="422"/>
      <c r="AO786" s="422"/>
      <c r="AP786" s="422"/>
      <c r="AQ786" s="422"/>
      <c r="AR786" s="422"/>
      <c r="AS786" s="422"/>
      <c r="AT786" s="422"/>
      <c r="AU786" s="422"/>
      <c r="AV786" s="422"/>
      <c r="AW786" s="422"/>
      <c r="AX786" s="422"/>
      <c r="AY786" s="422"/>
    </row>
    <row r="787" spans="1:51" x14ac:dyDescent="0.25">
      <c r="A787" s="3"/>
      <c r="B787" s="3"/>
      <c r="C787" s="3"/>
      <c r="D787" s="3"/>
      <c r="E787" s="3"/>
      <c r="F787" s="3"/>
      <c r="G787" s="3"/>
      <c r="H787" s="3"/>
      <c r="I787" s="3"/>
      <c r="J787" s="13"/>
      <c r="K787" s="13"/>
      <c r="L787" s="13"/>
      <c r="M787" s="13"/>
      <c r="N787" s="13"/>
      <c r="O787" s="13"/>
      <c r="P787" s="13"/>
      <c r="Q787" s="13"/>
      <c r="R787" s="13"/>
      <c r="S787" s="421"/>
      <c r="T787" s="421"/>
      <c r="U787" s="421"/>
      <c r="V787" s="421"/>
      <c r="W787" s="421"/>
      <c r="X787" s="421"/>
      <c r="Y787" s="421"/>
      <c r="Z787" s="421"/>
      <c r="AA787" s="421"/>
      <c r="AB787" s="421"/>
      <c r="AC787" s="421"/>
      <c r="AD787" s="421"/>
      <c r="AE787" s="421"/>
      <c r="AF787" s="421"/>
      <c r="AG787" s="421"/>
      <c r="AH787" s="421"/>
      <c r="AI787" s="421"/>
      <c r="AJ787" s="421"/>
      <c r="AK787" s="421"/>
      <c r="AL787" s="421"/>
      <c r="AM787" s="422"/>
      <c r="AN787" s="422"/>
      <c r="AO787" s="422"/>
      <c r="AP787" s="422"/>
      <c r="AQ787" s="422"/>
      <c r="AR787" s="422"/>
      <c r="AS787" s="422"/>
      <c r="AT787" s="422"/>
      <c r="AU787" s="422"/>
      <c r="AV787" s="422"/>
      <c r="AW787" s="422"/>
      <c r="AX787" s="422"/>
      <c r="AY787" s="422"/>
    </row>
    <row r="788" spans="1:51" x14ac:dyDescent="0.25">
      <c r="A788" s="3"/>
      <c r="B788" s="3"/>
      <c r="C788" s="3"/>
      <c r="D788" s="3"/>
      <c r="E788" s="3"/>
      <c r="F788" s="3"/>
      <c r="G788" s="3"/>
      <c r="H788" s="3"/>
      <c r="I788" s="3"/>
      <c r="J788" s="13"/>
      <c r="K788" s="13"/>
      <c r="L788" s="13"/>
      <c r="M788" s="13"/>
      <c r="N788" s="13"/>
      <c r="O788" s="13"/>
      <c r="P788" s="13"/>
      <c r="Q788" s="13"/>
      <c r="R788" s="13"/>
      <c r="S788" s="421"/>
      <c r="T788" s="421"/>
      <c r="U788" s="421"/>
      <c r="V788" s="421"/>
      <c r="W788" s="421"/>
      <c r="X788" s="421"/>
      <c r="Y788" s="421"/>
      <c r="Z788" s="421"/>
      <c r="AA788" s="421"/>
      <c r="AB788" s="421"/>
      <c r="AC788" s="421"/>
      <c r="AD788" s="421"/>
      <c r="AE788" s="421"/>
      <c r="AF788" s="421"/>
      <c r="AG788" s="421"/>
      <c r="AH788" s="421"/>
      <c r="AI788" s="421"/>
      <c r="AJ788" s="421"/>
      <c r="AK788" s="421"/>
      <c r="AL788" s="421"/>
      <c r="AM788" s="422"/>
      <c r="AN788" s="422"/>
      <c r="AO788" s="422"/>
      <c r="AP788" s="422"/>
      <c r="AQ788" s="422"/>
      <c r="AR788" s="422"/>
      <c r="AS788" s="422"/>
      <c r="AT788" s="422"/>
      <c r="AU788" s="422"/>
      <c r="AV788" s="422"/>
      <c r="AW788" s="422"/>
      <c r="AX788" s="422"/>
      <c r="AY788" s="422"/>
    </row>
    <row r="789" spans="1:51" x14ac:dyDescent="0.25">
      <c r="A789" s="3"/>
      <c r="B789" s="3"/>
      <c r="C789" s="3"/>
      <c r="D789" s="3"/>
      <c r="E789" s="3"/>
      <c r="F789" s="3"/>
      <c r="G789" s="3"/>
      <c r="H789" s="3"/>
      <c r="I789" s="3"/>
      <c r="J789" s="13"/>
      <c r="K789" s="13"/>
      <c r="L789" s="13"/>
      <c r="M789" s="13"/>
      <c r="N789" s="13"/>
      <c r="O789" s="13"/>
      <c r="P789" s="13"/>
      <c r="Q789" s="13"/>
      <c r="R789" s="13"/>
      <c r="S789" s="421"/>
      <c r="T789" s="421"/>
      <c r="U789" s="421"/>
      <c r="V789" s="421"/>
      <c r="W789" s="421"/>
      <c r="X789" s="421"/>
      <c r="Y789" s="421"/>
      <c r="Z789" s="421"/>
      <c r="AA789" s="421"/>
      <c r="AB789" s="421"/>
      <c r="AC789" s="421"/>
      <c r="AD789" s="421"/>
      <c r="AE789" s="421"/>
      <c r="AF789" s="421"/>
      <c r="AG789" s="421"/>
      <c r="AH789" s="421"/>
      <c r="AI789" s="421"/>
      <c r="AJ789" s="421"/>
      <c r="AK789" s="421"/>
      <c r="AL789" s="421"/>
      <c r="AM789" s="422"/>
      <c r="AN789" s="422"/>
      <c r="AO789" s="422"/>
      <c r="AP789" s="422"/>
      <c r="AQ789" s="422"/>
      <c r="AR789" s="422"/>
      <c r="AS789" s="422"/>
      <c r="AT789" s="422"/>
      <c r="AU789" s="422"/>
      <c r="AV789" s="422"/>
      <c r="AW789" s="422"/>
      <c r="AX789" s="422"/>
      <c r="AY789" s="422"/>
    </row>
    <row r="790" spans="1:51" x14ac:dyDescent="0.25">
      <c r="A790" s="3"/>
      <c r="B790" s="3"/>
      <c r="C790" s="3"/>
      <c r="D790" s="3"/>
      <c r="E790" s="3"/>
      <c r="F790" s="3"/>
      <c r="G790" s="3"/>
      <c r="H790" s="3"/>
      <c r="I790" s="3"/>
      <c r="J790" s="13"/>
      <c r="K790" s="13"/>
      <c r="L790" s="13"/>
      <c r="M790" s="13"/>
      <c r="N790" s="13"/>
      <c r="O790" s="13"/>
      <c r="P790" s="13"/>
      <c r="Q790" s="13"/>
      <c r="R790" s="13"/>
      <c r="S790" s="421"/>
      <c r="T790" s="421"/>
      <c r="U790" s="421"/>
      <c r="V790" s="421"/>
      <c r="W790" s="421"/>
      <c r="X790" s="421"/>
      <c r="Y790" s="421"/>
      <c r="Z790" s="421"/>
      <c r="AA790" s="421"/>
      <c r="AB790" s="421"/>
      <c r="AC790" s="421"/>
      <c r="AD790" s="421"/>
      <c r="AE790" s="421"/>
      <c r="AF790" s="421"/>
      <c r="AG790" s="421"/>
      <c r="AH790" s="421"/>
      <c r="AI790" s="421"/>
      <c r="AJ790" s="421"/>
      <c r="AK790" s="421"/>
      <c r="AL790" s="421"/>
      <c r="AM790" s="422"/>
      <c r="AN790" s="422"/>
      <c r="AO790" s="422"/>
      <c r="AP790" s="422"/>
      <c r="AQ790" s="422"/>
      <c r="AR790" s="422"/>
      <c r="AS790" s="422"/>
      <c r="AT790" s="422"/>
      <c r="AU790" s="422"/>
      <c r="AV790" s="422"/>
      <c r="AW790" s="422"/>
      <c r="AX790" s="422"/>
      <c r="AY790" s="422"/>
    </row>
    <row r="791" spans="1:51" x14ac:dyDescent="0.25">
      <c r="A791" s="3"/>
      <c r="B791" s="3"/>
      <c r="C791" s="3"/>
      <c r="D791" s="3"/>
      <c r="E791" s="3"/>
      <c r="F791" s="3"/>
      <c r="G791" s="3"/>
      <c r="H791" s="3"/>
      <c r="I791" s="3"/>
      <c r="J791" s="13"/>
      <c r="K791" s="13"/>
      <c r="L791" s="13"/>
      <c r="M791" s="13"/>
      <c r="N791" s="13"/>
      <c r="O791" s="13"/>
      <c r="P791" s="13"/>
      <c r="Q791" s="13"/>
      <c r="R791" s="13"/>
      <c r="S791" s="421"/>
      <c r="T791" s="421"/>
      <c r="U791" s="421"/>
      <c r="V791" s="421"/>
      <c r="W791" s="421"/>
      <c r="X791" s="421"/>
      <c r="Y791" s="421"/>
      <c r="Z791" s="421"/>
      <c r="AA791" s="421"/>
      <c r="AB791" s="421"/>
      <c r="AC791" s="421"/>
      <c r="AD791" s="421"/>
      <c r="AE791" s="421"/>
      <c r="AF791" s="421"/>
      <c r="AG791" s="421"/>
      <c r="AH791" s="421"/>
      <c r="AI791" s="421"/>
      <c r="AJ791" s="421"/>
      <c r="AK791" s="421"/>
      <c r="AL791" s="421"/>
      <c r="AM791" s="422"/>
      <c r="AN791" s="422"/>
      <c r="AO791" s="422"/>
      <c r="AP791" s="422"/>
      <c r="AQ791" s="422"/>
      <c r="AR791" s="422"/>
      <c r="AS791" s="422"/>
      <c r="AT791" s="422"/>
      <c r="AU791" s="422"/>
      <c r="AV791" s="422"/>
      <c r="AW791" s="422"/>
      <c r="AX791" s="422"/>
      <c r="AY791" s="422"/>
    </row>
    <row r="792" spans="1:51" x14ac:dyDescent="0.25">
      <c r="A792" s="3"/>
      <c r="B792" s="3"/>
      <c r="C792" s="3"/>
      <c r="D792" s="3"/>
      <c r="E792" s="3"/>
      <c r="F792" s="3"/>
      <c r="G792" s="3"/>
      <c r="H792" s="3"/>
      <c r="I792" s="3"/>
      <c r="J792" s="13"/>
      <c r="K792" s="13"/>
      <c r="L792" s="13"/>
      <c r="M792" s="13"/>
      <c r="N792" s="13"/>
      <c r="O792" s="13"/>
      <c r="P792" s="13"/>
      <c r="Q792" s="13"/>
      <c r="R792" s="13"/>
      <c r="S792" s="421"/>
      <c r="T792" s="421"/>
      <c r="U792" s="421"/>
      <c r="V792" s="421"/>
      <c r="W792" s="421"/>
      <c r="X792" s="421"/>
      <c r="Y792" s="421"/>
      <c r="Z792" s="421"/>
      <c r="AA792" s="421"/>
      <c r="AB792" s="421"/>
      <c r="AC792" s="421"/>
      <c r="AD792" s="421"/>
      <c r="AE792" s="421"/>
      <c r="AF792" s="421"/>
      <c r="AG792" s="421"/>
      <c r="AH792" s="421"/>
      <c r="AI792" s="421"/>
      <c r="AJ792" s="421"/>
      <c r="AK792" s="421"/>
      <c r="AL792" s="421"/>
      <c r="AM792" s="422"/>
      <c r="AN792" s="422"/>
      <c r="AO792" s="422"/>
      <c r="AP792" s="422"/>
      <c r="AQ792" s="422"/>
      <c r="AR792" s="422"/>
      <c r="AS792" s="422"/>
      <c r="AT792" s="422"/>
      <c r="AU792" s="422"/>
      <c r="AV792" s="422"/>
      <c r="AW792" s="422"/>
      <c r="AX792" s="422"/>
      <c r="AY792" s="422"/>
    </row>
    <row r="793" spans="1:51" x14ac:dyDescent="0.25">
      <c r="A793" s="3"/>
      <c r="B793" s="3"/>
      <c r="C793" s="3"/>
      <c r="D793" s="3"/>
      <c r="E793" s="3"/>
      <c r="F793" s="3"/>
      <c r="G793" s="3"/>
      <c r="H793" s="3"/>
      <c r="I793" s="3"/>
      <c r="J793" s="13"/>
      <c r="K793" s="13"/>
      <c r="L793" s="13"/>
      <c r="M793" s="13"/>
      <c r="N793" s="13"/>
      <c r="O793" s="13"/>
      <c r="P793" s="13"/>
      <c r="Q793" s="13"/>
      <c r="R793" s="13"/>
      <c r="S793" s="421"/>
      <c r="T793" s="421"/>
      <c r="U793" s="421"/>
      <c r="V793" s="421"/>
      <c r="W793" s="421"/>
      <c r="X793" s="421"/>
      <c r="Y793" s="421"/>
      <c r="Z793" s="421"/>
      <c r="AA793" s="421"/>
      <c r="AB793" s="421"/>
      <c r="AC793" s="421"/>
      <c r="AD793" s="421"/>
      <c r="AE793" s="421"/>
      <c r="AF793" s="421"/>
      <c r="AG793" s="421"/>
      <c r="AH793" s="421"/>
      <c r="AI793" s="421"/>
      <c r="AJ793" s="421"/>
      <c r="AK793" s="421"/>
      <c r="AL793" s="421"/>
      <c r="AM793" s="422"/>
      <c r="AN793" s="422"/>
      <c r="AO793" s="422"/>
      <c r="AP793" s="422"/>
      <c r="AQ793" s="422"/>
      <c r="AR793" s="422"/>
      <c r="AS793" s="422"/>
      <c r="AT793" s="422"/>
      <c r="AU793" s="422"/>
      <c r="AV793" s="422"/>
      <c r="AW793" s="422"/>
      <c r="AX793" s="422"/>
      <c r="AY793" s="422"/>
    </row>
    <row r="794" spans="1:51" x14ac:dyDescent="0.25">
      <c r="A794" s="3"/>
      <c r="B794" s="3"/>
      <c r="C794" s="3"/>
      <c r="D794" s="3"/>
      <c r="E794" s="3"/>
      <c r="F794" s="3"/>
      <c r="G794" s="3"/>
      <c r="H794" s="3"/>
      <c r="I794" s="3"/>
      <c r="J794" s="13"/>
      <c r="K794" s="13"/>
      <c r="L794" s="13"/>
      <c r="M794" s="13"/>
      <c r="N794" s="13"/>
      <c r="O794" s="13"/>
      <c r="P794" s="13"/>
      <c r="Q794" s="13"/>
      <c r="R794" s="13"/>
      <c r="S794" s="421"/>
      <c r="T794" s="421"/>
      <c r="U794" s="421"/>
      <c r="V794" s="421"/>
      <c r="W794" s="421"/>
      <c r="X794" s="421"/>
      <c r="Y794" s="421"/>
      <c r="Z794" s="421"/>
      <c r="AA794" s="421"/>
      <c r="AB794" s="421"/>
      <c r="AC794" s="421"/>
      <c r="AD794" s="421"/>
      <c r="AE794" s="421"/>
      <c r="AF794" s="421"/>
      <c r="AG794" s="421"/>
      <c r="AH794" s="421"/>
      <c r="AI794" s="421"/>
      <c r="AJ794" s="421"/>
      <c r="AK794" s="421"/>
      <c r="AL794" s="421"/>
      <c r="AM794" s="422"/>
      <c r="AN794" s="422"/>
      <c r="AO794" s="422"/>
      <c r="AP794" s="422"/>
      <c r="AQ794" s="422"/>
      <c r="AR794" s="422"/>
      <c r="AS794" s="422"/>
      <c r="AT794" s="422"/>
      <c r="AU794" s="422"/>
      <c r="AV794" s="422"/>
      <c r="AW794" s="422"/>
      <c r="AX794" s="422"/>
      <c r="AY794" s="422"/>
    </row>
    <row r="795" spans="1:51" x14ac:dyDescent="0.25">
      <c r="A795" s="3"/>
      <c r="B795" s="3"/>
      <c r="C795" s="3"/>
      <c r="D795" s="3"/>
      <c r="E795" s="3"/>
      <c r="F795" s="3"/>
      <c r="G795" s="3"/>
      <c r="H795" s="3"/>
      <c r="I795" s="3"/>
      <c r="J795" s="13"/>
      <c r="K795" s="13"/>
      <c r="L795" s="13"/>
      <c r="M795" s="13"/>
      <c r="N795" s="13"/>
      <c r="O795" s="13"/>
      <c r="P795" s="13"/>
      <c r="Q795" s="13"/>
      <c r="R795" s="13"/>
      <c r="S795" s="421"/>
      <c r="T795" s="421"/>
      <c r="U795" s="421"/>
      <c r="V795" s="421"/>
      <c r="W795" s="421"/>
      <c r="X795" s="421"/>
      <c r="Y795" s="421"/>
      <c r="Z795" s="421"/>
      <c r="AA795" s="421"/>
      <c r="AB795" s="421"/>
      <c r="AC795" s="421"/>
      <c r="AD795" s="421"/>
      <c r="AE795" s="421"/>
      <c r="AF795" s="421"/>
      <c r="AG795" s="421"/>
      <c r="AH795" s="421"/>
      <c r="AI795" s="421"/>
      <c r="AJ795" s="421"/>
      <c r="AK795" s="421"/>
      <c r="AL795" s="421"/>
      <c r="AM795" s="422"/>
      <c r="AN795" s="422"/>
      <c r="AO795" s="422"/>
      <c r="AP795" s="422"/>
      <c r="AQ795" s="422"/>
      <c r="AR795" s="422"/>
      <c r="AS795" s="422"/>
      <c r="AT795" s="422"/>
      <c r="AU795" s="422"/>
      <c r="AV795" s="422"/>
      <c r="AW795" s="422"/>
      <c r="AX795" s="422"/>
      <c r="AY795" s="422"/>
    </row>
    <row r="796" spans="1:51" x14ac:dyDescent="0.25">
      <c r="A796" s="3"/>
      <c r="B796" s="3"/>
      <c r="C796" s="3"/>
      <c r="D796" s="3"/>
      <c r="E796" s="3"/>
      <c r="F796" s="3"/>
      <c r="G796" s="3"/>
      <c r="H796" s="3"/>
      <c r="I796" s="3"/>
      <c r="J796" s="13"/>
      <c r="K796" s="13"/>
      <c r="L796" s="13"/>
      <c r="M796" s="13"/>
      <c r="N796" s="13"/>
      <c r="O796" s="13"/>
      <c r="P796" s="13"/>
      <c r="Q796" s="13"/>
      <c r="R796" s="13"/>
      <c r="S796" s="421"/>
      <c r="T796" s="421"/>
      <c r="U796" s="421"/>
      <c r="V796" s="421"/>
      <c r="W796" s="421"/>
      <c r="X796" s="421"/>
      <c r="Y796" s="421"/>
      <c r="Z796" s="421"/>
      <c r="AA796" s="421"/>
      <c r="AB796" s="421"/>
      <c r="AC796" s="421"/>
      <c r="AD796" s="421"/>
      <c r="AE796" s="421"/>
      <c r="AF796" s="421"/>
      <c r="AG796" s="421"/>
      <c r="AH796" s="421"/>
      <c r="AI796" s="421"/>
      <c r="AJ796" s="421"/>
      <c r="AK796" s="421"/>
      <c r="AL796" s="421"/>
      <c r="AM796" s="422"/>
      <c r="AN796" s="422"/>
      <c r="AO796" s="422"/>
      <c r="AP796" s="422"/>
      <c r="AQ796" s="422"/>
      <c r="AR796" s="422"/>
      <c r="AS796" s="422"/>
      <c r="AT796" s="422"/>
      <c r="AU796" s="422"/>
      <c r="AV796" s="422"/>
      <c r="AW796" s="422"/>
      <c r="AX796" s="422"/>
      <c r="AY796" s="422"/>
    </row>
    <row r="797" spans="1:51" x14ac:dyDescent="0.25">
      <c r="A797" s="3"/>
      <c r="B797" s="3"/>
      <c r="C797" s="3"/>
      <c r="D797" s="3"/>
      <c r="E797" s="3"/>
      <c r="F797" s="3"/>
      <c r="G797" s="3"/>
      <c r="H797" s="3"/>
      <c r="I797" s="3"/>
      <c r="J797" s="13"/>
      <c r="K797" s="13"/>
      <c r="L797" s="13"/>
      <c r="M797" s="13"/>
      <c r="N797" s="13"/>
      <c r="O797" s="13"/>
      <c r="P797" s="13"/>
      <c r="Q797" s="13"/>
      <c r="R797" s="13"/>
      <c r="S797" s="421"/>
      <c r="T797" s="421"/>
      <c r="U797" s="421"/>
      <c r="V797" s="421"/>
      <c r="W797" s="421"/>
      <c r="X797" s="421"/>
      <c r="Y797" s="421"/>
      <c r="Z797" s="421"/>
      <c r="AA797" s="421"/>
      <c r="AB797" s="421"/>
      <c r="AC797" s="421"/>
      <c r="AD797" s="421"/>
      <c r="AE797" s="421"/>
      <c r="AF797" s="421"/>
      <c r="AG797" s="421"/>
      <c r="AH797" s="421"/>
      <c r="AI797" s="421"/>
      <c r="AJ797" s="421"/>
      <c r="AK797" s="421"/>
      <c r="AL797" s="421"/>
      <c r="AM797" s="422"/>
      <c r="AN797" s="422"/>
      <c r="AO797" s="422"/>
      <c r="AP797" s="422"/>
      <c r="AQ797" s="422"/>
      <c r="AR797" s="422"/>
      <c r="AS797" s="422"/>
      <c r="AT797" s="422"/>
      <c r="AU797" s="422"/>
      <c r="AV797" s="422"/>
      <c r="AW797" s="422"/>
      <c r="AX797" s="422"/>
      <c r="AY797" s="422"/>
    </row>
    <row r="798" spans="1:51" x14ac:dyDescent="0.25">
      <c r="A798" s="3"/>
      <c r="B798" s="3"/>
      <c r="C798" s="3"/>
      <c r="D798" s="3"/>
      <c r="E798" s="3"/>
      <c r="F798" s="3"/>
      <c r="G798" s="3"/>
      <c r="H798" s="3"/>
      <c r="I798" s="3"/>
      <c r="J798" s="13"/>
      <c r="K798" s="13"/>
      <c r="L798" s="13"/>
      <c r="M798" s="13"/>
      <c r="N798" s="13"/>
      <c r="O798" s="13"/>
      <c r="P798" s="13"/>
      <c r="Q798" s="13"/>
      <c r="R798" s="13"/>
      <c r="S798" s="421"/>
      <c r="T798" s="421"/>
      <c r="U798" s="421"/>
      <c r="V798" s="421"/>
      <c r="W798" s="421"/>
      <c r="X798" s="421"/>
      <c r="Y798" s="421"/>
      <c r="Z798" s="421"/>
      <c r="AA798" s="421"/>
      <c r="AB798" s="421"/>
      <c r="AC798" s="421"/>
      <c r="AD798" s="421"/>
      <c r="AE798" s="421"/>
      <c r="AF798" s="421"/>
      <c r="AG798" s="421"/>
      <c r="AH798" s="421"/>
      <c r="AI798" s="421"/>
      <c r="AJ798" s="421"/>
      <c r="AK798" s="421"/>
      <c r="AL798" s="421"/>
      <c r="AM798" s="422"/>
      <c r="AN798" s="422"/>
      <c r="AO798" s="422"/>
      <c r="AP798" s="422"/>
      <c r="AQ798" s="422"/>
      <c r="AR798" s="422"/>
      <c r="AS798" s="422"/>
      <c r="AT798" s="422"/>
      <c r="AU798" s="422"/>
      <c r="AV798" s="422"/>
      <c r="AW798" s="422"/>
      <c r="AX798" s="422"/>
      <c r="AY798" s="422"/>
    </row>
    <row r="799" spans="1:51" x14ac:dyDescent="0.25">
      <c r="A799" s="3"/>
      <c r="B799" s="3"/>
      <c r="C799" s="3"/>
      <c r="D799" s="3"/>
      <c r="E799" s="3"/>
      <c r="F799" s="3"/>
      <c r="G799" s="3"/>
      <c r="H799" s="3"/>
      <c r="I799" s="3"/>
      <c r="J799" s="13"/>
      <c r="K799" s="13"/>
      <c r="L799" s="13"/>
      <c r="M799" s="13"/>
      <c r="N799" s="13"/>
      <c r="O799" s="13"/>
      <c r="P799" s="13"/>
      <c r="Q799" s="13"/>
      <c r="R799" s="13"/>
      <c r="S799" s="421"/>
      <c r="T799" s="421"/>
      <c r="U799" s="421"/>
      <c r="V799" s="421"/>
      <c r="W799" s="421"/>
      <c r="X799" s="421"/>
      <c r="Y799" s="421"/>
      <c r="Z799" s="421"/>
      <c r="AA799" s="421"/>
      <c r="AB799" s="421"/>
      <c r="AC799" s="421"/>
      <c r="AD799" s="421"/>
      <c r="AE799" s="421"/>
      <c r="AF799" s="421"/>
      <c r="AG799" s="421"/>
      <c r="AH799" s="421"/>
      <c r="AI799" s="421"/>
      <c r="AJ799" s="421"/>
      <c r="AK799" s="421"/>
      <c r="AL799" s="421"/>
      <c r="AM799" s="422"/>
      <c r="AN799" s="422"/>
      <c r="AO799" s="422"/>
      <c r="AP799" s="422"/>
      <c r="AQ799" s="422"/>
      <c r="AR799" s="422"/>
      <c r="AS799" s="422"/>
      <c r="AT799" s="422"/>
      <c r="AU799" s="422"/>
      <c r="AV799" s="422"/>
      <c r="AW799" s="422"/>
      <c r="AX799" s="422"/>
      <c r="AY799" s="422"/>
    </row>
    <row r="800" spans="1:51" x14ac:dyDescent="0.25">
      <c r="A800" s="3"/>
      <c r="B800" s="3"/>
      <c r="C800" s="3"/>
      <c r="D800" s="3"/>
      <c r="E800" s="3"/>
      <c r="F800" s="3"/>
      <c r="G800" s="3"/>
      <c r="H800" s="3"/>
      <c r="I800" s="3"/>
      <c r="J800" s="13"/>
      <c r="K800" s="13"/>
      <c r="L800" s="13"/>
      <c r="M800" s="13"/>
      <c r="N800" s="13"/>
      <c r="O800" s="13"/>
      <c r="P800" s="13"/>
      <c r="Q800" s="13"/>
      <c r="R800" s="13"/>
      <c r="S800" s="421"/>
      <c r="T800" s="421"/>
      <c r="U800" s="421"/>
      <c r="V800" s="421"/>
      <c r="W800" s="421"/>
      <c r="X800" s="421"/>
      <c r="Y800" s="421"/>
      <c r="Z800" s="421"/>
      <c r="AA800" s="421"/>
      <c r="AB800" s="421"/>
      <c r="AC800" s="421"/>
      <c r="AD800" s="421"/>
      <c r="AE800" s="421"/>
      <c r="AF800" s="421"/>
      <c r="AG800" s="421"/>
      <c r="AH800" s="421"/>
      <c r="AI800" s="421"/>
      <c r="AJ800" s="421"/>
      <c r="AK800" s="421"/>
      <c r="AL800" s="421"/>
      <c r="AM800" s="422"/>
      <c r="AN800" s="422"/>
      <c r="AO800" s="422"/>
      <c r="AP800" s="422"/>
      <c r="AQ800" s="422"/>
      <c r="AR800" s="422"/>
      <c r="AS800" s="422"/>
      <c r="AT800" s="422"/>
      <c r="AU800" s="422"/>
      <c r="AV800" s="422"/>
      <c r="AW800" s="422"/>
      <c r="AX800" s="422"/>
      <c r="AY800" s="422"/>
    </row>
    <row r="801" spans="1:51" x14ac:dyDescent="0.25">
      <c r="A801" s="3"/>
      <c r="B801" s="3"/>
      <c r="C801" s="3"/>
      <c r="D801" s="3"/>
      <c r="E801" s="3"/>
      <c r="F801" s="3"/>
      <c r="G801" s="3"/>
      <c r="H801" s="3"/>
      <c r="I801" s="3"/>
      <c r="J801" s="13"/>
      <c r="K801" s="13"/>
      <c r="L801" s="13"/>
      <c r="M801" s="13"/>
      <c r="N801" s="13"/>
      <c r="O801" s="13"/>
      <c r="P801" s="13"/>
      <c r="Q801" s="13"/>
      <c r="R801" s="13"/>
      <c r="S801" s="421"/>
      <c r="T801" s="421"/>
      <c r="U801" s="421"/>
      <c r="V801" s="421"/>
      <c r="W801" s="421"/>
      <c r="X801" s="421"/>
      <c r="Y801" s="421"/>
      <c r="Z801" s="421"/>
      <c r="AA801" s="421"/>
      <c r="AB801" s="421"/>
      <c r="AC801" s="421"/>
      <c r="AD801" s="421"/>
      <c r="AE801" s="421"/>
      <c r="AF801" s="421"/>
      <c r="AG801" s="421"/>
      <c r="AH801" s="421"/>
      <c r="AI801" s="421"/>
      <c r="AJ801" s="421"/>
      <c r="AK801" s="421"/>
      <c r="AL801" s="421"/>
      <c r="AM801" s="422"/>
      <c r="AN801" s="422"/>
      <c r="AO801" s="422"/>
      <c r="AP801" s="422"/>
      <c r="AQ801" s="422"/>
      <c r="AR801" s="422"/>
      <c r="AS801" s="422"/>
      <c r="AT801" s="422"/>
      <c r="AU801" s="422"/>
      <c r="AV801" s="422"/>
      <c r="AW801" s="422"/>
      <c r="AX801" s="422"/>
      <c r="AY801" s="422"/>
    </row>
    <row r="802" spans="1:51" x14ac:dyDescent="0.25">
      <c r="A802" s="3"/>
      <c r="B802" s="3"/>
      <c r="C802" s="3"/>
      <c r="D802" s="3"/>
      <c r="E802" s="3"/>
      <c r="F802" s="3"/>
      <c r="G802" s="3"/>
      <c r="H802" s="3"/>
      <c r="I802" s="3"/>
      <c r="J802" s="13"/>
      <c r="K802" s="13"/>
      <c r="L802" s="13"/>
      <c r="M802" s="13"/>
      <c r="N802" s="13"/>
      <c r="O802" s="13"/>
      <c r="P802" s="13"/>
      <c r="Q802" s="13"/>
      <c r="R802" s="13"/>
      <c r="S802" s="421"/>
      <c r="T802" s="421"/>
      <c r="U802" s="421"/>
      <c r="V802" s="421"/>
      <c r="W802" s="421"/>
      <c r="X802" s="421"/>
      <c r="Y802" s="421"/>
      <c r="Z802" s="421"/>
      <c r="AA802" s="421"/>
      <c r="AB802" s="421"/>
      <c r="AC802" s="421"/>
      <c r="AD802" s="421"/>
      <c r="AE802" s="421"/>
      <c r="AF802" s="421"/>
      <c r="AG802" s="421"/>
      <c r="AH802" s="421"/>
      <c r="AI802" s="421"/>
      <c r="AJ802" s="421"/>
      <c r="AK802" s="421"/>
      <c r="AL802" s="421"/>
      <c r="AM802" s="422"/>
      <c r="AN802" s="422"/>
      <c r="AO802" s="422"/>
      <c r="AP802" s="422"/>
      <c r="AQ802" s="422"/>
      <c r="AR802" s="422"/>
      <c r="AS802" s="422"/>
      <c r="AT802" s="422"/>
      <c r="AU802" s="422"/>
      <c r="AV802" s="422"/>
      <c r="AW802" s="422"/>
      <c r="AX802" s="422"/>
      <c r="AY802" s="422"/>
    </row>
    <row r="803" spans="1:51" x14ac:dyDescent="0.25">
      <c r="A803" s="3"/>
      <c r="B803" s="3"/>
      <c r="C803" s="3"/>
      <c r="D803" s="3"/>
      <c r="E803" s="3"/>
      <c r="F803" s="3"/>
      <c r="G803" s="3"/>
      <c r="H803" s="3"/>
      <c r="I803" s="3"/>
      <c r="J803" s="13"/>
      <c r="K803" s="13"/>
      <c r="L803" s="13"/>
      <c r="M803" s="13"/>
      <c r="N803" s="13"/>
      <c r="O803" s="13"/>
      <c r="P803" s="13"/>
      <c r="Q803" s="13"/>
      <c r="R803" s="13"/>
      <c r="S803" s="421"/>
      <c r="T803" s="421"/>
      <c r="U803" s="421"/>
      <c r="V803" s="421"/>
      <c r="W803" s="421"/>
      <c r="X803" s="421"/>
      <c r="Y803" s="421"/>
      <c r="Z803" s="421"/>
      <c r="AA803" s="421"/>
      <c r="AB803" s="421"/>
      <c r="AC803" s="421"/>
      <c r="AD803" s="421"/>
      <c r="AE803" s="421"/>
      <c r="AF803" s="421"/>
      <c r="AG803" s="421"/>
      <c r="AH803" s="421"/>
      <c r="AI803" s="421"/>
      <c r="AJ803" s="421"/>
      <c r="AK803" s="421"/>
      <c r="AL803" s="421"/>
      <c r="AM803" s="422"/>
      <c r="AN803" s="422"/>
      <c r="AO803" s="422"/>
      <c r="AP803" s="422"/>
      <c r="AQ803" s="422"/>
      <c r="AR803" s="422"/>
      <c r="AS803" s="422"/>
      <c r="AT803" s="422"/>
      <c r="AU803" s="422"/>
      <c r="AV803" s="422"/>
      <c r="AW803" s="422"/>
      <c r="AX803" s="422"/>
      <c r="AY803" s="422"/>
    </row>
    <row r="804" spans="1:51" x14ac:dyDescent="0.25">
      <c r="A804" s="3"/>
      <c r="B804" s="3"/>
      <c r="C804" s="3"/>
      <c r="D804" s="3"/>
      <c r="E804" s="3"/>
      <c r="F804" s="3"/>
      <c r="G804" s="3"/>
      <c r="H804" s="3"/>
      <c r="I804" s="3"/>
      <c r="J804" s="13"/>
      <c r="K804" s="13"/>
      <c r="L804" s="13"/>
      <c r="M804" s="13"/>
      <c r="N804" s="13"/>
      <c r="O804" s="13"/>
      <c r="P804" s="13"/>
      <c r="Q804" s="13"/>
      <c r="R804" s="13"/>
      <c r="S804" s="421"/>
      <c r="T804" s="421"/>
      <c r="U804" s="421"/>
      <c r="V804" s="421"/>
      <c r="W804" s="421"/>
      <c r="X804" s="421"/>
      <c r="Y804" s="421"/>
      <c r="Z804" s="421"/>
      <c r="AA804" s="421"/>
      <c r="AB804" s="421"/>
      <c r="AC804" s="421"/>
      <c r="AD804" s="421"/>
      <c r="AE804" s="421"/>
      <c r="AF804" s="421"/>
      <c r="AG804" s="421"/>
      <c r="AH804" s="421"/>
      <c r="AI804" s="421"/>
      <c r="AJ804" s="421"/>
      <c r="AK804" s="421"/>
      <c r="AL804" s="421"/>
      <c r="AM804" s="422"/>
      <c r="AN804" s="422"/>
      <c r="AO804" s="422"/>
      <c r="AP804" s="422"/>
      <c r="AQ804" s="422"/>
      <c r="AR804" s="422"/>
      <c r="AS804" s="422"/>
      <c r="AT804" s="422"/>
      <c r="AU804" s="422"/>
      <c r="AV804" s="422"/>
      <c r="AW804" s="422"/>
      <c r="AX804" s="422"/>
      <c r="AY804" s="422"/>
    </row>
    <row r="805" spans="1:51" x14ac:dyDescent="0.25">
      <c r="A805" s="3"/>
      <c r="B805" s="3"/>
      <c r="C805" s="3"/>
      <c r="D805" s="3"/>
      <c r="E805" s="3"/>
      <c r="F805" s="3"/>
      <c r="G805" s="3"/>
      <c r="H805" s="3"/>
      <c r="I805" s="3"/>
      <c r="J805" s="13"/>
      <c r="K805" s="13"/>
      <c r="L805" s="13"/>
      <c r="M805" s="13"/>
      <c r="N805" s="13"/>
      <c r="O805" s="13"/>
      <c r="P805" s="13"/>
      <c r="Q805" s="13"/>
      <c r="R805" s="13"/>
      <c r="S805" s="421"/>
      <c r="T805" s="421"/>
      <c r="U805" s="421"/>
      <c r="V805" s="421"/>
      <c r="W805" s="421"/>
      <c r="X805" s="421"/>
      <c r="Y805" s="421"/>
      <c r="Z805" s="421"/>
      <c r="AA805" s="421"/>
      <c r="AB805" s="421"/>
      <c r="AC805" s="421"/>
      <c r="AD805" s="421"/>
      <c r="AE805" s="421"/>
      <c r="AF805" s="421"/>
      <c r="AG805" s="421"/>
      <c r="AH805" s="421"/>
      <c r="AI805" s="421"/>
      <c r="AJ805" s="421"/>
      <c r="AK805" s="421"/>
      <c r="AL805" s="421"/>
      <c r="AM805" s="422"/>
      <c r="AN805" s="422"/>
      <c r="AO805" s="422"/>
      <c r="AP805" s="422"/>
      <c r="AQ805" s="422"/>
      <c r="AR805" s="422"/>
      <c r="AS805" s="422"/>
      <c r="AT805" s="422"/>
      <c r="AU805" s="422"/>
      <c r="AV805" s="422"/>
      <c r="AW805" s="422"/>
      <c r="AX805" s="422"/>
      <c r="AY805" s="422"/>
    </row>
    <row r="806" spans="1:51" x14ac:dyDescent="0.25">
      <c r="A806" s="3"/>
      <c r="B806" s="3"/>
      <c r="C806" s="3"/>
      <c r="D806" s="3"/>
      <c r="E806" s="3"/>
      <c r="F806" s="3"/>
      <c r="G806" s="3"/>
      <c r="H806" s="3"/>
      <c r="I806" s="3"/>
      <c r="J806" s="13"/>
      <c r="K806" s="13"/>
      <c r="L806" s="13"/>
      <c r="M806" s="13"/>
      <c r="N806" s="13"/>
      <c r="O806" s="13"/>
      <c r="P806" s="13"/>
      <c r="Q806" s="13"/>
      <c r="R806" s="13"/>
      <c r="S806" s="421"/>
      <c r="T806" s="421"/>
      <c r="U806" s="421"/>
      <c r="V806" s="421"/>
      <c r="W806" s="421"/>
      <c r="X806" s="421"/>
      <c r="Y806" s="421"/>
      <c r="Z806" s="421"/>
      <c r="AA806" s="421"/>
      <c r="AB806" s="421"/>
      <c r="AC806" s="421"/>
      <c r="AD806" s="421"/>
      <c r="AE806" s="421"/>
      <c r="AF806" s="421"/>
      <c r="AG806" s="421"/>
      <c r="AH806" s="421"/>
      <c r="AI806" s="421"/>
      <c r="AJ806" s="421"/>
      <c r="AK806" s="421"/>
      <c r="AL806" s="421"/>
      <c r="AM806" s="422"/>
      <c r="AN806" s="422"/>
      <c r="AO806" s="422"/>
      <c r="AP806" s="422"/>
      <c r="AQ806" s="422"/>
      <c r="AR806" s="422"/>
      <c r="AS806" s="422"/>
      <c r="AT806" s="422"/>
      <c r="AU806" s="422"/>
      <c r="AV806" s="422"/>
      <c r="AW806" s="422"/>
      <c r="AX806" s="422"/>
      <c r="AY806" s="422"/>
    </row>
    <row r="807" spans="1:51" x14ac:dyDescent="0.25">
      <c r="A807" s="3"/>
      <c r="B807" s="3"/>
      <c r="C807" s="3"/>
      <c r="D807" s="3"/>
      <c r="E807" s="3"/>
      <c r="F807" s="3"/>
      <c r="G807" s="3"/>
      <c r="H807" s="3"/>
      <c r="I807" s="3"/>
      <c r="J807" s="13"/>
      <c r="K807" s="13"/>
      <c r="L807" s="13"/>
      <c r="M807" s="13"/>
      <c r="N807" s="13"/>
      <c r="O807" s="13"/>
      <c r="P807" s="13"/>
      <c r="Q807" s="13"/>
      <c r="R807" s="13"/>
      <c r="S807" s="421"/>
      <c r="T807" s="421"/>
      <c r="U807" s="421"/>
      <c r="V807" s="421"/>
      <c r="W807" s="421"/>
      <c r="X807" s="421"/>
      <c r="Y807" s="421"/>
      <c r="Z807" s="421"/>
      <c r="AA807" s="421"/>
      <c r="AB807" s="421"/>
      <c r="AC807" s="421"/>
      <c r="AD807" s="421"/>
      <c r="AE807" s="421"/>
      <c r="AF807" s="421"/>
      <c r="AG807" s="421"/>
      <c r="AH807" s="421"/>
      <c r="AI807" s="421"/>
      <c r="AJ807" s="421"/>
      <c r="AK807" s="421"/>
      <c r="AL807" s="421"/>
      <c r="AM807" s="422"/>
      <c r="AN807" s="422"/>
      <c r="AO807" s="422"/>
      <c r="AP807" s="422"/>
      <c r="AQ807" s="422"/>
      <c r="AR807" s="422"/>
      <c r="AS807" s="422"/>
      <c r="AT807" s="422"/>
      <c r="AU807" s="422"/>
      <c r="AV807" s="422"/>
      <c r="AW807" s="422"/>
      <c r="AX807" s="422"/>
      <c r="AY807" s="422"/>
    </row>
    <row r="808" spans="1:51" x14ac:dyDescent="0.25">
      <c r="A808" s="3"/>
      <c r="B808" s="3"/>
      <c r="C808" s="3"/>
      <c r="D808" s="3"/>
      <c r="E808" s="3"/>
      <c r="F808" s="3"/>
      <c r="G808" s="3"/>
      <c r="H808" s="3"/>
      <c r="I808" s="3"/>
      <c r="J808" s="13"/>
      <c r="K808" s="13"/>
      <c r="L808" s="13"/>
      <c r="M808" s="13"/>
      <c r="N808" s="13"/>
      <c r="O808" s="13"/>
      <c r="P808" s="13"/>
      <c r="Q808" s="13"/>
      <c r="R808" s="13"/>
      <c r="S808" s="421"/>
      <c r="T808" s="421"/>
      <c r="U808" s="421"/>
      <c r="V808" s="421"/>
      <c r="W808" s="421"/>
      <c r="X808" s="421"/>
      <c r="Y808" s="421"/>
      <c r="Z808" s="421"/>
      <c r="AA808" s="421"/>
      <c r="AB808" s="421"/>
      <c r="AC808" s="421"/>
      <c r="AD808" s="421"/>
      <c r="AE808" s="421"/>
      <c r="AF808" s="421"/>
      <c r="AG808" s="421"/>
      <c r="AH808" s="421"/>
      <c r="AI808" s="421"/>
      <c r="AJ808" s="421"/>
      <c r="AK808" s="421"/>
      <c r="AL808" s="421"/>
      <c r="AM808" s="422"/>
      <c r="AN808" s="422"/>
      <c r="AO808" s="422"/>
      <c r="AP808" s="422"/>
      <c r="AQ808" s="422"/>
      <c r="AR808" s="422"/>
      <c r="AS808" s="422"/>
      <c r="AT808" s="422"/>
      <c r="AU808" s="422"/>
      <c r="AV808" s="422"/>
      <c r="AW808" s="422"/>
      <c r="AX808" s="422"/>
      <c r="AY808" s="422"/>
    </row>
    <row r="809" spans="1:51" x14ac:dyDescent="0.25">
      <c r="A809" s="3"/>
      <c r="B809" s="3"/>
      <c r="C809" s="3"/>
      <c r="D809" s="3"/>
      <c r="E809" s="3"/>
      <c r="F809" s="3"/>
      <c r="G809" s="3"/>
      <c r="H809" s="3"/>
      <c r="I809" s="3"/>
      <c r="J809" s="13"/>
      <c r="K809" s="13"/>
      <c r="L809" s="13"/>
      <c r="M809" s="13"/>
      <c r="N809" s="13"/>
      <c r="O809" s="13"/>
      <c r="P809" s="13"/>
      <c r="Q809" s="13"/>
      <c r="R809" s="13"/>
      <c r="S809" s="421"/>
      <c r="T809" s="421"/>
      <c r="U809" s="421"/>
      <c r="V809" s="421"/>
      <c r="W809" s="421"/>
      <c r="X809" s="421"/>
      <c r="Y809" s="421"/>
      <c r="Z809" s="421"/>
      <c r="AA809" s="421"/>
      <c r="AB809" s="421"/>
      <c r="AC809" s="421"/>
      <c r="AD809" s="421"/>
      <c r="AE809" s="421"/>
      <c r="AF809" s="421"/>
      <c r="AG809" s="421"/>
      <c r="AH809" s="421"/>
      <c r="AI809" s="421"/>
      <c r="AJ809" s="421"/>
      <c r="AK809" s="421"/>
      <c r="AL809" s="421"/>
      <c r="AM809" s="422"/>
      <c r="AN809" s="422"/>
      <c r="AO809" s="422"/>
      <c r="AP809" s="422"/>
      <c r="AQ809" s="422"/>
      <c r="AR809" s="422"/>
      <c r="AS809" s="422"/>
      <c r="AT809" s="422"/>
      <c r="AU809" s="422"/>
      <c r="AV809" s="422"/>
      <c r="AW809" s="422"/>
      <c r="AX809" s="422"/>
      <c r="AY809" s="422"/>
    </row>
    <row r="810" spans="1:51" x14ac:dyDescent="0.25">
      <c r="A810" s="3"/>
      <c r="B810" s="3"/>
      <c r="C810" s="3"/>
      <c r="D810" s="3"/>
      <c r="E810" s="3"/>
      <c r="F810" s="3"/>
      <c r="G810" s="3"/>
      <c r="H810" s="3"/>
      <c r="I810" s="3"/>
      <c r="J810" s="13"/>
      <c r="K810" s="13"/>
      <c r="L810" s="13"/>
      <c r="M810" s="13"/>
      <c r="N810" s="13"/>
      <c r="O810" s="13"/>
      <c r="P810" s="13"/>
      <c r="Q810" s="13"/>
      <c r="R810" s="13"/>
      <c r="S810" s="421"/>
      <c r="T810" s="421"/>
      <c r="U810" s="421"/>
      <c r="V810" s="421"/>
      <c r="W810" s="421"/>
      <c r="X810" s="421"/>
      <c r="Y810" s="421"/>
      <c r="Z810" s="421"/>
      <c r="AA810" s="421"/>
      <c r="AB810" s="421"/>
      <c r="AC810" s="421"/>
      <c r="AD810" s="421"/>
      <c r="AE810" s="421"/>
      <c r="AF810" s="421"/>
      <c r="AG810" s="421"/>
      <c r="AH810" s="421"/>
      <c r="AI810" s="421"/>
      <c r="AJ810" s="421"/>
      <c r="AK810" s="421"/>
      <c r="AL810" s="421"/>
      <c r="AM810" s="422"/>
      <c r="AN810" s="422"/>
      <c r="AO810" s="422"/>
      <c r="AP810" s="422"/>
      <c r="AQ810" s="422"/>
      <c r="AR810" s="422"/>
      <c r="AS810" s="422"/>
      <c r="AT810" s="422"/>
      <c r="AU810" s="422"/>
      <c r="AV810" s="422"/>
      <c r="AW810" s="422"/>
      <c r="AX810" s="422"/>
      <c r="AY810" s="422"/>
    </row>
    <row r="811" spans="1:51" x14ac:dyDescent="0.25">
      <c r="A811" s="3"/>
      <c r="B811" s="3"/>
      <c r="C811" s="3"/>
      <c r="D811" s="3"/>
      <c r="E811" s="3"/>
      <c r="F811" s="3"/>
      <c r="G811" s="3"/>
      <c r="H811" s="3"/>
      <c r="I811" s="3"/>
      <c r="J811" s="13"/>
      <c r="K811" s="13"/>
      <c r="L811" s="13"/>
      <c r="M811" s="13"/>
      <c r="N811" s="13"/>
      <c r="O811" s="13"/>
      <c r="P811" s="13"/>
      <c r="Q811" s="13"/>
      <c r="R811" s="13"/>
      <c r="S811" s="421"/>
      <c r="T811" s="421"/>
      <c r="U811" s="421"/>
      <c r="V811" s="421"/>
      <c r="W811" s="421"/>
      <c r="X811" s="421"/>
      <c r="Y811" s="421"/>
      <c r="Z811" s="421"/>
      <c r="AA811" s="421"/>
      <c r="AB811" s="421"/>
      <c r="AC811" s="421"/>
      <c r="AD811" s="421"/>
      <c r="AE811" s="421"/>
      <c r="AF811" s="421"/>
      <c r="AG811" s="421"/>
      <c r="AH811" s="421"/>
      <c r="AI811" s="421"/>
      <c r="AJ811" s="421"/>
      <c r="AK811" s="421"/>
      <c r="AL811" s="421"/>
      <c r="AM811" s="422"/>
      <c r="AN811" s="422"/>
      <c r="AO811" s="422"/>
      <c r="AP811" s="422"/>
      <c r="AQ811" s="422"/>
      <c r="AR811" s="422"/>
      <c r="AS811" s="422"/>
      <c r="AT811" s="422"/>
      <c r="AU811" s="422"/>
      <c r="AV811" s="422"/>
      <c r="AW811" s="422"/>
      <c r="AX811" s="422"/>
      <c r="AY811" s="422"/>
    </row>
    <row r="812" spans="1:51" x14ac:dyDescent="0.25">
      <c r="A812" s="3"/>
      <c r="B812" s="3"/>
      <c r="C812" s="3"/>
      <c r="D812" s="3"/>
      <c r="E812" s="3"/>
      <c r="F812" s="3"/>
      <c r="G812" s="3"/>
      <c r="H812" s="3"/>
      <c r="I812" s="3"/>
      <c r="J812" s="13"/>
      <c r="K812" s="13"/>
      <c r="L812" s="13"/>
      <c r="M812" s="13"/>
      <c r="N812" s="13"/>
      <c r="O812" s="13"/>
      <c r="P812" s="13"/>
      <c r="Q812" s="13"/>
      <c r="R812" s="13"/>
      <c r="S812" s="421"/>
      <c r="T812" s="421"/>
      <c r="U812" s="421"/>
      <c r="V812" s="421"/>
      <c r="W812" s="421"/>
      <c r="X812" s="421"/>
      <c r="Y812" s="421"/>
      <c r="Z812" s="421"/>
      <c r="AA812" s="421"/>
      <c r="AB812" s="421"/>
      <c r="AC812" s="421"/>
      <c r="AD812" s="421"/>
      <c r="AE812" s="421"/>
      <c r="AF812" s="421"/>
      <c r="AG812" s="421"/>
      <c r="AH812" s="421"/>
      <c r="AI812" s="421"/>
      <c r="AJ812" s="421"/>
      <c r="AK812" s="421"/>
      <c r="AL812" s="421"/>
      <c r="AM812" s="422"/>
      <c r="AN812" s="422"/>
      <c r="AO812" s="422"/>
      <c r="AP812" s="422"/>
      <c r="AQ812" s="422"/>
      <c r="AR812" s="422"/>
      <c r="AS812" s="422"/>
      <c r="AT812" s="422"/>
      <c r="AU812" s="422"/>
      <c r="AV812" s="422"/>
      <c r="AW812" s="422"/>
      <c r="AX812" s="422"/>
      <c r="AY812" s="422"/>
    </row>
    <row r="813" spans="1:51" x14ac:dyDescent="0.25">
      <c r="A813" s="3"/>
      <c r="B813" s="3"/>
      <c r="C813" s="3"/>
      <c r="D813" s="3"/>
      <c r="E813" s="3"/>
      <c r="F813" s="3"/>
      <c r="G813" s="3"/>
      <c r="H813" s="3"/>
      <c r="I813" s="3"/>
      <c r="J813" s="13"/>
      <c r="K813" s="13"/>
      <c r="L813" s="13"/>
      <c r="M813" s="13"/>
      <c r="N813" s="13"/>
      <c r="O813" s="13"/>
      <c r="P813" s="13"/>
      <c r="Q813" s="13"/>
      <c r="R813" s="13"/>
      <c r="S813" s="421"/>
      <c r="T813" s="421"/>
      <c r="U813" s="421"/>
      <c r="V813" s="421"/>
      <c r="W813" s="421"/>
      <c r="X813" s="421"/>
      <c r="Y813" s="421"/>
      <c r="Z813" s="421"/>
      <c r="AA813" s="421"/>
      <c r="AB813" s="421"/>
      <c r="AC813" s="421"/>
      <c r="AD813" s="421"/>
      <c r="AE813" s="421"/>
      <c r="AF813" s="421"/>
      <c r="AG813" s="421"/>
      <c r="AH813" s="421"/>
      <c r="AI813" s="421"/>
      <c r="AJ813" s="421"/>
      <c r="AK813" s="421"/>
      <c r="AL813" s="421"/>
      <c r="AM813" s="422"/>
      <c r="AN813" s="422"/>
      <c r="AO813" s="422"/>
      <c r="AP813" s="422"/>
      <c r="AQ813" s="422"/>
      <c r="AR813" s="422"/>
      <c r="AS813" s="422"/>
      <c r="AT813" s="422"/>
      <c r="AU813" s="422"/>
      <c r="AV813" s="422"/>
      <c r="AW813" s="422"/>
      <c r="AX813" s="422"/>
      <c r="AY813" s="422"/>
    </row>
    <row r="814" spans="1:51" x14ac:dyDescent="0.25">
      <c r="A814" s="3"/>
      <c r="B814" s="3"/>
      <c r="C814" s="3"/>
      <c r="D814" s="3"/>
      <c r="E814" s="3"/>
      <c r="F814" s="3"/>
      <c r="G814" s="3"/>
      <c r="H814" s="3"/>
      <c r="I814" s="3"/>
      <c r="J814" s="13"/>
      <c r="K814" s="13"/>
      <c r="L814" s="13"/>
      <c r="M814" s="13"/>
      <c r="N814" s="13"/>
      <c r="O814" s="13"/>
      <c r="P814" s="13"/>
      <c r="Q814" s="13"/>
      <c r="R814" s="13"/>
      <c r="S814" s="421"/>
      <c r="T814" s="421"/>
      <c r="U814" s="421"/>
      <c r="V814" s="421"/>
      <c r="W814" s="421"/>
      <c r="X814" s="421"/>
      <c r="Y814" s="421"/>
      <c r="Z814" s="421"/>
      <c r="AA814" s="421"/>
      <c r="AB814" s="421"/>
      <c r="AC814" s="421"/>
      <c r="AD814" s="421"/>
      <c r="AE814" s="421"/>
      <c r="AF814" s="421"/>
      <c r="AG814" s="421"/>
      <c r="AH814" s="421"/>
      <c r="AI814" s="421"/>
      <c r="AJ814" s="421"/>
      <c r="AK814" s="421"/>
      <c r="AL814" s="421"/>
      <c r="AM814" s="422"/>
      <c r="AN814" s="422"/>
      <c r="AO814" s="422"/>
      <c r="AP814" s="422"/>
      <c r="AQ814" s="422"/>
      <c r="AR814" s="422"/>
      <c r="AS814" s="422"/>
      <c r="AT814" s="422"/>
      <c r="AU814" s="422"/>
      <c r="AV814" s="422"/>
      <c r="AW814" s="422"/>
      <c r="AX814" s="422"/>
      <c r="AY814" s="422"/>
    </row>
    <row r="815" spans="1:51" x14ac:dyDescent="0.25">
      <c r="A815" s="3"/>
      <c r="B815" s="3"/>
      <c r="C815" s="3"/>
      <c r="D815" s="3"/>
      <c r="E815" s="3"/>
      <c r="F815" s="3"/>
      <c r="G815" s="3"/>
      <c r="H815" s="3"/>
      <c r="I815" s="3"/>
      <c r="J815" s="13"/>
      <c r="K815" s="13"/>
      <c r="L815" s="13"/>
      <c r="M815" s="13"/>
      <c r="N815" s="13"/>
      <c r="O815" s="13"/>
      <c r="P815" s="13"/>
      <c r="Q815" s="13"/>
      <c r="R815" s="13"/>
      <c r="S815" s="421"/>
      <c r="T815" s="421"/>
      <c r="U815" s="421"/>
      <c r="V815" s="421"/>
      <c r="W815" s="421"/>
      <c r="X815" s="421"/>
      <c r="Y815" s="421"/>
      <c r="Z815" s="421"/>
      <c r="AA815" s="421"/>
      <c r="AB815" s="421"/>
      <c r="AC815" s="421"/>
      <c r="AD815" s="421"/>
      <c r="AE815" s="421"/>
      <c r="AF815" s="421"/>
      <c r="AG815" s="421"/>
      <c r="AH815" s="421"/>
      <c r="AI815" s="421"/>
      <c r="AJ815" s="421"/>
      <c r="AK815" s="421"/>
      <c r="AL815" s="421"/>
      <c r="AM815" s="422"/>
      <c r="AN815" s="422"/>
      <c r="AO815" s="422"/>
      <c r="AP815" s="422"/>
      <c r="AQ815" s="422"/>
      <c r="AR815" s="422"/>
      <c r="AS815" s="422"/>
      <c r="AT815" s="422"/>
      <c r="AU815" s="422"/>
      <c r="AV815" s="422"/>
      <c r="AW815" s="422"/>
      <c r="AX815" s="422"/>
      <c r="AY815" s="422"/>
    </row>
    <row r="816" spans="1:51" x14ac:dyDescent="0.25">
      <c r="A816" s="3"/>
      <c r="B816" s="3"/>
      <c r="C816" s="3"/>
      <c r="D816" s="3"/>
      <c r="E816" s="3"/>
      <c r="F816" s="3"/>
      <c r="G816" s="3"/>
      <c r="H816" s="3"/>
      <c r="I816" s="3"/>
      <c r="J816" s="13"/>
      <c r="K816" s="13"/>
      <c r="L816" s="13"/>
      <c r="M816" s="13"/>
      <c r="N816" s="13"/>
      <c r="O816" s="13"/>
      <c r="P816" s="13"/>
      <c r="Q816" s="13"/>
      <c r="R816" s="13"/>
      <c r="S816" s="421"/>
      <c r="T816" s="421"/>
      <c r="U816" s="421"/>
      <c r="V816" s="421"/>
      <c r="W816" s="421"/>
      <c r="X816" s="421"/>
      <c r="Y816" s="421"/>
      <c r="Z816" s="421"/>
      <c r="AA816" s="421"/>
      <c r="AB816" s="421"/>
      <c r="AC816" s="421"/>
      <c r="AD816" s="421"/>
      <c r="AE816" s="421"/>
      <c r="AF816" s="421"/>
      <c r="AG816" s="421"/>
      <c r="AH816" s="421"/>
      <c r="AI816" s="421"/>
      <c r="AJ816" s="421"/>
      <c r="AK816" s="421"/>
      <c r="AL816" s="421"/>
      <c r="AM816" s="422"/>
      <c r="AN816" s="422"/>
      <c r="AO816" s="422"/>
      <c r="AP816" s="422"/>
      <c r="AQ816" s="422"/>
      <c r="AR816" s="422"/>
      <c r="AS816" s="422"/>
      <c r="AT816" s="422"/>
      <c r="AU816" s="422"/>
      <c r="AV816" s="422"/>
      <c r="AW816" s="422"/>
      <c r="AX816" s="422"/>
      <c r="AY816" s="422"/>
    </row>
    <row r="817" spans="1:51" x14ac:dyDescent="0.25">
      <c r="A817" s="3"/>
      <c r="B817" s="3"/>
      <c r="C817" s="3"/>
      <c r="D817" s="3"/>
      <c r="E817" s="3"/>
      <c r="F817" s="3"/>
      <c r="G817" s="3"/>
      <c r="H817" s="3"/>
      <c r="I817" s="3"/>
      <c r="J817" s="13"/>
      <c r="K817" s="13"/>
      <c r="L817" s="13"/>
      <c r="M817" s="13"/>
      <c r="N817" s="13"/>
      <c r="O817" s="13"/>
      <c r="P817" s="13"/>
      <c r="Q817" s="13"/>
      <c r="R817" s="13"/>
      <c r="S817" s="421"/>
      <c r="T817" s="421"/>
      <c r="U817" s="421"/>
      <c r="V817" s="421"/>
      <c r="W817" s="421"/>
      <c r="X817" s="421"/>
      <c r="Y817" s="421"/>
      <c r="Z817" s="421"/>
      <c r="AA817" s="421"/>
      <c r="AB817" s="421"/>
      <c r="AC817" s="421"/>
      <c r="AD817" s="421"/>
      <c r="AE817" s="421"/>
      <c r="AF817" s="421"/>
      <c r="AG817" s="421"/>
      <c r="AH817" s="421"/>
      <c r="AI817" s="421"/>
      <c r="AJ817" s="421"/>
      <c r="AK817" s="421"/>
      <c r="AL817" s="421"/>
      <c r="AM817" s="422"/>
      <c r="AN817" s="422"/>
      <c r="AO817" s="422"/>
      <c r="AP817" s="422"/>
      <c r="AQ817" s="422"/>
      <c r="AR817" s="422"/>
      <c r="AS817" s="422"/>
      <c r="AT817" s="422"/>
      <c r="AU817" s="422"/>
      <c r="AV817" s="422"/>
      <c r="AW817" s="422"/>
      <c r="AX817" s="422"/>
      <c r="AY817" s="422"/>
    </row>
    <row r="818" spans="1:51" x14ac:dyDescent="0.25">
      <c r="A818" s="3"/>
      <c r="B818" s="3"/>
      <c r="C818" s="3"/>
      <c r="D818" s="3"/>
      <c r="E818" s="3"/>
      <c r="F818" s="3"/>
      <c r="G818" s="3"/>
      <c r="H818" s="3"/>
      <c r="I818" s="3"/>
      <c r="J818" s="13"/>
      <c r="K818" s="13"/>
      <c r="L818" s="13"/>
      <c r="M818" s="13"/>
      <c r="N818" s="13"/>
      <c r="O818" s="13"/>
      <c r="P818" s="13"/>
      <c r="Q818" s="13"/>
      <c r="R818" s="13"/>
      <c r="S818" s="421"/>
      <c r="T818" s="421"/>
      <c r="U818" s="421"/>
      <c r="V818" s="421"/>
      <c r="W818" s="421"/>
      <c r="X818" s="421"/>
      <c r="Y818" s="421"/>
      <c r="Z818" s="421"/>
      <c r="AA818" s="421"/>
      <c r="AB818" s="421"/>
      <c r="AC818" s="421"/>
      <c r="AD818" s="421"/>
      <c r="AE818" s="421"/>
      <c r="AF818" s="421"/>
      <c r="AG818" s="421"/>
      <c r="AH818" s="421"/>
      <c r="AI818" s="421"/>
      <c r="AJ818" s="421"/>
      <c r="AK818" s="421"/>
      <c r="AL818" s="421"/>
      <c r="AM818" s="422"/>
      <c r="AN818" s="422"/>
      <c r="AO818" s="422"/>
      <c r="AP818" s="422"/>
      <c r="AQ818" s="422"/>
      <c r="AR818" s="422"/>
      <c r="AS818" s="422"/>
      <c r="AT818" s="422"/>
      <c r="AU818" s="422"/>
      <c r="AV818" s="422"/>
      <c r="AW818" s="422"/>
      <c r="AX818" s="422"/>
      <c r="AY818" s="422"/>
    </row>
    <row r="819" spans="1:51" x14ac:dyDescent="0.25">
      <c r="A819" s="3"/>
      <c r="B819" s="3"/>
      <c r="C819" s="3"/>
      <c r="D819" s="3"/>
      <c r="E819" s="3"/>
      <c r="F819" s="3"/>
      <c r="G819" s="3"/>
      <c r="H819" s="3"/>
      <c r="I819" s="3"/>
      <c r="J819" s="13"/>
      <c r="K819" s="13"/>
      <c r="L819" s="13"/>
      <c r="M819" s="13"/>
      <c r="N819" s="13"/>
      <c r="O819" s="13"/>
      <c r="P819" s="13"/>
      <c r="Q819" s="13"/>
      <c r="R819" s="13"/>
      <c r="S819" s="421"/>
      <c r="T819" s="421"/>
      <c r="U819" s="421"/>
      <c r="V819" s="421"/>
      <c r="W819" s="421"/>
      <c r="X819" s="421"/>
      <c r="Y819" s="421"/>
      <c r="Z819" s="421"/>
      <c r="AA819" s="421"/>
      <c r="AB819" s="421"/>
      <c r="AC819" s="421"/>
      <c r="AD819" s="421"/>
      <c r="AE819" s="421"/>
      <c r="AF819" s="421"/>
      <c r="AG819" s="421"/>
      <c r="AH819" s="421"/>
      <c r="AI819" s="421"/>
      <c r="AJ819" s="421"/>
      <c r="AK819" s="421"/>
      <c r="AL819" s="421"/>
      <c r="AM819" s="422"/>
      <c r="AN819" s="422"/>
      <c r="AO819" s="422"/>
      <c r="AP819" s="422"/>
      <c r="AQ819" s="422"/>
      <c r="AR819" s="422"/>
      <c r="AS819" s="422"/>
      <c r="AT819" s="422"/>
      <c r="AU819" s="422"/>
      <c r="AV819" s="422"/>
      <c r="AW819" s="422"/>
      <c r="AX819" s="422"/>
      <c r="AY819" s="422"/>
    </row>
    <row r="820" spans="1:51" x14ac:dyDescent="0.25">
      <c r="A820" s="3"/>
      <c r="B820" s="3"/>
      <c r="C820" s="3"/>
      <c r="D820" s="3"/>
      <c r="E820" s="3"/>
      <c r="F820" s="3"/>
      <c r="G820" s="3"/>
      <c r="H820" s="3"/>
      <c r="I820" s="3"/>
      <c r="J820" s="13"/>
      <c r="K820" s="13"/>
      <c r="L820" s="13"/>
      <c r="M820" s="13"/>
      <c r="N820" s="13"/>
      <c r="O820" s="13"/>
      <c r="P820" s="13"/>
      <c r="Q820" s="13"/>
      <c r="R820" s="13"/>
      <c r="S820" s="421"/>
      <c r="T820" s="421"/>
      <c r="U820" s="421"/>
      <c r="V820" s="421"/>
      <c r="W820" s="421"/>
      <c r="X820" s="421"/>
      <c r="Y820" s="421"/>
      <c r="Z820" s="421"/>
      <c r="AA820" s="421"/>
      <c r="AB820" s="421"/>
      <c r="AC820" s="421"/>
      <c r="AD820" s="421"/>
      <c r="AE820" s="421"/>
      <c r="AF820" s="421"/>
      <c r="AG820" s="421"/>
      <c r="AH820" s="421"/>
      <c r="AI820" s="421"/>
      <c r="AJ820" s="421"/>
      <c r="AK820" s="421"/>
      <c r="AL820" s="421"/>
      <c r="AM820" s="422"/>
      <c r="AN820" s="422"/>
      <c r="AO820" s="422"/>
      <c r="AP820" s="422"/>
      <c r="AQ820" s="422"/>
      <c r="AR820" s="422"/>
      <c r="AS820" s="422"/>
      <c r="AT820" s="422"/>
      <c r="AU820" s="422"/>
      <c r="AV820" s="422"/>
      <c r="AW820" s="422"/>
      <c r="AX820" s="422"/>
      <c r="AY820" s="422"/>
    </row>
    <row r="821" spans="1:51" x14ac:dyDescent="0.25">
      <c r="A821" s="3"/>
      <c r="B821" s="3"/>
      <c r="C821" s="3"/>
      <c r="D821" s="3"/>
      <c r="E821" s="3"/>
      <c r="F821" s="3"/>
      <c r="G821" s="3"/>
      <c r="H821" s="3"/>
      <c r="I821" s="3"/>
      <c r="J821" s="13"/>
      <c r="K821" s="13"/>
      <c r="L821" s="13"/>
      <c r="M821" s="13"/>
      <c r="N821" s="13"/>
      <c r="O821" s="13"/>
      <c r="P821" s="13"/>
      <c r="Q821" s="13"/>
      <c r="R821" s="13"/>
      <c r="S821" s="421"/>
      <c r="T821" s="421"/>
      <c r="U821" s="421"/>
      <c r="V821" s="421"/>
      <c r="W821" s="421"/>
      <c r="X821" s="421"/>
      <c r="Y821" s="421"/>
      <c r="Z821" s="421"/>
      <c r="AA821" s="421"/>
      <c r="AB821" s="421"/>
      <c r="AC821" s="421"/>
      <c r="AD821" s="421"/>
      <c r="AE821" s="421"/>
      <c r="AF821" s="421"/>
      <c r="AG821" s="421"/>
      <c r="AH821" s="421"/>
      <c r="AI821" s="421"/>
      <c r="AJ821" s="421"/>
      <c r="AK821" s="421"/>
      <c r="AL821" s="421"/>
      <c r="AM821" s="422"/>
      <c r="AN821" s="422"/>
      <c r="AO821" s="422"/>
      <c r="AP821" s="422"/>
      <c r="AQ821" s="422"/>
      <c r="AR821" s="422"/>
      <c r="AS821" s="422"/>
      <c r="AT821" s="422"/>
      <c r="AU821" s="422"/>
      <c r="AV821" s="422"/>
      <c r="AW821" s="422"/>
      <c r="AX821" s="422"/>
      <c r="AY821" s="422"/>
    </row>
    <row r="822" spans="1:51" x14ac:dyDescent="0.25">
      <c r="A822" s="3"/>
      <c r="B822" s="3"/>
      <c r="C822" s="3"/>
      <c r="D822" s="3"/>
      <c r="E822" s="3"/>
      <c r="F822" s="3"/>
      <c r="G822" s="3"/>
      <c r="H822" s="3"/>
      <c r="I822" s="3"/>
      <c r="J822" s="13"/>
      <c r="K822" s="13"/>
      <c r="L822" s="13"/>
      <c r="M822" s="13"/>
      <c r="N822" s="13"/>
      <c r="O822" s="13"/>
      <c r="P822" s="13"/>
      <c r="Q822" s="13"/>
      <c r="R822" s="13"/>
      <c r="S822" s="421"/>
      <c r="T822" s="421"/>
      <c r="U822" s="421"/>
      <c r="V822" s="421"/>
      <c r="W822" s="421"/>
      <c r="X822" s="421"/>
      <c r="Y822" s="421"/>
      <c r="Z822" s="421"/>
      <c r="AA822" s="421"/>
      <c r="AB822" s="421"/>
      <c r="AC822" s="421"/>
      <c r="AD822" s="421"/>
      <c r="AE822" s="421"/>
      <c r="AF822" s="421"/>
      <c r="AG822" s="421"/>
      <c r="AH822" s="421"/>
      <c r="AI822" s="421"/>
      <c r="AJ822" s="421"/>
      <c r="AK822" s="421"/>
      <c r="AL822" s="421"/>
      <c r="AM822" s="422"/>
      <c r="AN822" s="422"/>
      <c r="AO822" s="422"/>
      <c r="AP822" s="422"/>
      <c r="AQ822" s="422"/>
      <c r="AR822" s="422"/>
      <c r="AS822" s="422"/>
      <c r="AT822" s="422"/>
      <c r="AU822" s="422"/>
      <c r="AV822" s="422"/>
      <c r="AW822" s="422"/>
      <c r="AX822" s="422"/>
      <c r="AY822" s="422"/>
    </row>
    <row r="823" spans="1:51" x14ac:dyDescent="0.25">
      <c r="A823" s="3"/>
      <c r="B823" s="3"/>
      <c r="C823" s="3"/>
      <c r="D823" s="3"/>
      <c r="E823" s="3"/>
      <c r="F823" s="3"/>
      <c r="G823" s="3"/>
      <c r="H823" s="3"/>
      <c r="I823" s="3"/>
      <c r="J823" s="13"/>
      <c r="K823" s="13"/>
      <c r="L823" s="13"/>
      <c r="M823" s="13"/>
      <c r="N823" s="13"/>
      <c r="O823" s="13"/>
      <c r="P823" s="13"/>
      <c r="Q823" s="13"/>
      <c r="R823" s="13"/>
      <c r="S823" s="421"/>
      <c r="T823" s="421"/>
      <c r="U823" s="421"/>
      <c r="V823" s="421"/>
      <c r="W823" s="421"/>
      <c r="X823" s="421"/>
      <c r="Y823" s="421"/>
      <c r="Z823" s="421"/>
      <c r="AA823" s="421"/>
      <c r="AB823" s="421"/>
      <c r="AC823" s="421"/>
      <c r="AD823" s="421"/>
      <c r="AE823" s="421"/>
      <c r="AF823" s="421"/>
      <c r="AG823" s="421"/>
      <c r="AH823" s="421"/>
      <c r="AI823" s="421"/>
      <c r="AJ823" s="421"/>
      <c r="AK823" s="421"/>
      <c r="AL823" s="421"/>
      <c r="AM823" s="422"/>
      <c r="AN823" s="422"/>
      <c r="AO823" s="422"/>
      <c r="AP823" s="422"/>
      <c r="AQ823" s="422"/>
      <c r="AR823" s="422"/>
      <c r="AS823" s="422"/>
      <c r="AT823" s="422"/>
      <c r="AU823" s="422"/>
      <c r="AV823" s="422"/>
      <c r="AW823" s="422"/>
      <c r="AX823" s="422"/>
      <c r="AY823" s="422"/>
    </row>
    <row r="824" spans="1:51" x14ac:dyDescent="0.25">
      <c r="A824" s="3"/>
      <c r="B824" s="3"/>
      <c r="C824" s="3"/>
      <c r="D824" s="3"/>
      <c r="E824" s="3"/>
      <c r="F824" s="3"/>
      <c r="G824" s="3"/>
      <c r="H824" s="3"/>
      <c r="I824" s="3"/>
      <c r="J824" s="13"/>
      <c r="K824" s="13"/>
      <c r="L824" s="13"/>
      <c r="M824" s="13"/>
      <c r="N824" s="13"/>
      <c r="O824" s="13"/>
      <c r="P824" s="13"/>
      <c r="Q824" s="13"/>
      <c r="R824" s="13"/>
      <c r="S824" s="421"/>
      <c r="T824" s="421"/>
      <c r="U824" s="421"/>
      <c r="V824" s="421"/>
      <c r="W824" s="421"/>
      <c r="X824" s="421"/>
      <c r="Y824" s="421"/>
      <c r="Z824" s="421"/>
      <c r="AA824" s="421"/>
      <c r="AB824" s="421"/>
      <c r="AC824" s="421"/>
      <c r="AD824" s="421"/>
      <c r="AE824" s="421"/>
      <c r="AF824" s="421"/>
      <c r="AG824" s="421"/>
      <c r="AH824" s="421"/>
      <c r="AI824" s="421"/>
      <c r="AJ824" s="421"/>
      <c r="AK824" s="421"/>
      <c r="AL824" s="421"/>
      <c r="AM824" s="422"/>
      <c r="AN824" s="422"/>
      <c r="AO824" s="422"/>
      <c r="AP824" s="422"/>
      <c r="AQ824" s="422"/>
      <c r="AR824" s="422"/>
      <c r="AS824" s="422"/>
      <c r="AT824" s="422"/>
      <c r="AU824" s="422"/>
      <c r="AV824" s="422"/>
      <c r="AW824" s="422"/>
      <c r="AX824" s="422"/>
      <c r="AY824" s="422"/>
    </row>
    <row r="825" spans="1:51" x14ac:dyDescent="0.25">
      <c r="A825" s="3"/>
      <c r="B825" s="3"/>
      <c r="C825" s="3"/>
      <c r="D825" s="3"/>
      <c r="E825" s="3"/>
      <c r="F825" s="3"/>
      <c r="G825" s="3"/>
      <c r="H825" s="3"/>
      <c r="I825" s="3"/>
      <c r="J825" s="13"/>
      <c r="K825" s="13"/>
      <c r="L825" s="13"/>
      <c r="M825" s="13"/>
      <c r="N825" s="13"/>
      <c r="O825" s="13"/>
      <c r="P825" s="13"/>
      <c r="Q825" s="13"/>
      <c r="R825" s="13"/>
      <c r="S825" s="421"/>
      <c r="T825" s="421"/>
      <c r="U825" s="421"/>
      <c r="V825" s="421"/>
      <c r="W825" s="421"/>
      <c r="X825" s="421"/>
      <c r="Y825" s="421"/>
      <c r="Z825" s="421"/>
      <c r="AA825" s="421"/>
      <c r="AB825" s="421"/>
      <c r="AC825" s="421"/>
      <c r="AD825" s="421"/>
      <c r="AE825" s="421"/>
      <c r="AF825" s="421"/>
      <c r="AG825" s="421"/>
      <c r="AH825" s="421"/>
      <c r="AI825" s="421"/>
      <c r="AJ825" s="421"/>
      <c r="AK825" s="421"/>
      <c r="AL825" s="421"/>
      <c r="AM825" s="422"/>
      <c r="AN825" s="422"/>
      <c r="AO825" s="422"/>
      <c r="AP825" s="422"/>
      <c r="AQ825" s="422"/>
      <c r="AR825" s="422"/>
      <c r="AS825" s="422"/>
      <c r="AT825" s="422"/>
      <c r="AU825" s="422"/>
      <c r="AV825" s="422"/>
      <c r="AW825" s="422"/>
      <c r="AX825" s="422"/>
      <c r="AY825" s="422"/>
    </row>
    <row r="826" spans="1:51" x14ac:dyDescent="0.25">
      <c r="A826" s="3"/>
      <c r="B826" s="3"/>
      <c r="C826" s="3"/>
      <c r="D826" s="3"/>
      <c r="E826" s="3"/>
      <c r="F826" s="3"/>
      <c r="G826" s="3"/>
      <c r="H826" s="3"/>
      <c r="I826" s="3"/>
      <c r="J826" s="13"/>
      <c r="K826" s="13"/>
      <c r="L826" s="13"/>
      <c r="M826" s="13"/>
      <c r="N826" s="13"/>
      <c r="O826" s="13"/>
      <c r="P826" s="13"/>
      <c r="Q826" s="13"/>
      <c r="R826" s="13"/>
      <c r="S826" s="421"/>
      <c r="T826" s="421"/>
      <c r="U826" s="421"/>
      <c r="V826" s="421"/>
      <c r="W826" s="421"/>
      <c r="X826" s="421"/>
      <c r="Y826" s="421"/>
      <c r="Z826" s="421"/>
      <c r="AA826" s="421"/>
      <c r="AB826" s="421"/>
      <c r="AC826" s="421"/>
      <c r="AD826" s="421"/>
      <c r="AE826" s="421"/>
      <c r="AF826" s="421"/>
      <c r="AG826" s="421"/>
      <c r="AH826" s="421"/>
      <c r="AI826" s="421"/>
      <c r="AJ826" s="421"/>
      <c r="AK826" s="421"/>
      <c r="AL826" s="421"/>
      <c r="AM826" s="422"/>
      <c r="AN826" s="422"/>
      <c r="AO826" s="422"/>
      <c r="AP826" s="422"/>
      <c r="AQ826" s="422"/>
      <c r="AR826" s="422"/>
      <c r="AS826" s="422"/>
      <c r="AT826" s="422"/>
      <c r="AU826" s="422"/>
      <c r="AV826" s="422"/>
      <c r="AW826" s="422"/>
      <c r="AX826" s="422"/>
      <c r="AY826" s="422"/>
    </row>
    <row r="827" spans="1:51" x14ac:dyDescent="0.25">
      <c r="A827" s="3"/>
      <c r="B827" s="3"/>
      <c r="C827" s="3"/>
      <c r="D827" s="3"/>
      <c r="E827" s="3"/>
      <c r="F827" s="3"/>
      <c r="G827" s="3"/>
      <c r="H827" s="3"/>
      <c r="I827" s="3"/>
      <c r="J827" s="13"/>
      <c r="K827" s="13"/>
      <c r="L827" s="13"/>
      <c r="M827" s="13"/>
      <c r="N827" s="13"/>
      <c r="O827" s="13"/>
      <c r="P827" s="13"/>
      <c r="Q827" s="13"/>
      <c r="R827" s="13"/>
      <c r="S827" s="421"/>
      <c r="T827" s="421"/>
      <c r="U827" s="421"/>
      <c r="V827" s="421"/>
      <c r="W827" s="421"/>
      <c r="X827" s="421"/>
      <c r="Y827" s="421"/>
      <c r="Z827" s="421"/>
      <c r="AA827" s="421"/>
      <c r="AB827" s="421"/>
      <c r="AC827" s="421"/>
      <c r="AD827" s="421"/>
      <c r="AE827" s="421"/>
      <c r="AF827" s="421"/>
      <c r="AG827" s="421"/>
      <c r="AH827" s="421"/>
      <c r="AI827" s="421"/>
      <c r="AJ827" s="421"/>
      <c r="AK827" s="421"/>
      <c r="AL827" s="421"/>
      <c r="AM827" s="422"/>
      <c r="AN827" s="422"/>
      <c r="AO827" s="422"/>
      <c r="AP827" s="422"/>
      <c r="AQ827" s="422"/>
      <c r="AR827" s="422"/>
      <c r="AS827" s="422"/>
      <c r="AT827" s="422"/>
      <c r="AU827" s="422"/>
      <c r="AV827" s="422"/>
      <c r="AW827" s="422"/>
      <c r="AX827" s="422"/>
      <c r="AY827" s="422"/>
    </row>
    <row r="828" spans="1:51" x14ac:dyDescent="0.25">
      <c r="A828" s="3"/>
      <c r="B828" s="3"/>
      <c r="C828" s="3"/>
      <c r="D828" s="3"/>
      <c r="E828" s="3"/>
      <c r="F828" s="3"/>
      <c r="G828" s="3"/>
      <c r="H828" s="3"/>
      <c r="I828" s="3"/>
      <c r="J828" s="13"/>
      <c r="K828" s="13"/>
      <c r="L828" s="13"/>
      <c r="M828" s="13"/>
      <c r="N828" s="13"/>
      <c r="O828" s="13"/>
      <c r="P828" s="13"/>
      <c r="Q828" s="13"/>
      <c r="R828" s="13"/>
      <c r="S828" s="421"/>
      <c r="T828" s="421"/>
      <c r="U828" s="421"/>
      <c r="V828" s="421"/>
      <c r="W828" s="421"/>
      <c r="X828" s="421"/>
      <c r="Y828" s="421"/>
      <c r="Z828" s="421"/>
      <c r="AA828" s="421"/>
      <c r="AB828" s="421"/>
      <c r="AC828" s="421"/>
      <c r="AD828" s="421"/>
      <c r="AE828" s="421"/>
      <c r="AF828" s="421"/>
      <c r="AG828" s="421"/>
      <c r="AH828" s="421"/>
      <c r="AI828" s="421"/>
      <c r="AJ828" s="421"/>
      <c r="AK828" s="421"/>
      <c r="AL828" s="421"/>
      <c r="AM828" s="422"/>
      <c r="AN828" s="422"/>
      <c r="AO828" s="422"/>
      <c r="AP828" s="422"/>
      <c r="AQ828" s="422"/>
      <c r="AR828" s="422"/>
      <c r="AS828" s="422"/>
      <c r="AT828" s="422"/>
      <c r="AU828" s="422"/>
      <c r="AV828" s="422"/>
      <c r="AW828" s="422"/>
      <c r="AX828" s="422"/>
      <c r="AY828" s="422"/>
    </row>
    <row r="829" spans="1:51" x14ac:dyDescent="0.25">
      <c r="A829" s="3"/>
      <c r="B829" s="3"/>
      <c r="C829" s="3"/>
      <c r="D829" s="3"/>
      <c r="E829" s="3"/>
      <c r="F829" s="3"/>
      <c r="G829" s="3"/>
      <c r="H829" s="3"/>
      <c r="I829" s="3"/>
      <c r="J829" s="13"/>
      <c r="K829" s="13"/>
      <c r="L829" s="13"/>
      <c r="M829" s="13"/>
      <c r="N829" s="13"/>
      <c r="O829" s="13"/>
      <c r="P829" s="13"/>
      <c r="Q829" s="13"/>
      <c r="R829" s="13"/>
      <c r="S829" s="421"/>
      <c r="T829" s="421"/>
      <c r="U829" s="421"/>
      <c r="V829" s="421"/>
      <c r="W829" s="421"/>
      <c r="X829" s="421"/>
      <c r="Y829" s="421"/>
      <c r="Z829" s="421"/>
      <c r="AA829" s="421"/>
      <c r="AB829" s="421"/>
      <c r="AC829" s="421"/>
      <c r="AD829" s="421"/>
      <c r="AE829" s="421"/>
      <c r="AF829" s="421"/>
      <c r="AG829" s="421"/>
      <c r="AH829" s="421"/>
      <c r="AI829" s="421"/>
      <c r="AJ829" s="421"/>
      <c r="AK829" s="421"/>
      <c r="AL829" s="421"/>
      <c r="AM829" s="422"/>
      <c r="AN829" s="422"/>
      <c r="AO829" s="422"/>
      <c r="AP829" s="422"/>
      <c r="AQ829" s="422"/>
      <c r="AR829" s="422"/>
      <c r="AS829" s="422"/>
      <c r="AT829" s="422"/>
      <c r="AU829" s="422"/>
      <c r="AV829" s="422"/>
      <c r="AW829" s="422"/>
      <c r="AX829" s="422"/>
      <c r="AY829" s="422"/>
    </row>
    <row r="830" spans="1:51" x14ac:dyDescent="0.25">
      <c r="A830" s="3"/>
      <c r="B830" s="3"/>
      <c r="C830" s="3"/>
      <c r="D830" s="3"/>
      <c r="E830" s="3"/>
      <c r="F830" s="3"/>
      <c r="G830" s="3"/>
      <c r="H830" s="3"/>
      <c r="I830" s="3"/>
      <c r="J830" s="13"/>
      <c r="K830" s="13"/>
      <c r="L830" s="13"/>
      <c r="M830" s="13"/>
      <c r="N830" s="13"/>
      <c r="O830" s="13"/>
      <c r="P830" s="13"/>
      <c r="Q830" s="13"/>
      <c r="R830" s="13"/>
      <c r="S830" s="421"/>
      <c r="T830" s="421"/>
      <c r="U830" s="421"/>
      <c r="V830" s="421"/>
      <c r="W830" s="421"/>
      <c r="X830" s="421"/>
      <c r="Y830" s="421"/>
      <c r="Z830" s="421"/>
      <c r="AA830" s="421"/>
      <c r="AB830" s="421"/>
      <c r="AC830" s="421"/>
      <c r="AD830" s="421"/>
      <c r="AE830" s="421"/>
      <c r="AF830" s="421"/>
      <c r="AG830" s="421"/>
      <c r="AH830" s="421"/>
      <c r="AI830" s="421"/>
      <c r="AJ830" s="421"/>
      <c r="AK830" s="421"/>
      <c r="AL830" s="421"/>
      <c r="AM830" s="422"/>
      <c r="AN830" s="422"/>
      <c r="AO830" s="422"/>
      <c r="AP830" s="422"/>
      <c r="AQ830" s="422"/>
      <c r="AR830" s="422"/>
      <c r="AS830" s="422"/>
      <c r="AT830" s="422"/>
      <c r="AU830" s="422"/>
      <c r="AV830" s="422"/>
      <c r="AW830" s="422"/>
      <c r="AX830" s="422"/>
      <c r="AY830" s="422"/>
    </row>
    <row r="831" spans="1:51" x14ac:dyDescent="0.25">
      <c r="A831" s="3"/>
      <c r="B831" s="3"/>
      <c r="C831" s="3"/>
      <c r="D831" s="3"/>
      <c r="E831" s="3"/>
      <c r="F831" s="3"/>
      <c r="G831" s="3"/>
      <c r="H831" s="3"/>
      <c r="I831" s="3"/>
      <c r="J831" s="13"/>
      <c r="K831" s="13"/>
      <c r="L831" s="13"/>
      <c r="M831" s="13"/>
      <c r="N831" s="13"/>
      <c r="O831" s="13"/>
      <c r="P831" s="13"/>
      <c r="Q831" s="13"/>
      <c r="R831" s="13"/>
      <c r="S831" s="421"/>
      <c r="T831" s="421"/>
      <c r="U831" s="421"/>
      <c r="V831" s="421"/>
      <c r="W831" s="421"/>
      <c r="X831" s="421"/>
      <c r="Y831" s="421"/>
      <c r="Z831" s="421"/>
      <c r="AA831" s="421"/>
      <c r="AB831" s="421"/>
      <c r="AC831" s="421"/>
      <c r="AD831" s="421"/>
      <c r="AE831" s="421"/>
      <c r="AF831" s="421"/>
      <c r="AG831" s="421"/>
      <c r="AH831" s="421"/>
      <c r="AI831" s="421"/>
      <c r="AJ831" s="421"/>
      <c r="AK831" s="421"/>
      <c r="AL831" s="421"/>
      <c r="AM831" s="422"/>
      <c r="AN831" s="422"/>
      <c r="AO831" s="422"/>
      <c r="AP831" s="422"/>
      <c r="AQ831" s="422"/>
      <c r="AR831" s="422"/>
      <c r="AS831" s="422"/>
      <c r="AT831" s="422"/>
      <c r="AU831" s="422"/>
      <c r="AV831" s="422"/>
      <c r="AW831" s="422"/>
      <c r="AX831" s="422"/>
      <c r="AY831" s="422"/>
    </row>
    <row r="832" spans="1:51" x14ac:dyDescent="0.25">
      <c r="A832" s="3"/>
      <c r="B832" s="3"/>
      <c r="C832" s="3"/>
      <c r="D832" s="3"/>
      <c r="E832" s="3"/>
      <c r="F832" s="3"/>
      <c r="G832" s="3"/>
      <c r="H832" s="3"/>
      <c r="I832" s="3"/>
      <c r="J832" s="13"/>
      <c r="K832" s="13"/>
      <c r="L832" s="13"/>
      <c r="M832" s="13"/>
      <c r="N832" s="13"/>
      <c r="O832" s="13"/>
      <c r="P832" s="13"/>
      <c r="Q832" s="13"/>
      <c r="R832" s="13"/>
      <c r="S832" s="421"/>
      <c r="T832" s="421"/>
      <c r="U832" s="421"/>
      <c r="V832" s="421"/>
      <c r="W832" s="421"/>
      <c r="X832" s="421"/>
      <c r="Y832" s="421"/>
      <c r="Z832" s="421"/>
      <c r="AA832" s="421"/>
      <c r="AB832" s="421"/>
      <c r="AC832" s="421"/>
      <c r="AD832" s="421"/>
      <c r="AE832" s="421"/>
      <c r="AF832" s="421"/>
      <c r="AG832" s="421"/>
      <c r="AH832" s="421"/>
      <c r="AI832" s="421"/>
      <c r="AJ832" s="421"/>
      <c r="AK832" s="421"/>
      <c r="AL832" s="421"/>
      <c r="AM832" s="422"/>
      <c r="AN832" s="422"/>
      <c r="AO832" s="422"/>
      <c r="AP832" s="422"/>
      <c r="AQ832" s="422"/>
      <c r="AR832" s="422"/>
      <c r="AS832" s="422"/>
      <c r="AT832" s="422"/>
      <c r="AU832" s="422"/>
      <c r="AV832" s="422"/>
      <c r="AW832" s="422"/>
      <c r="AX832" s="422"/>
      <c r="AY832" s="422"/>
    </row>
    <row r="833" spans="1:51" x14ac:dyDescent="0.25">
      <c r="A833" s="3"/>
      <c r="B833" s="3"/>
      <c r="C833" s="3"/>
      <c r="D833" s="3"/>
      <c r="E833" s="3"/>
      <c r="F833" s="3"/>
      <c r="G833" s="3"/>
      <c r="H833" s="3"/>
      <c r="I833" s="3"/>
      <c r="J833" s="13"/>
      <c r="K833" s="13"/>
      <c r="L833" s="13"/>
      <c r="M833" s="13"/>
      <c r="N833" s="13"/>
      <c r="O833" s="13"/>
      <c r="P833" s="13"/>
      <c r="Q833" s="13"/>
      <c r="R833" s="13"/>
      <c r="S833" s="421"/>
      <c r="T833" s="421"/>
      <c r="U833" s="421"/>
      <c r="V833" s="421"/>
      <c r="W833" s="421"/>
      <c r="X833" s="421"/>
      <c r="Y833" s="421"/>
      <c r="Z833" s="421"/>
      <c r="AA833" s="421"/>
      <c r="AB833" s="421"/>
      <c r="AC833" s="421"/>
      <c r="AD833" s="421"/>
      <c r="AE833" s="421"/>
      <c r="AF833" s="421"/>
      <c r="AG833" s="421"/>
      <c r="AH833" s="421"/>
      <c r="AI833" s="421"/>
      <c r="AJ833" s="421"/>
      <c r="AK833" s="421"/>
      <c r="AL833" s="421"/>
      <c r="AM833" s="422"/>
      <c r="AN833" s="422"/>
      <c r="AO833" s="422"/>
      <c r="AP833" s="422"/>
      <c r="AQ833" s="422"/>
      <c r="AR833" s="422"/>
      <c r="AS833" s="422"/>
      <c r="AT833" s="422"/>
      <c r="AU833" s="422"/>
      <c r="AV833" s="422"/>
      <c r="AW833" s="422"/>
      <c r="AX833" s="422"/>
      <c r="AY833" s="422"/>
    </row>
    <row r="834" spans="1:51" x14ac:dyDescent="0.25">
      <c r="A834" s="3"/>
      <c r="B834" s="3"/>
      <c r="C834" s="3"/>
      <c r="D834" s="3"/>
      <c r="E834" s="3"/>
      <c r="F834" s="3"/>
      <c r="G834" s="3"/>
      <c r="H834" s="3"/>
      <c r="I834" s="3"/>
      <c r="J834" s="13"/>
      <c r="K834" s="13"/>
      <c r="L834" s="13"/>
      <c r="M834" s="13"/>
      <c r="N834" s="13"/>
      <c r="O834" s="13"/>
      <c r="P834" s="13"/>
      <c r="Q834" s="13"/>
      <c r="R834" s="13"/>
      <c r="S834" s="421"/>
      <c r="T834" s="421"/>
      <c r="U834" s="421"/>
      <c r="V834" s="421"/>
      <c r="W834" s="421"/>
      <c r="X834" s="421"/>
      <c r="Y834" s="421"/>
      <c r="Z834" s="421"/>
      <c r="AA834" s="421"/>
      <c r="AB834" s="421"/>
      <c r="AC834" s="421"/>
      <c r="AD834" s="421"/>
      <c r="AE834" s="421"/>
      <c r="AF834" s="421"/>
      <c r="AG834" s="421"/>
      <c r="AH834" s="421"/>
      <c r="AI834" s="421"/>
      <c r="AJ834" s="421"/>
      <c r="AK834" s="421"/>
      <c r="AL834" s="421"/>
      <c r="AM834" s="422"/>
      <c r="AN834" s="422"/>
      <c r="AO834" s="422"/>
      <c r="AP834" s="422"/>
      <c r="AQ834" s="422"/>
      <c r="AR834" s="422"/>
      <c r="AS834" s="422"/>
      <c r="AT834" s="422"/>
      <c r="AU834" s="422"/>
      <c r="AV834" s="422"/>
      <c r="AW834" s="422"/>
      <c r="AX834" s="422"/>
      <c r="AY834" s="422"/>
    </row>
    <row r="835" spans="1:51" x14ac:dyDescent="0.25">
      <c r="A835" s="3"/>
      <c r="B835" s="3"/>
      <c r="C835" s="3"/>
      <c r="D835" s="3"/>
      <c r="E835" s="3"/>
      <c r="F835" s="3"/>
      <c r="G835" s="3"/>
      <c r="H835" s="3"/>
      <c r="I835" s="3"/>
      <c r="J835" s="13"/>
      <c r="K835" s="13"/>
      <c r="L835" s="13"/>
      <c r="M835" s="13"/>
      <c r="N835" s="13"/>
      <c r="O835" s="13"/>
      <c r="P835" s="13"/>
      <c r="Q835" s="13"/>
      <c r="R835" s="13"/>
      <c r="S835" s="421"/>
      <c r="T835" s="421"/>
      <c r="U835" s="421"/>
      <c r="V835" s="421"/>
      <c r="W835" s="421"/>
      <c r="X835" s="421"/>
      <c r="Y835" s="421"/>
      <c r="Z835" s="421"/>
      <c r="AA835" s="421"/>
      <c r="AB835" s="421"/>
      <c r="AC835" s="421"/>
      <c r="AD835" s="421"/>
      <c r="AE835" s="421"/>
      <c r="AF835" s="421"/>
      <c r="AG835" s="421"/>
      <c r="AH835" s="421"/>
      <c r="AI835" s="421"/>
      <c r="AJ835" s="421"/>
      <c r="AK835" s="421"/>
      <c r="AL835" s="421"/>
      <c r="AM835" s="422"/>
      <c r="AN835" s="422"/>
      <c r="AO835" s="422"/>
      <c r="AP835" s="422"/>
      <c r="AQ835" s="422"/>
      <c r="AR835" s="422"/>
      <c r="AS835" s="422"/>
      <c r="AT835" s="422"/>
      <c r="AU835" s="422"/>
      <c r="AV835" s="422"/>
      <c r="AW835" s="422"/>
      <c r="AX835" s="422"/>
      <c r="AY835" s="422"/>
    </row>
    <row r="836" spans="1:51" x14ac:dyDescent="0.25">
      <c r="A836" s="3"/>
      <c r="B836" s="3"/>
      <c r="C836" s="3"/>
      <c r="D836" s="3"/>
      <c r="E836" s="3"/>
      <c r="F836" s="3"/>
      <c r="G836" s="3"/>
      <c r="H836" s="3"/>
      <c r="I836" s="3"/>
      <c r="J836" s="13"/>
      <c r="K836" s="13"/>
      <c r="L836" s="13"/>
      <c r="M836" s="13"/>
      <c r="N836" s="13"/>
      <c r="O836" s="13"/>
      <c r="P836" s="13"/>
      <c r="Q836" s="13"/>
      <c r="R836" s="13"/>
      <c r="S836" s="421"/>
      <c r="T836" s="421"/>
      <c r="U836" s="421"/>
      <c r="V836" s="421"/>
      <c r="W836" s="421"/>
      <c r="X836" s="421"/>
      <c r="Y836" s="421"/>
      <c r="Z836" s="421"/>
      <c r="AA836" s="421"/>
      <c r="AB836" s="421"/>
      <c r="AC836" s="421"/>
      <c r="AD836" s="421"/>
      <c r="AE836" s="421"/>
      <c r="AF836" s="421"/>
      <c r="AG836" s="421"/>
      <c r="AH836" s="421"/>
      <c r="AI836" s="421"/>
      <c r="AJ836" s="421"/>
      <c r="AK836" s="421"/>
      <c r="AL836" s="421"/>
      <c r="AM836" s="422"/>
      <c r="AN836" s="422"/>
      <c r="AO836" s="422"/>
      <c r="AP836" s="422"/>
      <c r="AQ836" s="422"/>
      <c r="AR836" s="422"/>
      <c r="AS836" s="422"/>
      <c r="AT836" s="422"/>
      <c r="AU836" s="422"/>
      <c r="AV836" s="422"/>
      <c r="AW836" s="422"/>
      <c r="AX836" s="422"/>
      <c r="AY836" s="422"/>
    </row>
    <row r="837" spans="1:51" x14ac:dyDescent="0.25">
      <c r="A837" s="3"/>
      <c r="B837" s="3"/>
      <c r="C837" s="3"/>
      <c r="D837" s="3"/>
      <c r="E837" s="3"/>
      <c r="F837" s="3"/>
      <c r="G837" s="3"/>
      <c r="H837" s="3"/>
      <c r="I837" s="3"/>
      <c r="J837" s="13"/>
      <c r="K837" s="13"/>
      <c r="L837" s="13"/>
      <c r="M837" s="13"/>
      <c r="N837" s="13"/>
      <c r="O837" s="13"/>
      <c r="P837" s="13"/>
      <c r="Q837" s="13"/>
      <c r="R837" s="13"/>
      <c r="S837" s="421"/>
      <c r="T837" s="421"/>
      <c r="U837" s="421"/>
      <c r="V837" s="421"/>
      <c r="W837" s="421"/>
      <c r="X837" s="421"/>
      <c r="Y837" s="421"/>
      <c r="Z837" s="421"/>
      <c r="AA837" s="421"/>
      <c r="AB837" s="421"/>
      <c r="AC837" s="421"/>
      <c r="AD837" s="421"/>
      <c r="AE837" s="421"/>
      <c r="AF837" s="421"/>
      <c r="AG837" s="421"/>
      <c r="AH837" s="421"/>
      <c r="AI837" s="421"/>
      <c r="AJ837" s="421"/>
      <c r="AK837" s="421"/>
      <c r="AL837" s="421"/>
      <c r="AM837" s="422"/>
      <c r="AN837" s="422"/>
      <c r="AO837" s="422"/>
      <c r="AP837" s="422"/>
      <c r="AQ837" s="422"/>
      <c r="AR837" s="422"/>
      <c r="AS837" s="422"/>
      <c r="AT837" s="422"/>
      <c r="AU837" s="422"/>
      <c r="AV837" s="422"/>
      <c r="AW837" s="422"/>
      <c r="AX837" s="422"/>
      <c r="AY837" s="422"/>
    </row>
    <row r="838" spans="1:51" x14ac:dyDescent="0.25">
      <c r="A838" s="3"/>
      <c r="B838" s="3"/>
      <c r="C838" s="3"/>
      <c r="D838" s="3"/>
      <c r="E838" s="3"/>
      <c r="F838" s="3"/>
      <c r="G838" s="3"/>
      <c r="H838" s="3"/>
      <c r="I838" s="3"/>
      <c r="J838" s="13"/>
      <c r="K838" s="13"/>
      <c r="L838" s="13"/>
      <c r="M838" s="13"/>
      <c r="N838" s="13"/>
      <c r="O838" s="13"/>
      <c r="P838" s="13"/>
      <c r="Q838" s="13"/>
      <c r="R838" s="13"/>
      <c r="S838" s="421"/>
      <c r="T838" s="421"/>
      <c r="U838" s="421"/>
      <c r="V838" s="421"/>
      <c r="W838" s="421"/>
      <c r="X838" s="421"/>
      <c r="Y838" s="421"/>
      <c r="Z838" s="421"/>
      <c r="AA838" s="421"/>
      <c r="AB838" s="421"/>
      <c r="AC838" s="421"/>
      <c r="AD838" s="421"/>
      <c r="AE838" s="421"/>
      <c r="AF838" s="421"/>
      <c r="AG838" s="421"/>
      <c r="AH838" s="421"/>
      <c r="AI838" s="421"/>
      <c r="AJ838" s="421"/>
      <c r="AK838" s="421"/>
      <c r="AL838" s="421"/>
      <c r="AM838" s="422"/>
      <c r="AN838" s="422"/>
      <c r="AO838" s="422"/>
      <c r="AP838" s="422"/>
      <c r="AQ838" s="422"/>
      <c r="AR838" s="422"/>
      <c r="AS838" s="422"/>
      <c r="AT838" s="422"/>
      <c r="AU838" s="422"/>
      <c r="AV838" s="422"/>
      <c r="AW838" s="422"/>
      <c r="AX838" s="422"/>
      <c r="AY838" s="422"/>
    </row>
    <row r="839" spans="1:51" x14ac:dyDescent="0.25">
      <c r="A839" s="3"/>
      <c r="B839" s="3"/>
      <c r="C839" s="3"/>
      <c r="D839" s="3"/>
      <c r="E839" s="3"/>
      <c r="F839" s="3"/>
      <c r="G839" s="3"/>
      <c r="H839" s="3"/>
      <c r="I839" s="3"/>
      <c r="J839" s="13"/>
      <c r="K839" s="13"/>
      <c r="L839" s="13"/>
      <c r="M839" s="13"/>
      <c r="N839" s="13"/>
      <c r="O839" s="13"/>
      <c r="P839" s="13"/>
      <c r="Q839" s="13"/>
      <c r="R839" s="13"/>
      <c r="S839" s="421"/>
      <c r="T839" s="421"/>
      <c r="U839" s="421"/>
      <c r="V839" s="421"/>
      <c r="W839" s="421"/>
      <c r="X839" s="421"/>
      <c r="Y839" s="421"/>
      <c r="Z839" s="421"/>
      <c r="AA839" s="421"/>
      <c r="AB839" s="421"/>
      <c r="AC839" s="421"/>
      <c r="AD839" s="421"/>
      <c r="AE839" s="421"/>
      <c r="AF839" s="421"/>
      <c r="AG839" s="421"/>
      <c r="AH839" s="421"/>
      <c r="AI839" s="421"/>
      <c r="AJ839" s="421"/>
      <c r="AK839" s="421"/>
      <c r="AL839" s="421"/>
      <c r="AM839" s="422"/>
      <c r="AN839" s="422"/>
      <c r="AO839" s="422"/>
      <c r="AP839" s="422"/>
      <c r="AQ839" s="422"/>
      <c r="AR839" s="422"/>
      <c r="AS839" s="422"/>
      <c r="AT839" s="422"/>
      <c r="AU839" s="422"/>
      <c r="AV839" s="422"/>
      <c r="AW839" s="422"/>
      <c r="AX839" s="422"/>
      <c r="AY839" s="422"/>
    </row>
    <row r="840" spans="1:51" x14ac:dyDescent="0.25">
      <c r="A840" s="3"/>
      <c r="B840" s="3"/>
      <c r="C840" s="3"/>
      <c r="D840" s="3"/>
      <c r="E840" s="3"/>
      <c r="F840" s="3"/>
      <c r="G840" s="3"/>
      <c r="H840" s="3"/>
      <c r="I840" s="3"/>
      <c r="J840" s="13"/>
      <c r="K840" s="13"/>
      <c r="L840" s="13"/>
      <c r="M840" s="13"/>
      <c r="N840" s="13"/>
      <c r="O840" s="13"/>
      <c r="P840" s="13"/>
      <c r="Q840" s="13"/>
      <c r="R840" s="13"/>
      <c r="S840" s="421"/>
      <c r="T840" s="421"/>
      <c r="U840" s="421"/>
      <c r="V840" s="421"/>
      <c r="W840" s="421"/>
      <c r="X840" s="421"/>
      <c r="Y840" s="421"/>
      <c r="Z840" s="421"/>
      <c r="AA840" s="421"/>
      <c r="AB840" s="421"/>
      <c r="AC840" s="421"/>
      <c r="AD840" s="421"/>
      <c r="AE840" s="421"/>
      <c r="AF840" s="421"/>
      <c r="AG840" s="421"/>
      <c r="AH840" s="421"/>
      <c r="AI840" s="421"/>
      <c r="AJ840" s="421"/>
      <c r="AK840" s="421"/>
      <c r="AL840" s="421"/>
      <c r="AM840" s="422"/>
      <c r="AN840" s="422"/>
      <c r="AO840" s="422"/>
      <c r="AP840" s="422"/>
      <c r="AQ840" s="422"/>
      <c r="AR840" s="422"/>
      <c r="AS840" s="422"/>
      <c r="AT840" s="422"/>
      <c r="AU840" s="422"/>
      <c r="AV840" s="422"/>
      <c r="AW840" s="422"/>
      <c r="AX840" s="422"/>
      <c r="AY840" s="422"/>
    </row>
    <row r="841" spans="1:51" x14ac:dyDescent="0.25">
      <c r="A841" s="3"/>
      <c r="B841" s="3"/>
      <c r="C841" s="3"/>
      <c r="D841" s="3"/>
      <c r="E841" s="3"/>
      <c r="F841" s="3"/>
      <c r="G841" s="3"/>
      <c r="H841" s="3"/>
      <c r="I841" s="3"/>
      <c r="J841" s="13"/>
      <c r="K841" s="13"/>
      <c r="L841" s="13"/>
      <c r="M841" s="13"/>
      <c r="N841" s="13"/>
      <c r="O841" s="13"/>
      <c r="P841" s="13"/>
      <c r="Q841" s="13"/>
      <c r="R841" s="13"/>
      <c r="S841" s="421"/>
      <c r="T841" s="421"/>
      <c r="U841" s="421"/>
      <c r="V841" s="421"/>
      <c r="W841" s="421"/>
      <c r="X841" s="421"/>
      <c r="Y841" s="421"/>
      <c r="Z841" s="421"/>
      <c r="AA841" s="421"/>
      <c r="AB841" s="421"/>
      <c r="AC841" s="421"/>
      <c r="AD841" s="421"/>
      <c r="AE841" s="421"/>
      <c r="AF841" s="421"/>
      <c r="AG841" s="421"/>
      <c r="AH841" s="421"/>
      <c r="AI841" s="421"/>
      <c r="AJ841" s="421"/>
      <c r="AK841" s="421"/>
      <c r="AL841" s="421"/>
      <c r="AM841" s="422"/>
      <c r="AN841" s="422"/>
      <c r="AO841" s="422"/>
      <c r="AP841" s="422"/>
      <c r="AQ841" s="422"/>
      <c r="AR841" s="422"/>
      <c r="AS841" s="422"/>
      <c r="AT841" s="422"/>
      <c r="AU841" s="422"/>
      <c r="AV841" s="422"/>
      <c r="AW841" s="422"/>
      <c r="AX841" s="422"/>
      <c r="AY841" s="422"/>
    </row>
    <row r="842" spans="1:51" x14ac:dyDescent="0.25">
      <c r="A842" s="3"/>
      <c r="B842" s="3"/>
      <c r="C842" s="3"/>
      <c r="D842" s="3"/>
      <c r="E842" s="3"/>
      <c r="F842" s="3"/>
      <c r="G842" s="3"/>
      <c r="H842" s="3"/>
      <c r="I842" s="3"/>
      <c r="J842" s="13"/>
      <c r="K842" s="13"/>
      <c r="L842" s="13"/>
      <c r="M842" s="13"/>
      <c r="N842" s="13"/>
      <c r="O842" s="13"/>
      <c r="P842" s="13"/>
      <c r="Q842" s="13"/>
      <c r="R842" s="13"/>
      <c r="S842" s="421"/>
      <c r="T842" s="421"/>
      <c r="U842" s="421"/>
      <c r="V842" s="421"/>
      <c r="W842" s="421"/>
      <c r="X842" s="421"/>
      <c r="Y842" s="421"/>
      <c r="Z842" s="421"/>
      <c r="AA842" s="421"/>
      <c r="AB842" s="421"/>
      <c r="AC842" s="421"/>
      <c r="AD842" s="421"/>
      <c r="AE842" s="421"/>
      <c r="AF842" s="421"/>
      <c r="AG842" s="421"/>
      <c r="AH842" s="421"/>
      <c r="AI842" s="421"/>
      <c r="AJ842" s="421"/>
      <c r="AK842" s="421"/>
      <c r="AL842" s="421"/>
      <c r="AM842" s="422"/>
      <c r="AN842" s="422"/>
      <c r="AO842" s="422"/>
      <c r="AP842" s="422"/>
      <c r="AQ842" s="422"/>
      <c r="AR842" s="422"/>
      <c r="AS842" s="422"/>
      <c r="AT842" s="422"/>
      <c r="AU842" s="422"/>
      <c r="AV842" s="422"/>
      <c r="AW842" s="422"/>
      <c r="AX842" s="422"/>
      <c r="AY842" s="422"/>
    </row>
    <row r="843" spans="1:51" x14ac:dyDescent="0.25">
      <c r="A843" s="3"/>
      <c r="B843" s="3"/>
      <c r="C843" s="3"/>
      <c r="D843" s="3"/>
      <c r="E843" s="3"/>
      <c r="F843" s="3"/>
      <c r="G843" s="3"/>
      <c r="H843" s="3"/>
      <c r="I843" s="3"/>
      <c r="J843" s="13"/>
      <c r="K843" s="13"/>
      <c r="L843" s="13"/>
      <c r="M843" s="13"/>
      <c r="N843" s="13"/>
      <c r="O843" s="13"/>
      <c r="P843" s="13"/>
      <c r="Q843" s="13"/>
      <c r="R843" s="13"/>
      <c r="S843" s="421"/>
      <c r="T843" s="421"/>
      <c r="U843" s="421"/>
      <c r="V843" s="421"/>
      <c r="W843" s="421"/>
      <c r="X843" s="421"/>
      <c r="Y843" s="421"/>
      <c r="Z843" s="421"/>
      <c r="AA843" s="421"/>
      <c r="AB843" s="421"/>
      <c r="AC843" s="421"/>
      <c r="AD843" s="421"/>
      <c r="AE843" s="421"/>
      <c r="AF843" s="421"/>
      <c r="AG843" s="421"/>
      <c r="AH843" s="421"/>
      <c r="AI843" s="421"/>
      <c r="AJ843" s="421"/>
      <c r="AK843" s="421"/>
      <c r="AL843" s="421"/>
      <c r="AM843" s="422"/>
      <c r="AN843" s="422"/>
      <c r="AO843" s="422"/>
      <c r="AP843" s="422"/>
      <c r="AQ843" s="422"/>
      <c r="AR843" s="422"/>
      <c r="AS843" s="422"/>
      <c r="AT843" s="422"/>
      <c r="AU843" s="422"/>
      <c r="AV843" s="422"/>
      <c r="AW843" s="422"/>
      <c r="AX843" s="422"/>
      <c r="AY843" s="422"/>
    </row>
    <row r="844" spans="1:51" x14ac:dyDescent="0.25">
      <c r="A844" s="3"/>
      <c r="B844" s="3"/>
      <c r="C844" s="3"/>
      <c r="D844" s="3"/>
      <c r="E844" s="3"/>
      <c r="F844" s="3"/>
      <c r="G844" s="3"/>
      <c r="H844" s="3"/>
      <c r="I844" s="3"/>
      <c r="J844" s="13"/>
      <c r="K844" s="13"/>
      <c r="L844" s="13"/>
      <c r="M844" s="13"/>
      <c r="N844" s="13"/>
      <c r="O844" s="13"/>
      <c r="P844" s="13"/>
      <c r="Q844" s="13"/>
      <c r="R844" s="13"/>
      <c r="S844" s="421"/>
      <c r="T844" s="421"/>
      <c r="U844" s="421"/>
      <c r="V844" s="421"/>
      <c r="W844" s="421"/>
      <c r="X844" s="421"/>
      <c r="Y844" s="421"/>
      <c r="Z844" s="421"/>
      <c r="AA844" s="421"/>
      <c r="AB844" s="421"/>
      <c r="AC844" s="421"/>
      <c r="AD844" s="421"/>
      <c r="AE844" s="421"/>
      <c r="AF844" s="421"/>
      <c r="AG844" s="421"/>
      <c r="AH844" s="421"/>
      <c r="AI844" s="421"/>
      <c r="AJ844" s="421"/>
      <c r="AK844" s="421"/>
      <c r="AL844" s="421"/>
      <c r="AM844" s="422"/>
      <c r="AN844" s="422"/>
      <c r="AO844" s="422"/>
      <c r="AP844" s="422"/>
      <c r="AQ844" s="422"/>
      <c r="AR844" s="422"/>
      <c r="AS844" s="422"/>
      <c r="AT844" s="422"/>
      <c r="AU844" s="422"/>
      <c r="AV844" s="422"/>
      <c r="AW844" s="422"/>
      <c r="AX844" s="422"/>
      <c r="AY844" s="422"/>
    </row>
    <row r="845" spans="1:51" x14ac:dyDescent="0.25">
      <c r="A845" s="3"/>
      <c r="B845" s="3"/>
      <c r="C845" s="3"/>
      <c r="D845" s="3"/>
      <c r="E845" s="3"/>
      <c r="F845" s="3"/>
      <c r="G845" s="3"/>
      <c r="H845" s="3"/>
      <c r="I845" s="3"/>
      <c r="J845" s="13"/>
      <c r="K845" s="13"/>
      <c r="L845" s="13"/>
      <c r="M845" s="13"/>
      <c r="N845" s="13"/>
      <c r="O845" s="13"/>
      <c r="P845" s="13"/>
      <c r="Q845" s="13"/>
      <c r="R845" s="13"/>
      <c r="S845" s="421"/>
      <c r="T845" s="421"/>
      <c r="U845" s="421"/>
      <c r="V845" s="421"/>
      <c r="W845" s="421"/>
      <c r="X845" s="421"/>
      <c r="Y845" s="421"/>
      <c r="Z845" s="421"/>
      <c r="AA845" s="421"/>
      <c r="AB845" s="421"/>
      <c r="AC845" s="421"/>
      <c r="AD845" s="421"/>
      <c r="AE845" s="421"/>
      <c r="AF845" s="421"/>
      <c r="AG845" s="421"/>
      <c r="AH845" s="421"/>
      <c r="AI845" s="421"/>
      <c r="AJ845" s="421"/>
      <c r="AK845" s="421"/>
      <c r="AL845" s="421"/>
      <c r="AM845" s="422"/>
      <c r="AN845" s="422"/>
      <c r="AO845" s="422"/>
      <c r="AP845" s="422"/>
      <c r="AQ845" s="422"/>
      <c r="AR845" s="422"/>
      <c r="AS845" s="422"/>
      <c r="AT845" s="422"/>
      <c r="AU845" s="422"/>
      <c r="AV845" s="422"/>
      <c r="AW845" s="422"/>
      <c r="AX845" s="422"/>
      <c r="AY845" s="422"/>
    </row>
    <row r="846" spans="1:51" x14ac:dyDescent="0.25">
      <c r="A846" s="3"/>
      <c r="B846" s="3"/>
      <c r="C846" s="3"/>
      <c r="D846" s="3"/>
      <c r="E846" s="3"/>
      <c r="F846" s="3"/>
      <c r="G846" s="3"/>
      <c r="H846" s="3"/>
      <c r="I846" s="3"/>
      <c r="J846" s="13"/>
      <c r="K846" s="13"/>
      <c r="L846" s="13"/>
      <c r="M846" s="13"/>
      <c r="N846" s="13"/>
      <c r="O846" s="13"/>
      <c r="P846" s="13"/>
      <c r="Q846" s="13"/>
      <c r="R846" s="13"/>
      <c r="S846" s="421"/>
      <c r="T846" s="421"/>
      <c r="U846" s="421"/>
      <c r="V846" s="421"/>
      <c r="W846" s="421"/>
      <c r="X846" s="421"/>
      <c r="Y846" s="421"/>
      <c r="Z846" s="421"/>
      <c r="AA846" s="421"/>
      <c r="AB846" s="421"/>
      <c r="AC846" s="421"/>
      <c r="AD846" s="421"/>
      <c r="AE846" s="421"/>
      <c r="AF846" s="421"/>
      <c r="AG846" s="421"/>
      <c r="AH846" s="421"/>
      <c r="AI846" s="421"/>
      <c r="AJ846" s="421"/>
      <c r="AK846" s="421"/>
      <c r="AL846" s="421"/>
      <c r="AM846" s="422"/>
      <c r="AN846" s="422"/>
      <c r="AO846" s="422"/>
      <c r="AP846" s="422"/>
      <c r="AQ846" s="422"/>
      <c r="AR846" s="422"/>
      <c r="AS846" s="422"/>
      <c r="AT846" s="422"/>
      <c r="AU846" s="422"/>
      <c r="AV846" s="422"/>
      <c r="AW846" s="422"/>
      <c r="AX846" s="422"/>
      <c r="AY846" s="422"/>
    </row>
    <row r="847" spans="1:51" x14ac:dyDescent="0.25">
      <c r="A847" s="3"/>
      <c r="B847" s="3"/>
      <c r="C847" s="3"/>
      <c r="D847" s="3"/>
      <c r="E847" s="3"/>
      <c r="F847" s="3"/>
      <c r="G847" s="3"/>
      <c r="H847" s="3"/>
      <c r="I847" s="3"/>
      <c r="J847" s="13"/>
      <c r="K847" s="13"/>
      <c r="L847" s="13"/>
      <c r="M847" s="13"/>
      <c r="N847" s="13"/>
      <c r="O847" s="13"/>
      <c r="P847" s="13"/>
      <c r="Q847" s="13"/>
      <c r="R847" s="13"/>
      <c r="S847" s="421"/>
      <c r="T847" s="421"/>
      <c r="U847" s="421"/>
      <c r="V847" s="421"/>
      <c r="W847" s="421"/>
      <c r="X847" s="421"/>
      <c r="Y847" s="421"/>
      <c r="Z847" s="421"/>
      <c r="AA847" s="421"/>
      <c r="AB847" s="421"/>
      <c r="AC847" s="421"/>
      <c r="AD847" s="421"/>
      <c r="AE847" s="421"/>
      <c r="AF847" s="421"/>
      <c r="AG847" s="421"/>
      <c r="AH847" s="421"/>
      <c r="AI847" s="421"/>
      <c r="AJ847" s="421"/>
      <c r="AK847" s="421"/>
      <c r="AL847" s="421"/>
      <c r="AM847" s="422"/>
      <c r="AN847" s="422"/>
      <c r="AO847" s="422"/>
      <c r="AP847" s="422"/>
      <c r="AQ847" s="422"/>
      <c r="AR847" s="422"/>
      <c r="AS847" s="422"/>
      <c r="AT847" s="422"/>
      <c r="AU847" s="422"/>
      <c r="AV847" s="422"/>
      <c r="AW847" s="422"/>
      <c r="AX847" s="422"/>
      <c r="AY847" s="422"/>
    </row>
    <row r="848" spans="1:51" x14ac:dyDescent="0.25">
      <c r="A848" s="3"/>
      <c r="B848" s="3"/>
      <c r="C848" s="3"/>
      <c r="D848" s="3"/>
      <c r="E848" s="3"/>
      <c r="F848" s="3"/>
      <c r="G848" s="3"/>
      <c r="H848" s="3"/>
      <c r="I848" s="3"/>
      <c r="J848" s="13"/>
      <c r="K848" s="13"/>
      <c r="L848" s="13"/>
      <c r="M848" s="13"/>
      <c r="N848" s="13"/>
      <c r="O848" s="13"/>
      <c r="P848" s="13"/>
      <c r="Q848" s="13"/>
      <c r="R848" s="13"/>
      <c r="S848" s="421"/>
      <c r="T848" s="421"/>
      <c r="U848" s="421"/>
      <c r="V848" s="421"/>
      <c r="W848" s="421"/>
      <c r="X848" s="421"/>
      <c r="Y848" s="421"/>
      <c r="Z848" s="421"/>
      <c r="AA848" s="421"/>
      <c r="AB848" s="421"/>
      <c r="AC848" s="421"/>
      <c r="AD848" s="421"/>
      <c r="AE848" s="421"/>
      <c r="AF848" s="421"/>
      <c r="AG848" s="421"/>
      <c r="AH848" s="421"/>
      <c r="AI848" s="421"/>
      <c r="AJ848" s="421"/>
      <c r="AK848" s="421"/>
      <c r="AL848" s="421"/>
      <c r="AM848" s="422"/>
      <c r="AN848" s="422"/>
      <c r="AO848" s="422"/>
      <c r="AP848" s="422"/>
      <c r="AQ848" s="422"/>
      <c r="AR848" s="422"/>
      <c r="AS848" s="422"/>
      <c r="AT848" s="422"/>
      <c r="AU848" s="422"/>
      <c r="AV848" s="422"/>
      <c r="AW848" s="422"/>
      <c r="AX848" s="422"/>
      <c r="AY848" s="422"/>
    </row>
    <row r="849" spans="1:51" x14ac:dyDescent="0.25">
      <c r="A849" s="3"/>
      <c r="B849" s="3"/>
      <c r="C849" s="3"/>
      <c r="D849" s="3"/>
      <c r="E849" s="3"/>
      <c r="F849" s="3"/>
      <c r="G849" s="3"/>
      <c r="H849" s="3"/>
      <c r="I849" s="3"/>
      <c r="J849" s="13"/>
      <c r="K849" s="13"/>
      <c r="L849" s="13"/>
      <c r="M849" s="13"/>
      <c r="N849" s="13"/>
      <c r="O849" s="13"/>
      <c r="P849" s="13"/>
      <c r="Q849" s="13"/>
      <c r="R849" s="13"/>
      <c r="S849" s="421"/>
      <c r="T849" s="421"/>
      <c r="U849" s="421"/>
      <c r="V849" s="421"/>
      <c r="W849" s="421"/>
      <c r="X849" s="421"/>
      <c r="Y849" s="421"/>
      <c r="Z849" s="421"/>
      <c r="AA849" s="421"/>
      <c r="AB849" s="421"/>
      <c r="AC849" s="421"/>
      <c r="AD849" s="421"/>
      <c r="AE849" s="421"/>
      <c r="AF849" s="421"/>
      <c r="AG849" s="421"/>
      <c r="AH849" s="421"/>
      <c r="AI849" s="421"/>
      <c r="AJ849" s="421"/>
      <c r="AK849" s="421"/>
      <c r="AL849" s="421"/>
      <c r="AM849" s="422"/>
      <c r="AN849" s="422"/>
      <c r="AO849" s="422"/>
      <c r="AP849" s="422"/>
      <c r="AQ849" s="422"/>
      <c r="AR849" s="422"/>
      <c r="AS849" s="422"/>
      <c r="AT849" s="422"/>
      <c r="AU849" s="422"/>
      <c r="AV849" s="422"/>
      <c r="AW849" s="422"/>
      <c r="AX849" s="422"/>
      <c r="AY849" s="422"/>
    </row>
    <row r="850" spans="1:51" x14ac:dyDescent="0.25">
      <c r="A850" s="3"/>
      <c r="B850" s="3"/>
      <c r="C850" s="3"/>
      <c r="D850" s="3"/>
      <c r="E850" s="3"/>
      <c r="F850" s="3"/>
      <c r="G850" s="3"/>
      <c r="H850" s="3"/>
      <c r="I850" s="3"/>
      <c r="J850" s="13"/>
      <c r="K850" s="13"/>
      <c r="L850" s="13"/>
      <c r="M850" s="13"/>
      <c r="N850" s="13"/>
      <c r="O850" s="13"/>
      <c r="P850" s="13"/>
      <c r="Q850" s="13"/>
      <c r="R850" s="13"/>
      <c r="S850" s="421"/>
      <c r="T850" s="421"/>
      <c r="U850" s="421"/>
      <c r="V850" s="421"/>
      <c r="W850" s="421"/>
      <c r="X850" s="421"/>
      <c r="Y850" s="421"/>
      <c r="Z850" s="421"/>
      <c r="AA850" s="421"/>
      <c r="AB850" s="421"/>
      <c r="AC850" s="421"/>
      <c r="AD850" s="421"/>
      <c r="AE850" s="421"/>
      <c r="AF850" s="421"/>
      <c r="AG850" s="421"/>
      <c r="AH850" s="421"/>
      <c r="AI850" s="421"/>
      <c r="AJ850" s="421"/>
      <c r="AK850" s="421"/>
      <c r="AL850" s="421"/>
      <c r="AM850" s="422"/>
      <c r="AN850" s="422"/>
      <c r="AO850" s="422"/>
      <c r="AP850" s="422"/>
      <c r="AQ850" s="422"/>
      <c r="AR850" s="422"/>
      <c r="AS850" s="422"/>
      <c r="AT850" s="422"/>
      <c r="AU850" s="422"/>
      <c r="AV850" s="422"/>
      <c r="AW850" s="422"/>
      <c r="AX850" s="422"/>
      <c r="AY850" s="422"/>
    </row>
    <row r="851" spans="1:51" x14ac:dyDescent="0.25">
      <c r="A851" s="3"/>
      <c r="B851" s="3"/>
      <c r="C851" s="3"/>
      <c r="D851" s="3"/>
      <c r="E851" s="3"/>
      <c r="F851" s="3"/>
      <c r="G851" s="3"/>
      <c r="H851" s="3"/>
      <c r="I851" s="3"/>
      <c r="J851" s="13"/>
      <c r="K851" s="13"/>
      <c r="L851" s="13"/>
      <c r="M851" s="13"/>
      <c r="N851" s="13"/>
      <c r="O851" s="13"/>
      <c r="P851" s="13"/>
      <c r="Q851" s="13"/>
      <c r="R851" s="13"/>
      <c r="S851" s="421"/>
      <c r="T851" s="421"/>
      <c r="U851" s="421"/>
      <c r="V851" s="421"/>
      <c r="W851" s="421"/>
      <c r="X851" s="421"/>
      <c r="Y851" s="421"/>
      <c r="Z851" s="421"/>
      <c r="AA851" s="421"/>
      <c r="AB851" s="421"/>
      <c r="AC851" s="421"/>
      <c r="AD851" s="421"/>
      <c r="AE851" s="421"/>
      <c r="AF851" s="421"/>
      <c r="AG851" s="421"/>
      <c r="AH851" s="421"/>
      <c r="AI851" s="421"/>
      <c r="AJ851" s="421"/>
      <c r="AK851" s="421"/>
      <c r="AL851" s="421"/>
      <c r="AM851" s="422"/>
      <c r="AN851" s="422"/>
      <c r="AO851" s="422"/>
      <c r="AP851" s="422"/>
      <c r="AQ851" s="422"/>
      <c r="AR851" s="422"/>
      <c r="AS851" s="422"/>
      <c r="AT851" s="422"/>
      <c r="AU851" s="422"/>
      <c r="AV851" s="422"/>
      <c r="AW851" s="422"/>
      <c r="AX851" s="422"/>
      <c r="AY851" s="422"/>
    </row>
    <row r="852" spans="1:51" x14ac:dyDescent="0.25">
      <c r="A852" s="3"/>
      <c r="B852" s="3"/>
      <c r="C852" s="3"/>
      <c r="D852" s="3"/>
      <c r="E852" s="3"/>
      <c r="F852" s="3"/>
      <c r="G852" s="3"/>
      <c r="H852" s="3"/>
      <c r="I852" s="3"/>
      <c r="J852" s="13"/>
      <c r="K852" s="13"/>
      <c r="L852" s="13"/>
      <c r="M852" s="13"/>
      <c r="N852" s="13"/>
      <c r="O852" s="13"/>
      <c r="P852" s="13"/>
      <c r="Q852" s="13"/>
      <c r="R852" s="13"/>
      <c r="S852" s="421"/>
      <c r="T852" s="421"/>
      <c r="U852" s="421"/>
      <c r="V852" s="421"/>
      <c r="W852" s="421"/>
      <c r="X852" s="421"/>
      <c r="Y852" s="421"/>
      <c r="Z852" s="421"/>
      <c r="AA852" s="421"/>
      <c r="AB852" s="421"/>
      <c r="AC852" s="421"/>
      <c r="AD852" s="421"/>
      <c r="AE852" s="421"/>
      <c r="AF852" s="421"/>
      <c r="AG852" s="421"/>
      <c r="AH852" s="421"/>
      <c r="AI852" s="421"/>
      <c r="AJ852" s="421"/>
      <c r="AK852" s="421"/>
      <c r="AL852" s="421"/>
      <c r="AM852" s="422"/>
      <c r="AN852" s="422"/>
      <c r="AO852" s="422"/>
      <c r="AP852" s="422"/>
      <c r="AQ852" s="422"/>
      <c r="AR852" s="422"/>
      <c r="AS852" s="422"/>
      <c r="AT852" s="422"/>
      <c r="AU852" s="422"/>
      <c r="AV852" s="422"/>
      <c r="AW852" s="422"/>
      <c r="AX852" s="422"/>
      <c r="AY852" s="422"/>
    </row>
    <row r="853" spans="1:51" x14ac:dyDescent="0.25">
      <c r="A853" s="3"/>
      <c r="B853" s="3"/>
      <c r="C853" s="3"/>
      <c r="D853" s="3"/>
      <c r="E853" s="3"/>
      <c r="F853" s="3"/>
      <c r="G853" s="3"/>
      <c r="H853" s="3"/>
      <c r="I853" s="3"/>
      <c r="J853" s="13"/>
      <c r="K853" s="13"/>
      <c r="L853" s="13"/>
      <c r="M853" s="13"/>
      <c r="N853" s="13"/>
      <c r="O853" s="13"/>
      <c r="P853" s="13"/>
      <c r="Q853" s="13"/>
      <c r="R853" s="13"/>
      <c r="S853" s="421"/>
      <c r="T853" s="421"/>
      <c r="U853" s="421"/>
      <c r="V853" s="421"/>
      <c r="W853" s="421"/>
      <c r="X853" s="421"/>
      <c r="Y853" s="421"/>
      <c r="Z853" s="421"/>
      <c r="AA853" s="421"/>
      <c r="AB853" s="421"/>
      <c r="AC853" s="421"/>
      <c r="AD853" s="421"/>
      <c r="AE853" s="421"/>
      <c r="AF853" s="421"/>
      <c r="AG853" s="421"/>
      <c r="AH853" s="421"/>
      <c r="AI853" s="421"/>
      <c r="AJ853" s="421"/>
      <c r="AK853" s="421"/>
      <c r="AL853" s="421"/>
      <c r="AM853" s="422"/>
      <c r="AN853" s="422"/>
      <c r="AO853" s="422"/>
      <c r="AP853" s="422"/>
      <c r="AQ853" s="422"/>
      <c r="AR853" s="422"/>
      <c r="AS853" s="422"/>
      <c r="AT853" s="422"/>
      <c r="AU853" s="422"/>
      <c r="AV853" s="422"/>
      <c r="AW853" s="422"/>
      <c r="AX853" s="422"/>
      <c r="AY853" s="422"/>
    </row>
    <row r="854" spans="1:51" x14ac:dyDescent="0.25">
      <c r="A854" s="3"/>
      <c r="B854" s="3"/>
      <c r="C854" s="3"/>
      <c r="D854" s="3"/>
      <c r="E854" s="3"/>
      <c r="F854" s="3"/>
      <c r="G854" s="3"/>
      <c r="H854" s="3"/>
      <c r="I854" s="3"/>
      <c r="J854" s="13"/>
      <c r="K854" s="13"/>
      <c r="L854" s="13"/>
      <c r="M854" s="13"/>
      <c r="N854" s="13"/>
      <c r="O854" s="13"/>
      <c r="P854" s="13"/>
      <c r="Q854" s="13"/>
      <c r="R854" s="13"/>
      <c r="S854" s="421"/>
      <c r="T854" s="421"/>
      <c r="U854" s="421"/>
      <c r="V854" s="421"/>
      <c r="W854" s="421"/>
      <c r="X854" s="421"/>
      <c r="Y854" s="421"/>
      <c r="Z854" s="421"/>
      <c r="AA854" s="421"/>
      <c r="AB854" s="421"/>
      <c r="AC854" s="421"/>
      <c r="AD854" s="421"/>
      <c r="AE854" s="421"/>
      <c r="AF854" s="421"/>
      <c r="AG854" s="421"/>
      <c r="AH854" s="421"/>
      <c r="AI854" s="421"/>
      <c r="AJ854" s="421"/>
      <c r="AK854" s="421"/>
      <c r="AL854" s="421"/>
      <c r="AM854" s="422"/>
      <c r="AN854" s="422"/>
      <c r="AO854" s="422"/>
      <c r="AP854" s="422"/>
      <c r="AQ854" s="422"/>
      <c r="AR854" s="422"/>
      <c r="AS854" s="422"/>
      <c r="AT854" s="422"/>
      <c r="AU854" s="422"/>
      <c r="AV854" s="422"/>
      <c r="AW854" s="422"/>
      <c r="AX854" s="422"/>
      <c r="AY854" s="422"/>
    </row>
    <row r="855" spans="1:51" x14ac:dyDescent="0.25">
      <c r="A855" s="3"/>
      <c r="B855" s="3"/>
      <c r="C855" s="3"/>
      <c r="D855" s="3"/>
      <c r="E855" s="3"/>
      <c r="F855" s="3"/>
      <c r="G855" s="3"/>
      <c r="H855" s="3"/>
      <c r="I855" s="3"/>
      <c r="J855" s="13"/>
      <c r="K855" s="13"/>
      <c r="L855" s="13"/>
      <c r="M855" s="13"/>
      <c r="N855" s="13"/>
      <c r="O855" s="13"/>
      <c r="P855" s="13"/>
      <c r="Q855" s="13"/>
      <c r="R855" s="13"/>
      <c r="S855" s="421"/>
      <c r="T855" s="421"/>
      <c r="U855" s="421"/>
      <c r="V855" s="421"/>
      <c r="W855" s="421"/>
      <c r="X855" s="421"/>
      <c r="Y855" s="421"/>
      <c r="Z855" s="421"/>
      <c r="AA855" s="421"/>
      <c r="AB855" s="421"/>
      <c r="AC855" s="421"/>
      <c r="AD855" s="421"/>
      <c r="AE855" s="421"/>
      <c r="AF855" s="421"/>
      <c r="AG855" s="421"/>
      <c r="AH855" s="421"/>
      <c r="AI855" s="421"/>
      <c r="AJ855" s="421"/>
      <c r="AK855" s="421"/>
      <c r="AL855" s="421"/>
      <c r="AM855" s="422"/>
      <c r="AN855" s="422"/>
      <c r="AO855" s="422"/>
      <c r="AP855" s="422"/>
      <c r="AQ855" s="422"/>
      <c r="AR855" s="422"/>
      <c r="AS855" s="422"/>
      <c r="AT855" s="422"/>
      <c r="AU855" s="422"/>
      <c r="AV855" s="422"/>
      <c r="AW855" s="422"/>
      <c r="AX855" s="422"/>
      <c r="AY855" s="422"/>
    </row>
    <row r="856" spans="1:51" x14ac:dyDescent="0.25">
      <c r="A856" s="3"/>
      <c r="B856" s="3"/>
      <c r="C856" s="3"/>
      <c r="D856" s="3"/>
      <c r="E856" s="3"/>
      <c r="F856" s="3"/>
      <c r="G856" s="3"/>
      <c r="H856" s="3"/>
      <c r="I856" s="3"/>
      <c r="J856" s="13"/>
      <c r="K856" s="13"/>
      <c r="L856" s="13"/>
      <c r="M856" s="13"/>
      <c r="N856" s="13"/>
      <c r="O856" s="13"/>
      <c r="P856" s="13"/>
      <c r="Q856" s="13"/>
      <c r="R856" s="13"/>
      <c r="S856" s="421"/>
      <c r="T856" s="421"/>
      <c r="U856" s="421"/>
      <c r="V856" s="421"/>
      <c r="W856" s="421"/>
      <c r="X856" s="421"/>
      <c r="Y856" s="421"/>
      <c r="Z856" s="421"/>
      <c r="AA856" s="421"/>
      <c r="AB856" s="421"/>
      <c r="AC856" s="421"/>
      <c r="AD856" s="421"/>
      <c r="AE856" s="421"/>
      <c r="AF856" s="421"/>
      <c r="AG856" s="421"/>
      <c r="AH856" s="421"/>
      <c r="AI856" s="421"/>
      <c r="AJ856" s="421"/>
      <c r="AK856" s="421"/>
      <c r="AL856" s="421"/>
      <c r="AM856" s="422"/>
      <c r="AN856" s="422"/>
      <c r="AO856" s="422"/>
      <c r="AP856" s="422"/>
      <c r="AQ856" s="422"/>
      <c r="AR856" s="422"/>
      <c r="AS856" s="422"/>
      <c r="AT856" s="422"/>
      <c r="AU856" s="422"/>
      <c r="AV856" s="422"/>
      <c r="AW856" s="422"/>
      <c r="AX856" s="422"/>
      <c r="AY856" s="422"/>
    </row>
    <row r="857" spans="1:51" x14ac:dyDescent="0.25">
      <c r="A857" s="3"/>
      <c r="B857" s="3"/>
      <c r="C857" s="3"/>
      <c r="D857" s="3"/>
      <c r="E857" s="3"/>
      <c r="F857" s="3"/>
      <c r="G857" s="3"/>
      <c r="H857" s="3"/>
      <c r="I857" s="3"/>
      <c r="J857" s="13"/>
      <c r="K857" s="13"/>
      <c r="L857" s="13"/>
      <c r="M857" s="13"/>
      <c r="N857" s="13"/>
      <c r="O857" s="13"/>
      <c r="P857" s="13"/>
      <c r="Q857" s="13"/>
      <c r="R857" s="13"/>
      <c r="S857" s="421"/>
      <c r="T857" s="421"/>
      <c r="U857" s="421"/>
      <c r="V857" s="421"/>
      <c r="W857" s="421"/>
      <c r="X857" s="421"/>
      <c r="Y857" s="421"/>
      <c r="Z857" s="421"/>
      <c r="AA857" s="421"/>
      <c r="AB857" s="421"/>
      <c r="AC857" s="421"/>
      <c r="AD857" s="421"/>
      <c r="AE857" s="421"/>
      <c r="AF857" s="421"/>
      <c r="AG857" s="421"/>
      <c r="AH857" s="421"/>
      <c r="AI857" s="421"/>
      <c r="AJ857" s="421"/>
      <c r="AK857" s="421"/>
      <c r="AL857" s="421"/>
      <c r="AM857" s="422"/>
      <c r="AN857" s="422"/>
      <c r="AO857" s="422"/>
      <c r="AP857" s="422"/>
      <c r="AQ857" s="422"/>
      <c r="AR857" s="422"/>
      <c r="AS857" s="422"/>
      <c r="AT857" s="422"/>
      <c r="AU857" s="422"/>
      <c r="AV857" s="422"/>
      <c r="AW857" s="422"/>
      <c r="AX857" s="422"/>
      <c r="AY857" s="422"/>
    </row>
    <row r="858" spans="1:51" x14ac:dyDescent="0.25">
      <c r="A858" s="3"/>
      <c r="B858" s="3"/>
      <c r="C858" s="3"/>
      <c r="D858" s="3"/>
      <c r="E858" s="3"/>
      <c r="F858" s="3"/>
      <c r="G858" s="3"/>
      <c r="H858" s="3"/>
      <c r="I858" s="3"/>
      <c r="J858" s="13"/>
      <c r="K858" s="13"/>
      <c r="L858" s="13"/>
      <c r="M858" s="13"/>
      <c r="N858" s="13"/>
      <c r="O858" s="13"/>
      <c r="P858" s="13"/>
      <c r="Q858" s="13"/>
      <c r="R858" s="13"/>
      <c r="S858" s="421"/>
      <c r="T858" s="421"/>
      <c r="U858" s="421"/>
      <c r="V858" s="421"/>
      <c r="W858" s="421"/>
      <c r="X858" s="421"/>
      <c r="Y858" s="421"/>
      <c r="Z858" s="421"/>
      <c r="AA858" s="421"/>
      <c r="AB858" s="421"/>
      <c r="AC858" s="421"/>
      <c r="AD858" s="421"/>
      <c r="AE858" s="421"/>
      <c r="AF858" s="421"/>
      <c r="AG858" s="421"/>
      <c r="AH858" s="421"/>
      <c r="AI858" s="421"/>
      <c r="AJ858" s="421"/>
      <c r="AK858" s="421"/>
      <c r="AL858" s="421"/>
      <c r="AM858" s="422"/>
      <c r="AN858" s="422"/>
      <c r="AO858" s="422"/>
      <c r="AP858" s="422"/>
      <c r="AQ858" s="422"/>
      <c r="AR858" s="422"/>
      <c r="AS858" s="422"/>
      <c r="AT858" s="422"/>
      <c r="AU858" s="422"/>
      <c r="AV858" s="422"/>
      <c r="AW858" s="422"/>
      <c r="AX858" s="422"/>
      <c r="AY858" s="422"/>
    </row>
    <row r="859" spans="1:51" x14ac:dyDescent="0.25">
      <c r="A859" s="3"/>
      <c r="B859" s="3"/>
      <c r="C859" s="3"/>
      <c r="D859" s="3"/>
      <c r="E859" s="3"/>
      <c r="F859" s="3"/>
      <c r="G859" s="3"/>
      <c r="H859" s="3"/>
      <c r="I859" s="3"/>
      <c r="J859" s="13"/>
      <c r="K859" s="13"/>
      <c r="L859" s="13"/>
      <c r="M859" s="13"/>
      <c r="N859" s="13"/>
      <c r="O859" s="13"/>
      <c r="P859" s="13"/>
      <c r="Q859" s="13"/>
      <c r="R859" s="13"/>
      <c r="S859" s="421"/>
      <c r="T859" s="421"/>
      <c r="U859" s="421"/>
      <c r="V859" s="421"/>
      <c r="W859" s="421"/>
      <c r="X859" s="421"/>
      <c r="Y859" s="421"/>
      <c r="Z859" s="421"/>
      <c r="AA859" s="421"/>
      <c r="AB859" s="421"/>
      <c r="AC859" s="421"/>
      <c r="AD859" s="421"/>
      <c r="AE859" s="421"/>
      <c r="AF859" s="421"/>
      <c r="AG859" s="421"/>
      <c r="AH859" s="421"/>
      <c r="AI859" s="421"/>
      <c r="AJ859" s="421"/>
      <c r="AK859" s="421"/>
      <c r="AL859" s="421"/>
      <c r="AM859" s="422"/>
      <c r="AN859" s="422"/>
      <c r="AO859" s="422"/>
      <c r="AP859" s="422"/>
      <c r="AQ859" s="422"/>
      <c r="AR859" s="422"/>
      <c r="AS859" s="422"/>
      <c r="AT859" s="422"/>
      <c r="AU859" s="422"/>
      <c r="AV859" s="422"/>
      <c r="AW859" s="422"/>
      <c r="AX859" s="422"/>
      <c r="AY859" s="422"/>
    </row>
    <row r="860" spans="1:51" x14ac:dyDescent="0.25">
      <c r="A860" s="3"/>
      <c r="B860" s="3"/>
      <c r="C860" s="3"/>
      <c r="D860" s="3"/>
      <c r="E860" s="3"/>
      <c r="F860" s="3"/>
      <c r="G860" s="3"/>
      <c r="H860" s="3"/>
      <c r="I860" s="3"/>
      <c r="J860" s="13"/>
      <c r="K860" s="13"/>
      <c r="L860" s="13"/>
      <c r="M860" s="13"/>
      <c r="N860" s="13"/>
      <c r="O860" s="13"/>
      <c r="P860" s="13"/>
      <c r="Q860" s="13"/>
      <c r="R860" s="13"/>
      <c r="S860" s="421"/>
      <c r="T860" s="421"/>
      <c r="U860" s="421"/>
      <c r="V860" s="421"/>
      <c r="W860" s="421"/>
      <c r="X860" s="421"/>
      <c r="Y860" s="421"/>
      <c r="Z860" s="421"/>
      <c r="AA860" s="421"/>
      <c r="AB860" s="421"/>
      <c r="AC860" s="421"/>
      <c r="AD860" s="421"/>
      <c r="AE860" s="421"/>
      <c r="AF860" s="421"/>
      <c r="AG860" s="421"/>
      <c r="AH860" s="421"/>
      <c r="AI860" s="421"/>
      <c r="AJ860" s="421"/>
      <c r="AK860" s="421"/>
      <c r="AL860" s="421"/>
      <c r="AM860" s="422"/>
      <c r="AN860" s="422"/>
      <c r="AO860" s="422"/>
      <c r="AP860" s="422"/>
      <c r="AQ860" s="422"/>
      <c r="AR860" s="422"/>
      <c r="AS860" s="422"/>
      <c r="AT860" s="422"/>
      <c r="AU860" s="422"/>
      <c r="AV860" s="422"/>
      <c r="AW860" s="422"/>
      <c r="AX860" s="422"/>
      <c r="AY860" s="422"/>
    </row>
    <row r="861" spans="1:51" x14ac:dyDescent="0.25">
      <c r="A861" s="3"/>
      <c r="B861" s="3"/>
      <c r="C861" s="3"/>
      <c r="D861" s="3"/>
      <c r="E861" s="3"/>
      <c r="F861" s="3"/>
      <c r="G861" s="3"/>
      <c r="H861" s="3"/>
      <c r="I861" s="3"/>
      <c r="J861" s="13"/>
      <c r="K861" s="13"/>
      <c r="L861" s="13"/>
      <c r="M861" s="13"/>
      <c r="N861" s="13"/>
      <c r="O861" s="13"/>
      <c r="P861" s="13"/>
      <c r="Q861" s="13"/>
      <c r="R861" s="13"/>
      <c r="S861" s="421"/>
      <c r="T861" s="421"/>
      <c r="U861" s="421"/>
      <c r="V861" s="421"/>
      <c r="W861" s="421"/>
      <c r="X861" s="421"/>
      <c r="Y861" s="421"/>
      <c r="Z861" s="421"/>
      <c r="AA861" s="421"/>
      <c r="AB861" s="421"/>
      <c r="AC861" s="421"/>
      <c r="AD861" s="421"/>
      <c r="AE861" s="421"/>
      <c r="AF861" s="421"/>
      <c r="AG861" s="421"/>
      <c r="AH861" s="421"/>
      <c r="AI861" s="421"/>
      <c r="AJ861" s="421"/>
      <c r="AK861" s="421"/>
      <c r="AL861" s="421"/>
      <c r="AM861" s="422"/>
      <c r="AN861" s="422"/>
      <c r="AO861" s="422"/>
      <c r="AP861" s="422"/>
      <c r="AQ861" s="422"/>
      <c r="AR861" s="422"/>
      <c r="AS861" s="422"/>
      <c r="AT861" s="422"/>
      <c r="AU861" s="422"/>
      <c r="AV861" s="422"/>
      <c r="AW861" s="422"/>
      <c r="AX861" s="422"/>
      <c r="AY861" s="422"/>
    </row>
    <row r="862" spans="1:51" x14ac:dyDescent="0.25">
      <c r="A862" s="3"/>
      <c r="B862" s="3"/>
      <c r="C862" s="3"/>
      <c r="D862" s="3"/>
      <c r="E862" s="3"/>
      <c r="F862" s="3"/>
      <c r="G862" s="3"/>
      <c r="H862" s="3"/>
      <c r="I862" s="3"/>
      <c r="J862" s="13"/>
      <c r="K862" s="13"/>
      <c r="L862" s="13"/>
      <c r="M862" s="13"/>
      <c r="N862" s="13"/>
      <c r="O862" s="13"/>
      <c r="P862" s="13"/>
      <c r="Q862" s="13"/>
      <c r="R862" s="13"/>
      <c r="S862" s="421"/>
      <c r="T862" s="421"/>
      <c r="U862" s="421"/>
      <c r="V862" s="421"/>
      <c r="W862" s="421"/>
      <c r="X862" s="421"/>
      <c r="Y862" s="421"/>
      <c r="Z862" s="421"/>
      <c r="AA862" s="421"/>
      <c r="AB862" s="421"/>
      <c r="AC862" s="421"/>
      <c r="AD862" s="421"/>
      <c r="AE862" s="421"/>
      <c r="AF862" s="421"/>
      <c r="AG862" s="421"/>
      <c r="AH862" s="421"/>
      <c r="AI862" s="421"/>
      <c r="AJ862" s="421"/>
      <c r="AK862" s="421"/>
      <c r="AL862" s="421"/>
      <c r="AM862" s="422"/>
      <c r="AN862" s="422"/>
      <c r="AO862" s="422"/>
      <c r="AP862" s="422"/>
      <c r="AQ862" s="422"/>
      <c r="AR862" s="422"/>
      <c r="AS862" s="422"/>
      <c r="AT862" s="422"/>
      <c r="AU862" s="422"/>
      <c r="AV862" s="422"/>
      <c r="AW862" s="422"/>
      <c r="AX862" s="422"/>
      <c r="AY862" s="422"/>
    </row>
    <row r="863" spans="1:51" x14ac:dyDescent="0.25">
      <c r="A863" s="3"/>
      <c r="B863" s="3"/>
      <c r="C863" s="3"/>
      <c r="D863" s="3"/>
      <c r="E863" s="3"/>
      <c r="F863" s="3"/>
      <c r="G863" s="3"/>
      <c r="H863" s="3"/>
      <c r="I863" s="3"/>
      <c r="J863" s="13"/>
      <c r="K863" s="13"/>
      <c r="L863" s="13"/>
      <c r="M863" s="13"/>
      <c r="N863" s="13"/>
      <c r="O863" s="13"/>
      <c r="P863" s="13"/>
      <c r="Q863" s="13"/>
      <c r="R863" s="13"/>
      <c r="S863" s="421"/>
      <c r="T863" s="421"/>
      <c r="U863" s="421"/>
      <c r="V863" s="421"/>
      <c r="W863" s="421"/>
      <c r="X863" s="421"/>
      <c r="Y863" s="421"/>
      <c r="Z863" s="421"/>
      <c r="AA863" s="421"/>
      <c r="AB863" s="421"/>
      <c r="AC863" s="421"/>
      <c r="AD863" s="421"/>
      <c r="AE863" s="421"/>
      <c r="AF863" s="421"/>
      <c r="AG863" s="421"/>
      <c r="AH863" s="421"/>
      <c r="AI863" s="421"/>
      <c r="AJ863" s="421"/>
      <c r="AK863" s="421"/>
      <c r="AL863" s="421"/>
      <c r="AM863" s="422"/>
      <c r="AN863" s="422"/>
      <c r="AO863" s="422"/>
      <c r="AP863" s="422"/>
      <c r="AQ863" s="422"/>
      <c r="AR863" s="422"/>
      <c r="AS863" s="422"/>
      <c r="AT863" s="422"/>
      <c r="AU863" s="422"/>
      <c r="AV863" s="422"/>
      <c r="AW863" s="422"/>
      <c r="AX863" s="422"/>
      <c r="AY863" s="422"/>
    </row>
    <row r="864" spans="1:51" x14ac:dyDescent="0.25">
      <c r="A864" s="3"/>
      <c r="B864" s="3"/>
      <c r="C864" s="3"/>
      <c r="D864" s="3"/>
      <c r="E864" s="3"/>
      <c r="F864" s="3"/>
      <c r="G864" s="3"/>
      <c r="H864" s="3"/>
      <c r="I864" s="3"/>
      <c r="J864" s="13"/>
      <c r="K864" s="13"/>
      <c r="L864" s="13"/>
      <c r="M864" s="13"/>
      <c r="N864" s="13"/>
      <c r="O864" s="13"/>
      <c r="P864" s="13"/>
      <c r="Q864" s="13"/>
      <c r="R864" s="13"/>
      <c r="S864" s="421"/>
      <c r="T864" s="421"/>
      <c r="U864" s="421"/>
      <c r="V864" s="421"/>
      <c r="W864" s="421"/>
      <c r="X864" s="421"/>
      <c r="Y864" s="421"/>
      <c r="Z864" s="421"/>
      <c r="AA864" s="421"/>
      <c r="AB864" s="421"/>
      <c r="AC864" s="421"/>
      <c r="AD864" s="421"/>
      <c r="AE864" s="421"/>
      <c r="AF864" s="421"/>
      <c r="AG864" s="421"/>
      <c r="AH864" s="421"/>
      <c r="AI864" s="421"/>
      <c r="AJ864" s="421"/>
      <c r="AK864" s="421"/>
      <c r="AL864" s="421"/>
      <c r="AM864" s="422"/>
      <c r="AN864" s="422"/>
      <c r="AO864" s="422"/>
      <c r="AP864" s="422"/>
      <c r="AQ864" s="422"/>
      <c r="AR864" s="422"/>
      <c r="AS864" s="422"/>
      <c r="AT864" s="422"/>
      <c r="AU864" s="422"/>
      <c r="AV864" s="422"/>
      <c r="AW864" s="422"/>
      <c r="AX864" s="422"/>
      <c r="AY864" s="422"/>
    </row>
    <row r="865" spans="1:51" x14ac:dyDescent="0.25">
      <c r="A865" s="3"/>
      <c r="B865" s="3"/>
      <c r="C865" s="3"/>
      <c r="D865" s="3"/>
      <c r="E865" s="3"/>
      <c r="F865" s="3"/>
      <c r="G865" s="3"/>
      <c r="H865" s="3"/>
      <c r="I865" s="3"/>
      <c r="J865" s="13"/>
      <c r="K865" s="13"/>
      <c r="L865" s="13"/>
      <c r="M865" s="13"/>
      <c r="N865" s="13"/>
      <c r="O865" s="13"/>
      <c r="P865" s="13"/>
      <c r="Q865" s="13"/>
      <c r="R865" s="13"/>
      <c r="S865" s="421"/>
      <c r="T865" s="421"/>
      <c r="U865" s="421"/>
      <c r="V865" s="421"/>
      <c r="W865" s="421"/>
      <c r="X865" s="421"/>
      <c r="Y865" s="421"/>
      <c r="Z865" s="421"/>
      <c r="AA865" s="421"/>
      <c r="AB865" s="421"/>
      <c r="AC865" s="421"/>
      <c r="AD865" s="421"/>
      <c r="AE865" s="421"/>
      <c r="AF865" s="421"/>
      <c r="AG865" s="421"/>
      <c r="AH865" s="421"/>
      <c r="AI865" s="421"/>
      <c r="AJ865" s="421"/>
      <c r="AK865" s="421"/>
      <c r="AL865" s="421"/>
      <c r="AM865" s="422"/>
      <c r="AN865" s="422"/>
      <c r="AO865" s="422"/>
      <c r="AP865" s="422"/>
      <c r="AQ865" s="422"/>
      <c r="AR865" s="422"/>
      <c r="AS865" s="422"/>
      <c r="AT865" s="422"/>
      <c r="AU865" s="422"/>
      <c r="AV865" s="422"/>
      <c r="AW865" s="422"/>
      <c r="AX865" s="422"/>
      <c r="AY865" s="422"/>
    </row>
    <row r="866" spans="1:51" x14ac:dyDescent="0.25">
      <c r="A866" s="3"/>
      <c r="B866" s="3"/>
      <c r="C866" s="3"/>
      <c r="D866" s="3"/>
      <c r="E866" s="3"/>
      <c r="F866" s="3"/>
      <c r="G866" s="3"/>
      <c r="H866" s="3"/>
      <c r="I866" s="3"/>
      <c r="J866" s="13"/>
      <c r="K866" s="13"/>
      <c r="L866" s="13"/>
      <c r="M866" s="13"/>
      <c r="N866" s="13"/>
      <c r="O866" s="13"/>
      <c r="P866" s="13"/>
      <c r="Q866" s="13"/>
      <c r="R866" s="13"/>
      <c r="S866" s="421"/>
      <c r="T866" s="421"/>
      <c r="U866" s="421"/>
      <c r="V866" s="421"/>
      <c r="W866" s="421"/>
      <c r="X866" s="421"/>
      <c r="Y866" s="421"/>
      <c r="Z866" s="421"/>
      <c r="AA866" s="421"/>
      <c r="AB866" s="421"/>
      <c r="AC866" s="421"/>
      <c r="AD866" s="421"/>
      <c r="AE866" s="421"/>
      <c r="AF866" s="421"/>
      <c r="AG866" s="421"/>
      <c r="AH866" s="421"/>
      <c r="AI866" s="421"/>
      <c r="AJ866" s="421"/>
      <c r="AK866" s="421"/>
      <c r="AL866" s="421"/>
      <c r="AM866" s="422"/>
      <c r="AN866" s="422"/>
      <c r="AO866" s="422"/>
      <c r="AP866" s="422"/>
      <c r="AQ866" s="422"/>
      <c r="AR866" s="422"/>
      <c r="AS866" s="422"/>
      <c r="AT866" s="422"/>
      <c r="AU866" s="422"/>
      <c r="AV866" s="422"/>
      <c r="AW866" s="422"/>
      <c r="AX866" s="422"/>
      <c r="AY866" s="422"/>
    </row>
    <row r="867" spans="1:51" x14ac:dyDescent="0.25">
      <c r="A867" s="3"/>
      <c r="B867" s="3"/>
      <c r="C867" s="3"/>
      <c r="D867" s="3"/>
      <c r="E867" s="3"/>
      <c r="F867" s="3"/>
      <c r="G867" s="3"/>
      <c r="H867" s="3"/>
      <c r="I867" s="3"/>
      <c r="J867" s="13"/>
      <c r="K867" s="13"/>
      <c r="L867" s="13"/>
      <c r="M867" s="13"/>
      <c r="N867" s="13"/>
      <c r="O867" s="13"/>
      <c r="P867" s="13"/>
      <c r="Q867" s="13"/>
      <c r="R867" s="13"/>
      <c r="S867" s="421"/>
      <c r="T867" s="421"/>
      <c r="U867" s="421"/>
      <c r="V867" s="421"/>
      <c r="W867" s="421"/>
      <c r="X867" s="421"/>
      <c r="Y867" s="421"/>
      <c r="Z867" s="421"/>
      <c r="AA867" s="421"/>
      <c r="AB867" s="421"/>
      <c r="AC867" s="421"/>
      <c r="AD867" s="421"/>
      <c r="AE867" s="421"/>
      <c r="AF867" s="421"/>
      <c r="AG867" s="421"/>
      <c r="AH867" s="421"/>
      <c r="AI867" s="421"/>
      <c r="AJ867" s="421"/>
      <c r="AK867" s="421"/>
      <c r="AL867" s="421"/>
      <c r="AM867" s="422"/>
      <c r="AN867" s="422"/>
      <c r="AO867" s="422"/>
      <c r="AP867" s="422"/>
      <c r="AQ867" s="422"/>
      <c r="AR867" s="422"/>
      <c r="AS867" s="422"/>
      <c r="AT867" s="422"/>
      <c r="AU867" s="422"/>
      <c r="AV867" s="422"/>
      <c r="AW867" s="422"/>
      <c r="AX867" s="422"/>
      <c r="AY867" s="422"/>
    </row>
    <row r="868" spans="1:51" x14ac:dyDescent="0.25">
      <c r="A868" s="3"/>
      <c r="B868" s="3"/>
      <c r="C868" s="3"/>
      <c r="D868" s="3"/>
      <c r="E868" s="3"/>
      <c r="F868" s="3"/>
      <c r="G868" s="3"/>
      <c r="H868" s="3"/>
      <c r="I868" s="3"/>
      <c r="J868" s="13"/>
      <c r="K868" s="13"/>
      <c r="L868" s="13"/>
      <c r="M868" s="13"/>
      <c r="N868" s="13"/>
      <c r="O868" s="13"/>
      <c r="P868" s="13"/>
      <c r="Q868" s="13"/>
      <c r="R868" s="13"/>
      <c r="S868" s="421"/>
      <c r="T868" s="421"/>
      <c r="U868" s="421"/>
      <c r="V868" s="421"/>
      <c r="W868" s="421"/>
      <c r="X868" s="421"/>
      <c r="Y868" s="421"/>
      <c r="Z868" s="421"/>
      <c r="AA868" s="421"/>
      <c r="AB868" s="421"/>
      <c r="AC868" s="421"/>
      <c r="AD868" s="421"/>
      <c r="AE868" s="421"/>
      <c r="AF868" s="421"/>
      <c r="AG868" s="421"/>
      <c r="AH868" s="421"/>
      <c r="AI868" s="421"/>
      <c r="AJ868" s="421"/>
      <c r="AK868" s="421"/>
      <c r="AL868" s="421"/>
      <c r="AM868" s="422"/>
      <c r="AN868" s="422"/>
      <c r="AO868" s="422"/>
      <c r="AP868" s="422"/>
      <c r="AQ868" s="422"/>
      <c r="AR868" s="422"/>
      <c r="AS868" s="422"/>
      <c r="AT868" s="422"/>
      <c r="AU868" s="422"/>
      <c r="AV868" s="422"/>
      <c r="AW868" s="422"/>
      <c r="AX868" s="422"/>
      <c r="AY868" s="422"/>
    </row>
    <row r="869" spans="1:51" x14ac:dyDescent="0.25">
      <c r="A869" s="3"/>
      <c r="B869" s="3"/>
      <c r="C869" s="3"/>
      <c r="D869" s="3"/>
      <c r="E869" s="3"/>
      <c r="F869" s="3"/>
      <c r="G869" s="3"/>
      <c r="H869" s="3"/>
      <c r="I869" s="3"/>
      <c r="J869" s="13"/>
      <c r="K869" s="13"/>
      <c r="L869" s="13"/>
      <c r="M869" s="13"/>
      <c r="N869" s="13"/>
      <c r="O869" s="13"/>
      <c r="P869" s="13"/>
      <c r="Q869" s="13"/>
      <c r="R869" s="13"/>
      <c r="S869" s="421"/>
      <c r="T869" s="421"/>
      <c r="U869" s="421"/>
      <c r="V869" s="421"/>
      <c r="W869" s="421"/>
      <c r="X869" s="421"/>
      <c r="Y869" s="421"/>
      <c r="Z869" s="421"/>
      <c r="AA869" s="421"/>
      <c r="AB869" s="421"/>
      <c r="AC869" s="421"/>
      <c r="AD869" s="421"/>
      <c r="AE869" s="421"/>
      <c r="AF869" s="421"/>
      <c r="AG869" s="421"/>
      <c r="AH869" s="421"/>
      <c r="AI869" s="421"/>
      <c r="AJ869" s="421"/>
      <c r="AK869" s="421"/>
      <c r="AL869" s="421"/>
      <c r="AM869" s="422"/>
      <c r="AN869" s="422"/>
      <c r="AO869" s="422"/>
      <c r="AP869" s="422"/>
      <c r="AQ869" s="422"/>
      <c r="AR869" s="422"/>
      <c r="AS869" s="422"/>
      <c r="AT869" s="422"/>
      <c r="AU869" s="422"/>
      <c r="AV869" s="422"/>
      <c r="AW869" s="422"/>
      <c r="AX869" s="422"/>
      <c r="AY869" s="422"/>
    </row>
    <row r="870" spans="1:51" x14ac:dyDescent="0.25">
      <c r="A870" s="3"/>
      <c r="B870" s="3"/>
      <c r="C870" s="3"/>
      <c r="D870" s="3"/>
      <c r="E870" s="3"/>
      <c r="F870" s="3"/>
      <c r="G870" s="3"/>
      <c r="H870" s="3"/>
      <c r="I870" s="3"/>
      <c r="J870" s="13"/>
      <c r="K870" s="13"/>
      <c r="L870" s="13"/>
      <c r="M870" s="13"/>
      <c r="N870" s="13"/>
      <c r="O870" s="13"/>
      <c r="P870" s="13"/>
      <c r="Q870" s="13"/>
      <c r="R870" s="13"/>
      <c r="S870" s="421"/>
      <c r="T870" s="421"/>
      <c r="U870" s="421"/>
      <c r="V870" s="421"/>
      <c r="W870" s="421"/>
      <c r="X870" s="421"/>
      <c r="Y870" s="421"/>
      <c r="Z870" s="421"/>
      <c r="AA870" s="421"/>
      <c r="AB870" s="421"/>
      <c r="AC870" s="421"/>
      <c r="AD870" s="421"/>
      <c r="AE870" s="421"/>
      <c r="AF870" s="421"/>
      <c r="AG870" s="421"/>
      <c r="AH870" s="421"/>
      <c r="AI870" s="421"/>
      <c r="AJ870" s="421"/>
      <c r="AK870" s="421"/>
      <c r="AL870" s="421"/>
      <c r="AM870" s="422"/>
      <c r="AN870" s="422"/>
      <c r="AO870" s="422"/>
      <c r="AP870" s="422"/>
      <c r="AQ870" s="422"/>
      <c r="AR870" s="422"/>
      <c r="AS870" s="422"/>
      <c r="AT870" s="422"/>
      <c r="AU870" s="422"/>
      <c r="AV870" s="422"/>
      <c r="AW870" s="422"/>
      <c r="AX870" s="422"/>
      <c r="AY870" s="422"/>
    </row>
    <row r="871" spans="1:51" x14ac:dyDescent="0.25">
      <c r="A871" s="3"/>
      <c r="B871" s="3"/>
      <c r="C871" s="3"/>
      <c r="D871" s="3"/>
      <c r="E871" s="3"/>
      <c r="F871" s="3"/>
      <c r="G871" s="3"/>
      <c r="H871" s="3"/>
      <c r="I871" s="3"/>
      <c r="J871" s="13"/>
      <c r="K871" s="13"/>
      <c r="L871" s="13"/>
      <c r="M871" s="13"/>
      <c r="N871" s="13"/>
      <c r="O871" s="13"/>
      <c r="P871" s="13"/>
      <c r="Q871" s="13"/>
      <c r="R871" s="13"/>
      <c r="S871" s="421"/>
      <c r="T871" s="421"/>
      <c r="U871" s="421"/>
      <c r="V871" s="421"/>
      <c r="W871" s="421"/>
      <c r="X871" s="421"/>
      <c r="Y871" s="421"/>
      <c r="Z871" s="421"/>
      <c r="AA871" s="421"/>
      <c r="AB871" s="421"/>
      <c r="AC871" s="421"/>
      <c r="AD871" s="421"/>
      <c r="AE871" s="421"/>
      <c r="AF871" s="421"/>
      <c r="AG871" s="421"/>
      <c r="AH871" s="421"/>
      <c r="AI871" s="421"/>
      <c r="AJ871" s="421"/>
      <c r="AK871" s="421"/>
      <c r="AL871" s="421"/>
      <c r="AM871" s="422"/>
      <c r="AN871" s="422"/>
      <c r="AO871" s="422"/>
      <c r="AP871" s="422"/>
      <c r="AQ871" s="422"/>
      <c r="AR871" s="422"/>
      <c r="AS871" s="422"/>
      <c r="AT871" s="422"/>
      <c r="AU871" s="422"/>
      <c r="AV871" s="422"/>
      <c r="AW871" s="422"/>
      <c r="AX871" s="422"/>
      <c r="AY871" s="422"/>
    </row>
    <row r="872" spans="1:51" x14ac:dyDescent="0.25">
      <c r="A872" s="3"/>
      <c r="B872" s="3"/>
      <c r="C872" s="3"/>
      <c r="D872" s="3"/>
      <c r="E872" s="3"/>
      <c r="F872" s="3"/>
      <c r="G872" s="3"/>
      <c r="H872" s="3"/>
      <c r="I872" s="3"/>
      <c r="J872" s="13"/>
      <c r="K872" s="13"/>
      <c r="L872" s="13"/>
      <c r="M872" s="13"/>
      <c r="N872" s="13"/>
      <c r="O872" s="13"/>
      <c r="P872" s="13"/>
      <c r="Q872" s="13"/>
      <c r="R872" s="13"/>
      <c r="S872" s="421"/>
      <c r="T872" s="421"/>
      <c r="U872" s="421"/>
      <c r="V872" s="421"/>
      <c r="W872" s="421"/>
      <c r="X872" s="421"/>
      <c r="Y872" s="421"/>
      <c r="Z872" s="421"/>
      <c r="AA872" s="421"/>
      <c r="AB872" s="421"/>
      <c r="AC872" s="421"/>
      <c r="AD872" s="421"/>
      <c r="AE872" s="421"/>
      <c r="AF872" s="421"/>
      <c r="AG872" s="421"/>
      <c r="AH872" s="421"/>
      <c r="AI872" s="421"/>
      <c r="AJ872" s="421"/>
      <c r="AK872" s="421"/>
      <c r="AL872" s="421"/>
      <c r="AM872" s="422"/>
      <c r="AN872" s="422"/>
      <c r="AO872" s="422"/>
      <c r="AP872" s="422"/>
      <c r="AQ872" s="422"/>
      <c r="AR872" s="422"/>
      <c r="AS872" s="422"/>
      <c r="AT872" s="422"/>
      <c r="AU872" s="422"/>
      <c r="AV872" s="422"/>
      <c r="AW872" s="422"/>
      <c r="AX872" s="422"/>
      <c r="AY872" s="422"/>
    </row>
    <row r="873" spans="1:51" x14ac:dyDescent="0.25">
      <c r="A873" s="3"/>
      <c r="B873" s="3"/>
      <c r="C873" s="3"/>
      <c r="D873" s="3"/>
      <c r="E873" s="3"/>
      <c r="F873" s="3"/>
      <c r="G873" s="3"/>
      <c r="H873" s="3"/>
      <c r="I873" s="3"/>
      <c r="J873" s="13"/>
      <c r="K873" s="13"/>
      <c r="L873" s="13"/>
      <c r="M873" s="13"/>
      <c r="N873" s="13"/>
      <c r="O873" s="13"/>
      <c r="P873" s="13"/>
      <c r="Q873" s="13"/>
      <c r="R873" s="13"/>
      <c r="S873" s="421"/>
      <c r="T873" s="421"/>
      <c r="U873" s="421"/>
      <c r="V873" s="421"/>
      <c r="W873" s="421"/>
      <c r="X873" s="421"/>
      <c r="Y873" s="421"/>
      <c r="Z873" s="421"/>
      <c r="AA873" s="421"/>
      <c r="AB873" s="421"/>
      <c r="AC873" s="421"/>
      <c r="AD873" s="421"/>
      <c r="AE873" s="421"/>
      <c r="AF873" s="421"/>
      <c r="AG873" s="421"/>
      <c r="AH873" s="421"/>
      <c r="AI873" s="421"/>
      <c r="AJ873" s="421"/>
      <c r="AK873" s="421"/>
      <c r="AL873" s="421"/>
      <c r="AM873" s="422"/>
      <c r="AN873" s="422"/>
      <c r="AO873" s="422"/>
      <c r="AP873" s="422"/>
      <c r="AQ873" s="422"/>
      <c r="AR873" s="422"/>
      <c r="AS873" s="422"/>
      <c r="AT873" s="422"/>
      <c r="AU873" s="422"/>
      <c r="AV873" s="422"/>
      <c r="AW873" s="422"/>
      <c r="AX873" s="422"/>
      <c r="AY873" s="422"/>
    </row>
    <row r="874" spans="1:51" x14ac:dyDescent="0.25">
      <c r="A874" s="3"/>
      <c r="B874" s="3"/>
      <c r="C874" s="3"/>
      <c r="D874" s="3"/>
      <c r="E874" s="3"/>
      <c r="F874" s="3"/>
      <c r="G874" s="3"/>
      <c r="H874" s="3"/>
      <c r="I874" s="3"/>
      <c r="J874" s="13"/>
      <c r="K874" s="13"/>
      <c r="L874" s="13"/>
      <c r="M874" s="13"/>
      <c r="N874" s="13"/>
      <c r="O874" s="13"/>
      <c r="P874" s="13"/>
      <c r="Q874" s="13"/>
      <c r="R874" s="13"/>
      <c r="S874" s="421"/>
      <c r="T874" s="421"/>
      <c r="U874" s="421"/>
      <c r="V874" s="421"/>
      <c r="W874" s="421"/>
      <c r="X874" s="421"/>
      <c r="Y874" s="421"/>
      <c r="Z874" s="421"/>
      <c r="AA874" s="421"/>
      <c r="AB874" s="421"/>
      <c r="AC874" s="421"/>
      <c r="AD874" s="421"/>
      <c r="AE874" s="421"/>
      <c r="AF874" s="421"/>
      <c r="AG874" s="421"/>
      <c r="AH874" s="421"/>
      <c r="AI874" s="421"/>
      <c r="AJ874" s="421"/>
      <c r="AK874" s="421"/>
      <c r="AL874" s="421"/>
      <c r="AM874" s="422"/>
      <c r="AN874" s="422"/>
      <c r="AO874" s="422"/>
      <c r="AP874" s="422"/>
      <c r="AQ874" s="422"/>
      <c r="AR874" s="422"/>
      <c r="AS874" s="422"/>
      <c r="AT874" s="422"/>
      <c r="AU874" s="422"/>
      <c r="AV874" s="422"/>
      <c r="AW874" s="422"/>
      <c r="AX874" s="422"/>
      <c r="AY874" s="422"/>
    </row>
    <row r="875" spans="1:51" x14ac:dyDescent="0.25">
      <c r="A875" s="3"/>
      <c r="B875" s="3"/>
      <c r="C875" s="3"/>
      <c r="D875" s="3"/>
      <c r="E875" s="3"/>
      <c r="F875" s="3"/>
      <c r="G875" s="3"/>
      <c r="H875" s="3"/>
      <c r="I875" s="3"/>
      <c r="J875" s="13"/>
      <c r="K875" s="13"/>
      <c r="L875" s="13"/>
      <c r="M875" s="13"/>
      <c r="N875" s="13"/>
      <c r="O875" s="13"/>
      <c r="P875" s="13"/>
      <c r="Q875" s="13"/>
      <c r="R875" s="13"/>
      <c r="S875" s="421"/>
      <c r="T875" s="421"/>
      <c r="U875" s="421"/>
      <c r="V875" s="421"/>
      <c r="W875" s="421"/>
      <c r="X875" s="421"/>
      <c r="Y875" s="421"/>
      <c r="Z875" s="421"/>
      <c r="AA875" s="421"/>
      <c r="AB875" s="421"/>
      <c r="AC875" s="421"/>
      <c r="AD875" s="421"/>
      <c r="AE875" s="421"/>
      <c r="AF875" s="421"/>
      <c r="AG875" s="421"/>
      <c r="AH875" s="421"/>
      <c r="AI875" s="421"/>
      <c r="AJ875" s="421"/>
      <c r="AK875" s="421"/>
      <c r="AL875" s="421"/>
      <c r="AM875" s="422"/>
      <c r="AN875" s="422"/>
      <c r="AO875" s="422"/>
      <c r="AP875" s="422"/>
      <c r="AQ875" s="422"/>
      <c r="AR875" s="422"/>
      <c r="AS875" s="422"/>
      <c r="AT875" s="422"/>
      <c r="AU875" s="422"/>
      <c r="AV875" s="422"/>
      <c r="AW875" s="422"/>
      <c r="AX875" s="422"/>
      <c r="AY875" s="422"/>
    </row>
    <row r="876" spans="1:51" x14ac:dyDescent="0.25">
      <c r="A876" s="3"/>
      <c r="B876" s="3"/>
      <c r="C876" s="3"/>
      <c r="D876" s="3"/>
      <c r="E876" s="3"/>
      <c r="F876" s="3"/>
      <c r="G876" s="3"/>
      <c r="H876" s="3"/>
      <c r="I876" s="3"/>
      <c r="J876" s="13"/>
      <c r="K876" s="13"/>
      <c r="L876" s="13"/>
      <c r="M876" s="13"/>
      <c r="N876" s="13"/>
      <c r="O876" s="13"/>
      <c r="P876" s="13"/>
      <c r="Q876" s="13"/>
      <c r="R876" s="13"/>
      <c r="S876" s="421"/>
      <c r="T876" s="421"/>
      <c r="U876" s="421"/>
      <c r="V876" s="421"/>
      <c r="W876" s="421"/>
      <c r="X876" s="421"/>
      <c r="Y876" s="421"/>
      <c r="Z876" s="421"/>
      <c r="AA876" s="421"/>
      <c r="AB876" s="421"/>
      <c r="AC876" s="421"/>
      <c r="AD876" s="421"/>
      <c r="AE876" s="421"/>
      <c r="AF876" s="421"/>
      <c r="AG876" s="421"/>
      <c r="AH876" s="421"/>
      <c r="AI876" s="421"/>
      <c r="AJ876" s="421"/>
      <c r="AK876" s="421"/>
      <c r="AL876" s="421"/>
      <c r="AM876" s="422"/>
      <c r="AN876" s="422"/>
      <c r="AO876" s="422"/>
      <c r="AP876" s="422"/>
      <c r="AQ876" s="422"/>
      <c r="AR876" s="422"/>
      <c r="AS876" s="422"/>
      <c r="AT876" s="422"/>
      <c r="AU876" s="422"/>
      <c r="AV876" s="422"/>
      <c r="AW876" s="422"/>
      <c r="AX876" s="422"/>
      <c r="AY876" s="422"/>
    </row>
    <row r="877" spans="1:51" x14ac:dyDescent="0.25">
      <c r="A877" s="3"/>
      <c r="B877" s="3"/>
      <c r="C877" s="3"/>
      <c r="D877" s="3"/>
      <c r="E877" s="3"/>
      <c r="F877" s="3"/>
      <c r="G877" s="3"/>
      <c r="H877" s="3"/>
      <c r="I877" s="3"/>
      <c r="J877" s="13"/>
      <c r="K877" s="13"/>
      <c r="L877" s="13"/>
      <c r="M877" s="13"/>
      <c r="N877" s="13"/>
      <c r="O877" s="13"/>
      <c r="P877" s="13"/>
      <c r="Q877" s="13"/>
      <c r="R877" s="13"/>
      <c r="S877" s="421"/>
      <c r="T877" s="421"/>
      <c r="U877" s="421"/>
      <c r="V877" s="421"/>
      <c r="W877" s="421"/>
      <c r="X877" s="421"/>
      <c r="Y877" s="421"/>
      <c r="Z877" s="421"/>
      <c r="AA877" s="421"/>
      <c r="AB877" s="421"/>
      <c r="AC877" s="421"/>
      <c r="AD877" s="421"/>
      <c r="AE877" s="421"/>
      <c r="AF877" s="421"/>
      <c r="AG877" s="421"/>
      <c r="AH877" s="421"/>
      <c r="AI877" s="421"/>
      <c r="AJ877" s="421"/>
      <c r="AK877" s="421"/>
      <c r="AL877" s="421"/>
      <c r="AM877" s="422"/>
      <c r="AN877" s="422"/>
      <c r="AO877" s="422"/>
      <c r="AP877" s="422"/>
      <c r="AQ877" s="422"/>
      <c r="AR877" s="422"/>
      <c r="AS877" s="422"/>
      <c r="AT877" s="422"/>
      <c r="AU877" s="422"/>
      <c r="AV877" s="422"/>
      <c r="AW877" s="422"/>
      <c r="AX877" s="422"/>
      <c r="AY877" s="422"/>
    </row>
    <row r="878" spans="1:51" x14ac:dyDescent="0.25">
      <c r="A878" s="3"/>
      <c r="B878" s="3"/>
      <c r="C878" s="3"/>
      <c r="D878" s="3"/>
      <c r="E878" s="3"/>
      <c r="F878" s="3"/>
      <c r="G878" s="3"/>
      <c r="H878" s="3"/>
      <c r="I878" s="3"/>
      <c r="J878" s="13"/>
      <c r="K878" s="13"/>
      <c r="L878" s="13"/>
      <c r="M878" s="13"/>
      <c r="N878" s="13"/>
      <c r="O878" s="13"/>
      <c r="P878" s="13"/>
      <c r="Q878" s="13"/>
      <c r="R878" s="13"/>
      <c r="S878" s="421"/>
      <c r="T878" s="421"/>
      <c r="U878" s="421"/>
      <c r="V878" s="421"/>
      <c r="W878" s="421"/>
      <c r="X878" s="421"/>
      <c r="Y878" s="421"/>
      <c r="Z878" s="421"/>
      <c r="AA878" s="421"/>
      <c r="AB878" s="421"/>
      <c r="AC878" s="421"/>
      <c r="AD878" s="421"/>
      <c r="AE878" s="421"/>
      <c r="AF878" s="421"/>
      <c r="AG878" s="421"/>
      <c r="AH878" s="421"/>
      <c r="AI878" s="421"/>
      <c r="AJ878" s="421"/>
      <c r="AK878" s="421"/>
      <c r="AL878" s="421"/>
      <c r="AM878" s="422"/>
      <c r="AN878" s="422"/>
      <c r="AO878" s="422"/>
      <c r="AP878" s="422"/>
      <c r="AQ878" s="422"/>
      <c r="AR878" s="422"/>
      <c r="AS878" s="422"/>
      <c r="AT878" s="422"/>
      <c r="AU878" s="422"/>
      <c r="AV878" s="422"/>
      <c r="AW878" s="422"/>
      <c r="AX878" s="422"/>
      <c r="AY878" s="422"/>
    </row>
    <row r="879" spans="1:51" x14ac:dyDescent="0.25">
      <c r="A879" s="3"/>
      <c r="B879" s="3"/>
      <c r="C879" s="3"/>
      <c r="D879" s="3"/>
      <c r="E879" s="3"/>
      <c r="F879" s="3"/>
      <c r="G879" s="3"/>
      <c r="H879" s="3"/>
      <c r="I879" s="3"/>
      <c r="J879" s="13"/>
      <c r="K879" s="13"/>
      <c r="L879" s="13"/>
      <c r="M879" s="13"/>
      <c r="N879" s="13"/>
      <c r="O879" s="13"/>
      <c r="P879" s="13"/>
      <c r="Q879" s="13"/>
      <c r="R879" s="13"/>
      <c r="S879" s="421"/>
      <c r="T879" s="421"/>
      <c r="U879" s="421"/>
      <c r="V879" s="421"/>
      <c r="W879" s="421"/>
      <c r="X879" s="421"/>
      <c r="Y879" s="421"/>
      <c r="Z879" s="421"/>
      <c r="AA879" s="421"/>
      <c r="AB879" s="421"/>
      <c r="AC879" s="421"/>
      <c r="AD879" s="421"/>
      <c r="AE879" s="421"/>
      <c r="AF879" s="421"/>
      <c r="AG879" s="421"/>
      <c r="AH879" s="421"/>
      <c r="AI879" s="421"/>
      <c r="AJ879" s="421"/>
      <c r="AK879" s="421"/>
      <c r="AL879" s="421"/>
      <c r="AM879" s="422"/>
      <c r="AN879" s="422"/>
      <c r="AO879" s="422"/>
      <c r="AP879" s="422"/>
      <c r="AQ879" s="422"/>
      <c r="AR879" s="422"/>
      <c r="AS879" s="422"/>
      <c r="AT879" s="422"/>
      <c r="AU879" s="422"/>
      <c r="AV879" s="422"/>
      <c r="AW879" s="422"/>
      <c r="AX879" s="422"/>
      <c r="AY879" s="422"/>
    </row>
    <row r="880" spans="1:51" x14ac:dyDescent="0.25">
      <c r="A880" s="3"/>
      <c r="B880" s="3"/>
      <c r="C880" s="3"/>
      <c r="D880" s="3"/>
      <c r="E880" s="3"/>
      <c r="F880" s="3"/>
      <c r="G880" s="3"/>
      <c r="H880" s="3"/>
      <c r="I880" s="3"/>
      <c r="J880" s="13"/>
      <c r="K880" s="13"/>
      <c r="L880" s="13"/>
      <c r="M880" s="13"/>
      <c r="N880" s="13"/>
      <c r="O880" s="13"/>
      <c r="P880" s="13"/>
      <c r="Q880" s="13"/>
      <c r="R880" s="13"/>
      <c r="S880" s="421"/>
      <c r="T880" s="421"/>
      <c r="U880" s="421"/>
      <c r="V880" s="421"/>
      <c r="W880" s="421"/>
      <c r="X880" s="421"/>
      <c r="Y880" s="421"/>
      <c r="Z880" s="421"/>
      <c r="AA880" s="421"/>
      <c r="AB880" s="421"/>
      <c r="AC880" s="421"/>
      <c r="AD880" s="421"/>
      <c r="AE880" s="421"/>
      <c r="AF880" s="421"/>
      <c r="AG880" s="421"/>
      <c r="AH880" s="421"/>
      <c r="AI880" s="421"/>
      <c r="AJ880" s="421"/>
      <c r="AK880" s="421"/>
      <c r="AL880" s="421"/>
      <c r="AM880" s="422"/>
      <c r="AN880" s="422"/>
      <c r="AO880" s="422"/>
      <c r="AP880" s="422"/>
      <c r="AQ880" s="422"/>
      <c r="AR880" s="422"/>
      <c r="AS880" s="422"/>
      <c r="AT880" s="422"/>
      <c r="AU880" s="422"/>
      <c r="AV880" s="422"/>
      <c r="AW880" s="422"/>
      <c r="AX880" s="422"/>
      <c r="AY880" s="422"/>
    </row>
    <row r="881" spans="1:51" x14ac:dyDescent="0.25">
      <c r="A881" s="3"/>
      <c r="B881" s="3"/>
      <c r="C881" s="3"/>
      <c r="D881" s="3"/>
      <c r="E881" s="3"/>
      <c r="F881" s="3"/>
      <c r="G881" s="3"/>
      <c r="H881" s="3"/>
      <c r="I881" s="3"/>
      <c r="J881" s="13"/>
      <c r="K881" s="13"/>
      <c r="L881" s="13"/>
      <c r="M881" s="13"/>
      <c r="N881" s="13"/>
      <c r="O881" s="13"/>
      <c r="P881" s="13"/>
      <c r="Q881" s="13"/>
      <c r="R881" s="13"/>
      <c r="S881" s="421"/>
      <c r="T881" s="421"/>
      <c r="U881" s="421"/>
      <c r="V881" s="421"/>
      <c r="W881" s="421"/>
      <c r="X881" s="421"/>
      <c r="Y881" s="421"/>
      <c r="Z881" s="421"/>
      <c r="AA881" s="421"/>
      <c r="AB881" s="421"/>
      <c r="AC881" s="421"/>
      <c r="AD881" s="421"/>
      <c r="AE881" s="421"/>
      <c r="AF881" s="421"/>
      <c r="AG881" s="421"/>
      <c r="AH881" s="421"/>
      <c r="AI881" s="421"/>
      <c r="AJ881" s="421"/>
      <c r="AK881" s="421"/>
      <c r="AL881" s="421"/>
      <c r="AM881" s="422"/>
      <c r="AN881" s="422"/>
      <c r="AO881" s="422"/>
      <c r="AP881" s="422"/>
      <c r="AQ881" s="422"/>
      <c r="AR881" s="422"/>
      <c r="AS881" s="422"/>
      <c r="AT881" s="422"/>
      <c r="AU881" s="422"/>
      <c r="AV881" s="422"/>
      <c r="AW881" s="422"/>
      <c r="AX881" s="422"/>
      <c r="AY881" s="422"/>
    </row>
    <row r="882" spans="1:51" x14ac:dyDescent="0.25">
      <c r="A882" s="3"/>
      <c r="B882" s="3"/>
      <c r="C882" s="3"/>
      <c r="D882" s="3"/>
      <c r="E882" s="3"/>
      <c r="F882" s="3"/>
      <c r="G882" s="3"/>
      <c r="H882" s="3"/>
      <c r="I882" s="3"/>
      <c r="J882" s="13"/>
      <c r="K882" s="13"/>
      <c r="L882" s="13"/>
      <c r="M882" s="13"/>
      <c r="N882" s="13"/>
      <c r="O882" s="13"/>
      <c r="P882" s="13"/>
      <c r="Q882" s="13"/>
      <c r="R882" s="13"/>
      <c r="S882" s="421"/>
      <c r="T882" s="421"/>
      <c r="U882" s="421"/>
      <c r="V882" s="421"/>
      <c r="W882" s="421"/>
      <c r="X882" s="421"/>
      <c r="Y882" s="421"/>
      <c r="Z882" s="421"/>
      <c r="AA882" s="421"/>
      <c r="AB882" s="421"/>
      <c r="AC882" s="421"/>
      <c r="AD882" s="421"/>
      <c r="AE882" s="421"/>
      <c r="AF882" s="421"/>
      <c r="AG882" s="421"/>
      <c r="AH882" s="421"/>
      <c r="AI882" s="421"/>
      <c r="AJ882" s="421"/>
      <c r="AK882" s="421"/>
      <c r="AL882" s="421"/>
      <c r="AM882" s="422"/>
      <c r="AN882" s="422"/>
      <c r="AO882" s="422"/>
      <c r="AP882" s="422"/>
      <c r="AQ882" s="422"/>
      <c r="AR882" s="422"/>
      <c r="AS882" s="422"/>
      <c r="AT882" s="422"/>
      <c r="AU882" s="422"/>
      <c r="AV882" s="422"/>
      <c r="AW882" s="422"/>
      <c r="AX882" s="422"/>
      <c r="AY882" s="422"/>
    </row>
    <row r="883" spans="1:51" x14ac:dyDescent="0.25">
      <c r="A883" s="3"/>
      <c r="B883" s="3"/>
      <c r="C883" s="3"/>
      <c r="D883" s="3"/>
      <c r="E883" s="3"/>
      <c r="F883" s="3"/>
      <c r="G883" s="3"/>
      <c r="H883" s="3"/>
      <c r="I883" s="3"/>
      <c r="J883" s="13"/>
      <c r="K883" s="13"/>
      <c r="L883" s="13"/>
      <c r="M883" s="13"/>
      <c r="N883" s="13"/>
      <c r="O883" s="13"/>
      <c r="P883" s="13"/>
      <c r="Q883" s="13"/>
      <c r="R883" s="13"/>
      <c r="S883" s="421"/>
      <c r="T883" s="421"/>
      <c r="U883" s="421"/>
      <c r="V883" s="421"/>
      <c r="W883" s="421"/>
      <c r="X883" s="421"/>
      <c r="Y883" s="421"/>
      <c r="Z883" s="421"/>
      <c r="AA883" s="421"/>
      <c r="AB883" s="421"/>
      <c r="AC883" s="421"/>
      <c r="AD883" s="421"/>
      <c r="AE883" s="421"/>
      <c r="AF883" s="421"/>
      <c r="AG883" s="421"/>
      <c r="AH883" s="421"/>
      <c r="AI883" s="421"/>
      <c r="AJ883" s="421"/>
      <c r="AK883" s="421"/>
      <c r="AL883" s="421"/>
      <c r="AM883" s="422"/>
      <c r="AN883" s="422"/>
      <c r="AO883" s="422"/>
      <c r="AP883" s="422"/>
      <c r="AQ883" s="422"/>
      <c r="AR883" s="422"/>
      <c r="AS883" s="422"/>
      <c r="AT883" s="422"/>
      <c r="AU883" s="422"/>
      <c r="AV883" s="422"/>
      <c r="AW883" s="422"/>
      <c r="AX883" s="422"/>
      <c r="AY883" s="422"/>
    </row>
    <row r="884" spans="1:51" x14ac:dyDescent="0.25">
      <c r="A884" s="3"/>
      <c r="B884" s="3"/>
      <c r="C884" s="3"/>
      <c r="D884" s="3"/>
      <c r="E884" s="3"/>
      <c r="F884" s="3"/>
      <c r="G884" s="3"/>
      <c r="H884" s="3"/>
      <c r="I884" s="3"/>
      <c r="J884" s="13"/>
      <c r="K884" s="13"/>
      <c r="L884" s="13"/>
      <c r="M884" s="13"/>
      <c r="N884" s="13"/>
      <c r="O884" s="13"/>
      <c r="P884" s="13"/>
      <c r="Q884" s="13"/>
      <c r="R884" s="13"/>
      <c r="S884" s="421"/>
      <c r="T884" s="421"/>
      <c r="U884" s="421"/>
      <c r="V884" s="421"/>
      <c r="W884" s="421"/>
      <c r="X884" s="421"/>
      <c r="Y884" s="421"/>
      <c r="Z884" s="421"/>
      <c r="AA884" s="421"/>
      <c r="AB884" s="421"/>
      <c r="AC884" s="421"/>
      <c r="AD884" s="421"/>
      <c r="AE884" s="421"/>
      <c r="AF884" s="421"/>
      <c r="AG884" s="421"/>
      <c r="AH884" s="421"/>
      <c r="AI884" s="421"/>
      <c r="AJ884" s="421"/>
      <c r="AK884" s="421"/>
      <c r="AL884" s="421"/>
      <c r="AM884" s="422"/>
      <c r="AN884" s="422"/>
      <c r="AO884" s="422"/>
      <c r="AP884" s="422"/>
      <c r="AQ884" s="422"/>
      <c r="AR884" s="422"/>
      <c r="AS884" s="422"/>
      <c r="AT884" s="422"/>
      <c r="AU884" s="422"/>
      <c r="AV884" s="422"/>
      <c r="AW884" s="422"/>
      <c r="AX884" s="422"/>
      <c r="AY884" s="422"/>
    </row>
    <row r="885" spans="1:51" x14ac:dyDescent="0.25">
      <c r="A885" s="3"/>
      <c r="B885" s="3"/>
      <c r="C885" s="3"/>
      <c r="D885" s="3"/>
      <c r="E885" s="3"/>
      <c r="F885" s="3"/>
      <c r="G885" s="3"/>
      <c r="H885" s="3"/>
      <c r="I885" s="3"/>
      <c r="J885" s="13"/>
      <c r="K885" s="13"/>
      <c r="L885" s="13"/>
      <c r="M885" s="13"/>
      <c r="N885" s="13"/>
      <c r="O885" s="13"/>
      <c r="P885" s="13"/>
      <c r="Q885" s="13"/>
      <c r="R885" s="13"/>
      <c r="S885" s="421"/>
      <c r="T885" s="421"/>
      <c r="U885" s="421"/>
      <c r="V885" s="421"/>
      <c r="W885" s="421"/>
      <c r="X885" s="421"/>
      <c r="Y885" s="421"/>
      <c r="Z885" s="421"/>
      <c r="AA885" s="421"/>
      <c r="AB885" s="421"/>
      <c r="AC885" s="421"/>
      <c r="AD885" s="421"/>
      <c r="AE885" s="421"/>
      <c r="AF885" s="421"/>
      <c r="AG885" s="421"/>
      <c r="AH885" s="421"/>
      <c r="AI885" s="421"/>
      <c r="AJ885" s="421"/>
      <c r="AK885" s="421"/>
      <c r="AL885" s="421"/>
      <c r="AM885" s="422"/>
      <c r="AN885" s="422"/>
      <c r="AO885" s="422"/>
      <c r="AP885" s="422"/>
      <c r="AQ885" s="422"/>
      <c r="AR885" s="422"/>
      <c r="AS885" s="422"/>
      <c r="AT885" s="422"/>
      <c r="AU885" s="422"/>
      <c r="AV885" s="422"/>
      <c r="AW885" s="422"/>
      <c r="AX885" s="422"/>
      <c r="AY885" s="422"/>
    </row>
    <row r="886" spans="1:51" x14ac:dyDescent="0.25">
      <c r="A886" s="3"/>
      <c r="B886" s="3"/>
      <c r="C886" s="3"/>
      <c r="D886" s="3"/>
      <c r="E886" s="3"/>
      <c r="F886" s="3"/>
      <c r="G886" s="3"/>
      <c r="H886" s="3"/>
      <c r="I886" s="3"/>
      <c r="J886" s="13"/>
      <c r="K886" s="13"/>
      <c r="L886" s="13"/>
      <c r="M886" s="13"/>
      <c r="N886" s="13"/>
      <c r="O886" s="13"/>
      <c r="P886" s="13"/>
      <c r="Q886" s="13"/>
      <c r="R886" s="13"/>
      <c r="S886" s="421"/>
      <c r="T886" s="421"/>
      <c r="U886" s="421"/>
      <c r="V886" s="421"/>
      <c r="W886" s="421"/>
      <c r="X886" s="421"/>
      <c r="Y886" s="421"/>
      <c r="Z886" s="421"/>
      <c r="AA886" s="421"/>
      <c r="AB886" s="421"/>
      <c r="AC886" s="421"/>
      <c r="AD886" s="421"/>
      <c r="AE886" s="421"/>
      <c r="AF886" s="421"/>
      <c r="AG886" s="421"/>
      <c r="AH886" s="421"/>
      <c r="AI886" s="421"/>
      <c r="AJ886" s="421"/>
      <c r="AK886" s="421"/>
      <c r="AL886" s="421"/>
      <c r="AM886" s="422"/>
      <c r="AN886" s="422"/>
      <c r="AO886" s="422"/>
      <c r="AP886" s="422"/>
      <c r="AQ886" s="422"/>
      <c r="AR886" s="422"/>
      <c r="AS886" s="422"/>
      <c r="AT886" s="422"/>
      <c r="AU886" s="422"/>
      <c r="AV886" s="422"/>
      <c r="AW886" s="422"/>
      <c r="AX886" s="422"/>
      <c r="AY886" s="422"/>
    </row>
    <row r="887" spans="1:51" x14ac:dyDescent="0.25">
      <c r="A887" s="3"/>
      <c r="B887" s="3"/>
      <c r="C887" s="3"/>
      <c r="D887" s="3"/>
      <c r="E887" s="3"/>
      <c r="F887" s="3"/>
      <c r="G887" s="3"/>
      <c r="H887" s="3"/>
      <c r="I887" s="3"/>
      <c r="J887" s="13"/>
      <c r="K887" s="13"/>
      <c r="L887" s="13"/>
      <c r="M887" s="13"/>
      <c r="N887" s="13"/>
      <c r="O887" s="13"/>
      <c r="P887" s="13"/>
      <c r="Q887" s="13"/>
      <c r="R887" s="13"/>
      <c r="S887" s="421"/>
      <c r="T887" s="421"/>
      <c r="U887" s="421"/>
      <c r="V887" s="421"/>
      <c r="W887" s="421"/>
      <c r="X887" s="421"/>
      <c r="Y887" s="421"/>
      <c r="Z887" s="421"/>
      <c r="AA887" s="421"/>
      <c r="AB887" s="421"/>
      <c r="AC887" s="421"/>
      <c r="AD887" s="421"/>
      <c r="AE887" s="421"/>
      <c r="AF887" s="421"/>
      <c r="AG887" s="421"/>
      <c r="AH887" s="421"/>
      <c r="AI887" s="421"/>
      <c r="AJ887" s="421"/>
      <c r="AK887" s="421"/>
      <c r="AL887" s="421"/>
      <c r="AM887" s="422"/>
      <c r="AN887" s="422"/>
      <c r="AO887" s="422"/>
      <c r="AP887" s="422"/>
      <c r="AQ887" s="422"/>
      <c r="AR887" s="422"/>
      <c r="AS887" s="422"/>
      <c r="AT887" s="422"/>
      <c r="AU887" s="422"/>
      <c r="AV887" s="422"/>
      <c r="AW887" s="422"/>
      <c r="AX887" s="422"/>
      <c r="AY887" s="422"/>
    </row>
    <row r="888" spans="1:51" x14ac:dyDescent="0.25">
      <c r="A888" s="3"/>
      <c r="B888" s="3"/>
      <c r="C888" s="3"/>
      <c r="D888" s="3"/>
      <c r="E888" s="3"/>
      <c r="F888" s="3"/>
      <c r="G888" s="3"/>
      <c r="H888" s="3"/>
      <c r="I888" s="3"/>
      <c r="J888" s="13"/>
      <c r="K888" s="13"/>
      <c r="L888" s="13"/>
      <c r="M888" s="13"/>
      <c r="N888" s="13"/>
      <c r="O888" s="13"/>
      <c r="P888" s="13"/>
      <c r="Q888" s="13"/>
      <c r="R888" s="13"/>
      <c r="S888" s="421"/>
      <c r="T888" s="421"/>
      <c r="U888" s="421"/>
      <c r="V888" s="421"/>
      <c r="W888" s="421"/>
      <c r="X888" s="421"/>
      <c r="Y888" s="421"/>
      <c r="Z888" s="421"/>
      <c r="AA888" s="421"/>
      <c r="AB888" s="421"/>
      <c r="AC888" s="421"/>
      <c r="AD888" s="421"/>
      <c r="AE888" s="421"/>
      <c r="AF888" s="421"/>
      <c r="AG888" s="421"/>
      <c r="AH888" s="421"/>
      <c r="AI888" s="421"/>
      <c r="AJ888" s="421"/>
      <c r="AK888" s="421"/>
      <c r="AL888" s="421"/>
      <c r="AM888" s="422"/>
      <c r="AN888" s="422"/>
      <c r="AO888" s="422"/>
      <c r="AP888" s="422"/>
      <c r="AQ888" s="422"/>
      <c r="AR888" s="422"/>
      <c r="AS888" s="422"/>
      <c r="AT888" s="422"/>
      <c r="AU888" s="422"/>
      <c r="AV888" s="422"/>
      <c r="AW888" s="422"/>
      <c r="AX888" s="422"/>
      <c r="AY888" s="422"/>
    </row>
    <row r="889" spans="1:51" x14ac:dyDescent="0.25">
      <c r="A889" s="3"/>
      <c r="B889" s="3"/>
      <c r="C889" s="3"/>
      <c r="D889" s="3"/>
      <c r="E889" s="3"/>
      <c r="F889" s="3"/>
      <c r="G889" s="3"/>
      <c r="H889" s="3"/>
      <c r="I889" s="3"/>
      <c r="J889" s="13"/>
      <c r="K889" s="13"/>
      <c r="L889" s="13"/>
      <c r="M889" s="13"/>
      <c r="N889" s="13"/>
      <c r="O889" s="13"/>
      <c r="P889" s="13"/>
      <c r="Q889" s="13"/>
      <c r="R889" s="13"/>
      <c r="S889" s="421"/>
      <c r="T889" s="421"/>
      <c r="U889" s="421"/>
      <c r="V889" s="421"/>
      <c r="W889" s="421"/>
      <c r="X889" s="421"/>
      <c r="Y889" s="421"/>
      <c r="Z889" s="421"/>
      <c r="AA889" s="421"/>
      <c r="AB889" s="421"/>
      <c r="AC889" s="421"/>
      <c r="AD889" s="421"/>
      <c r="AE889" s="421"/>
      <c r="AF889" s="421"/>
      <c r="AG889" s="421"/>
      <c r="AH889" s="421"/>
      <c r="AI889" s="421"/>
      <c r="AJ889" s="421"/>
      <c r="AK889" s="421"/>
      <c r="AL889" s="421"/>
      <c r="AM889" s="422"/>
      <c r="AN889" s="422"/>
      <c r="AO889" s="422"/>
      <c r="AP889" s="422"/>
      <c r="AQ889" s="422"/>
      <c r="AR889" s="422"/>
      <c r="AS889" s="422"/>
      <c r="AT889" s="422"/>
      <c r="AU889" s="422"/>
      <c r="AV889" s="422"/>
      <c r="AW889" s="422"/>
      <c r="AX889" s="422"/>
      <c r="AY889" s="422"/>
    </row>
    <row r="890" spans="1:51" x14ac:dyDescent="0.25">
      <c r="A890" s="3"/>
      <c r="B890" s="3"/>
      <c r="C890" s="3"/>
      <c r="D890" s="3"/>
      <c r="E890" s="3"/>
      <c r="F890" s="3"/>
      <c r="G890" s="3"/>
      <c r="H890" s="3"/>
      <c r="I890" s="3"/>
      <c r="J890" s="13"/>
      <c r="K890" s="13"/>
      <c r="L890" s="13"/>
      <c r="M890" s="13"/>
      <c r="N890" s="13"/>
      <c r="O890" s="13"/>
      <c r="P890" s="13"/>
      <c r="Q890" s="13"/>
      <c r="R890" s="13"/>
      <c r="S890" s="421"/>
      <c r="T890" s="421"/>
      <c r="U890" s="421"/>
      <c r="V890" s="421"/>
      <c r="W890" s="421"/>
      <c r="X890" s="421"/>
      <c r="Y890" s="421"/>
      <c r="Z890" s="421"/>
      <c r="AA890" s="421"/>
      <c r="AB890" s="421"/>
      <c r="AC890" s="421"/>
      <c r="AD890" s="421"/>
      <c r="AE890" s="421"/>
      <c r="AF890" s="421"/>
      <c r="AG890" s="421"/>
      <c r="AH890" s="421"/>
      <c r="AI890" s="421"/>
      <c r="AJ890" s="421"/>
      <c r="AK890" s="421"/>
      <c r="AL890" s="421"/>
      <c r="AM890" s="422"/>
      <c r="AN890" s="422"/>
      <c r="AO890" s="422"/>
      <c r="AP890" s="422"/>
      <c r="AQ890" s="422"/>
      <c r="AR890" s="422"/>
      <c r="AS890" s="422"/>
      <c r="AT890" s="422"/>
      <c r="AU890" s="422"/>
      <c r="AV890" s="422"/>
      <c r="AW890" s="422"/>
      <c r="AX890" s="422"/>
      <c r="AY890" s="422"/>
    </row>
    <row r="891" spans="1:51" x14ac:dyDescent="0.25">
      <c r="A891" s="3"/>
      <c r="B891" s="3"/>
      <c r="C891" s="3"/>
      <c r="D891" s="3"/>
      <c r="E891" s="3"/>
      <c r="F891" s="3"/>
      <c r="G891" s="3"/>
      <c r="H891" s="3"/>
      <c r="I891" s="3"/>
      <c r="J891" s="13"/>
      <c r="K891" s="13"/>
      <c r="L891" s="13"/>
      <c r="M891" s="13"/>
      <c r="N891" s="13"/>
      <c r="O891" s="13"/>
      <c r="P891" s="13"/>
      <c r="Q891" s="13"/>
      <c r="R891" s="13"/>
      <c r="S891" s="421"/>
      <c r="T891" s="421"/>
      <c r="U891" s="421"/>
      <c r="V891" s="421"/>
      <c r="W891" s="421"/>
      <c r="X891" s="421"/>
      <c r="Y891" s="421"/>
      <c r="Z891" s="421"/>
      <c r="AA891" s="421"/>
      <c r="AB891" s="421"/>
      <c r="AC891" s="421"/>
      <c r="AD891" s="421"/>
      <c r="AE891" s="421"/>
      <c r="AF891" s="421"/>
      <c r="AG891" s="421"/>
      <c r="AH891" s="421"/>
      <c r="AI891" s="421"/>
      <c r="AJ891" s="421"/>
      <c r="AK891" s="421"/>
      <c r="AL891" s="421"/>
      <c r="AM891" s="422"/>
      <c r="AN891" s="422"/>
      <c r="AO891" s="422"/>
      <c r="AP891" s="422"/>
      <c r="AQ891" s="422"/>
      <c r="AR891" s="422"/>
      <c r="AS891" s="422"/>
      <c r="AT891" s="422"/>
      <c r="AU891" s="422"/>
      <c r="AV891" s="422"/>
      <c r="AW891" s="422"/>
      <c r="AX891" s="422"/>
      <c r="AY891" s="422"/>
    </row>
    <row r="892" spans="1:51" x14ac:dyDescent="0.25">
      <c r="A892" s="3"/>
      <c r="B892" s="3"/>
      <c r="C892" s="3"/>
      <c r="D892" s="3"/>
      <c r="E892" s="3"/>
      <c r="F892" s="3"/>
      <c r="G892" s="3"/>
      <c r="H892" s="3"/>
      <c r="I892" s="3"/>
      <c r="J892" s="13"/>
      <c r="K892" s="13"/>
      <c r="L892" s="13"/>
      <c r="M892" s="13"/>
      <c r="N892" s="13"/>
      <c r="O892" s="13"/>
      <c r="P892" s="13"/>
      <c r="Q892" s="13"/>
      <c r="R892" s="13"/>
      <c r="S892" s="421"/>
      <c r="T892" s="421"/>
      <c r="U892" s="421"/>
      <c r="V892" s="421"/>
      <c r="W892" s="421"/>
      <c r="X892" s="421"/>
      <c r="Y892" s="421"/>
      <c r="Z892" s="421"/>
      <c r="AA892" s="421"/>
      <c r="AB892" s="421"/>
      <c r="AC892" s="421"/>
      <c r="AD892" s="421"/>
      <c r="AE892" s="421"/>
      <c r="AF892" s="421"/>
      <c r="AG892" s="421"/>
      <c r="AH892" s="421"/>
      <c r="AI892" s="421"/>
      <c r="AJ892" s="421"/>
      <c r="AK892" s="421"/>
      <c r="AL892" s="421"/>
      <c r="AM892" s="422"/>
      <c r="AN892" s="422"/>
      <c r="AO892" s="422"/>
      <c r="AP892" s="422"/>
      <c r="AQ892" s="422"/>
      <c r="AR892" s="422"/>
      <c r="AS892" s="422"/>
      <c r="AT892" s="422"/>
      <c r="AU892" s="422"/>
      <c r="AV892" s="422"/>
      <c r="AW892" s="422"/>
      <c r="AX892" s="422"/>
      <c r="AY892" s="422"/>
    </row>
    <row r="893" spans="1:51" x14ac:dyDescent="0.25">
      <c r="A893" s="3"/>
      <c r="B893" s="3"/>
      <c r="C893" s="3"/>
      <c r="D893" s="3"/>
      <c r="E893" s="3"/>
      <c r="F893" s="3"/>
      <c r="G893" s="3"/>
      <c r="H893" s="3"/>
      <c r="I893" s="3"/>
      <c r="J893" s="13"/>
      <c r="K893" s="13"/>
      <c r="L893" s="13"/>
      <c r="M893" s="13"/>
      <c r="N893" s="13"/>
      <c r="O893" s="13"/>
      <c r="P893" s="13"/>
      <c r="Q893" s="13"/>
      <c r="R893" s="13"/>
      <c r="S893" s="421"/>
      <c r="T893" s="421"/>
      <c r="U893" s="421"/>
      <c r="V893" s="421"/>
      <c r="W893" s="421"/>
      <c r="X893" s="421"/>
      <c r="Y893" s="421"/>
      <c r="Z893" s="421"/>
      <c r="AA893" s="421"/>
      <c r="AB893" s="421"/>
      <c r="AC893" s="421"/>
      <c r="AD893" s="421"/>
      <c r="AE893" s="421"/>
      <c r="AF893" s="421"/>
      <c r="AG893" s="421"/>
      <c r="AH893" s="421"/>
      <c r="AI893" s="421"/>
      <c r="AJ893" s="421"/>
      <c r="AK893" s="421"/>
      <c r="AL893" s="421"/>
      <c r="AM893" s="422"/>
      <c r="AN893" s="422"/>
      <c r="AO893" s="422"/>
      <c r="AP893" s="422"/>
      <c r="AQ893" s="422"/>
      <c r="AR893" s="422"/>
      <c r="AS893" s="422"/>
      <c r="AT893" s="422"/>
      <c r="AU893" s="422"/>
      <c r="AV893" s="422"/>
      <c r="AW893" s="422"/>
      <c r="AX893" s="422"/>
      <c r="AY893" s="422"/>
    </row>
    <row r="894" spans="1:51" x14ac:dyDescent="0.25">
      <c r="A894" s="3"/>
      <c r="B894" s="3"/>
      <c r="C894" s="3"/>
      <c r="D894" s="3"/>
      <c r="E894" s="3"/>
      <c r="F894" s="3"/>
      <c r="G894" s="3"/>
      <c r="H894" s="3"/>
      <c r="I894" s="3"/>
      <c r="J894" s="13"/>
      <c r="K894" s="13"/>
      <c r="L894" s="13"/>
      <c r="M894" s="13"/>
      <c r="N894" s="13"/>
      <c r="O894" s="13"/>
      <c r="P894" s="13"/>
      <c r="Q894" s="13"/>
      <c r="R894" s="13"/>
      <c r="S894" s="421"/>
      <c r="T894" s="421"/>
      <c r="U894" s="421"/>
      <c r="V894" s="421"/>
      <c r="W894" s="421"/>
      <c r="X894" s="421"/>
      <c r="Y894" s="421"/>
      <c r="Z894" s="421"/>
      <c r="AA894" s="421"/>
      <c r="AB894" s="421"/>
      <c r="AC894" s="421"/>
      <c r="AD894" s="421"/>
      <c r="AE894" s="421"/>
      <c r="AF894" s="421"/>
      <c r="AG894" s="421"/>
      <c r="AH894" s="421"/>
      <c r="AI894" s="421"/>
      <c r="AJ894" s="421"/>
      <c r="AK894" s="421"/>
      <c r="AL894" s="421"/>
      <c r="AM894" s="422"/>
      <c r="AN894" s="422"/>
      <c r="AO894" s="422"/>
      <c r="AP894" s="422"/>
      <c r="AQ894" s="422"/>
      <c r="AR894" s="422"/>
      <c r="AS894" s="422"/>
      <c r="AT894" s="422"/>
      <c r="AU894" s="422"/>
      <c r="AV894" s="422"/>
      <c r="AW894" s="422"/>
      <c r="AX894" s="422"/>
      <c r="AY894" s="422"/>
    </row>
    <row r="895" spans="1:51" x14ac:dyDescent="0.25">
      <c r="A895" s="3"/>
      <c r="B895" s="3"/>
      <c r="C895" s="3"/>
      <c r="D895" s="3"/>
      <c r="E895" s="3"/>
      <c r="F895" s="3"/>
      <c r="G895" s="3"/>
      <c r="H895" s="3"/>
      <c r="I895" s="3"/>
      <c r="J895" s="13"/>
      <c r="K895" s="13"/>
      <c r="L895" s="13"/>
      <c r="M895" s="13"/>
      <c r="N895" s="13"/>
      <c r="O895" s="13"/>
      <c r="P895" s="13"/>
      <c r="Q895" s="13"/>
      <c r="R895" s="13"/>
      <c r="S895" s="421"/>
      <c r="T895" s="421"/>
      <c r="U895" s="421"/>
      <c r="V895" s="421"/>
      <c r="W895" s="421"/>
      <c r="X895" s="421"/>
      <c r="Y895" s="421"/>
      <c r="Z895" s="421"/>
      <c r="AA895" s="421"/>
      <c r="AB895" s="421"/>
      <c r="AC895" s="421"/>
      <c r="AD895" s="421"/>
      <c r="AE895" s="421"/>
      <c r="AF895" s="421"/>
      <c r="AG895" s="421"/>
      <c r="AH895" s="421"/>
      <c r="AI895" s="421"/>
      <c r="AJ895" s="421"/>
      <c r="AK895" s="421"/>
      <c r="AL895" s="421"/>
      <c r="AM895" s="422"/>
      <c r="AN895" s="422"/>
      <c r="AO895" s="422"/>
      <c r="AP895" s="422"/>
      <c r="AQ895" s="422"/>
      <c r="AR895" s="422"/>
      <c r="AS895" s="422"/>
      <c r="AT895" s="422"/>
      <c r="AU895" s="422"/>
      <c r="AV895" s="422"/>
      <c r="AW895" s="422"/>
      <c r="AX895" s="422"/>
      <c r="AY895" s="422"/>
    </row>
    <row r="896" spans="1:51" x14ac:dyDescent="0.25">
      <c r="A896" s="3"/>
      <c r="B896" s="3"/>
      <c r="C896" s="3"/>
      <c r="D896" s="3"/>
      <c r="E896" s="3"/>
      <c r="F896" s="3"/>
      <c r="G896" s="3"/>
      <c r="H896" s="3"/>
      <c r="I896" s="3"/>
      <c r="J896" s="13"/>
      <c r="K896" s="13"/>
      <c r="L896" s="13"/>
      <c r="M896" s="13"/>
      <c r="N896" s="13"/>
      <c r="O896" s="13"/>
      <c r="P896" s="13"/>
      <c r="Q896" s="13"/>
      <c r="R896" s="13"/>
      <c r="S896" s="421"/>
      <c r="T896" s="421"/>
      <c r="U896" s="421"/>
      <c r="V896" s="421"/>
      <c r="W896" s="421"/>
      <c r="X896" s="421"/>
      <c r="Y896" s="421"/>
      <c r="Z896" s="421"/>
      <c r="AA896" s="421"/>
      <c r="AB896" s="421"/>
      <c r="AC896" s="421"/>
      <c r="AD896" s="421"/>
      <c r="AE896" s="421"/>
      <c r="AF896" s="421"/>
      <c r="AG896" s="421"/>
      <c r="AH896" s="421"/>
      <c r="AI896" s="421"/>
      <c r="AJ896" s="421"/>
      <c r="AK896" s="421"/>
      <c r="AL896" s="421"/>
      <c r="AM896" s="422"/>
      <c r="AN896" s="422"/>
      <c r="AO896" s="422"/>
      <c r="AP896" s="422"/>
      <c r="AQ896" s="422"/>
      <c r="AR896" s="422"/>
      <c r="AS896" s="422"/>
      <c r="AT896" s="422"/>
      <c r="AU896" s="422"/>
      <c r="AV896" s="422"/>
      <c r="AW896" s="422"/>
      <c r="AX896" s="422"/>
      <c r="AY896" s="422"/>
    </row>
    <row r="897" spans="1:51" x14ac:dyDescent="0.25">
      <c r="A897" s="3"/>
      <c r="B897" s="3"/>
      <c r="C897" s="3"/>
      <c r="D897" s="3"/>
      <c r="E897" s="3"/>
      <c r="F897" s="3"/>
      <c r="G897" s="3"/>
      <c r="H897" s="3"/>
      <c r="I897" s="3"/>
      <c r="J897" s="13"/>
      <c r="K897" s="13"/>
      <c r="L897" s="13"/>
      <c r="M897" s="13"/>
      <c r="N897" s="13"/>
      <c r="O897" s="13"/>
      <c r="P897" s="13"/>
      <c r="Q897" s="13"/>
      <c r="R897" s="13"/>
      <c r="S897" s="421"/>
      <c r="T897" s="421"/>
      <c r="U897" s="421"/>
      <c r="V897" s="421"/>
      <c r="W897" s="421"/>
      <c r="X897" s="421"/>
      <c r="Y897" s="421"/>
      <c r="Z897" s="421"/>
      <c r="AA897" s="421"/>
      <c r="AB897" s="421"/>
      <c r="AC897" s="421"/>
      <c r="AD897" s="421"/>
      <c r="AE897" s="421"/>
      <c r="AF897" s="421"/>
      <c r="AG897" s="421"/>
      <c r="AH897" s="421"/>
      <c r="AI897" s="421"/>
      <c r="AJ897" s="421"/>
      <c r="AK897" s="421"/>
      <c r="AL897" s="421"/>
      <c r="AM897" s="422"/>
      <c r="AN897" s="422"/>
      <c r="AO897" s="422"/>
      <c r="AP897" s="422"/>
      <c r="AQ897" s="422"/>
      <c r="AR897" s="422"/>
      <c r="AS897" s="422"/>
      <c r="AT897" s="422"/>
      <c r="AU897" s="422"/>
      <c r="AV897" s="422"/>
      <c r="AW897" s="422"/>
      <c r="AX897" s="422"/>
      <c r="AY897" s="422"/>
    </row>
    <row r="898" spans="1:51" x14ac:dyDescent="0.25">
      <c r="A898" s="3"/>
      <c r="B898" s="3"/>
      <c r="C898" s="3"/>
      <c r="D898" s="3"/>
      <c r="E898" s="3"/>
      <c r="F898" s="3"/>
      <c r="G898" s="3"/>
      <c r="H898" s="3"/>
      <c r="I898" s="3"/>
      <c r="J898" s="13"/>
      <c r="K898" s="13"/>
      <c r="L898" s="13"/>
      <c r="M898" s="13"/>
      <c r="N898" s="13"/>
      <c r="O898" s="13"/>
      <c r="P898" s="13"/>
      <c r="Q898" s="13"/>
      <c r="R898" s="13"/>
      <c r="S898" s="421"/>
      <c r="T898" s="421"/>
      <c r="U898" s="421"/>
      <c r="V898" s="421"/>
      <c r="W898" s="421"/>
      <c r="X898" s="421"/>
      <c r="Y898" s="421"/>
      <c r="Z898" s="421"/>
      <c r="AA898" s="421"/>
      <c r="AB898" s="421"/>
      <c r="AC898" s="421"/>
      <c r="AD898" s="421"/>
      <c r="AE898" s="421"/>
      <c r="AF898" s="421"/>
      <c r="AG898" s="421"/>
      <c r="AH898" s="421"/>
      <c r="AI898" s="421"/>
      <c r="AJ898" s="421"/>
      <c r="AK898" s="421"/>
      <c r="AL898" s="421"/>
      <c r="AM898" s="422"/>
      <c r="AN898" s="422"/>
      <c r="AO898" s="422"/>
      <c r="AP898" s="422"/>
      <c r="AQ898" s="422"/>
      <c r="AR898" s="422"/>
      <c r="AS898" s="422"/>
      <c r="AT898" s="422"/>
      <c r="AU898" s="422"/>
      <c r="AV898" s="422"/>
      <c r="AW898" s="422"/>
      <c r="AX898" s="422"/>
      <c r="AY898" s="422"/>
    </row>
    <row r="899" spans="1:51" x14ac:dyDescent="0.25">
      <c r="A899" s="3"/>
      <c r="B899" s="3"/>
      <c r="C899" s="3"/>
      <c r="D899" s="3"/>
      <c r="E899" s="3"/>
      <c r="F899" s="3"/>
      <c r="G899" s="3"/>
      <c r="H899" s="3"/>
      <c r="I899" s="3"/>
      <c r="J899" s="13"/>
      <c r="K899" s="13"/>
      <c r="L899" s="13"/>
      <c r="M899" s="13"/>
      <c r="N899" s="13"/>
      <c r="O899" s="13"/>
      <c r="P899" s="13"/>
      <c r="Q899" s="13"/>
      <c r="R899" s="13"/>
      <c r="S899" s="421"/>
      <c r="T899" s="421"/>
      <c r="U899" s="421"/>
      <c r="V899" s="421"/>
      <c r="W899" s="421"/>
      <c r="X899" s="421"/>
      <c r="Y899" s="421"/>
      <c r="Z899" s="421"/>
      <c r="AA899" s="421"/>
      <c r="AB899" s="421"/>
      <c r="AC899" s="421"/>
      <c r="AD899" s="421"/>
      <c r="AE899" s="421"/>
      <c r="AF899" s="421"/>
      <c r="AG899" s="421"/>
      <c r="AH899" s="421"/>
      <c r="AI899" s="421"/>
      <c r="AJ899" s="421"/>
      <c r="AK899" s="421"/>
      <c r="AL899" s="421"/>
      <c r="AM899" s="422"/>
      <c r="AN899" s="422"/>
      <c r="AO899" s="422"/>
      <c r="AP899" s="422"/>
      <c r="AQ899" s="422"/>
      <c r="AR899" s="422"/>
      <c r="AS899" s="422"/>
      <c r="AT899" s="422"/>
      <c r="AU899" s="422"/>
      <c r="AV899" s="422"/>
      <c r="AW899" s="422"/>
      <c r="AX899" s="422"/>
      <c r="AY899" s="422"/>
    </row>
    <row r="900" spans="1:51" x14ac:dyDescent="0.25">
      <c r="A900" s="3"/>
      <c r="B900" s="3"/>
      <c r="C900" s="3"/>
      <c r="D900" s="3"/>
      <c r="E900" s="3"/>
      <c r="F900" s="3"/>
      <c r="G900" s="3"/>
      <c r="H900" s="3"/>
      <c r="I900" s="3"/>
      <c r="J900" s="13"/>
      <c r="K900" s="13"/>
      <c r="L900" s="13"/>
      <c r="M900" s="13"/>
      <c r="N900" s="13"/>
      <c r="O900" s="13"/>
      <c r="P900" s="13"/>
      <c r="Q900" s="13"/>
      <c r="R900" s="13"/>
      <c r="S900" s="421"/>
      <c r="T900" s="421"/>
      <c r="U900" s="421"/>
      <c r="V900" s="421"/>
      <c r="W900" s="421"/>
      <c r="X900" s="421"/>
      <c r="Y900" s="421"/>
      <c r="Z900" s="421"/>
      <c r="AA900" s="421"/>
      <c r="AB900" s="421"/>
      <c r="AC900" s="421"/>
      <c r="AD900" s="421"/>
      <c r="AE900" s="421"/>
      <c r="AF900" s="421"/>
      <c r="AG900" s="421"/>
      <c r="AH900" s="421"/>
      <c r="AI900" s="421"/>
      <c r="AJ900" s="421"/>
      <c r="AK900" s="421"/>
      <c r="AL900" s="421"/>
      <c r="AM900" s="422"/>
      <c r="AN900" s="422"/>
      <c r="AO900" s="422"/>
      <c r="AP900" s="422"/>
      <c r="AQ900" s="422"/>
      <c r="AR900" s="422"/>
      <c r="AS900" s="422"/>
      <c r="AT900" s="422"/>
      <c r="AU900" s="422"/>
      <c r="AV900" s="422"/>
      <c r="AW900" s="422"/>
      <c r="AX900" s="422"/>
      <c r="AY900" s="422"/>
    </row>
    <row r="901" spans="1:51" x14ac:dyDescent="0.25">
      <c r="A901" s="3"/>
      <c r="B901" s="3"/>
      <c r="C901" s="3"/>
      <c r="D901" s="3"/>
      <c r="E901" s="3"/>
      <c r="F901" s="3"/>
      <c r="G901" s="3"/>
      <c r="H901" s="3"/>
      <c r="I901" s="3"/>
      <c r="J901" s="13"/>
      <c r="K901" s="13"/>
      <c r="L901" s="13"/>
      <c r="M901" s="13"/>
      <c r="N901" s="13"/>
      <c r="O901" s="13"/>
      <c r="P901" s="13"/>
      <c r="Q901" s="13"/>
      <c r="R901" s="13"/>
      <c r="S901" s="421"/>
      <c r="T901" s="421"/>
      <c r="U901" s="421"/>
      <c r="V901" s="421"/>
      <c r="W901" s="421"/>
      <c r="X901" s="421"/>
      <c r="Y901" s="421"/>
      <c r="Z901" s="421"/>
      <c r="AA901" s="421"/>
      <c r="AB901" s="421"/>
      <c r="AC901" s="421"/>
      <c r="AD901" s="421"/>
      <c r="AE901" s="421"/>
      <c r="AF901" s="421"/>
      <c r="AG901" s="421"/>
      <c r="AH901" s="421"/>
      <c r="AI901" s="421"/>
      <c r="AJ901" s="421"/>
      <c r="AK901" s="421"/>
      <c r="AL901" s="421"/>
      <c r="AM901" s="422"/>
      <c r="AN901" s="422"/>
      <c r="AO901" s="422"/>
      <c r="AP901" s="422"/>
      <c r="AQ901" s="422"/>
      <c r="AR901" s="422"/>
      <c r="AS901" s="422"/>
      <c r="AT901" s="422"/>
      <c r="AU901" s="422"/>
      <c r="AV901" s="422"/>
      <c r="AW901" s="422"/>
      <c r="AX901" s="422"/>
      <c r="AY901" s="422"/>
    </row>
    <row r="902" spans="1:51" x14ac:dyDescent="0.25">
      <c r="A902" s="3"/>
      <c r="B902" s="3"/>
      <c r="C902" s="3"/>
      <c r="D902" s="3"/>
      <c r="E902" s="3"/>
      <c r="F902" s="3"/>
      <c r="G902" s="3"/>
      <c r="H902" s="3"/>
      <c r="I902" s="3"/>
      <c r="J902" s="13"/>
      <c r="K902" s="13"/>
      <c r="L902" s="13"/>
      <c r="M902" s="13"/>
      <c r="N902" s="13"/>
      <c r="O902" s="13"/>
      <c r="P902" s="13"/>
      <c r="Q902" s="13"/>
      <c r="R902" s="13"/>
      <c r="S902" s="421"/>
      <c r="T902" s="421"/>
      <c r="U902" s="421"/>
      <c r="V902" s="421"/>
      <c r="W902" s="421"/>
      <c r="X902" s="421"/>
      <c r="Y902" s="421"/>
      <c r="Z902" s="421"/>
      <c r="AA902" s="421"/>
      <c r="AB902" s="421"/>
      <c r="AC902" s="421"/>
      <c r="AD902" s="421"/>
      <c r="AE902" s="421"/>
      <c r="AF902" s="421"/>
      <c r="AG902" s="421"/>
      <c r="AH902" s="421"/>
      <c r="AI902" s="421"/>
      <c r="AJ902" s="421"/>
      <c r="AK902" s="421"/>
      <c r="AL902" s="421"/>
      <c r="AM902" s="422"/>
      <c r="AN902" s="422"/>
      <c r="AO902" s="422"/>
      <c r="AP902" s="422"/>
      <c r="AQ902" s="422"/>
      <c r="AR902" s="422"/>
      <c r="AS902" s="422"/>
      <c r="AT902" s="422"/>
      <c r="AU902" s="422"/>
      <c r="AV902" s="422"/>
      <c r="AW902" s="422"/>
      <c r="AX902" s="422"/>
      <c r="AY902" s="422"/>
    </row>
    <row r="903" spans="1:51" x14ac:dyDescent="0.25">
      <c r="A903" s="3"/>
      <c r="B903" s="3"/>
      <c r="C903" s="3"/>
      <c r="D903" s="3"/>
      <c r="E903" s="3"/>
      <c r="F903" s="3"/>
      <c r="G903" s="3"/>
      <c r="H903" s="3"/>
      <c r="I903" s="3"/>
      <c r="J903" s="13"/>
      <c r="K903" s="13"/>
      <c r="L903" s="13"/>
      <c r="M903" s="13"/>
      <c r="N903" s="13"/>
      <c r="O903" s="13"/>
      <c r="P903" s="13"/>
      <c r="Q903" s="13"/>
      <c r="R903" s="13"/>
      <c r="S903" s="421"/>
      <c r="T903" s="421"/>
      <c r="U903" s="421"/>
      <c r="V903" s="421"/>
      <c r="W903" s="421"/>
      <c r="X903" s="421"/>
      <c r="Y903" s="421"/>
      <c r="Z903" s="421"/>
      <c r="AA903" s="421"/>
      <c r="AB903" s="421"/>
      <c r="AC903" s="421"/>
      <c r="AD903" s="421"/>
      <c r="AE903" s="421"/>
      <c r="AF903" s="421"/>
      <c r="AG903" s="421"/>
      <c r="AH903" s="421"/>
      <c r="AI903" s="421"/>
      <c r="AJ903" s="421"/>
      <c r="AK903" s="421"/>
      <c r="AL903" s="421"/>
      <c r="AM903" s="422"/>
      <c r="AN903" s="422"/>
      <c r="AO903" s="422"/>
      <c r="AP903" s="422"/>
      <c r="AQ903" s="422"/>
      <c r="AR903" s="422"/>
      <c r="AS903" s="422"/>
      <c r="AT903" s="422"/>
      <c r="AU903" s="422"/>
      <c r="AV903" s="422"/>
      <c r="AW903" s="422"/>
      <c r="AX903" s="422"/>
      <c r="AY903" s="422"/>
    </row>
    <row r="904" spans="1:51" x14ac:dyDescent="0.25">
      <c r="A904" s="3"/>
      <c r="B904" s="3"/>
      <c r="C904" s="3"/>
      <c r="D904" s="3"/>
      <c r="E904" s="3"/>
      <c r="F904" s="3"/>
      <c r="G904" s="3"/>
      <c r="H904" s="3"/>
      <c r="I904" s="3"/>
      <c r="J904" s="13"/>
      <c r="K904" s="13"/>
      <c r="L904" s="13"/>
      <c r="M904" s="13"/>
      <c r="N904" s="13"/>
      <c r="O904" s="13"/>
      <c r="P904" s="13"/>
      <c r="Q904" s="13"/>
      <c r="R904" s="13"/>
      <c r="S904" s="421"/>
      <c r="T904" s="421"/>
      <c r="U904" s="421"/>
      <c r="V904" s="421"/>
      <c r="W904" s="421"/>
      <c r="X904" s="421"/>
      <c r="Y904" s="421"/>
      <c r="Z904" s="421"/>
      <c r="AA904" s="421"/>
      <c r="AB904" s="421"/>
      <c r="AC904" s="421"/>
      <c r="AD904" s="421"/>
      <c r="AE904" s="421"/>
      <c r="AF904" s="421"/>
      <c r="AG904" s="421"/>
      <c r="AH904" s="421"/>
      <c r="AI904" s="421"/>
      <c r="AJ904" s="421"/>
      <c r="AK904" s="421"/>
      <c r="AL904" s="421"/>
      <c r="AM904" s="422"/>
      <c r="AN904" s="422"/>
      <c r="AO904" s="422"/>
      <c r="AP904" s="422"/>
      <c r="AQ904" s="422"/>
      <c r="AR904" s="422"/>
      <c r="AS904" s="422"/>
      <c r="AT904" s="422"/>
      <c r="AU904" s="422"/>
      <c r="AV904" s="422"/>
      <c r="AW904" s="422"/>
      <c r="AX904" s="422"/>
      <c r="AY904" s="422"/>
    </row>
    <row r="905" spans="1:51" x14ac:dyDescent="0.25">
      <c r="A905" s="3"/>
      <c r="B905" s="3"/>
      <c r="C905" s="3"/>
      <c r="D905" s="3"/>
      <c r="E905" s="3"/>
      <c r="F905" s="3"/>
      <c r="G905" s="3"/>
      <c r="H905" s="3"/>
      <c r="I905" s="3"/>
      <c r="J905" s="13"/>
      <c r="K905" s="13"/>
      <c r="L905" s="13"/>
      <c r="M905" s="13"/>
      <c r="N905" s="13"/>
      <c r="O905" s="13"/>
      <c r="P905" s="13"/>
      <c r="Q905" s="13"/>
      <c r="R905" s="13"/>
      <c r="S905" s="421"/>
      <c r="T905" s="421"/>
      <c r="U905" s="421"/>
      <c r="V905" s="421"/>
      <c r="W905" s="421"/>
      <c r="X905" s="421"/>
      <c r="Y905" s="421"/>
      <c r="Z905" s="421"/>
      <c r="AA905" s="421"/>
      <c r="AB905" s="421"/>
      <c r="AC905" s="421"/>
      <c r="AD905" s="421"/>
      <c r="AE905" s="421"/>
      <c r="AF905" s="421"/>
      <c r="AG905" s="421"/>
      <c r="AH905" s="421"/>
      <c r="AI905" s="421"/>
      <c r="AJ905" s="421"/>
      <c r="AK905" s="421"/>
      <c r="AL905" s="421"/>
      <c r="AM905" s="422"/>
      <c r="AN905" s="422"/>
      <c r="AO905" s="422"/>
      <c r="AP905" s="422"/>
      <c r="AQ905" s="422"/>
      <c r="AR905" s="422"/>
      <c r="AS905" s="422"/>
      <c r="AT905" s="422"/>
      <c r="AU905" s="422"/>
      <c r="AV905" s="422"/>
      <c r="AW905" s="422"/>
      <c r="AX905" s="422"/>
      <c r="AY905" s="422"/>
    </row>
    <row r="906" spans="1:51" x14ac:dyDescent="0.25">
      <c r="A906" s="3"/>
      <c r="B906" s="3"/>
      <c r="C906" s="3"/>
      <c r="D906" s="3"/>
      <c r="E906" s="3"/>
      <c r="F906" s="3"/>
      <c r="G906" s="3"/>
      <c r="H906" s="3"/>
      <c r="I906" s="3"/>
      <c r="J906" s="13"/>
      <c r="K906" s="13"/>
      <c r="L906" s="13"/>
      <c r="M906" s="13"/>
      <c r="N906" s="13"/>
      <c r="O906" s="13"/>
      <c r="P906" s="13"/>
      <c r="Q906" s="13"/>
      <c r="R906" s="13"/>
      <c r="S906" s="421"/>
      <c r="T906" s="421"/>
      <c r="U906" s="421"/>
      <c r="V906" s="421"/>
      <c r="W906" s="421"/>
      <c r="X906" s="421"/>
      <c r="Y906" s="421"/>
      <c r="Z906" s="421"/>
      <c r="AA906" s="421"/>
      <c r="AB906" s="421"/>
      <c r="AC906" s="421"/>
      <c r="AD906" s="421"/>
      <c r="AE906" s="421"/>
      <c r="AF906" s="421"/>
      <c r="AG906" s="421"/>
      <c r="AH906" s="421"/>
      <c r="AI906" s="421"/>
      <c r="AJ906" s="421"/>
      <c r="AK906" s="421"/>
      <c r="AL906" s="421"/>
      <c r="AM906" s="422"/>
      <c r="AN906" s="422"/>
      <c r="AO906" s="422"/>
      <c r="AP906" s="422"/>
      <c r="AQ906" s="422"/>
      <c r="AR906" s="422"/>
      <c r="AS906" s="422"/>
      <c r="AT906" s="422"/>
      <c r="AU906" s="422"/>
      <c r="AV906" s="422"/>
      <c r="AW906" s="422"/>
      <c r="AX906" s="422"/>
      <c r="AY906" s="422"/>
    </row>
    <row r="907" spans="1:51" x14ac:dyDescent="0.25">
      <c r="A907" s="3"/>
      <c r="B907" s="3"/>
      <c r="C907" s="3"/>
      <c r="D907" s="3"/>
      <c r="E907" s="3"/>
      <c r="F907" s="3"/>
      <c r="G907" s="3"/>
      <c r="H907" s="3"/>
      <c r="I907" s="3"/>
      <c r="J907" s="13"/>
      <c r="K907" s="13"/>
      <c r="L907" s="13"/>
      <c r="M907" s="13"/>
      <c r="N907" s="13"/>
      <c r="O907" s="13"/>
      <c r="P907" s="13"/>
      <c r="Q907" s="13"/>
      <c r="R907" s="13"/>
      <c r="S907" s="421"/>
      <c r="T907" s="421"/>
      <c r="U907" s="421"/>
      <c r="V907" s="421"/>
      <c r="W907" s="421"/>
      <c r="X907" s="421"/>
      <c r="Y907" s="421"/>
      <c r="Z907" s="421"/>
      <c r="AA907" s="421"/>
      <c r="AB907" s="421"/>
      <c r="AC907" s="421"/>
      <c r="AD907" s="421"/>
      <c r="AE907" s="421"/>
      <c r="AF907" s="421"/>
      <c r="AG907" s="421"/>
      <c r="AH907" s="421"/>
      <c r="AI907" s="421"/>
      <c r="AJ907" s="421"/>
      <c r="AK907" s="421"/>
      <c r="AL907" s="421"/>
      <c r="AM907" s="422"/>
      <c r="AN907" s="422"/>
      <c r="AO907" s="422"/>
      <c r="AP907" s="422"/>
      <c r="AQ907" s="422"/>
      <c r="AR907" s="422"/>
      <c r="AS907" s="422"/>
      <c r="AT907" s="422"/>
      <c r="AU907" s="422"/>
      <c r="AV907" s="422"/>
      <c r="AW907" s="422"/>
      <c r="AX907" s="422"/>
      <c r="AY907" s="422"/>
    </row>
    <row r="908" spans="1:51" x14ac:dyDescent="0.25">
      <c r="A908" s="3"/>
      <c r="B908" s="3"/>
      <c r="C908" s="3"/>
      <c r="D908" s="3"/>
      <c r="E908" s="3"/>
      <c r="F908" s="3"/>
      <c r="G908" s="3"/>
      <c r="H908" s="3"/>
      <c r="I908" s="3"/>
      <c r="J908" s="13"/>
      <c r="K908" s="13"/>
      <c r="L908" s="13"/>
      <c r="M908" s="13"/>
      <c r="N908" s="13"/>
      <c r="O908" s="13"/>
      <c r="P908" s="13"/>
      <c r="Q908" s="13"/>
      <c r="R908" s="13"/>
      <c r="S908" s="421"/>
      <c r="T908" s="421"/>
      <c r="U908" s="421"/>
      <c r="V908" s="421"/>
      <c r="W908" s="421"/>
      <c r="X908" s="421"/>
      <c r="Y908" s="421"/>
      <c r="Z908" s="421"/>
      <c r="AA908" s="421"/>
      <c r="AB908" s="421"/>
      <c r="AC908" s="421"/>
      <c r="AD908" s="421"/>
      <c r="AE908" s="421"/>
      <c r="AF908" s="421"/>
      <c r="AG908" s="421"/>
      <c r="AH908" s="421"/>
      <c r="AI908" s="421"/>
      <c r="AJ908" s="421"/>
      <c r="AK908" s="421"/>
      <c r="AL908" s="421"/>
      <c r="AM908" s="422"/>
      <c r="AN908" s="422"/>
      <c r="AO908" s="422"/>
      <c r="AP908" s="422"/>
      <c r="AQ908" s="422"/>
      <c r="AR908" s="422"/>
      <c r="AS908" s="422"/>
      <c r="AT908" s="422"/>
      <c r="AU908" s="422"/>
      <c r="AV908" s="422"/>
      <c r="AW908" s="422"/>
      <c r="AX908" s="422"/>
      <c r="AY908" s="422"/>
    </row>
    <row r="909" spans="1:51" x14ac:dyDescent="0.25">
      <c r="A909" s="3"/>
      <c r="B909" s="3"/>
      <c r="C909" s="3"/>
      <c r="D909" s="3"/>
      <c r="E909" s="3"/>
      <c r="F909" s="3"/>
      <c r="G909" s="3"/>
      <c r="H909" s="3"/>
      <c r="I909" s="3"/>
      <c r="J909" s="13"/>
      <c r="K909" s="13"/>
      <c r="L909" s="13"/>
      <c r="M909" s="13"/>
      <c r="N909" s="13"/>
      <c r="O909" s="13"/>
      <c r="P909" s="13"/>
      <c r="Q909" s="13"/>
      <c r="R909" s="13"/>
      <c r="S909" s="421"/>
      <c r="T909" s="421"/>
      <c r="U909" s="421"/>
      <c r="V909" s="421"/>
      <c r="W909" s="421"/>
      <c r="X909" s="421"/>
      <c r="Y909" s="421"/>
      <c r="Z909" s="421"/>
      <c r="AA909" s="421"/>
      <c r="AB909" s="421"/>
      <c r="AC909" s="421"/>
      <c r="AD909" s="421"/>
      <c r="AE909" s="421"/>
      <c r="AF909" s="421"/>
      <c r="AG909" s="421"/>
      <c r="AH909" s="421"/>
      <c r="AI909" s="421"/>
      <c r="AJ909" s="421"/>
      <c r="AK909" s="421"/>
      <c r="AL909" s="421"/>
      <c r="AM909" s="422"/>
      <c r="AN909" s="422"/>
      <c r="AO909" s="422"/>
      <c r="AP909" s="422"/>
      <c r="AQ909" s="422"/>
      <c r="AR909" s="422"/>
      <c r="AS909" s="422"/>
      <c r="AT909" s="422"/>
      <c r="AU909" s="422"/>
      <c r="AV909" s="422"/>
      <c r="AW909" s="422"/>
      <c r="AX909" s="422"/>
      <c r="AY909" s="422"/>
    </row>
    <row r="910" spans="1:51" x14ac:dyDescent="0.25">
      <c r="A910" s="3"/>
      <c r="B910" s="3"/>
      <c r="C910" s="3"/>
      <c r="D910" s="3"/>
      <c r="E910" s="3"/>
      <c r="F910" s="3"/>
      <c r="G910" s="3"/>
      <c r="H910" s="3"/>
      <c r="I910" s="3"/>
      <c r="J910" s="13"/>
      <c r="K910" s="13"/>
      <c r="L910" s="13"/>
      <c r="M910" s="13"/>
      <c r="N910" s="13"/>
      <c r="O910" s="13"/>
      <c r="P910" s="13"/>
      <c r="Q910" s="13"/>
      <c r="R910" s="13"/>
      <c r="S910" s="421"/>
      <c r="T910" s="421"/>
      <c r="U910" s="421"/>
      <c r="V910" s="421"/>
      <c r="W910" s="421"/>
      <c r="X910" s="421"/>
      <c r="Y910" s="421"/>
      <c r="Z910" s="421"/>
      <c r="AA910" s="421"/>
      <c r="AB910" s="421"/>
      <c r="AC910" s="421"/>
      <c r="AD910" s="421"/>
      <c r="AE910" s="421"/>
      <c r="AF910" s="421"/>
      <c r="AG910" s="421"/>
      <c r="AH910" s="421"/>
      <c r="AI910" s="421"/>
      <c r="AJ910" s="421"/>
      <c r="AK910" s="421"/>
      <c r="AL910" s="421"/>
      <c r="AM910" s="422"/>
      <c r="AN910" s="422"/>
      <c r="AO910" s="422"/>
      <c r="AP910" s="422"/>
      <c r="AQ910" s="422"/>
      <c r="AR910" s="422"/>
      <c r="AS910" s="422"/>
      <c r="AT910" s="422"/>
      <c r="AU910" s="422"/>
      <c r="AV910" s="422"/>
      <c r="AW910" s="422"/>
      <c r="AX910" s="422"/>
      <c r="AY910" s="422"/>
    </row>
    <row r="911" spans="1:51" x14ac:dyDescent="0.25">
      <c r="A911" s="3"/>
      <c r="B911" s="3"/>
      <c r="C911" s="3"/>
      <c r="D911" s="3"/>
      <c r="E911" s="3"/>
      <c r="F911" s="3"/>
      <c r="G911" s="3"/>
      <c r="H911" s="3"/>
      <c r="I911" s="3"/>
      <c r="J911" s="13"/>
      <c r="K911" s="13"/>
      <c r="L911" s="13"/>
      <c r="M911" s="13"/>
      <c r="N911" s="13"/>
      <c r="O911" s="13"/>
      <c r="P911" s="13"/>
      <c r="Q911" s="13"/>
      <c r="R911" s="13"/>
      <c r="S911" s="421"/>
      <c r="T911" s="421"/>
      <c r="U911" s="421"/>
      <c r="V911" s="421"/>
      <c r="W911" s="421"/>
      <c r="X911" s="421"/>
      <c r="Y911" s="421"/>
      <c r="Z911" s="421"/>
      <c r="AA911" s="421"/>
      <c r="AB911" s="421"/>
      <c r="AC911" s="421"/>
      <c r="AD911" s="421"/>
      <c r="AE911" s="421"/>
      <c r="AF911" s="421"/>
      <c r="AG911" s="421"/>
      <c r="AH911" s="421"/>
      <c r="AI911" s="421"/>
      <c r="AJ911" s="421"/>
      <c r="AK911" s="421"/>
      <c r="AL911" s="421"/>
      <c r="AM911" s="422"/>
      <c r="AN911" s="422"/>
      <c r="AO911" s="422"/>
      <c r="AP911" s="422"/>
      <c r="AQ911" s="422"/>
      <c r="AR911" s="422"/>
      <c r="AS911" s="422"/>
      <c r="AT911" s="422"/>
      <c r="AU911" s="422"/>
      <c r="AV911" s="422"/>
      <c r="AW911" s="422"/>
      <c r="AX911" s="422"/>
      <c r="AY911" s="422"/>
    </row>
    <row r="912" spans="1:51" x14ac:dyDescent="0.25">
      <c r="A912" s="3"/>
      <c r="B912" s="3"/>
      <c r="C912" s="3"/>
      <c r="D912" s="3"/>
      <c r="E912" s="3"/>
      <c r="F912" s="3"/>
      <c r="G912" s="3"/>
      <c r="H912" s="3"/>
      <c r="I912" s="3"/>
      <c r="J912" s="13"/>
      <c r="K912" s="13"/>
      <c r="L912" s="13"/>
      <c r="M912" s="13"/>
      <c r="N912" s="13"/>
      <c r="O912" s="13"/>
      <c r="P912" s="13"/>
      <c r="Q912" s="13"/>
      <c r="R912" s="13"/>
      <c r="S912" s="421"/>
      <c r="T912" s="421"/>
      <c r="U912" s="421"/>
      <c r="V912" s="421"/>
      <c r="W912" s="421"/>
      <c r="X912" s="421"/>
      <c r="Y912" s="421"/>
      <c r="Z912" s="421"/>
      <c r="AA912" s="421"/>
      <c r="AB912" s="421"/>
      <c r="AC912" s="421"/>
      <c r="AD912" s="421"/>
      <c r="AE912" s="421"/>
      <c r="AF912" s="421"/>
      <c r="AG912" s="421"/>
      <c r="AH912" s="421"/>
      <c r="AI912" s="421"/>
      <c r="AJ912" s="421"/>
      <c r="AK912" s="421"/>
      <c r="AL912" s="421"/>
      <c r="AM912" s="422"/>
      <c r="AN912" s="422"/>
      <c r="AO912" s="422"/>
      <c r="AP912" s="422"/>
      <c r="AQ912" s="422"/>
      <c r="AR912" s="422"/>
      <c r="AS912" s="422"/>
      <c r="AT912" s="422"/>
      <c r="AU912" s="422"/>
      <c r="AV912" s="422"/>
      <c r="AW912" s="422"/>
      <c r="AX912" s="422"/>
      <c r="AY912" s="422"/>
    </row>
    <row r="913" spans="1:51" x14ac:dyDescent="0.25">
      <c r="A913" s="3"/>
      <c r="B913" s="3"/>
      <c r="C913" s="3"/>
      <c r="D913" s="3"/>
      <c r="E913" s="3"/>
      <c r="F913" s="3"/>
      <c r="G913" s="3"/>
      <c r="H913" s="3"/>
      <c r="I913" s="3"/>
      <c r="J913" s="13"/>
      <c r="K913" s="13"/>
      <c r="L913" s="13"/>
      <c r="M913" s="13"/>
      <c r="N913" s="13"/>
      <c r="O913" s="13"/>
      <c r="P913" s="13"/>
      <c r="Q913" s="13"/>
      <c r="R913" s="13"/>
      <c r="S913" s="421"/>
      <c r="T913" s="421"/>
      <c r="U913" s="421"/>
      <c r="V913" s="421"/>
      <c r="W913" s="421"/>
      <c r="X913" s="421"/>
      <c r="Y913" s="421"/>
      <c r="Z913" s="421"/>
      <c r="AA913" s="421"/>
      <c r="AB913" s="421"/>
      <c r="AC913" s="421"/>
      <c r="AD913" s="421"/>
      <c r="AE913" s="421"/>
      <c r="AF913" s="421"/>
      <c r="AG913" s="421"/>
      <c r="AH913" s="421"/>
      <c r="AI913" s="421"/>
      <c r="AJ913" s="421"/>
      <c r="AK913" s="421"/>
      <c r="AL913" s="421"/>
      <c r="AM913" s="422"/>
      <c r="AN913" s="422"/>
      <c r="AO913" s="422"/>
      <c r="AP913" s="422"/>
      <c r="AQ913" s="422"/>
      <c r="AR913" s="422"/>
      <c r="AS913" s="422"/>
      <c r="AT913" s="422"/>
      <c r="AU913" s="422"/>
      <c r="AV913" s="422"/>
      <c r="AW913" s="422"/>
      <c r="AX913" s="422"/>
      <c r="AY913" s="422"/>
    </row>
    <row r="914" spans="1:51" x14ac:dyDescent="0.25">
      <c r="A914" s="3"/>
      <c r="B914" s="3"/>
      <c r="C914" s="3"/>
      <c r="D914" s="3"/>
      <c r="E914" s="3"/>
      <c r="F914" s="3"/>
      <c r="G914" s="3"/>
      <c r="H914" s="3"/>
      <c r="I914" s="3"/>
      <c r="J914" s="13"/>
      <c r="K914" s="13"/>
      <c r="L914" s="13"/>
      <c r="M914" s="13"/>
      <c r="N914" s="13"/>
      <c r="O914" s="13"/>
      <c r="P914" s="13"/>
      <c r="Q914" s="13"/>
      <c r="R914" s="13"/>
      <c r="S914" s="421"/>
      <c r="T914" s="421"/>
      <c r="U914" s="421"/>
      <c r="V914" s="421"/>
      <c r="W914" s="421"/>
      <c r="X914" s="421"/>
      <c r="Y914" s="421"/>
      <c r="Z914" s="421"/>
      <c r="AA914" s="421"/>
      <c r="AB914" s="421"/>
      <c r="AC914" s="421"/>
      <c r="AD914" s="421"/>
      <c r="AE914" s="421"/>
      <c r="AF914" s="421"/>
      <c r="AG914" s="421"/>
      <c r="AH914" s="421"/>
      <c r="AI914" s="421"/>
      <c r="AJ914" s="421"/>
      <c r="AK914" s="421"/>
      <c r="AL914" s="421"/>
      <c r="AM914" s="422"/>
      <c r="AN914" s="422"/>
      <c r="AO914" s="422"/>
      <c r="AP914" s="422"/>
      <c r="AQ914" s="422"/>
      <c r="AR914" s="422"/>
      <c r="AS914" s="422"/>
      <c r="AT914" s="422"/>
      <c r="AU914" s="422"/>
      <c r="AV914" s="422"/>
      <c r="AW914" s="422"/>
      <c r="AX914" s="422"/>
      <c r="AY914" s="422"/>
    </row>
    <row r="915" spans="1:51" x14ac:dyDescent="0.25">
      <c r="A915" s="3"/>
      <c r="B915" s="3"/>
      <c r="C915" s="3"/>
      <c r="D915" s="3"/>
      <c r="E915" s="3"/>
      <c r="F915" s="3"/>
      <c r="G915" s="3"/>
      <c r="H915" s="3"/>
      <c r="I915" s="3"/>
      <c r="J915" s="13"/>
      <c r="K915" s="13"/>
      <c r="L915" s="13"/>
      <c r="M915" s="13"/>
      <c r="N915" s="13"/>
      <c r="O915" s="13"/>
      <c r="P915" s="13"/>
      <c r="Q915" s="13"/>
      <c r="R915" s="13"/>
      <c r="S915" s="421"/>
      <c r="T915" s="421"/>
      <c r="U915" s="421"/>
      <c r="V915" s="421"/>
      <c r="W915" s="421"/>
      <c r="X915" s="421"/>
      <c r="Y915" s="421"/>
      <c r="Z915" s="421"/>
      <c r="AA915" s="421"/>
      <c r="AB915" s="421"/>
      <c r="AC915" s="421"/>
      <c r="AD915" s="421"/>
      <c r="AE915" s="421"/>
      <c r="AF915" s="421"/>
      <c r="AG915" s="421"/>
      <c r="AH915" s="421"/>
      <c r="AI915" s="421"/>
      <c r="AJ915" s="421"/>
      <c r="AK915" s="421"/>
      <c r="AL915" s="421"/>
      <c r="AM915" s="422"/>
      <c r="AN915" s="422"/>
      <c r="AO915" s="422"/>
      <c r="AP915" s="422"/>
      <c r="AQ915" s="422"/>
      <c r="AR915" s="422"/>
      <c r="AS915" s="422"/>
      <c r="AT915" s="422"/>
      <c r="AU915" s="422"/>
      <c r="AV915" s="422"/>
      <c r="AW915" s="422"/>
      <c r="AX915" s="422"/>
      <c r="AY915" s="422"/>
    </row>
    <row r="916" spans="1:51" x14ac:dyDescent="0.25">
      <c r="A916" s="3"/>
      <c r="B916" s="3"/>
      <c r="C916" s="3"/>
      <c r="D916" s="3"/>
      <c r="E916" s="3"/>
      <c r="F916" s="3"/>
      <c r="G916" s="3"/>
      <c r="H916" s="3"/>
      <c r="I916" s="3"/>
      <c r="J916" s="13"/>
      <c r="K916" s="13"/>
      <c r="L916" s="13"/>
      <c r="M916" s="13"/>
      <c r="N916" s="13"/>
      <c r="O916" s="13"/>
      <c r="P916" s="13"/>
      <c r="Q916" s="13"/>
      <c r="R916" s="13"/>
      <c r="S916" s="421"/>
      <c r="T916" s="421"/>
      <c r="U916" s="421"/>
      <c r="V916" s="421"/>
      <c r="W916" s="421"/>
      <c r="X916" s="421"/>
      <c r="Y916" s="421"/>
      <c r="Z916" s="421"/>
      <c r="AA916" s="421"/>
      <c r="AB916" s="421"/>
      <c r="AC916" s="421"/>
      <c r="AD916" s="421"/>
      <c r="AE916" s="421"/>
      <c r="AF916" s="421"/>
      <c r="AG916" s="421"/>
      <c r="AH916" s="421"/>
      <c r="AI916" s="421"/>
      <c r="AJ916" s="421"/>
      <c r="AK916" s="421"/>
      <c r="AL916" s="421"/>
      <c r="AM916" s="422"/>
      <c r="AN916" s="422"/>
      <c r="AO916" s="422"/>
      <c r="AP916" s="422"/>
      <c r="AQ916" s="422"/>
      <c r="AR916" s="422"/>
      <c r="AS916" s="422"/>
      <c r="AT916" s="422"/>
      <c r="AU916" s="422"/>
      <c r="AV916" s="422"/>
      <c r="AW916" s="422"/>
      <c r="AX916" s="422"/>
      <c r="AY916" s="422"/>
    </row>
    <row r="917" spans="1:51" x14ac:dyDescent="0.25">
      <c r="A917" s="3"/>
      <c r="B917" s="3"/>
      <c r="C917" s="3"/>
      <c r="D917" s="3"/>
      <c r="E917" s="3"/>
      <c r="F917" s="3"/>
      <c r="G917" s="3"/>
      <c r="H917" s="3"/>
      <c r="I917" s="3"/>
      <c r="J917" s="13"/>
      <c r="K917" s="13"/>
      <c r="L917" s="13"/>
      <c r="M917" s="13"/>
      <c r="N917" s="13"/>
      <c r="O917" s="13"/>
      <c r="P917" s="13"/>
      <c r="Q917" s="13"/>
      <c r="R917" s="13"/>
      <c r="S917" s="421"/>
      <c r="T917" s="421"/>
      <c r="U917" s="421"/>
      <c r="V917" s="421"/>
      <c r="W917" s="421"/>
      <c r="X917" s="421"/>
      <c r="Y917" s="421"/>
      <c r="Z917" s="421"/>
      <c r="AA917" s="421"/>
      <c r="AB917" s="421"/>
      <c r="AC917" s="421"/>
      <c r="AD917" s="421"/>
      <c r="AE917" s="421"/>
      <c r="AF917" s="421"/>
      <c r="AG917" s="421"/>
      <c r="AH917" s="421"/>
      <c r="AI917" s="421"/>
      <c r="AJ917" s="421"/>
      <c r="AK917" s="421"/>
      <c r="AL917" s="421"/>
      <c r="AM917" s="422"/>
      <c r="AN917" s="422"/>
      <c r="AO917" s="422"/>
      <c r="AP917" s="422"/>
      <c r="AQ917" s="422"/>
      <c r="AR917" s="422"/>
      <c r="AS917" s="422"/>
      <c r="AT917" s="422"/>
      <c r="AU917" s="422"/>
      <c r="AV917" s="422"/>
      <c r="AW917" s="422"/>
      <c r="AX917" s="422"/>
      <c r="AY917" s="422"/>
    </row>
    <row r="918" spans="1:51" x14ac:dyDescent="0.25">
      <c r="A918" s="3"/>
      <c r="B918" s="3"/>
      <c r="C918" s="3"/>
      <c r="D918" s="3"/>
      <c r="E918" s="3"/>
      <c r="F918" s="3"/>
      <c r="G918" s="3"/>
      <c r="H918" s="3"/>
      <c r="I918" s="3"/>
      <c r="J918" s="13"/>
      <c r="K918" s="13"/>
      <c r="L918" s="13"/>
      <c r="M918" s="13"/>
      <c r="N918" s="13"/>
      <c r="O918" s="13"/>
      <c r="P918" s="13"/>
      <c r="Q918" s="13"/>
      <c r="R918" s="13"/>
      <c r="S918" s="421"/>
      <c r="T918" s="421"/>
      <c r="U918" s="421"/>
      <c r="V918" s="421"/>
      <c r="W918" s="421"/>
      <c r="X918" s="421"/>
      <c r="Y918" s="421"/>
      <c r="Z918" s="421"/>
      <c r="AA918" s="421"/>
      <c r="AB918" s="421"/>
      <c r="AC918" s="421"/>
      <c r="AD918" s="421"/>
      <c r="AE918" s="421"/>
      <c r="AF918" s="421"/>
      <c r="AG918" s="421"/>
      <c r="AH918" s="421"/>
      <c r="AI918" s="421"/>
      <c r="AJ918" s="421"/>
      <c r="AK918" s="421"/>
      <c r="AL918" s="421"/>
      <c r="AM918" s="422"/>
      <c r="AN918" s="422"/>
      <c r="AO918" s="422"/>
      <c r="AP918" s="422"/>
      <c r="AQ918" s="422"/>
      <c r="AR918" s="422"/>
      <c r="AS918" s="422"/>
      <c r="AT918" s="422"/>
      <c r="AU918" s="422"/>
      <c r="AV918" s="422"/>
      <c r="AW918" s="422"/>
      <c r="AX918" s="422"/>
      <c r="AY918" s="422"/>
    </row>
    <row r="919" spans="1:51" x14ac:dyDescent="0.25">
      <c r="A919" s="3"/>
      <c r="B919" s="3"/>
      <c r="C919" s="3"/>
      <c r="D919" s="3"/>
      <c r="E919" s="3"/>
      <c r="F919" s="3"/>
      <c r="G919" s="3"/>
      <c r="H919" s="3"/>
      <c r="I919" s="3"/>
      <c r="J919" s="13"/>
      <c r="K919" s="13"/>
      <c r="L919" s="13"/>
      <c r="M919" s="13"/>
      <c r="N919" s="13"/>
      <c r="O919" s="13"/>
      <c r="P919" s="13"/>
      <c r="Q919" s="13"/>
      <c r="R919" s="13"/>
      <c r="S919" s="421"/>
      <c r="T919" s="421"/>
      <c r="U919" s="421"/>
      <c r="V919" s="421"/>
      <c r="W919" s="421"/>
      <c r="X919" s="421"/>
      <c r="Y919" s="421"/>
      <c r="Z919" s="421"/>
      <c r="AA919" s="421"/>
      <c r="AB919" s="421"/>
      <c r="AC919" s="421"/>
      <c r="AD919" s="421"/>
      <c r="AE919" s="421"/>
      <c r="AF919" s="421"/>
      <c r="AG919" s="421"/>
      <c r="AH919" s="421"/>
      <c r="AI919" s="421"/>
      <c r="AJ919" s="421"/>
      <c r="AK919" s="421"/>
      <c r="AL919" s="421"/>
      <c r="AM919" s="422"/>
      <c r="AN919" s="422"/>
      <c r="AO919" s="422"/>
      <c r="AP919" s="422"/>
      <c r="AQ919" s="422"/>
      <c r="AR919" s="422"/>
      <c r="AS919" s="422"/>
      <c r="AT919" s="422"/>
      <c r="AU919" s="422"/>
      <c r="AV919" s="422"/>
      <c r="AW919" s="422"/>
      <c r="AX919" s="422"/>
      <c r="AY919" s="422"/>
    </row>
    <row r="920" spans="1:51" x14ac:dyDescent="0.25">
      <c r="A920" s="3"/>
      <c r="B920" s="3"/>
      <c r="C920" s="3"/>
      <c r="D920" s="3"/>
      <c r="E920" s="3"/>
      <c r="F920" s="3"/>
      <c r="G920" s="3"/>
      <c r="H920" s="3"/>
      <c r="I920" s="3"/>
      <c r="J920" s="13"/>
      <c r="K920" s="13"/>
      <c r="L920" s="13"/>
      <c r="M920" s="13"/>
      <c r="N920" s="13"/>
      <c r="O920" s="13"/>
      <c r="P920" s="13"/>
      <c r="Q920" s="13"/>
      <c r="R920" s="13"/>
      <c r="S920" s="421"/>
      <c r="T920" s="421"/>
      <c r="U920" s="421"/>
      <c r="V920" s="421"/>
      <c r="W920" s="421"/>
      <c r="X920" s="421"/>
      <c r="Y920" s="421"/>
      <c r="Z920" s="421"/>
      <c r="AA920" s="421"/>
      <c r="AB920" s="421"/>
      <c r="AC920" s="421"/>
      <c r="AD920" s="421"/>
      <c r="AE920" s="421"/>
      <c r="AF920" s="421"/>
      <c r="AG920" s="421"/>
      <c r="AH920" s="421"/>
      <c r="AI920" s="421"/>
      <c r="AJ920" s="421"/>
      <c r="AK920" s="421"/>
      <c r="AL920" s="421"/>
      <c r="AM920" s="422"/>
      <c r="AN920" s="422"/>
      <c r="AO920" s="422"/>
      <c r="AP920" s="422"/>
      <c r="AQ920" s="422"/>
      <c r="AR920" s="422"/>
      <c r="AS920" s="422"/>
      <c r="AT920" s="422"/>
      <c r="AU920" s="422"/>
      <c r="AV920" s="422"/>
      <c r="AW920" s="422"/>
      <c r="AX920" s="422"/>
      <c r="AY920" s="422"/>
    </row>
    <row r="921" spans="1:51" x14ac:dyDescent="0.25">
      <c r="A921" s="3"/>
      <c r="B921" s="3"/>
      <c r="C921" s="3"/>
      <c r="D921" s="3"/>
      <c r="E921" s="3"/>
      <c r="F921" s="3"/>
      <c r="G921" s="3"/>
      <c r="H921" s="3"/>
      <c r="I921" s="3"/>
      <c r="J921" s="13"/>
      <c r="K921" s="13"/>
      <c r="L921" s="13"/>
      <c r="M921" s="13"/>
      <c r="N921" s="13"/>
      <c r="O921" s="13"/>
      <c r="P921" s="13"/>
      <c r="Q921" s="13"/>
      <c r="R921" s="13"/>
      <c r="S921" s="421"/>
      <c r="T921" s="421"/>
      <c r="U921" s="421"/>
      <c r="V921" s="421"/>
      <c r="W921" s="421"/>
      <c r="X921" s="421"/>
      <c r="Y921" s="421"/>
      <c r="Z921" s="421"/>
      <c r="AA921" s="421"/>
      <c r="AB921" s="421"/>
      <c r="AC921" s="421"/>
      <c r="AD921" s="421"/>
      <c r="AE921" s="421"/>
      <c r="AF921" s="421"/>
      <c r="AG921" s="421"/>
      <c r="AH921" s="421"/>
      <c r="AI921" s="421"/>
      <c r="AJ921" s="421"/>
      <c r="AK921" s="421"/>
      <c r="AL921" s="421"/>
      <c r="AM921" s="422"/>
      <c r="AN921" s="422"/>
      <c r="AO921" s="422"/>
      <c r="AP921" s="422"/>
      <c r="AQ921" s="422"/>
      <c r="AR921" s="422"/>
      <c r="AS921" s="422"/>
      <c r="AT921" s="422"/>
      <c r="AU921" s="422"/>
      <c r="AV921" s="422"/>
      <c r="AW921" s="422"/>
      <c r="AX921" s="422"/>
      <c r="AY921" s="422"/>
    </row>
    <row r="922" spans="1:51" x14ac:dyDescent="0.25">
      <c r="A922" s="3"/>
      <c r="B922" s="3"/>
      <c r="C922" s="3"/>
      <c r="D922" s="3"/>
      <c r="E922" s="3"/>
      <c r="F922" s="3"/>
      <c r="G922" s="3"/>
      <c r="H922" s="3"/>
      <c r="I922" s="3"/>
      <c r="J922" s="13"/>
      <c r="K922" s="13"/>
      <c r="L922" s="13"/>
      <c r="M922" s="13"/>
      <c r="N922" s="13"/>
      <c r="O922" s="13"/>
      <c r="P922" s="13"/>
      <c r="Q922" s="13"/>
      <c r="R922" s="13"/>
      <c r="S922" s="421"/>
      <c r="T922" s="421"/>
      <c r="U922" s="421"/>
      <c r="V922" s="421"/>
      <c r="W922" s="421"/>
      <c r="X922" s="421"/>
      <c r="Y922" s="421"/>
      <c r="Z922" s="421"/>
      <c r="AA922" s="421"/>
      <c r="AB922" s="421"/>
      <c r="AC922" s="421"/>
      <c r="AD922" s="421"/>
      <c r="AE922" s="421"/>
      <c r="AF922" s="421"/>
      <c r="AG922" s="421"/>
      <c r="AH922" s="421"/>
      <c r="AI922" s="421"/>
      <c r="AJ922" s="421"/>
      <c r="AK922" s="421"/>
      <c r="AL922" s="421"/>
      <c r="AM922" s="422"/>
      <c r="AN922" s="422"/>
      <c r="AO922" s="422"/>
      <c r="AP922" s="422"/>
      <c r="AQ922" s="422"/>
      <c r="AR922" s="422"/>
      <c r="AS922" s="422"/>
      <c r="AT922" s="422"/>
      <c r="AU922" s="422"/>
      <c r="AV922" s="422"/>
      <c r="AW922" s="422"/>
      <c r="AX922" s="422"/>
      <c r="AY922" s="422"/>
    </row>
    <row r="923" spans="1:51" x14ac:dyDescent="0.25">
      <c r="A923" s="3"/>
      <c r="B923" s="3"/>
      <c r="C923" s="3"/>
      <c r="D923" s="3"/>
      <c r="E923" s="3"/>
      <c r="F923" s="3"/>
      <c r="G923" s="3"/>
      <c r="H923" s="3"/>
      <c r="I923" s="3"/>
      <c r="J923" s="13"/>
      <c r="K923" s="13"/>
      <c r="L923" s="13"/>
      <c r="M923" s="13"/>
      <c r="N923" s="13"/>
      <c r="O923" s="13"/>
      <c r="P923" s="13"/>
      <c r="Q923" s="13"/>
      <c r="R923" s="13"/>
      <c r="S923" s="421"/>
      <c r="T923" s="421"/>
      <c r="U923" s="421"/>
      <c r="V923" s="421"/>
      <c r="W923" s="421"/>
      <c r="X923" s="421"/>
      <c r="Y923" s="421"/>
      <c r="Z923" s="421"/>
      <c r="AA923" s="421"/>
      <c r="AB923" s="421"/>
      <c r="AC923" s="421"/>
      <c r="AD923" s="421"/>
      <c r="AE923" s="421"/>
      <c r="AF923" s="421"/>
      <c r="AG923" s="421"/>
      <c r="AH923" s="421"/>
      <c r="AI923" s="421"/>
      <c r="AJ923" s="421"/>
      <c r="AK923" s="421"/>
      <c r="AL923" s="421"/>
      <c r="AM923" s="422"/>
      <c r="AN923" s="422"/>
      <c r="AO923" s="422"/>
      <c r="AP923" s="422"/>
      <c r="AQ923" s="422"/>
      <c r="AR923" s="422"/>
      <c r="AS923" s="422"/>
      <c r="AT923" s="422"/>
      <c r="AU923" s="422"/>
      <c r="AV923" s="422"/>
      <c r="AW923" s="422"/>
      <c r="AX923" s="422"/>
      <c r="AY923" s="422"/>
    </row>
    <row r="924" spans="1:51" x14ac:dyDescent="0.25">
      <c r="A924" s="3"/>
      <c r="B924" s="3"/>
      <c r="C924" s="3"/>
      <c r="D924" s="3"/>
      <c r="E924" s="3"/>
      <c r="F924" s="3"/>
      <c r="G924" s="3"/>
      <c r="H924" s="3"/>
      <c r="I924" s="3"/>
      <c r="J924" s="13"/>
      <c r="K924" s="13"/>
      <c r="L924" s="13"/>
      <c r="M924" s="13"/>
      <c r="N924" s="13"/>
      <c r="O924" s="13"/>
      <c r="P924" s="13"/>
      <c r="Q924" s="13"/>
      <c r="R924" s="13"/>
      <c r="S924" s="421"/>
      <c r="T924" s="421"/>
      <c r="U924" s="421"/>
      <c r="V924" s="421"/>
      <c r="W924" s="421"/>
      <c r="X924" s="421"/>
      <c r="Y924" s="421"/>
      <c r="Z924" s="421"/>
      <c r="AA924" s="421"/>
      <c r="AB924" s="421"/>
      <c r="AC924" s="421"/>
      <c r="AD924" s="421"/>
      <c r="AE924" s="421"/>
      <c r="AF924" s="421"/>
      <c r="AG924" s="421"/>
      <c r="AH924" s="421"/>
      <c r="AI924" s="421"/>
      <c r="AJ924" s="421"/>
      <c r="AK924" s="421"/>
      <c r="AL924" s="421"/>
      <c r="AM924" s="422"/>
      <c r="AN924" s="422"/>
      <c r="AO924" s="422"/>
      <c r="AP924" s="422"/>
      <c r="AQ924" s="422"/>
      <c r="AR924" s="422"/>
      <c r="AS924" s="422"/>
      <c r="AT924" s="422"/>
      <c r="AU924" s="422"/>
      <c r="AV924" s="422"/>
      <c r="AW924" s="422"/>
      <c r="AX924" s="422"/>
      <c r="AY924" s="422"/>
    </row>
    <row r="925" spans="1:51" x14ac:dyDescent="0.25">
      <c r="A925" s="3"/>
      <c r="B925" s="3"/>
      <c r="C925" s="3"/>
      <c r="D925" s="3"/>
      <c r="E925" s="3"/>
      <c r="F925" s="3"/>
      <c r="G925" s="3"/>
      <c r="H925" s="3"/>
      <c r="I925" s="3"/>
      <c r="J925" s="13"/>
      <c r="K925" s="13"/>
      <c r="L925" s="13"/>
      <c r="M925" s="13"/>
      <c r="N925" s="13"/>
      <c r="O925" s="13"/>
      <c r="P925" s="13"/>
      <c r="Q925" s="13"/>
      <c r="R925" s="13"/>
      <c r="S925" s="421"/>
      <c r="T925" s="421"/>
      <c r="U925" s="421"/>
      <c r="V925" s="421"/>
      <c r="W925" s="421"/>
      <c r="X925" s="421"/>
      <c r="Y925" s="421"/>
      <c r="Z925" s="421"/>
      <c r="AA925" s="421"/>
      <c r="AB925" s="421"/>
      <c r="AC925" s="421"/>
      <c r="AD925" s="421"/>
      <c r="AE925" s="421"/>
      <c r="AF925" s="421"/>
      <c r="AG925" s="421"/>
      <c r="AH925" s="421"/>
      <c r="AI925" s="421"/>
      <c r="AJ925" s="421"/>
      <c r="AK925" s="421"/>
      <c r="AL925" s="421"/>
      <c r="AM925" s="422"/>
      <c r="AN925" s="422"/>
      <c r="AO925" s="422"/>
      <c r="AP925" s="422"/>
      <c r="AQ925" s="422"/>
      <c r="AR925" s="422"/>
      <c r="AS925" s="422"/>
      <c r="AT925" s="422"/>
      <c r="AU925" s="422"/>
      <c r="AV925" s="422"/>
      <c r="AW925" s="422"/>
      <c r="AX925" s="422"/>
      <c r="AY925" s="422"/>
    </row>
    <row r="926" spans="1:51" x14ac:dyDescent="0.25">
      <c r="A926" s="3"/>
      <c r="B926" s="3"/>
      <c r="C926" s="3"/>
      <c r="D926" s="3"/>
      <c r="E926" s="3"/>
      <c r="F926" s="3"/>
      <c r="G926" s="3"/>
      <c r="H926" s="3"/>
      <c r="I926" s="3"/>
      <c r="J926" s="13"/>
      <c r="K926" s="13"/>
      <c r="L926" s="13"/>
      <c r="M926" s="13"/>
      <c r="N926" s="13"/>
      <c r="O926" s="13"/>
      <c r="P926" s="13"/>
      <c r="Q926" s="13"/>
      <c r="R926" s="13"/>
      <c r="S926" s="421"/>
      <c r="T926" s="421"/>
      <c r="U926" s="421"/>
      <c r="V926" s="421"/>
      <c r="W926" s="421"/>
      <c r="X926" s="421"/>
      <c r="Y926" s="421"/>
      <c r="Z926" s="421"/>
      <c r="AA926" s="421"/>
      <c r="AB926" s="421"/>
      <c r="AC926" s="421"/>
      <c r="AD926" s="421"/>
      <c r="AE926" s="421"/>
      <c r="AF926" s="421"/>
      <c r="AG926" s="421"/>
      <c r="AH926" s="421"/>
      <c r="AI926" s="421"/>
      <c r="AJ926" s="421"/>
      <c r="AK926" s="421"/>
      <c r="AL926" s="421"/>
      <c r="AM926" s="422"/>
      <c r="AN926" s="422"/>
      <c r="AO926" s="422"/>
      <c r="AP926" s="422"/>
      <c r="AQ926" s="422"/>
      <c r="AR926" s="422"/>
      <c r="AS926" s="422"/>
      <c r="AT926" s="422"/>
      <c r="AU926" s="422"/>
      <c r="AV926" s="422"/>
      <c r="AW926" s="422"/>
      <c r="AX926" s="422"/>
      <c r="AY926" s="422"/>
    </row>
    <row r="927" spans="1:51" x14ac:dyDescent="0.25">
      <c r="A927" s="3"/>
      <c r="B927" s="3"/>
      <c r="C927" s="3"/>
      <c r="D927" s="3"/>
      <c r="E927" s="3"/>
      <c r="F927" s="3"/>
      <c r="G927" s="3"/>
      <c r="H927" s="3"/>
      <c r="I927" s="3"/>
      <c r="J927" s="13"/>
      <c r="K927" s="13"/>
      <c r="L927" s="13"/>
      <c r="M927" s="13"/>
      <c r="N927" s="13"/>
      <c r="O927" s="13"/>
      <c r="P927" s="13"/>
      <c r="Q927" s="13"/>
      <c r="R927" s="13"/>
      <c r="S927" s="421"/>
      <c r="T927" s="421"/>
      <c r="U927" s="421"/>
      <c r="V927" s="421"/>
      <c r="W927" s="421"/>
      <c r="X927" s="421"/>
      <c r="Y927" s="421"/>
      <c r="Z927" s="421"/>
      <c r="AA927" s="421"/>
      <c r="AB927" s="421"/>
      <c r="AC927" s="421"/>
      <c r="AD927" s="421"/>
      <c r="AE927" s="421"/>
      <c r="AF927" s="421"/>
      <c r="AG927" s="421"/>
      <c r="AH927" s="421"/>
      <c r="AI927" s="421"/>
      <c r="AJ927" s="421"/>
      <c r="AK927" s="421"/>
      <c r="AL927" s="421"/>
      <c r="AM927" s="422"/>
      <c r="AN927" s="422"/>
      <c r="AO927" s="422"/>
      <c r="AP927" s="422"/>
      <c r="AQ927" s="422"/>
      <c r="AR927" s="422"/>
      <c r="AS927" s="422"/>
      <c r="AT927" s="422"/>
      <c r="AU927" s="422"/>
      <c r="AV927" s="422"/>
      <c r="AW927" s="422"/>
      <c r="AX927" s="422"/>
      <c r="AY927" s="422"/>
    </row>
    <row r="928" spans="1:51" x14ac:dyDescent="0.25">
      <c r="A928" s="3"/>
      <c r="B928" s="3"/>
      <c r="C928" s="3"/>
      <c r="D928" s="3"/>
      <c r="E928" s="3"/>
      <c r="F928" s="3"/>
      <c r="G928" s="3"/>
      <c r="H928" s="3"/>
      <c r="I928" s="3"/>
      <c r="J928" s="13"/>
      <c r="K928" s="13"/>
      <c r="L928" s="13"/>
      <c r="M928" s="13"/>
      <c r="N928" s="13"/>
      <c r="O928" s="13"/>
      <c r="P928" s="13"/>
      <c r="Q928" s="13"/>
      <c r="R928" s="13"/>
      <c r="S928" s="421"/>
      <c r="T928" s="421"/>
      <c r="U928" s="421"/>
      <c r="V928" s="421"/>
      <c r="W928" s="421"/>
      <c r="X928" s="421"/>
      <c r="Y928" s="421"/>
      <c r="Z928" s="421"/>
      <c r="AA928" s="421"/>
      <c r="AB928" s="421"/>
      <c r="AC928" s="421"/>
      <c r="AD928" s="421"/>
      <c r="AE928" s="421"/>
      <c r="AF928" s="421"/>
      <c r="AG928" s="421"/>
      <c r="AH928" s="421"/>
      <c r="AI928" s="421"/>
      <c r="AJ928" s="421"/>
      <c r="AK928" s="421"/>
      <c r="AL928" s="421"/>
      <c r="AM928" s="422"/>
      <c r="AN928" s="422"/>
      <c r="AO928" s="422"/>
      <c r="AP928" s="422"/>
      <c r="AQ928" s="422"/>
      <c r="AR928" s="422"/>
      <c r="AS928" s="422"/>
      <c r="AT928" s="422"/>
      <c r="AU928" s="422"/>
      <c r="AV928" s="422"/>
      <c r="AW928" s="422"/>
      <c r="AX928" s="422"/>
      <c r="AY928" s="422"/>
    </row>
    <row r="929" spans="1:51" x14ac:dyDescent="0.25">
      <c r="A929" s="3"/>
      <c r="B929" s="3"/>
      <c r="C929" s="3"/>
      <c r="D929" s="3"/>
      <c r="E929" s="3"/>
      <c r="F929" s="3"/>
      <c r="G929" s="3"/>
      <c r="H929" s="3"/>
      <c r="I929" s="3"/>
      <c r="J929" s="13"/>
      <c r="K929" s="13"/>
      <c r="L929" s="13"/>
      <c r="M929" s="13"/>
      <c r="N929" s="13"/>
      <c r="O929" s="13"/>
      <c r="P929" s="13"/>
      <c r="Q929" s="13"/>
      <c r="R929" s="13"/>
      <c r="S929" s="421"/>
      <c r="T929" s="421"/>
      <c r="U929" s="421"/>
      <c r="V929" s="421"/>
      <c r="W929" s="421"/>
      <c r="X929" s="421"/>
      <c r="Y929" s="421"/>
      <c r="Z929" s="421"/>
      <c r="AA929" s="421"/>
      <c r="AB929" s="421"/>
      <c r="AC929" s="421"/>
      <c r="AD929" s="421"/>
      <c r="AE929" s="421"/>
      <c r="AF929" s="421"/>
      <c r="AG929" s="421"/>
      <c r="AH929" s="421"/>
      <c r="AI929" s="421"/>
      <c r="AJ929" s="421"/>
      <c r="AK929" s="421"/>
      <c r="AL929" s="421"/>
      <c r="AM929" s="422"/>
      <c r="AN929" s="422"/>
      <c r="AO929" s="422"/>
      <c r="AP929" s="422"/>
      <c r="AQ929" s="422"/>
      <c r="AR929" s="422"/>
      <c r="AS929" s="422"/>
      <c r="AT929" s="422"/>
      <c r="AU929" s="422"/>
      <c r="AV929" s="422"/>
      <c r="AW929" s="422"/>
      <c r="AX929" s="422"/>
      <c r="AY929" s="422"/>
    </row>
    <row r="930" spans="1:51" x14ac:dyDescent="0.25">
      <c r="A930" s="3"/>
      <c r="B930" s="3"/>
      <c r="C930" s="3"/>
      <c r="D930" s="3"/>
      <c r="E930" s="3"/>
      <c r="F930" s="3"/>
      <c r="G930" s="3"/>
      <c r="H930" s="3"/>
      <c r="I930" s="3"/>
      <c r="J930" s="13"/>
      <c r="K930" s="13"/>
      <c r="L930" s="13"/>
      <c r="M930" s="13"/>
      <c r="N930" s="13"/>
      <c r="O930" s="13"/>
      <c r="P930" s="13"/>
      <c r="Q930" s="13"/>
      <c r="R930" s="13"/>
      <c r="S930" s="421"/>
      <c r="T930" s="421"/>
      <c r="U930" s="421"/>
      <c r="V930" s="421"/>
      <c r="W930" s="421"/>
      <c r="X930" s="421"/>
      <c r="Y930" s="421"/>
      <c r="Z930" s="421"/>
      <c r="AA930" s="421"/>
      <c r="AB930" s="421"/>
      <c r="AC930" s="421"/>
      <c r="AD930" s="421"/>
      <c r="AE930" s="421"/>
      <c r="AF930" s="421"/>
      <c r="AG930" s="421"/>
      <c r="AH930" s="421"/>
      <c r="AI930" s="421"/>
      <c r="AJ930" s="421"/>
      <c r="AK930" s="421"/>
      <c r="AL930" s="421"/>
      <c r="AM930" s="422"/>
      <c r="AN930" s="422"/>
      <c r="AO930" s="422"/>
      <c r="AP930" s="422"/>
      <c r="AQ930" s="422"/>
      <c r="AR930" s="422"/>
      <c r="AS930" s="422"/>
      <c r="AT930" s="422"/>
      <c r="AU930" s="422"/>
      <c r="AV930" s="422"/>
      <c r="AW930" s="422"/>
      <c r="AX930" s="422"/>
      <c r="AY930" s="422"/>
    </row>
    <row r="931" spans="1:51" x14ac:dyDescent="0.25">
      <c r="A931" s="3"/>
      <c r="B931" s="3"/>
      <c r="C931" s="3"/>
      <c r="D931" s="3"/>
      <c r="E931" s="3"/>
      <c r="F931" s="3"/>
      <c r="G931" s="3"/>
      <c r="H931" s="3"/>
      <c r="I931" s="3"/>
      <c r="J931" s="13"/>
      <c r="K931" s="13"/>
      <c r="L931" s="13"/>
      <c r="M931" s="13"/>
      <c r="N931" s="13"/>
      <c r="O931" s="13"/>
      <c r="P931" s="13"/>
      <c r="Q931" s="13"/>
      <c r="R931" s="13"/>
      <c r="S931" s="421"/>
      <c r="T931" s="421"/>
      <c r="U931" s="421"/>
      <c r="V931" s="421"/>
      <c r="W931" s="421"/>
      <c r="X931" s="421"/>
      <c r="Y931" s="421"/>
      <c r="Z931" s="421"/>
      <c r="AA931" s="421"/>
      <c r="AB931" s="421"/>
      <c r="AC931" s="421"/>
      <c r="AD931" s="421"/>
      <c r="AE931" s="421"/>
      <c r="AF931" s="421"/>
      <c r="AG931" s="421"/>
      <c r="AH931" s="421"/>
      <c r="AI931" s="421"/>
      <c r="AJ931" s="421"/>
      <c r="AK931" s="421"/>
      <c r="AL931" s="421"/>
      <c r="AM931" s="422"/>
      <c r="AN931" s="422"/>
      <c r="AO931" s="422"/>
      <c r="AP931" s="422"/>
      <c r="AQ931" s="422"/>
      <c r="AR931" s="422"/>
      <c r="AS931" s="422"/>
      <c r="AT931" s="422"/>
      <c r="AU931" s="422"/>
      <c r="AV931" s="422"/>
      <c r="AW931" s="422"/>
      <c r="AX931" s="422"/>
      <c r="AY931" s="422"/>
    </row>
    <row r="932" spans="1:51" x14ac:dyDescent="0.25">
      <c r="A932" s="3"/>
      <c r="B932" s="3"/>
      <c r="C932" s="3"/>
      <c r="D932" s="3"/>
      <c r="E932" s="3"/>
      <c r="F932" s="3"/>
      <c r="G932" s="3"/>
      <c r="H932" s="3"/>
      <c r="I932" s="3"/>
      <c r="J932" s="13"/>
      <c r="K932" s="13"/>
      <c r="L932" s="13"/>
      <c r="M932" s="13"/>
      <c r="N932" s="13"/>
      <c r="O932" s="13"/>
      <c r="P932" s="13"/>
      <c r="Q932" s="13"/>
      <c r="R932" s="13"/>
      <c r="S932" s="421"/>
      <c r="T932" s="421"/>
      <c r="U932" s="421"/>
      <c r="V932" s="421"/>
      <c r="W932" s="421"/>
      <c r="X932" s="421"/>
      <c r="Y932" s="421"/>
      <c r="Z932" s="421"/>
      <c r="AA932" s="421"/>
      <c r="AB932" s="421"/>
      <c r="AC932" s="421"/>
      <c r="AD932" s="421"/>
      <c r="AE932" s="421"/>
      <c r="AF932" s="421"/>
      <c r="AG932" s="421"/>
      <c r="AH932" s="421"/>
      <c r="AI932" s="421"/>
      <c r="AJ932" s="421"/>
      <c r="AK932" s="421"/>
      <c r="AL932" s="421"/>
      <c r="AM932" s="422"/>
      <c r="AN932" s="422"/>
      <c r="AO932" s="422"/>
      <c r="AP932" s="422"/>
      <c r="AQ932" s="422"/>
      <c r="AR932" s="422"/>
      <c r="AS932" s="422"/>
      <c r="AT932" s="422"/>
      <c r="AU932" s="422"/>
      <c r="AV932" s="422"/>
      <c r="AW932" s="422"/>
      <c r="AX932" s="422"/>
      <c r="AY932" s="422"/>
    </row>
    <row r="933" spans="1:51" x14ac:dyDescent="0.25">
      <c r="A933" s="3"/>
      <c r="B933" s="3"/>
      <c r="C933" s="3"/>
      <c r="D933" s="3"/>
      <c r="E933" s="3"/>
      <c r="F933" s="3"/>
      <c r="G933" s="3"/>
      <c r="H933" s="3"/>
      <c r="I933" s="3"/>
      <c r="J933" s="13"/>
      <c r="K933" s="13"/>
      <c r="L933" s="13"/>
      <c r="M933" s="13"/>
      <c r="N933" s="13"/>
      <c r="O933" s="13"/>
      <c r="P933" s="13"/>
      <c r="Q933" s="13"/>
      <c r="R933" s="13"/>
      <c r="S933" s="421"/>
      <c r="T933" s="421"/>
      <c r="U933" s="421"/>
      <c r="V933" s="421"/>
      <c r="W933" s="421"/>
      <c r="X933" s="421"/>
      <c r="Y933" s="421"/>
      <c r="Z933" s="421"/>
      <c r="AA933" s="421"/>
      <c r="AB933" s="421"/>
      <c r="AC933" s="421"/>
      <c r="AD933" s="421"/>
      <c r="AE933" s="421"/>
      <c r="AF933" s="421"/>
      <c r="AG933" s="421"/>
      <c r="AH933" s="421"/>
      <c r="AI933" s="421"/>
      <c r="AJ933" s="421"/>
      <c r="AK933" s="421"/>
      <c r="AL933" s="421"/>
      <c r="AM933" s="422"/>
      <c r="AN933" s="422"/>
      <c r="AO933" s="422"/>
      <c r="AP933" s="422"/>
      <c r="AQ933" s="422"/>
      <c r="AR933" s="422"/>
      <c r="AS933" s="422"/>
      <c r="AT933" s="422"/>
      <c r="AU933" s="422"/>
      <c r="AV933" s="422"/>
      <c r="AW933" s="422"/>
      <c r="AX933" s="422"/>
      <c r="AY933" s="422"/>
    </row>
    <row r="934" spans="1:51" x14ac:dyDescent="0.25">
      <c r="A934" s="3"/>
      <c r="B934" s="3"/>
      <c r="C934" s="3"/>
      <c r="D934" s="3"/>
      <c r="E934" s="3"/>
      <c r="F934" s="3"/>
      <c r="G934" s="3"/>
      <c r="H934" s="3"/>
      <c r="I934" s="3"/>
      <c r="J934" s="13"/>
      <c r="K934" s="13"/>
      <c r="L934" s="13"/>
      <c r="M934" s="13"/>
      <c r="N934" s="13"/>
      <c r="O934" s="13"/>
      <c r="P934" s="13"/>
      <c r="Q934" s="13"/>
      <c r="R934" s="13"/>
      <c r="S934" s="421"/>
      <c r="T934" s="421"/>
      <c r="U934" s="421"/>
      <c r="V934" s="421"/>
      <c r="W934" s="421"/>
      <c r="X934" s="421"/>
      <c r="Y934" s="421"/>
      <c r="Z934" s="421"/>
      <c r="AA934" s="421"/>
      <c r="AB934" s="421"/>
      <c r="AC934" s="421"/>
      <c r="AD934" s="421"/>
      <c r="AE934" s="421"/>
      <c r="AF934" s="421"/>
      <c r="AG934" s="421"/>
      <c r="AH934" s="421"/>
      <c r="AI934" s="421"/>
      <c r="AJ934" s="421"/>
      <c r="AK934" s="421"/>
      <c r="AL934" s="421"/>
      <c r="AM934" s="422"/>
      <c r="AN934" s="422"/>
      <c r="AO934" s="422"/>
      <c r="AP934" s="422"/>
      <c r="AQ934" s="422"/>
      <c r="AR934" s="422"/>
      <c r="AS934" s="422"/>
      <c r="AT934" s="422"/>
      <c r="AU934" s="422"/>
      <c r="AV934" s="422"/>
      <c r="AW934" s="422"/>
      <c r="AX934" s="422"/>
      <c r="AY934" s="422"/>
    </row>
    <row r="935" spans="1:51" x14ac:dyDescent="0.25">
      <c r="A935" s="3"/>
      <c r="B935" s="3"/>
      <c r="C935" s="3"/>
      <c r="D935" s="3"/>
      <c r="E935" s="3"/>
      <c r="F935" s="3"/>
      <c r="G935" s="3"/>
      <c r="H935" s="3"/>
      <c r="I935" s="3"/>
      <c r="J935" s="13"/>
      <c r="K935" s="13"/>
      <c r="L935" s="13"/>
      <c r="M935" s="13"/>
      <c r="N935" s="13"/>
      <c r="O935" s="13"/>
      <c r="P935" s="13"/>
      <c r="Q935" s="13"/>
      <c r="R935" s="13"/>
      <c r="S935" s="421"/>
      <c r="T935" s="421"/>
      <c r="U935" s="421"/>
      <c r="V935" s="421"/>
      <c r="W935" s="421"/>
      <c r="X935" s="421"/>
      <c r="Y935" s="421"/>
      <c r="Z935" s="421"/>
      <c r="AA935" s="421"/>
      <c r="AB935" s="421"/>
      <c r="AC935" s="421"/>
      <c r="AD935" s="421"/>
      <c r="AE935" s="421"/>
      <c r="AF935" s="421"/>
      <c r="AG935" s="421"/>
      <c r="AH935" s="421"/>
      <c r="AI935" s="421"/>
      <c r="AJ935" s="421"/>
      <c r="AK935" s="421"/>
      <c r="AL935" s="421"/>
      <c r="AM935" s="422"/>
      <c r="AN935" s="422"/>
      <c r="AO935" s="422"/>
      <c r="AP935" s="422"/>
      <c r="AQ935" s="422"/>
      <c r="AR935" s="422"/>
      <c r="AS935" s="422"/>
      <c r="AT935" s="422"/>
      <c r="AU935" s="422"/>
      <c r="AV935" s="422"/>
      <c r="AW935" s="422"/>
      <c r="AX935" s="422"/>
      <c r="AY935" s="422"/>
    </row>
    <row r="936" spans="1:51" x14ac:dyDescent="0.25">
      <c r="A936" s="3"/>
      <c r="B936" s="3"/>
      <c r="C936" s="3"/>
      <c r="D936" s="3"/>
      <c r="E936" s="3"/>
      <c r="F936" s="3"/>
      <c r="G936" s="3"/>
      <c r="H936" s="3"/>
      <c r="I936" s="3"/>
      <c r="J936" s="13"/>
      <c r="K936" s="13"/>
      <c r="L936" s="13"/>
      <c r="M936" s="13"/>
      <c r="N936" s="13"/>
      <c r="O936" s="13"/>
      <c r="P936" s="13"/>
      <c r="Q936" s="13"/>
      <c r="R936" s="13"/>
      <c r="S936" s="421"/>
      <c r="T936" s="421"/>
      <c r="U936" s="421"/>
      <c r="V936" s="421"/>
      <c r="W936" s="421"/>
      <c r="X936" s="421"/>
      <c r="Y936" s="421"/>
      <c r="Z936" s="421"/>
      <c r="AA936" s="421"/>
      <c r="AB936" s="421"/>
      <c r="AC936" s="421"/>
      <c r="AD936" s="421"/>
      <c r="AE936" s="421"/>
      <c r="AF936" s="421"/>
      <c r="AG936" s="421"/>
      <c r="AH936" s="421"/>
      <c r="AI936" s="421"/>
      <c r="AJ936" s="421"/>
      <c r="AK936" s="421"/>
      <c r="AL936" s="421"/>
      <c r="AM936" s="422"/>
      <c r="AN936" s="422"/>
      <c r="AO936" s="422"/>
      <c r="AP936" s="422"/>
      <c r="AQ936" s="422"/>
      <c r="AR936" s="422"/>
      <c r="AS936" s="422"/>
      <c r="AT936" s="422"/>
      <c r="AU936" s="422"/>
      <c r="AV936" s="422"/>
      <c r="AW936" s="422"/>
      <c r="AX936" s="422"/>
      <c r="AY936" s="422"/>
    </row>
    <row r="937" spans="1:51" x14ac:dyDescent="0.25">
      <c r="A937" s="3"/>
      <c r="B937" s="3"/>
      <c r="C937" s="3"/>
      <c r="D937" s="3"/>
      <c r="E937" s="3"/>
      <c r="F937" s="3"/>
      <c r="G937" s="3"/>
      <c r="H937" s="3"/>
      <c r="I937" s="3"/>
      <c r="J937" s="13"/>
      <c r="K937" s="13"/>
      <c r="L937" s="13"/>
      <c r="M937" s="13"/>
      <c r="N937" s="13"/>
      <c r="O937" s="13"/>
      <c r="P937" s="13"/>
      <c r="Q937" s="13"/>
      <c r="R937" s="13"/>
      <c r="S937" s="421"/>
      <c r="T937" s="421"/>
      <c r="U937" s="421"/>
      <c r="V937" s="421"/>
      <c r="W937" s="421"/>
      <c r="X937" s="421"/>
      <c r="Y937" s="421"/>
      <c r="Z937" s="421"/>
      <c r="AA937" s="421"/>
      <c r="AB937" s="421"/>
      <c r="AC937" s="421"/>
      <c r="AD937" s="421"/>
      <c r="AE937" s="421"/>
      <c r="AF937" s="421"/>
      <c r="AG937" s="421"/>
      <c r="AH937" s="421"/>
      <c r="AI937" s="421"/>
      <c r="AJ937" s="421"/>
      <c r="AK937" s="421"/>
      <c r="AL937" s="421"/>
      <c r="AM937" s="422"/>
      <c r="AN937" s="422"/>
      <c r="AO937" s="422"/>
      <c r="AP937" s="422"/>
      <c r="AQ937" s="422"/>
      <c r="AR937" s="422"/>
      <c r="AS937" s="422"/>
      <c r="AT937" s="422"/>
      <c r="AU937" s="422"/>
      <c r="AV937" s="422"/>
      <c r="AW937" s="422"/>
      <c r="AX937" s="422"/>
      <c r="AY937" s="422"/>
    </row>
    <row r="938" spans="1:51" x14ac:dyDescent="0.25">
      <c r="A938" s="3"/>
      <c r="B938" s="3"/>
      <c r="C938" s="3"/>
      <c r="D938" s="3"/>
      <c r="E938" s="3"/>
      <c r="F938" s="3"/>
      <c r="G938" s="3"/>
      <c r="H938" s="3"/>
      <c r="I938" s="3"/>
      <c r="J938" s="13"/>
      <c r="K938" s="13"/>
      <c r="L938" s="13"/>
      <c r="M938" s="13"/>
      <c r="N938" s="13"/>
      <c r="O938" s="13"/>
      <c r="P938" s="13"/>
      <c r="Q938" s="13"/>
      <c r="R938" s="13"/>
      <c r="S938" s="421"/>
      <c r="T938" s="421"/>
      <c r="U938" s="421"/>
      <c r="V938" s="421"/>
      <c r="W938" s="421"/>
      <c r="X938" s="421"/>
      <c r="Y938" s="421"/>
      <c r="Z938" s="421"/>
      <c r="AA938" s="421"/>
      <c r="AB938" s="421"/>
      <c r="AC938" s="421"/>
      <c r="AD938" s="421"/>
      <c r="AE938" s="421"/>
      <c r="AF938" s="421"/>
      <c r="AG938" s="421"/>
      <c r="AH938" s="421"/>
      <c r="AI938" s="421"/>
      <c r="AJ938" s="421"/>
      <c r="AK938" s="421"/>
      <c r="AL938" s="421"/>
      <c r="AM938" s="422"/>
      <c r="AN938" s="422"/>
      <c r="AO938" s="422"/>
      <c r="AP938" s="422"/>
      <c r="AQ938" s="422"/>
      <c r="AR938" s="422"/>
      <c r="AS938" s="422"/>
      <c r="AT938" s="422"/>
      <c r="AU938" s="422"/>
      <c r="AV938" s="422"/>
      <c r="AW938" s="422"/>
      <c r="AX938" s="422"/>
      <c r="AY938" s="422"/>
    </row>
    <row r="939" spans="1:51" x14ac:dyDescent="0.25">
      <c r="A939" s="3"/>
      <c r="B939" s="3"/>
      <c r="C939" s="3"/>
      <c r="D939" s="3"/>
      <c r="E939" s="3"/>
      <c r="F939" s="3"/>
      <c r="G939" s="3"/>
      <c r="H939" s="3"/>
      <c r="I939" s="3"/>
      <c r="J939" s="13"/>
      <c r="K939" s="13"/>
      <c r="L939" s="13"/>
      <c r="M939" s="13"/>
      <c r="N939" s="13"/>
      <c r="O939" s="13"/>
      <c r="P939" s="13"/>
      <c r="Q939" s="13"/>
      <c r="R939" s="13"/>
      <c r="S939" s="421"/>
      <c r="T939" s="421"/>
      <c r="U939" s="421"/>
      <c r="V939" s="421"/>
      <c r="W939" s="421"/>
      <c r="X939" s="421"/>
      <c r="Y939" s="421"/>
      <c r="Z939" s="421"/>
      <c r="AA939" s="421"/>
      <c r="AB939" s="421"/>
      <c r="AC939" s="421"/>
      <c r="AD939" s="421"/>
      <c r="AE939" s="421"/>
      <c r="AF939" s="421"/>
      <c r="AG939" s="421"/>
      <c r="AH939" s="421"/>
      <c r="AI939" s="421"/>
      <c r="AJ939" s="421"/>
      <c r="AK939" s="421"/>
      <c r="AL939" s="421"/>
      <c r="AM939" s="422"/>
      <c r="AN939" s="422"/>
      <c r="AO939" s="422"/>
      <c r="AP939" s="422"/>
      <c r="AQ939" s="422"/>
      <c r="AR939" s="422"/>
      <c r="AS939" s="422"/>
      <c r="AT939" s="422"/>
      <c r="AU939" s="422"/>
      <c r="AV939" s="422"/>
      <c r="AW939" s="422"/>
      <c r="AX939" s="422"/>
      <c r="AY939" s="422"/>
    </row>
    <row r="940" spans="1:51" x14ac:dyDescent="0.25">
      <c r="A940" s="3"/>
      <c r="B940" s="3"/>
      <c r="C940" s="3"/>
      <c r="D940" s="3"/>
      <c r="E940" s="3"/>
      <c r="F940" s="3"/>
      <c r="G940" s="3"/>
      <c r="H940" s="3"/>
      <c r="I940" s="3"/>
      <c r="J940" s="13"/>
      <c r="K940" s="13"/>
      <c r="L940" s="13"/>
      <c r="M940" s="13"/>
      <c r="N940" s="13"/>
      <c r="O940" s="13"/>
      <c r="P940" s="13"/>
      <c r="Q940" s="13"/>
      <c r="R940" s="13"/>
      <c r="S940" s="421"/>
      <c r="T940" s="421"/>
      <c r="U940" s="421"/>
      <c r="V940" s="421"/>
      <c r="W940" s="421"/>
      <c r="X940" s="421"/>
      <c r="Y940" s="421"/>
      <c r="Z940" s="421"/>
      <c r="AA940" s="421"/>
      <c r="AB940" s="421"/>
      <c r="AC940" s="421"/>
      <c r="AD940" s="421"/>
      <c r="AE940" s="421"/>
      <c r="AF940" s="421"/>
      <c r="AG940" s="421"/>
      <c r="AH940" s="421"/>
      <c r="AI940" s="421"/>
      <c r="AJ940" s="421"/>
      <c r="AK940" s="421"/>
      <c r="AL940" s="421"/>
      <c r="AM940" s="422"/>
      <c r="AN940" s="422"/>
      <c r="AO940" s="422"/>
      <c r="AP940" s="422"/>
      <c r="AQ940" s="422"/>
      <c r="AR940" s="422"/>
      <c r="AS940" s="422"/>
      <c r="AT940" s="422"/>
      <c r="AU940" s="422"/>
      <c r="AV940" s="422"/>
      <c r="AW940" s="422"/>
      <c r="AX940" s="422"/>
      <c r="AY940" s="422"/>
    </row>
    <row r="941" spans="1:51" x14ac:dyDescent="0.25">
      <c r="A941" s="3"/>
      <c r="B941" s="3"/>
      <c r="C941" s="3"/>
      <c r="D941" s="3"/>
      <c r="E941" s="3"/>
      <c r="F941" s="3"/>
      <c r="G941" s="3"/>
      <c r="H941" s="3"/>
      <c r="I941" s="3"/>
      <c r="J941" s="13"/>
      <c r="K941" s="13"/>
      <c r="L941" s="13"/>
      <c r="M941" s="13"/>
      <c r="N941" s="13"/>
      <c r="O941" s="13"/>
      <c r="P941" s="13"/>
      <c r="Q941" s="13"/>
      <c r="R941" s="13"/>
      <c r="S941" s="421"/>
      <c r="T941" s="421"/>
      <c r="U941" s="421"/>
      <c r="V941" s="421"/>
      <c r="W941" s="421"/>
      <c r="X941" s="421"/>
      <c r="Y941" s="421"/>
      <c r="Z941" s="421"/>
      <c r="AA941" s="421"/>
      <c r="AB941" s="421"/>
      <c r="AC941" s="421"/>
      <c r="AD941" s="421"/>
      <c r="AE941" s="421"/>
      <c r="AF941" s="421"/>
      <c r="AG941" s="421"/>
      <c r="AH941" s="421"/>
      <c r="AI941" s="421"/>
      <c r="AJ941" s="421"/>
      <c r="AK941" s="421"/>
      <c r="AL941" s="421"/>
      <c r="AM941" s="422"/>
      <c r="AN941" s="422"/>
      <c r="AO941" s="422"/>
      <c r="AP941" s="422"/>
      <c r="AQ941" s="422"/>
      <c r="AR941" s="422"/>
      <c r="AS941" s="422"/>
      <c r="AT941" s="422"/>
      <c r="AU941" s="422"/>
      <c r="AV941" s="422"/>
      <c r="AW941" s="422"/>
      <c r="AX941" s="422"/>
      <c r="AY941" s="422"/>
    </row>
    <row r="942" spans="1:51" x14ac:dyDescent="0.25">
      <c r="A942" s="3"/>
      <c r="B942" s="3"/>
      <c r="C942" s="3"/>
      <c r="D942" s="3"/>
      <c r="E942" s="3"/>
      <c r="F942" s="3"/>
      <c r="G942" s="3"/>
      <c r="H942" s="3"/>
      <c r="I942" s="3"/>
      <c r="J942" s="13"/>
      <c r="K942" s="13"/>
      <c r="L942" s="13"/>
      <c r="M942" s="13"/>
      <c r="N942" s="13"/>
      <c r="O942" s="13"/>
      <c r="P942" s="13"/>
      <c r="Q942" s="13"/>
      <c r="R942" s="13"/>
      <c r="S942" s="421"/>
      <c r="T942" s="421"/>
      <c r="U942" s="421"/>
      <c r="V942" s="421"/>
      <c r="W942" s="421"/>
      <c r="X942" s="421"/>
      <c r="Y942" s="421"/>
      <c r="Z942" s="421"/>
      <c r="AA942" s="421"/>
      <c r="AB942" s="421"/>
      <c r="AC942" s="421"/>
      <c r="AD942" s="421"/>
      <c r="AE942" s="421"/>
      <c r="AF942" s="421"/>
      <c r="AG942" s="421"/>
      <c r="AH942" s="421"/>
      <c r="AI942" s="421"/>
      <c r="AJ942" s="421"/>
      <c r="AK942" s="421"/>
      <c r="AL942" s="421"/>
      <c r="AM942" s="422"/>
      <c r="AN942" s="422"/>
      <c r="AO942" s="422"/>
      <c r="AP942" s="422"/>
      <c r="AQ942" s="422"/>
      <c r="AR942" s="422"/>
      <c r="AS942" s="422"/>
      <c r="AT942" s="422"/>
      <c r="AU942" s="422"/>
      <c r="AV942" s="422"/>
      <c r="AW942" s="422"/>
      <c r="AX942" s="422"/>
      <c r="AY942" s="422"/>
    </row>
    <row r="943" spans="1:51" x14ac:dyDescent="0.25">
      <c r="A943" s="3"/>
      <c r="B943" s="3"/>
      <c r="C943" s="3"/>
      <c r="D943" s="3"/>
      <c r="E943" s="3"/>
      <c r="F943" s="3"/>
      <c r="G943" s="3"/>
      <c r="H943" s="3"/>
      <c r="I943" s="3"/>
      <c r="J943" s="13"/>
      <c r="K943" s="13"/>
      <c r="L943" s="13"/>
      <c r="M943" s="13"/>
      <c r="N943" s="13"/>
      <c r="O943" s="13"/>
      <c r="P943" s="13"/>
      <c r="Q943" s="13"/>
      <c r="R943" s="13"/>
      <c r="S943" s="421"/>
      <c r="T943" s="421"/>
      <c r="U943" s="421"/>
      <c r="V943" s="421"/>
      <c r="W943" s="421"/>
      <c r="X943" s="421"/>
      <c r="Y943" s="421"/>
      <c r="Z943" s="421"/>
      <c r="AA943" s="421"/>
      <c r="AB943" s="421"/>
      <c r="AC943" s="421"/>
      <c r="AD943" s="421"/>
      <c r="AE943" s="421"/>
      <c r="AF943" s="421"/>
      <c r="AG943" s="421"/>
      <c r="AH943" s="421"/>
      <c r="AI943" s="421"/>
      <c r="AJ943" s="421"/>
      <c r="AK943" s="421"/>
      <c r="AL943" s="421"/>
      <c r="AM943" s="422"/>
      <c r="AN943" s="422"/>
      <c r="AO943" s="422"/>
      <c r="AP943" s="422"/>
      <c r="AQ943" s="422"/>
      <c r="AR943" s="422"/>
      <c r="AS943" s="422"/>
      <c r="AT943" s="422"/>
      <c r="AU943" s="422"/>
      <c r="AV943" s="422"/>
      <c r="AW943" s="422"/>
      <c r="AX943" s="422"/>
      <c r="AY943" s="422"/>
    </row>
    <row r="944" spans="1:51" x14ac:dyDescent="0.25">
      <c r="A944" s="3"/>
      <c r="B944" s="3"/>
      <c r="C944" s="3"/>
      <c r="D944" s="3"/>
      <c r="E944" s="3"/>
      <c r="F944" s="3"/>
      <c r="G944" s="3"/>
      <c r="H944" s="3"/>
      <c r="I944" s="3"/>
      <c r="J944" s="13"/>
      <c r="K944" s="13"/>
      <c r="L944" s="13"/>
      <c r="M944" s="13"/>
      <c r="N944" s="13"/>
      <c r="O944" s="13"/>
      <c r="P944" s="13"/>
      <c r="Q944" s="13"/>
      <c r="R944" s="13"/>
      <c r="S944" s="421"/>
      <c r="T944" s="421"/>
      <c r="U944" s="421"/>
      <c r="V944" s="421"/>
      <c r="W944" s="421"/>
      <c r="X944" s="421"/>
      <c r="Y944" s="421"/>
      <c r="Z944" s="421"/>
      <c r="AA944" s="421"/>
      <c r="AB944" s="421"/>
      <c r="AC944" s="421"/>
      <c r="AD944" s="421"/>
      <c r="AE944" s="421"/>
      <c r="AF944" s="421"/>
      <c r="AG944" s="421"/>
      <c r="AH944" s="421"/>
      <c r="AI944" s="421"/>
      <c r="AJ944" s="421"/>
      <c r="AK944" s="421"/>
      <c r="AL944" s="421"/>
      <c r="AM944" s="422"/>
      <c r="AN944" s="422"/>
      <c r="AO944" s="422"/>
      <c r="AP944" s="422"/>
      <c r="AQ944" s="422"/>
      <c r="AR944" s="422"/>
      <c r="AS944" s="422"/>
      <c r="AT944" s="422"/>
      <c r="AU944" s="422"/>
      <c r="AV944" s="422"/>
      <c r="AW944" s="422"/>
      <c r="AX944" s="422"/>
      <c r="AY944" s="422"/>
    </row>
    <row r="945" spans="1:51" x14ac:dyDescent="0.25">
      <c r="A945" s="3"/>
      <c r="B945" s="3"/>
      <c r="C945" s="3"/>
      <c r="D945" s="3"/>
      <c r="E945" s="3"/>
      <c r="F945" s="3"/>
      <c r="G945" s="3"/>
      <c r="H945" s="3"/>
      <c r="I945" s="3"/>
      <c r="J945" s="13"/>
      <c r="K945" s="13"/>
      <c r="L945" s="13"/>
      <c r="M945" s="13"/>
      <c r="N945" s="13"/>
      <c r="O945" s="13"/>
      <c r="P945" s="13"/>
      <c r="Q945" s="13"/>
      <c r="R945" s="13"/>
      <c r="S945" s="421"/>
      <c r="T945" s="421"/>
      <c r="U945" s="421"/>
      <c r="V945" s="421"/>
      <c r="W945" s="421"/>
      <c r="X945" s="421"/>
      <c r="Y945" s="421"/>
      <c r="Z945" s="421"/>
      <c r="AA945" s="421"/>
      <c r="AB945" s="421"/>
      <c r="AC945" s="421"/>
      <c r="AD945" s="421"/>
      <c r="AE945" s="421"/>
      <c r="AF945" s="421"/>
      <c r="AG945" s="421"/>
      <c r="AH945" s="421"/>
      <c r="AI945" s="421"/>
      <c r="AJ945" s="421"/>
      <c r="AK945" s="421"/>
      <c r="AL945" s="421"/>
      <c r="AM945" s="422"/>
      <c r="AN945" s="422"/>
      <c r="AO945" s="422"/>
      <c r="AP945" s="422"/>
      <c r="AQ945" s="422"/>
      <c r="AR945" s="422"/>
      <c r="AS945" s="422"/>
      <c r="AT945" s="422"/>
      <c r="AU945" s="422"/>
      <c r="AV945" s="422"/>
      <c r="AW945" s="422"/>
      <c r="AX945" s="422"/>
      <c r="AY945" s="422"/>
    </row>
    <row r="946" spans="1:51" x14ac:dyDescent="0.25">
      <c r="A946" s="3"/>
      <c r="B946" s="3"/>
      <c r="C946" s="3"/>
      <c r="D946" s="3"/>
      <c r="E946" s="3"/>
      <c r="F946" s="3"/>
      <c r="G946" s="3"/>
      <c r="H946" s="3"/>
      <c r="I946" s="3"/>
      <c r="J946" s="13"/>
      <c r="K946" s="13"/>
      <c r="L946" s="13"/>
      <c r="M946" s="13"/>
      <c r="N946" s="13"/>
      <c r="O946" s="13"/>
      <c r="P946" s="13"/>
      <c r="Q946" s="13"/>
      <c r="R946" s="13"/>
      <c r="S946" s="421"/>
      <c r="T946" s="421"/>
      <c r="U946" s="421"/>
      <c r="V946" s="421"/>
      <c r="W946" s="421"/>
      <c r="X946" s="421"/>
      <c r="Y946" s="421"/>
      <c r="Z946" s="421"/>
      <c r="AA946" s="421"/>
      <c r="AB946" s="421"/>
      <c r="AC946" s="421"/>
      <c r="AD946" s="421"/>
      <c r="AE946" s="421"/>
      <c r="AF946" s="421"/>
      <c r="AG946" s="421"/>
      <c r="AH946" s="421"/>
      <c r="AI946" s="421"/>
      <c r="AJ946" s="421"/>
      <c r="AK946" s="421"/>
      <c r="AL946" s="421"/>
      <c r="AM946" s="422"/>
      <c r="AN946" s="422"/>
      <c r="AO946" s="422"/>
      <c r="AP946" s="422"/>
      <c r="AQ946" s="422"/>
      <c r="AR946" s="422"/>
      <c r="AS946" s="422"/>
      <c r="AT946" s="422"/>
      <c r="AU946" s="422"/>
      <c r="AV946" s="422"/>
      <c r="AW946" s="422"/>
      <c r="AX946" s="422"/>
      <c r="AY946" s="422"/>
    </row>
    <row r="947" spans="1:51" x14ac:dyDescent="0.25">
      <c r="A947" s="3"/>
      <c r="B947" s="3"/>
      <c r="C947" s="3"/>
      <c r="D947" s="3"/>
      <c r="E947" s="3"/>
      <c r="F947" s="3"/>
      <c r="G947" s="3"/>
      <c r="H947" s="3"/>
      <c r="I947" s="3"/>
      <c r="J947" s="13"/>
      <c r="K947" s="13"/>
      <c r="L947" s="13"/>
      <c r="M947" s="13"/>
      <c r="N947" s="13"/>
      <c r="O947" s="13"/>
      <c r="P947" s="13"/>
      <c r="Q947" s="13"/>
      <c r="R947" s="13"/>
      <c r="S947" s="421"/>
      <c r="T947" s="421"/>
      <c r="U947" s="421"/>
      <c r="V947" s="421"/>
      <c r="W947" s="421"/>
      <c r="X947" s="421"/>
      <c r="Y947" s="421"/>
      <c r="Z947" s="421"/>
      <c r="AA947" s="421"/>
      <c r="AB947" s="421"/>
      <c r="AC947" s="421"/>
      <c r="AD947" s="421"/>
      <c r="AE947" s="421"/>
      <c r="AF947" s="421"/>
      <c r="AG947" s="421"/>
      <c r="AH947" s="421"/>
      <c r="AI947" s="421"/>
      <c r="AJ947" s="421"/>
      <c r="AK947" s="421"/>
      <c r="AL947" s="421"/>
      <c r="AM947" s="422"/>
      <c r="AN947" s="422"/>
      <c r="AO947" s="422"/>
      <c r="AP947" s="422"/>
      <c r="AQ947" s="422"/>
      <c r="AR947" s="422"/>
      <c r="AS947" s="422"/>
      <c r="AT947" s="422"/>
      <c r="AU947" s="422"/>
      <c r="AV947" s="422"/>
      <c r="AW947" s="422"/>
      <c r="AX947" s="422"/>
      <c r="AY947" s="422"/>
    </row>
    <row r="948" spans="1:51" x14ac:dyDescent="0.25">
      <c r="A948" s="3"/>
      <c r="B948" s="3"/>
      <c r="C948" s="3"/>
      <c r="D948" s="3"/>
      <c r="E948" s="3"/>
      <c r="F948" s="3"/>
      <c r="G948" s="3"/>
      <c r="H948" s="3"/>
      <c r="I948" s="3"/>
      <c r="J948" s="13"/>
      <c r="K948" s="13"/>
      <c r="L948" s="13"/>
      <c r="M948" s="13"/>
      <c r="N948" s="13"/>
      <c r="O948" s="13"/>
      <c r="P948" s="13"/>
      <c r="Q948" s="13"/>
      <c r="R948" s="13"/>
      <c r="S948" s="421"/>
      <c r="T948" s="421"/>
      <c r="U948" s="421"/>
      <c r="V948" s="421"/>
      <c r="W948" s="421"/>
      <c r="X948" s="421"/>
      <c r="Y948" s="421"/>
      <c r="Z948" s="421"/>
      <c r="AA948" s="421"/>
      <c r="AB948" s="421"/>
      <c r="AC948" s="421"/>
      <c r="AD948" s="421"/>
      <c r="AE948" s="421"/>
      <c r="AF948" s="421"/>
      <c r="AG948" s="421"/>
      <c r="AH948" s="421"/>
      <c r="AI948" s="421"/>
      <c r="AJ948" s="421"/>
      <c r="AK948" s="421"/>
      <c r="AL948" s="421"/>
      <c r="AM948" s="422"/>
      <c r="AN948" s="422"/>
      <c r="AO948" s="422"/>
      <c r="AP948" s="422"/>
      <c r="AQ948" s="422"/>
      <c r="AR948" s="422"/>
      <c r="AS948" s="422"/>
      <c r="AT948" s="422"/>
      <c r="AU948" s="422"/>
      <c r="AV948" s="422"/>
      <c r="AW948" s="422"/>
      <c r="AX948" s="422"/>
      <c r="AY948" s="422"/>
    </row>
    <row r="949" spans="1:51" x14ac:dyDescent="0.25">
      <c r="A949" s="3"/>
      <c r="B949" s="3"/>
      <c r="C949" s="3"/>
      <c r="D949" s="3"/>
      <c r="E949" s="3"/>
      <c r="F949" s="3"/>
      <c r="G949" s="3"/>
      <c r="H949" s="3"/>
      <c r="I949" s="3"/>
      <c r="J949" s="13"/>
      <c r="K949" s="13"/>
      <c r="L949" s="13"/>
      <c r="M949" s="13"/>
      <c r="N949" s="13"/>
      <c r="O949" s="13"/>
      <c r="P949" s="13"/>
      <c r="Q949" s="13"/>
      <c r="R949" s="13"/>
      <c r="S949" s="421"/>
      <c r="T949" s="421"/>
      <c r="U949" s="421"/>
      <c r="V949" s="421"/>
      <c r="W949" s="421"/>
      <c r="X949" s="421"/>
      <c r="Y949" s="421"/>
      <c r="Z949" s="421"/>
      <c r="AA949" s="421"/>
      <c r="AB949" s="421"/>
      <c r="AC949" s="421"/>
      <c r="AD949" s="421"/>
      <c r="AE949" s="421"/>
      <c r="AF949" s="421"/>
      <c r="AG949" s="421"/>
      <c r="AH949" s="421"/>
      <c r="AI949" s="421"/>
      <c r="AJ949" s="421"/>
      <c r="AK949" s="421"/>
      <c r="AL949" s="421"/>
      <c r="AM949" s="422"/>
      <c r="AN949" s="422"/>
      <c r="AO949" s="422"/>
      <c r="AP949" s="422"/>
      <c r="AQ949" s="422"/>
      <c r="AR949" s="422"/>
      <c r="AS949" s="422"/>
      <c r="AT949" s="422"/>
      <c r="AU949" s="422"/>
      <c r="AV949" s="422"/>
      <c r="AW949" s="422"/>
      <c r="AX949" s="422"/>
      <c r="AY949" s="422"/>
    </row>
    <row r="950" spans="1:51" x14ac:dyDescent="0.25">
      <c r="A950" s="3"/>
      <c r="B950" s="3"/>
      <c r="C950" s="3"/>
      <c r="D950" s="3"/>
      <c r="E950" s="3"/>
      <c r="F950" s="3"/>
      <c r="G950" s="3"/>
      <c r="H950" s="3"/>
      <c r="I950" s="3"/>
      <c r="J950" s="13"/>
      <c r="K950" s="13"/>
      <c r="L950" s="13"/>
      <c r="M950" s="13"/>
      <c r="N950" s="13"/>
      <c r="O950" s="13"/>
      <c r="P950" s="13"/>
      <c r="Q950" s="13"/>
      <c r="R950" s="13"/>
      <c r="S950" s="421"/>
      <c r="T950" s="421"/>
      <c r="U950" s="421"/>
      <c r="V950" s="421"/>
      <c r="W950" s="421"/>
      <c r="X950" s="421"/>
      <c r="Y950" s="421"/>
      <c r="Z950" s="421"/>
      <c r="AA950" s="421"/>
      <c r="AB950" s="421"/>
      <c r="AC950" s="421"/>
      <c r="AD950" s="421"/>
      <c r="AE950" s="421"/>
      <c r="AF950" s="421"/>
      <c r="AG950" s="421"/>
      <c r="AH950" s="421"/>
      <c r="AI950" s="421"/>
      <c r="AJ950" s="421"/>
      <c r="AK950" s="421"/>
      <c r="AL950" s="421"/>
      <c r="AM950" s="422"/>
      <c r="AN950" s="422"/>
      <c r="AO950" s="422"/>
      <c r="AP950" s="422"/>
      <c r="AQ950" s="422"/>
      <c r="AR950" s="422"/>
      <c r="AS950" s="422"/>
      <c r="AT950" s="422"/>
      <c r="AU950" s="422"/>
      <c r="AV950" s="422"/>
      <c r="AW950" s="422"/>
      <c r="AX950" s="422"/>
      <c r="AY950" s="422"/>
    </row>
    <row r="951" spans="1:51" x14ac:dyDescent="0.25">
      <c r="A951" s="3"/>
      <c r="B951" s="3"/>
      <c r="C951" s="3"/>
      <c r="D951" s="3"/>
      <c r="E951" s="3"/>
      <c r="F951" s="3"/>
      <c r="G951" s="3"/>
      <c r="H951" s="3"/>
      <c r="I951" s="3"/>
      <c r="J951" s="13"/>
      <c r="K951" s="13"/>
      <c r="L951" s="13"/>
      <c r="M951" s="13"/>
      <c r="N951" s="13"/>
      <c r="O951" s="13"/>
      <c r="P951" s="13"/>
      <c r="Q951" s="13"/>
      <c r="R951" s="13"/>
      <c r="S951" s="421"/>
      <c r="T951" s="421"/>
      <c r="U951" s="421"/>
      <c r="V951" s="421"/>
      <c r="W951" s="421"/>
      <c r="X951" s="421"/>
      <c r="Y951" s="421"/>
      <c r="Z951" s="421"/>
      <c r="AA951" s="421"/>
      <c r="AB951" s="421"/>
      <c r="AC951" s="421"/>
      <c r="AD951" s="421"/>
      <c r="AE951" s="421"/>
      <c r="AF951" s="421"/>
      <c r="AG951" s="421"/>
      <c r="AH951" s="421"/>
      <c r="AI951" s="421"/>
      <c r="AJ951" s="421"/>
      <c r="AK951" s="421"/>
      <c r="AL951" s="421"/>
      <c r="AM951" s="422"/>
      <c r="AN951" s="422"/>
      <c r="AO951" s="422"/>
      <c r="AP951" s="422"/>
      <c r="AQ951" s="422"/>
      <c r="AR951" s="422"/>
      <c r="AS951" s="422"/>
      <c r="AT951" s="422"/>
      <c r="AU951" s="422"/>
      <c r="AV951" s="422"/>
      <c r="AW951" s="422"/>
      <c r="AX951" s="422"/>
      <c r="AY951" s="422"/>
    </row>
    <row r="952" spans="1:51" x14ac:dyDescent="0.25">
      <c r="A952" s="3"/>
      <c r="B952" s="3"/>
      <c r="C952" s="3"/>
      <c r="D952" s="3"/>
      <c r="E952" s="3"/>
      <c r="F952" s="3"/>
      <c r="G952" s="3"/>
      <c r="H952" s="3"/>
      <c r="I952" s="3"/>
      <c r="J952" s="13"/>
      <c r="K952" s="13"/>
      <c r="L952" s="13"/>
      <c r="M952" s="13"/>
      <c r="N952" s="13"/>
      <c r="O952" s="13"/>
      <c r="P952" s="13"/>
      <c r="Q952" s="13"/>
      <c r="R952" s="13"/>
      <c r="S952" s="421"/>
      <c r="T952" s="421"/>
      <c r="U952" s="421"/>
      <c r="V952" s="421"/>
      <c r="W952" s="421"/>
      <c r="X952" s="421"/>
      <c r="Y952" s="421"/>
      <c r="Z952" s="421"/>
      <c r="AA952" s="421"/>
      <c r="AB952" s="421"/>
      <c r="AC952" s="421"/>
      <c r="AD952" s="421"/>
      <c r="AE952" s="421"/>
      <c r="AF952" s="421"/>
      <c r="AG952" s="421"/>
      <c r="AH952" s="421"/>
      <c r="AI952" s="421"/>
      <c r="AJ952" s="421"/>
      <c r="AK952" s="421"/>
      <c r="AL952" s="421"/>
      <c r="AM952" s="422"/>
      <c r="AN952" s="422"/>
      <c r="AO952" s="422"/>
      <c r="AP952" s="422"/>
      <c r="AQ952" s="422"/>
      <c r="AR952" s="422"/>
      <c r="AS952" s="422"/>
      <c r="AT952" s="422"/>
      <c r="AU952" s="422"/>
      <c r="AV952" s="422"/>
      <c r="AW952" s="422"/>
      <c r="AX952" s="422"/>
      <c r="AY952" s="422"/>
    </row>
    <row r="953" spans="1:51" x14ac:dyDescent="0.25">
      <c r="A953" s="3"/>
      <c r="B953" s="3"/>
      <c r="C953" s="3"/>
      <c r="D953" s="3"/>
      <c r="E953" s="3"/>
      <c r="F953" s="3"/>
      <c r="G953" s="3"/>
      <c r="H953" s="3"/>
      <c r="I953" s="3"/>
      <c r="J953" s="13"/>
      <c r="K953" s="13"/>
      <c r="L953" s="13"/>
      <c r="M953" s="13"/>
      <c r="N953" s="13"/>
      <c r="O953" s="13"/>
      <c r="P953" s="13"/>
      <c r="Q953" s="13"/>
      <c r="R953" s="13"/>
      <c r="S953" s="421"/>
      <c r="T953" s="421"/>
      <c r="U953" s="421"/>
      <c r="V953" s="421"/>
      <c r="W953" s="421"/>
      <c r="X953" s="421"/>
      <c r="Y953" s="421"/>
      <c r="Z953" s="421"/>
      <c r="AA953" s="421"/>
      <c r="AB953" s="421"/>
      <c r="AC953" s="421"/>
      <c r="AD953" s="421"/>
      <c r="AE953" s="421"/>
      <c r="AF953" s="421"/>
      <c r="AG953" s="421"/>
      <c r="AH953" s="421"/>
      <c r="AI953" s="421"/>
      <c r="AJ953" s="421"/>
      <c r="AK953" s="421"/>
      <c r="AL953" s="421"/>
      <c r="AM953" s="422"/>
      <c r="AN953" s="422"/>
      <c r="AO953" s="422"/>
      <c r="AP953" s="422"/>
      <c r="AQ953" s="422"/>
      <c r="AR953" s="422"/>
      <c r="AS953" s="422"/>
      <c r="AT953" s="422"/>
      <c r="AU953" s="422"/>
      <c r="AV953" s="422"/>
      <c r="AW953" s="422"/>
      <c r="AX953" s="422"/>
      <c r="AY953" s="422"/>
    </row>
    <row r="954" spans="1:51" x14ac:dyDescent="0.25">
      <c r="A954" s="3"/>
      <c r="B954" s="3"/>
      <c r="C954" s="3"/>
      <c r="D954" s="3"/>
      <c r="E954" s="3"/>
      <c r="F954" s="3"/>
      <c r="G954" s="3"/>
      <c r="H954" s="3"/>
      <c r="I954" s="3"/>
      <c r="J954" s="13"/>
      <c r="K954" s="13"/>
      <c r="L954" s="13"/>
      <c r="M954" s="13"/>
      <c r="N954" s="13"/>
      <c r="O954" s="13"/>
      <c r="P954" s="13"/>
      <c r="Q954" s="13"/>
      <c r="R954" s="13"/>
      <c r="S954" s="421"/>
      <c r="T954" s="421"/>
      <c r="U954" s="421"/>
      <c r="V954" s="421"/>
      <c r="W954" s="421"/>
      <c r="X954" s="421"/>
      <c r="Y954" s="421"/>
      <c r="Z954" s="421"/>
      <c r="AA954" s="421"/>
      <c r="AB954" s="421"/>
      <c r="AC954" s="421"/>
      <c r="AD954" s="421"/>
      <c r="AE954" s="421"/>
      <c r="AF954" s="421"/>
      <c r="AG954" s="421"/>
      <c r="AH954" s="421"/>
      <c r="AI954" s="421"/>
      <c r="AJ954" s="421"/>
      <c r="AK954" s="421"/>
      <c r="AL954" s="421"/>
      <c r="AM954" s="422"/>
      <c r="AN954" s="422"/>
      <c r="AO954" s="422"/>
      <c r="AP954" s="422"/>
      <c r="AQ954" s="422"/>
      <c r="AR954" s="422"/>
      <c r="AS954" s="422"/>
      <c r="AT954" s="422"/>
      <c r="AU954" s="422"/>
      <c r="AV954" s="422"/>
      <c r="AW954" s="422"/>
      <c r="AX954" s="422"/>
      <c r="AY954" s="422"/>
    </row>
    <row r="955" spans="1:51" x14ac:dyDescent="0.25">
      <c r="A955" s="3"/>
      <c r="B955" s="3"/>
      <c r="C955" s="3"/>
      <c r="D955" s="3"/>
      <c r="E955" s="3"/>
      <c r="F955" s="3"/>
      <c r="G955" s="3"/>
      <c r="H955" s="3"/>
      <c r="I955" s="3"/>
      <c r="J955" s="13"/>
      <c r="K955" s="13"/>
      <c r="L955" s="13"/>
      <c r="M955" s="13"/>
      <c r="N955" s="13"/>
      <c r="O955" s="13"/>
      <c r="P955" s="13"/>
      <c r="Q955" s="13"/>
      <c r="R955" s="13"/>
      <c r="S955" s="421"/>
      <c r="T955" s="421"/>
      <c r="U955" s="421"/>
      <c r="V955" s="421"/>
      <c r="W955" s="421"/>
      <c r="X955" s="421"/>
      <c r="Y955" s="421"/>
      <c r="Z955" s="421"/>
      <c r="AA955" s="421"/>
      <c r="AB955" s="421"/>
      <c r="AC955" s="421"/>
      <c r="AD955" s="421"/>
      <c r="AE955" s="421"/>
      <c r="AF955" s="421"/>
      <c r="AG955" s="421"/>
      <c r="AH955" s="421"/>
      <c r="AI955" s="421"/>
      <c r="AJ955" s="421"/>
      <c r="AK955" s="421"/>
      <c r="AL955" s="421"/>
      <c r="AM955" s="422"/>
      <c r="AN955" s="422"/>
      <c r="AO955" s="422"/>
      <c r="AP955" s="422"/>
      <c r="AQ955" s="422"/>
      <c r="AR955" s="422"/>
      <c r="AS955" s="422"/>
      <c r="AT955" s="422"/>
      <c r="AU955" s="422"/>
      <c r="AV955" s="422"/>
      <c r="AW955" s="422"/>
      <c r="AX955" s="422"/>
      <c r="AY955" s="422"/>
    </row>
    <row r="956" spans="1:51" x14ac:dyDescent="0.25">
      <c r="A956" s="3"/>
      <c r="B956" s="3"/>
      <c r="C956" s="3"/>
      <c r="D956" s="3"/>
      <c r="E956" s="3"/>
      <c r="F956" s="3"/>
      <c r="G956" s="3"/>
      <c r="H956" s="3"/>
      <c r="I956" s="3"/>
      <c r="J956" s="13"/>
      <c r="K956" s="13"/>
      <c r="L956" s="13"/>
      <c r="M956" s="13"/>
      <c r="N956" s="13"/>
      <c r="O956" s="13"/>
      <c r="P956" s="13"/>
      <c r="Q956" s="13"/>
      <c r="R956" s="13"/>
      <c r="S956" s="421"/>
      <c r="T956" s="421"/>
      <c r="U956" s="421"/>
      <c r="V956" s="421"/>
      <c r="W956" s="421"/>
      <c r="X956" s="421"/>
      <c r="Y956" s="421"/>
      <c r="Z956" s="421"/>
      <c r="AA956" s="421"/>
      <c r="AB956" s="421"/>
      <c r="AC956" s="421"/>
      <c r="AD956" s="421"/>
      <c r="AE956" s="421"/>
      <c r="AF956" s="421"/>
      <c r="AG956" s="421"/>
      <c r="AH956" s="421"/>
      <c r="AI956" s="421"/>
      <c r="AJ956" s="421"/>
      <c r="AK956" s="421"/>
      <c r="AL956" s="421"/>
      <c r="AM956" s="422"/>
      <c r="AN956" s="422"/>
      <c r="AO956" s="422"/>
      <c r="AP956" s="422"/>
      <c r="AQ956" s="422"/>
      <c r="AR956" s="422"/>
      <c r="AS956" s="422"/>
      <c r="AT956" s="422"/>
      <c r="AU956" s="422"/>
      <c r="AV956" s="422"/>
      <c r="AW956" s="422"/>
      <c r="AX956" s="422"/>
      <c r="AY956" s="422"/>
    </row>
    <row r="957" spans="1:51" x14ac:dyDescent="0.25">
      <c r="A957" s="3"/>
      <c r="B957" s="3"/>
      <c r="C957" s="3"/>
      <c r="D957" s="3"/>
      <c r="E957" s="3"/>
      <c r="F957" s="3"/>
      <c r="G957" s="3"/>
      <c r="H957" s="3"/>
      <c r="I957" s="3"/>
      <c r="J957" s="13"/>
      <c r="K957" s="13"/>
      <c r="L957" s="13"/>
      <c r="M957" s="13"/>
      <c r="N957" s="13"/>
      <c r="O957" s="13"/>
      <c r="P957" s="13"/>
      <c r="Q957" s="13"/>
      <c r="R957" s="13"/>
      <c r="S957" s="421"/>
      <c r="T957" s="421"/>
      <c r="U957" s="421"/>
      <c r="V957" s="421"/>
      <c r="W957" s="421"/>
      <c r="X957" s="421"/>
      <c r="Y957" s="421"/>
      <c r="Z957" s="421"/>
      <c r="AA957" s="421"/>
      <c r="AB957" s="421"/>
      <c r="AC957" s="421"/>
      <c r="AD957" s="421"/>
      <c r="AE957" s="421"/>
      <c r="AF957" s="421"/>
      <c r="AG957" s="421"/>
      <c r="AH957" s="421"/>
      <c r="AI957" s="421"/>
      <c r="AJ957" s="421"/>
      <c r="AK957" s="421"/>
      <c r="AL957" s="421"/>
      <c r="AM957" s="422"/>
      <c r="AN957" s="422"/>
      <c r="AO957" s="422"/>
      <c r="AP957" s="422"/>
      <c r="AQ957" s="422"/>
      <c r="AR957" s="422"/>
      <c r="AS957" s="422"/>
      <c r="AT957" s="422"/>
      <c r="AU957" s="422"/>
      <c r="AV957" s="422"/>
      <c r="AW957" s="422"/>
      <c r="AX957" s="422"/>
      <c r="AY957" s="422"/>
    </row>
    <row r="958" spans="1:51" x14ac:dyDescent="0.25">
      <c r="A958" s="3"/>
      <c r="B958" s="3"/>
      <c r="C958" s="3"/>
      <c r="D958" s="3"/>
      <c r="E958" s="3"/>
      <c r="F958" s="3"/>
      <c r="G958" s="3"/>
      <c r="H958" s="3"/>
      <c r="I958" s="3"/>
      <c r="J958" s="13"/>
      <c r="K958" s="13"/>
      <c r="L958" s="13"/>
      <c r="M958" s="13"/>
      <c r="N958" s="13"/>
      <c r="O958" s="13"/>
      <c r="P958" s="13"/>
      <c r="Q958" s="13"/>
      <c r="R958" s="13"/>
      <c r="S958" s="421"/>
      <c r="T958" s="421"/>
      <c r="U958" s="421"/>
      <c r="V958" s="421"/>
      <c r="W958" s="421"/>
      <c r="X958" s="421"/>
      <c r="Y958" s="421"/>
      <c r="Z958" s="421"/>
      <c r="AA958" s="421"/>
      <c r="AB958" s="421"/>
      <c r="AC958" s="421"/>
      <c r="AD958" s="421"/>
      <c r="AE958" s="421"/>
      <c r="AF958" s="421"/>
      <c r="AG958" s="421"/>
      <c r="AH958" s="421"/>
      <c r="AI958" s="421"/>
      <c r="AJ958" s="421"/>
      <c r="AK958" s="421"/>
      <c r="AL958" s="421"/>
      <c r="AM958" s="422"/>
      <c r="AN958" s="422"/>
      <c r="AO958" s="422"/>
      <c r="AP958" s="422"/>
      <c r="AQ958" s="422"/>
      <c r="AR958" s="422"/>
      <c r="AS958" s="422"/>
      <c r="AT958" s="422"/>
      <c r="AU958" s="422"/>
      <c r="AV958" s="422"/>
      <c r="AW958" s="422"/>
      <c r="AX958" s="422"/>
      <c r="AY958" s="422"/>
    </row>
    <row r="959" spans="1:51" x14ac:dyDescent="0.25">
      <c r="A959" s="3"/>
      <c r="B959" s="3"/>
      <c r="C959" s="3"/>
      <c r="D959" s="3"/>
      <c r="E959" s="3"/>
      <c r="F959" s="3"/>
      <c r="G959" s="3"/>
      <c r="H959" s="3"/>
      <c r="I959" s="3"/>
      <c r="J959" s="13"/>
      <c r="K959" s="13"/>
      <c r="L959" s="13"/>
      <c r="M959" s="13"/>
      <c r="N959" s="13"/>
      <c r="O959" s="13"/>
      <c r="P959" s="13"/>
      <c r="Q959" s="13"/>
      <c r="R959" s="13"/>
      <c r="S959" s="421"/>
      <c r="T959" s="421"/>
      <c r="U959" s="421"/>
      <c r="V959" s="421"/>
      <c r="W959" s="421"/>
      <c r="X959" s="421"/>
      <c r="Y959" s="421"/>
      <c r="Z959" s="421"/>
      <c r="AA959" s="421"/>
      <c r="AB959" s="421"/>
      <c r="AC959" s="421"/>
      <c r="AD959" s="421"/>
      <c r="AE959" s="421"/>
      <c r="AF959" s="421"/>
      <c r="AG959" s="421"/>
      <c r="AH959" s="421"/>
      <c r="AI959" s="421"/>
      <c r="AJ959" s="421"/>
      <c r="AK959" s="421"/>
      <c r="AL959" s="421"/>
      <c r="AM959" s="422"/>
      <c r="AN959" s="422"/>
      <c r="AO959" s="422"/>
      <c r="AP959" s="422"/>
      <c r="AQ959" s="422"/>
      <c r="AR959" s="422"/>
      <c r="AS959" s="422"/>
      <c r="AT959" s="422"/>
      <c r="AU959" s="422"/>
      <c r="AV959" s="422"/>
      <c r="AW959" s="422"/>
      <c r="AX959" s="422"/>
      <c r="AY959" s="422"/>
    </row>
    <row r="960" spans="1:51" x14ac:dyDescent="0.25">
      <c r="A960" s="3"/>
      <c r="B960" s="3"/>
      <c r="C960" s="3"/>
      <c r="D960" s="3"/>
      <c r="E960" s="3"/>
      <c r="F960" s="3"/>
      <c r="G960" s="3"/>
      <c r="H960" s="3"/>
      <c r="I960" s="3"/>
      <c r="J960" s="13"/>
      <c r="K960" s="13"/>
      <c r="L960" s="13"/>
      <c r="M960" s="13"/>
      <c r="N960" s="13"/>
      <c r="O960" s="13"/>
      <c r="P960" s="13"/>
      <c r="Q960" s="13"/>
      <c r="R960" s="13"/>
      <c r="S960" s="421"/>
      <c r="T960" s="421"/>
      <c r="U960" s="421"/>
      <c r="V960" s="421"/>
      <c r="W960" s="421"/>
      <c r="X960" s="421"/>
      <c r="Y960" s="421"/>
      <c r="Z960" s="421"/>
      <c r="AA960" s="421"/>
      <c r="AB960" s="421"/>
      <c r="AC960" s="421"/>
      <c r="AD960" s="421"/>
      <c r="AE960" s="421"/>
      <c r="AF960" s="421"/>
      <c r="AG960" s="421"/>
      <c r="AH960" s="421"/>
      <c r="AI960" s="421"/>
      <c r="AJ960" s="421"/>
      <c r="AK960" s="421"/>
      <c r="AL960" s="421"/>
      <c r="AM960" s="422"/>
      <c r="AN960" s="422"/>
      <c r="AO960" s="422"/>
      <c r="AP960" s="422"/>
      <c r="AQ960" s="422"/>
      <c r="AR960" s="422"/>
      <c r="AS960" s="422"/>
      <c r="AT960" s="422"/>
      <c r="AU960" s="422"/>
      <c r="AV960" s="422"/>
      <c r="AW960" s="422"/>
      <c r="AX960" s="422"/>
      <c r="AY960" s="422"/>
    </row>
    <row r="961" spans="1:51" x14ac:dyDescent="0.25">
      <c r="A961" s="3"/>
      <c r="B961" s="3"/>
      <c r="C961" s="3"/>
      <c r="D961" s="3"/>
      <c r="E961" s="3"/>
      <c r="F961" s="3"/>
      <c r="G961" s="3"/>
      <c r="H961" s="3"/>
      <c r="I961" s="3"/>
      <c r="J961" s="13"/>
      <c r="K961" s="13"/>
      <c r="L961" s="13"/>
      <c r="M961" s="13"/>
      <c r="N961" s="13"/>
      <c r="O961" s="13"/>
      <c r="P961" s="13"/>
      <c r="Q961" s="13"/>
      <c r="R961" s="13"/>
      <c r="S961" s="421"/>
      <c r="T961" s="421"/>
      <c r="U961" s="421"/>
      <c r="V961" s="421"/>
      <c r="W961" s="421"/>
      <c r="X961" s="421"/>
      <c r="Y961" s="421"/>
      <c r="Z961" s="421"/>
      <c r="AA961" s="421"/>
      <c r="AB961" s="421"/>
      <c r="AC961" s="421"/>
      <c r="AD961" s="421"/>
      <c r="AE961" s="421"/>
      <c r="AF961" s="421"/>
      <c r="AG961" s="421"/>
      <c r="AH961" s="421"/>
      <c r="AI961" s="421"/>
      <c r="AJ961" s="421"/>
      <c r="AK961" s="421"/>
      <c r="AL961" s="421"/>
      <c r="AM961" s="422"/>
      <c r="AN961" s="422"/>
      <c r="AO961" s="422"/>
      <c r="AP961" s="422"/>
      <c r="AQ961" s="422"/>
      <c r="AR961" s="422"/>
      <c r="AS961" s="422"/>
      <c r="AT961" s="422"/>
      <c r="AU961" s="422"/>
      <c r="AV961" s="422"/>
      <c r="AW961" s="422"/>
      <c r="AX961" s="422"/>
      <c r="AY961" s="422"/>
    </row>
    <row r="962" spans="1:51" x14ac:dyDescent="0.25">
      <c r="A962" s="3"/>
      <c r="B962" s="3"/>
      <c r="C962" s="3"/>
      <c r="D962" s="3"/>
      <c r="E962" s="3"/>
      <c r="F962" s="3"/>
      <c r="G962" s="3"/>
      <c r="H962" s="3"/>
      <c r="I962" s="3"/>
      <c r="J962" s="13"/>
      <c r="K962" s="13"/>
      <c r="L962" s="13"/>
      <c r="M962" s="13"/>
      <c r="N962" s="13"/>
      <c r="O962" s="13"/>
      <c r="P962" s="13"/>
      <c r="Q962" s="13"/>
      <c r="R962" s="13"/>
      <c r="S962" s="421"/>
      <c r="T962" s="421"/>
      <c r="U962" s="421"/>
      <c r="V962" s="421"/>
      <c r="W962" s="421"/>
      <c r="X962" s="421"/>
      <c r="Y962" s="421"/>
      <c r="Z962" s="421"/>
      <c r="AA962" s="421"/>
      <c r="AB962" s="421"/>
      <c r="AC962" s="421"/>
      <c r="AD962" s="421"/>
      <c r="AE962" s="421"/>
      <c r="AF962" s="421"/>
      <c r="AG962" s="421"/>
      <c r="AH962" s="421"/>
      <c r="AI962" s="421"/>
      <c r="AJ962" s="421"/>
      <c r="AK962" s="421"/>
      <c r="AL962" s="421"/>
      <c r="AM962" s="422"/>
      <c r="AN962" s="422"/>
      <c r="AO962" s="422"/>
      <c r="AP962" s="422"/>
      <c r="AQ962" s="422"/>
      <c r="AR962" s="422"/>
      <c r="AS962" s="422"/>
      <c r="AT962" s="422"/>
      <c r="AU962" s="422"/>
      <c r="AV962" s="422"/>
      <c r="AW962" s="422"/>
      <c r="AX962" s="422"/>
      <c r="AY962" s="422"/>
    </row>
    <row r="963" spans="1:51" x14ac:dyDescent="0.25">
      <c r="A963" s="3"/>
      <c r="B963" s="3"/>
      <c r="C963" s="3"/>
      <c r="D963" s="3"/>
      <c r="E963" s="3"/>
      <c r="F963" s="3"/>
      <c r="G963" s="3"/>
      <c r="H963" s="3"/>
      <c r="I963" s="3"/>
      <c r="J963" s="13"/>
      <c r="K963" s="13"/>
      <c r="L963" s="13"/>
      <c r="M963" s="13"/>
      <c r="N963" s="13"/>
      <c r="O963" s="13"/>
      <c r="P963" s="13"/>
      <c r="Q963" s="13"/>
      <c r="R963" s="13"/>
      <c r="S963" s="421"/>
      <c r="T963" s="421"/>
      <c r="U963" s="421"/>
      <c r="V963" s="421"/>
      <c r="W963" s="421"/>
      <c r="X963" s="421"/>
      <c r="Y963" s="421"/>
      <c r="Z963" s="421"/>
      <c r="AA963" s="421"/>
      <c r="AB963" s="421"/>
      <c r="AC963" s="421"/>
      <c r="AD963" s="421"/>
      <c r="AE963" s="421"/>
      <c r="AF963" s="421"/>
      <c r="AG963" s="421"/>
      <c r="AH963" s="421"/>
      <c r="AI963" s="421"/>
      <c r="AJ963" s="421"/>
      <c r="AK963" s="421"/>
      <c r="AL963" s="421"/>
      <c r="AM963" s="422"/>
      <c r="AN963" s="422"/>
      <c r="AO963" s="422"/>
      <c r="AP963" s="422"/>
      <c r="AQ963" s="422"/>
      <c r="AR963" s="422"/>
      <c r="AS963" s="422"/>
      <c r="AT963" s="422"/>
      <c r="AU963" s="422"/>
      <c r="AV963" s="422"/>
      <c r="AW963" s="422"/>
      <c r="AX963" s="422"/>
      <c r="AY963" s="422"/>
    </row>
    <row r="964" spans="1:51" x14ac:dyDescent="0.25">
      <c r="A964" s="3"/>
      <c r="B964" s="3"/>
      <c r="C964" s="3"/>
      <c r="D964" s="3"/>
      <c r="E964" s="3"/>
      <c r="F964" s="3"/>
      <c r="G964" s="3"/>
      <c r="H964" s="3"/>
      <c r="I964" s="3"/>
      <c r="J964" s="13"/>
      <c r="K964" s="13"/>
      <c r="L964" s="13"/>
      <c r="M964" s="13"/>
      <c r="N964" s="13"/>
      <c r="O964" s="13"/>
      <c r="P964" s="13"/>
      <c r="Q964" s="13"/>
      <c r="R964" s="13"/>
      <c r="S964" s="421"/>
      <c r="T964" s="421"/>
      <c r="U964" s="421"/>
      <c r="V964" s="421"/>
      <c r="W964" s="421"/>
      <c r="X964" s="421"/>
      <c r="Y964" s="421"/>
      <c r="Z964" s="421"/>
      <c r="AA964" s="421"/>
      <c r="AB964" s="421"/>
      <c r="AC964" s="421"/>
      <c r="AD964" s="421"/>
      <c r="AE964" s="421"/>
      <c r="AF964" s="421"/>
      <c r="AG964" s="421"/>
      <c r="AH964" s="421"/>
      <c r="AI964" s="421"/>
      <c r="AJ964" s="421"/>
      <c r="AK964" s="421"/>
      <c r="AL964" s="421"/>
      <c r="AM964" s="422"/>
      <c r="AN964" s="422"/>
      <c r="AO964" s="422"/>
      <c r="AP964" s="422"/>
      <c r="AQ964" s="422"/>
      <c r="AR964" s="422"/>
      <c r="AS964" s="422"/>
      <c r="AT964" s="422"/>
      <c r="AU964" s="422"/>
      <c r="AV964" s="422"/>
      <c r="AW964" s="422"/>
      <c r="AX964" s="422"/>
      <c r="AY964" s="422"/>
    </row>
    <row r="965" spans="1:51" x14ac:dyDescent="0.25">
      <c r="A965" s="3"/>
      <c r="B965" s="3"/>
      <c r="C965" s="3"/>
      <c r="D965" s="3"/>
      <c r="E965" s="3"/>
      <c r="F965" s="3"/>
      <c r="G965" s="3"/>
      <c r="H965" s="3"/>
      <c r="I965" s="3"/>
      <c r="J965" s="13"/>
      <c r="K965" s="13"/>
      <c r="L965" s="13"/>
      <c r="M965" s="13"/>
      <c r="N965" s="13"/>
      <c r="O965" s="13"/>
      <c r="P965" s="13"/>
      <c r="Q965" s="13"/>
      <c r="R965" s="13"/>
      <c r="S965" s="421"/>
      <c r="T965" s="421"/>
      <c r="U965" s="421"/>
      <c r="V965" s="421"/>
      <c r="W965" s="421"/>
      <c r="X965" s="421"/>
      <c r="Y965" s="421"/>
      <c r="Z965" s="421"/>
      <c r="AA965" s="421"/>
      <c r="AB965" s="421"/>
      <c r="AC965" s="421"/>
      <c r="AD965" s="421"/>
      <c r="AE965" s="421"/>
      <c r="AF965" s="421"/>
      <c r="AG965" s="421"/>
      <c r="AH965" s="421"/>
      <c r="AI965" s="421"/>
      <c r="AJ965" s="421"/>
      <c r="AK965" s="421"/>
      <c r="AL965" s="421"/>
      <c r="AM965" s="422"/>
      <c r="AN965" s="422"/>
      <c r="AO965" s="422"/>
      <c r="AP965" s="422"/>
      <c r="AQ965" s="422"/>
      <c r="AR965" s="422"/>
      <c r="AS965" s="422"/>
      <c r="AT965" s="422"/>
      <c r="AU965" s="422"/>
      <c r="AV965" s="422"/>
      <c r="AW965" s="422"/>
      <c r="AX965" s="422"/>
      <c r="AY965" s="422"/>
    </row>
    <row r="966" spans="1:51" x14ac:dyDescent="0.25">
      <c r="A966" s="3"/>
      <c r="B966" s="3"/>
      <c r="C966" s="3"/>
      <c r="D966" s="3"/>
      <c r="E966" s="3"/>
      <c r="F966" s="3"/>
      <c r="G966" s="3"/>
      <c r="H966" s="3"/>
      <c r="I966" s="3"/>
      <c r="J966" s="13"/>
      <c r="K966" s="13"/>
      <c r="L966" s="13"/>
      <c r="M966" s="13"/>
      <c r="N966" s="13"/>
      <c r="O966" s="13"/>
      <c r="P966" s="13"/>
      <c r="Q966" s="13"/>
      <c r="R966" s="13"/>
      <c r="S966" s="421"/>
      <c r="T966" s="421"/>
      <c r="U966" s="421"/>
      <c r="V966" s="421"/>
      <c r="W966" s="421"/>
      <c r="X966" s="421"/>
      <c r="Y966" s="421"/>
      <c r="Z966" s="421"/>
      <c r="AA966" s="421"/>
      <c r="AB966" s="421"/>
      <c r="AC966" s="421"/>
      <c r="AD966" s="421"/>
      <c r="AE966" s="421"/>
      <c r="AF966" s="421"/>
      <c r="AG966" s="421"/>
      <c r="AH966" s="421"/>
      <c r="AI966" s="421"/>
      <c r="AJ966" s="421"/>
      <c r="AK966" s="421"/>
      <c r="AL966" s="421"/>
      <c r="AM966" s="422"/>
      <c r="AN966" s="422"/>
      <c r="AO966" s="422"/>
      <c r="AP966" s="422"/>
      <c r="AQ966" s="422"/>
      <c r="AR966" s="422"/>
      <c r="AS966" s="422"/>
      <c r="AT966" s="422"/>
      <c r="AU966" s="422"/>
      <c r="AV966" s="422"/>
      <c r="AW966" s="422"/>
      <c r="AX966" s="422"/>
      <c r="AY966" s="422"/>
    </row>
    <row r="967" spans="1:51" x14ac:dyDescent="0.25">
      <c r="A967" s="3"/>
      <c r="B967" s="3"/>
      <c r="C967" s="3"/>
      <c r="D967" s="3"/>
      <c r="E967" s="3"/>
      <c r="F967" s="3"/>
      <c r="G967" s="3"/>
      <c r="H967" s="3"/>
      <c r="I967" s="3"/>
      <c r="J967" s="13"/>
      <c r="K967" s="13"/>
      <c r="L967" s="13"/>
      <c r="M967" s="13"/>
      <c r="N967" s="13"/>
      <c r="O967" s="13"/>
      <c r="P967" s="13"/>
      <c r="Q967" s="13"/>
      <c r="R967" s="13"/>
      <c r="S967" s="421"/>
      <c r="T967" s="421"/>
      <c r="U967" s="421"/>
      <c r="V967" s="421"/>
      <c r="W967" s="421"/>
      <c r="X967" s="421"/>
      <c r="Y967" s="421"/>
      <c r="Z967" s="421"/>
      <c r="AA967" s="421"/>
      <c r="AB967" s="421"/>
      <c r="AC967" s="421"/>
      <c r="AD967" s="421"/>
      <c r="AE967" s="421"/>
      <c r="AF967" s="421"/>
      <c r="AG967" s="421"/>
      <c r="AH967" s="421"/>
      <c r="AI967" s="421"/>
      <c r="AJ967" s="421"/>
      <c r="AK967" s="421"/>
      <c r="AL967" s="421"/>
      <c r="AM967" s="422"/>
      <c r="AN967" s="422"/>
      <c r="AO967" s="422"/>
      <c r="AP967" s="422"/>
      <c r="AQ967" s="422"/>
      <c r="AR967" s="422"/>
      <c r="AS967" s="422"/>
      <c r="AT967" s="422"/>
      <c r="AU967" s="422"/>
      <c r="AV967" s="422"/>
      <c r="AW967" s="422"/>
      <c r="AX967" s="422"/>
      <c r="AY967" s="422"/>
    </row>
    <row r="968" spans="1:51" x14ac:dyDescent="0.25">
      <c r="A968" s="3"/>
      <c r="B968" s="3"/>
      <c r="C968" s="3"/>
      <c r="D968" s="3"/>
      <c r="E968" s="3"/>
      <c r="F968" s="3"/>
      <c r="G968" s="3"/>
      <c r="H968" s="3"/>
      <c r="I968" s="3"/>
      <c r="J968" s="13"/>
      <c r="K968" s="13"/>
      <c r="L968" s="13"/>
      <c r="M968" s="13"/>
      <c r="N968" s="13"/>
      <c r="O968" s="13"/>
      <c r="P968" s="13"/>
      <c r="Q968" s="13"/>
      <c r="R968" s="13"/>
      <c r="S968" s="421"/>
      <c r="T968" s="421"/>
      <c r="U968" s="421"/>
      <c r="V968" s="421"/>
      <c r="W968" s="421"/>
      <c r="X968" s="421"/>
      <c r="Y968" s="421"/>
      <c r="Z968" s="421"/>
      <c r="AA968" s="421"/>
      <c r="AB968" s="421"/>
      <c r="AC968" s="421"/>
      <c r="AD968" s="421"/>
      <c r="AE968" s="421"/>
      <c r="AF968" s="421"/>
      <c r="AG968" s="421"/>
      <c r="AH968" s="421"/>
      <c r="AI968" s="421"/>
      <c r="AJ968" s="421"/>
      <c r="AK968" s="421"/>
      <c r="AL968" s="421"/>
      <c r="AM968" s="422"/>
      <c r="AN968" s="422"/>
      <c r="AO968" s="422"/>
      <c r="AP968" s="422"/>
      <c r="AQ968" s="422"/>
      <c r="AR968" s="422"/>
      <c r="AS968" s="422"/>
      <c r="AT968" s="422"/>
      <c r="AU968" s="422"/>
      <c r="AV968" s="422"/>
      <c r="AW968" s="422"/>
      <c r="AX968" s="422"/>
      <c r="AY968" s="422"/>
    </row>
    <row r="969" spans="1:51" x14ac:dyDescent="0.25">
      <c r="A969" s="3"/>
      <c r="B969" s="3"/>
      <c r="C969" s="3"/>
      <c r="D969" s="3"/>
      <c r="E969" s="3"/>
      <c r="F969" s="3"/>
      <c r="G969" s="3"/>
      <c r="H969" s="3"/>
      <c r="I969" s="3"/>
      <c r="J969" s="13"/>
      <c r="K969" s="13"/>
      <c r="L969" s="13"/>
      <c r="M969" s="13"/>
      <c r="N969" s="13"/>
      <c r="O969" s="13"/>
      <c r="P969" s="13"/>
      <c r="Q969" s="13"/>
      <c r="R969" s="13"/>
      <c r="S969" s="421"/>
      <c r="T969" s="421"/>
      <c r="U969" s="421"/>
      <c r="V969" s="421"/>
      <c r="W969" s="421"/>
      <c r="X969" s="421"/>
      <c r="Y969" s="421"/>
      <c r="Z969" s="421"/>
      <c r="AA969" s="421"/>
      <c r="AB969" s="421"/>
      <c r="AC969" s="421"/>
      <c r="AD969" s="421"/>
      <c r="AE969" s="421"/>
      <c r="AF969" s="421"/>
      <c r="AG969" s="421"/>
      <c r="AH969" s="421"/>
      <c r="AI969" s="421"/>
      <c r="AJ969" s="421"/>
      <c r="AK969" s="421"/>
      <c r="AL969" s="421"/>
      <c r="AM969" s="422"/>
      <c r="AN969" s="422"/>
      <c r="AO969" s="422"/>
      <c r="AP969" s="422"/>
      <c r="AQ969" s="422"/>
      <c r="AR969" s="422"/>
      <c r="AS969" s="422"/>
      <c r="AT969" s="422"/>
      <c r="AU969" s="422"/>
      <c r="AV969" s="422"/>
      <c r="AW969" s="422"/>
      <c r="AX969" s="422"/>
      <c r="AY969" s="422"/>
    </row>
    <row r="970" spans="1:51" x14ac:dyDescent="0.25">
      <c r="A970" s="3"/>
      <c r="B970" s="3"/>
      <c r="C970" s="3"/>
      <c r="D970" s="3"/>
      <c r="E970" s="3"/>
      <c r="F970" s="3"/>
      <c r="G970" s="3"/>
      <c r="H970" s="3"/>
      <c r="I970" s="3"/>
      <c r="J970" s="13"/>
      <c r="K970" s="13"/>
      <c r="L970" s="13"/>
      <c r="M970" s="13"/>
      <c r="N970" s="13"/>
      <c r="O970" s="13"/>
      <c r="P970" s="13"/>
      <c r="Q970" s="13"/>
      <c r="R970" s="13"/>
      <c r="S970" s="421"/>
      <c r="T970" s="421"/>
      <c r="U970" s="421"/>
      <c r="V970" s="421"/>
      <c r="W970" s="421"/>
      <c r="X970" s="421"/>
      <c r="Y970" s="421"/>
      <c r="Z970" s="421"/>
      <c r="AA970" s="421"/>
      <c r="AB970" s="421"/>
      <c r="AC970" s="421"/>
      <c r="AD970" s="421"/>
      <c r="AE970" s="421"/>
      <c r="AF970" s="421"/>
      <c r="AG970" s="421"/>
      <c r="AH970" s="421"/>
      <c r="AI970" s="421"/>
      <c r="AJ970" s="421"/>
      <c r="AK970" s="421"/>
      <c r="AL970" s="421"/>
      <c r="AM970" s="422"/>
      <c r="AN970" s="422"/>
      <c r="AO970" s="422"/>
      <c r="AP970" s="422"/>
      <c r="AQ970" s="422"/>
      <c r="AR970" s="422"/>
      <c r="AS970" s="422"/>
      <c r="AT970" s="422"/>
      <c r="AU970" s="422"/>
      <c r="AV970" s="422"/>
      <c r="AW970" s="422"/>
      <c r="AX970" s="422"/>
      <c r="AY970" s="422"/>
    </row>
    <row r="971" spans="1:51" x14ac:dyDescent="0.25">
      <c r="A971" s="3"/>
      <c r="B971" s="3"/>
      <c r="C971" s="3"/>
      <c r="D971" s="3"/>
      <c r="E971" s="3"/>
      <c r="F971" s="3"/>
      <c r="G971" s="3"/>
      <c r="H971" s="3"/>
      <c r="I971" s="3"/>
      <c r="J971" s="13"/>
      <c r="K971" s="13"/>
      <c r="L971" s="13"/>
      <c r="M971" s="13"/>
      <c r="N971" s="13"/>
      <c r="O971" s="13"/>
      <c r="P971" s="13"/>
      <c r="Q971" s="13"/>
      <c r="R971" s="13"/>
      <c r="S971" s="421"/>
      <c r="T971" s="421"/>
      <c r="U971" s="421"/>
      <c r="V971" s="421"/>
      <c r="W971" s="421"/>
      <c r="X971" s="421"/>
      <c r="Y971" s="421"/>
      <c r="Z971" s="421"/>
      <c r="AA971" s="421"/>
      <c r="AB971" s="421"/>
      <c r="AC971" s="421"/>
      <c r="AD971" s="421"/>
      <c r="AE971" s="421"/>
      <c r="AF971" s="421"/>
      <c r="AG971" s="421"/>
      <c r="AH971" s="421"/>
      <c r="AI971" s="421"/>
      <c r="AJ971" s="421"/>
      <c r="AK971" s="421"/>
      <c r="AL971" s="421"/>
      <c r="AM971" s="422"/>
      <c r="AN971" s="422"/>
      <c r="AO971" s="422"/>
      <c r="AP971" s="422"/>
      <c r="AQ971" s="422"/>
      <c r="AR971" s="422"/>
      <c r="AS971" s="422"/>
      <c r="AT971" s="422"/>
      <c r="AU971" s="422"/>
      <c r="AV971" s="422"/>
      <c r="AW971" s="422"/>
      <c r="AX971" s="422"/>
      <c r="AY971" s="422"/>
    </row>
    <row r="972" spans="1:51" x14ac:dyDescent="0.25">
      <c r="A972" s="3"/>
      <c r="B972" s="3"/>
      <c r="C972" s="3"/>
      <c r="D972" s="3"/>
      <c r="E972" s="3"/>
      <c r="F972" s="3"/>
      <c r="G972" s="3"/>
      <c r="H972" s="3"/>
      <c r="I972" s="3"/>
      <c r="J972" s="13"/>
      <c r="K972" s="13"/>
      <c r="L972" s="13"/>
      <c r="M972" s="13"/>
      <c r="N972" s="13"/>
      <c r="O972" s="13"/>
      <c r="P972" s="13"/>
      <c r="Q972" s="13"/>
      <c r="R972" s="13"/>
      <c r="S972" s="421"/>
      <c r="T972" s="421"/>
      <c r="U972" s="421"/>
      <c r="V972" s="421"/>
      <c r="W972" s="421"/>
      <c r="X972" s="421"/>
      <c r="Y972" s="421"/>
      <c r="Z972" s="421"/>
      <c r="AA972" s="421"/>
      <c r="AB972" s="421"/>
      <c r="AC972" s="421"/>
      <c r="AD972" s="421"/>
      <c r="AE972" s="421"/>
      <c r="AF972" s="421"/>
      <c r="AG972" s="421"/>
      <c r="AH972" s="421"/>
      <c r="AI972" s="421"/>
      <c r="AJ972" s="421"/>
      <c r="AK972" s="421"/>
      <c r="AL972" s="421"/>
      <c r="AM972" s="422"/>
      <c r="AN972" s="422"/>
      <c r="AO972" s="422"/>
      <c r="AP972" s="422"/>
      <c r="AQ972" s="422"/>
      <c r="AR972" s="422"/>
      <c r="AS972" s="422"/>
      <c r="AT972" s="422"/>
      <c r="AU972" s="422"/>
      <c r="AV972" s="422"/>
      <c r="AW972" s="422"/>
      <c r="AX972" s="422"/>
      <c r="AY972" s="422"/>
    </row>
    <row r="973" spans="1:51" x14ac:dyDescent="0.25">
      <c r="A973" s="3"/>
      <c r="B973" s="3"/>
      <c r="C973" s="3"/>
      <c r="D973" s="3"/>
      <c r="E973" s="3"/>
      <c r="F973" s="3"/>
      <c r="G973" s="3"/>
      <c r="H973" s="3"/>
      <c r="I973" s="3"/>
      <c r="J973" s="13"/>
      <c r="K973" s="13"/>
      <c r="L973" s="13"/>
      <c r="M973" s="13"/>
      <c r="N973" s="13"/>
      <c r="O973" s="13"/>
      <c r="P973" s="13"/>
      <c r="Q973" s="13"/>
      <c r="R973" s="13"/>
      <c r="S973" s="421"/>
      <c r="T973" s="421"/>
      <c r="U973" s="421"/>
      <c r="V973" s="421"/>
      <c r="W973" s="421"/>
      <c r="X973" s="421"/>
      <c r="Y973" s="421"/>
      <c r="Z973" s="421"/>
      <c r="AA973" s="421"/>
      <c r="AB973" s="421"/>
      <c r="AC973" s="421"/>
      <c r="AD973" s="421"/>
      <c r="AE973" s="421"/>
      <c r="AF973" s="421"/>
      <c r="AG973" s="421"/>
      <c r="AH973" s="421"/>
      <c r="AI973" s="421"/>
      <c r="AJ973" s="421"/>
      <c r="AK973" s="421"/>
      <c r="AL973" s="421"/>
      <c r="AM973" s="422"/>
      <c r="AN973" s="422"/>
      <c r="AO973" s="422"/>
      <c r="AP973" s="422"/>
      <c r="AQ973" s="422"/>
      <c r="AR973" s="422"/>
      <c r="AS973" s="422"/>
      <c r="AT973" s="422"/>
      <c r="AU973" s="422"/>
      <c r="AV973" s="422"/>
      <c r="AW973" s="422"/>
      <c r="AX973" s="422"/>
      <c r="AY973" s="422"/>
    </row>
    <row r="974" spans="1:51" x14ac:dyDescent="0.25">
      <c r="A974" s="3"/>
      <c r="B974" s="3"/>
      <c r="C974" s="3"/>
      <c r="D974" s="3"/>
      <c r="E974" s="3"/>
      <c r="F974" s="3"/>
      <c r="G974" s="3"/>
      <c r="H974" s="3"/>
      <c r="I974" s="3"/>
      <c r="J974" s="13"/>
      <c r="K974" s="13"/>
      <c r="L974" s="13"/>
      <c r="M974" s="13"/>
      <c r="N974" s="13"/>
      <c r="O974" s="13"/>
      <c r="P974" s="13"/>
      <c r="Q974" s="13"/>
      <c r="R974" s="13"/>
      <c r="S974" s="421"/>
      <c r="T974" s="421"/>
      <c r="U974" s="421"/>
      <c r="V974" s="421"/>
      <c r="W974" s="421"/>
      <c r="X974" s="421"/>
      <c r="Y974" s="421"/>
      <c r="Z974" s="421"/>
      <c r="AA974" s="421"/>
      <c r="AB974" s="421"/>
      <c r="AC974" s="421"/>
      <c r="AD974" s="421"/>
      <c r="AE974" s="421"/>
      <c r="AF974" s="421"/>
      <c r="AG974" s="421"/>
      <c r="AH974" s="421"/>
      <c r="AI974" s="421"/>
      <c r="AJ974" s="421"/>
      <c r="AK974" s="421"/>
      <c r="AL974" s="421"/>
      <c r="AM974" s="422"/>
      <c r="AN974" s="422"/>
      <c r="AO974" s="422"/>
      <c r="AP974" s="422"/>
      <c r="AQ974" s="422"/>
      <c r="AR974" s="422"/>
      <c r="AS974" s="422"/>
      <c r="AT974" s="422"/>
      <c r="AU974" s="422"/>
      <c r="AV974" s="422"/>
      <c r="AW974" s="422"/>
      <c r="AX974" s="422"/>
      <c r="AY974" s="422"/>
    </row>
    <row r="975" spans="1:51" x14ac:dyDescent="0.25">
      <c r="A975" s="3"/>
      <c r="B975" s="3"/>
      <c r="C975" s="3"/>
      <c r="D975" s="3"/>
      <c r="E975" s="3"/>
      <c r="F975" s="3"/>
      <c r="G975" s="3"/>
      <c r="H975" s="3"/>
      <c r="I975" s="3"/>
      <c r="J975" s="13"/>
      <c r="K975" s="13"/>
      <c r="L975" s="13"/>
      <c r="M975" s="13"/>
      <c r="N975" s="13"/>
      <c r="O975" s="13"/>
      <c r="P975" s="13"/>
      <c r="Q975" s="13"/>
      <c r="R975" s="13"/>
      <c r="S975" s="421"/>
      <c r="T975" s="421"/>
      <c r="U975" s="421"/>
      <c r="V975" s="421"/>
      <c r="W975" s="421"/>
      <c r="X975" s="421"/>
      <c r="Y975" s="421"/>
      <c r="Z975" s="421"/>
      <c r="AA975" s="421"/>
      <c r="AB975" s="421"/>
      <c r="AC975" s="421"/>
      <c r="AD975" s="421"/>
      <c r="AE975" s="421"/>
      <c r="AF975" s="421"/>
      <c r="AG975" s="421"/>
      <c r="AH975" s="421"/>
      <c r="AI975" s="421"/>
      <c r="AJ975" s="421"/>
      <c r="AK975" s="421"/>
      <c r="AL975" s="421"/>
      <c r="AM975" s="422"/>
      <c r="AN975" s="422"/>
      <c r="AO975" s="422"/>
      <c r="AP975" s="422"/>
      <c r="AQ975" s="422"/>
      <c r="AR975" s="422"/>
      <c r="AS975" s="422"/>
      <c r="AT975" s="422"/>
      <c r="AU975" s="422"/>
      <c r="AV975" s="422"/>
      <c r="AW975" s="422"/>
      <c r="AX975" s="422"/>
      <c r="AY975" s="422"/>
    </row>
    <row r="976" spans="1:51" x14ac:dyDescent="0.25">
      <c r="A976" s="3"/>
      <c r="B976" s="3"/>
      <c r="C976" s="3"/>
      <c r="D976" s="3"/>
      <c r="E976" s="3"/>
      <c r="F976" s="3"/>
      <c r="G976" s="3"/>
      <c r="H976" s="3"/>
      <c r="I976" s="3"/>
      <c r="J976" s="13"/>
      <c r="K976" s="13"/>
      <c r="L976" s="13"/>
      <c r="M976" s="13"/>
      <c r="N976" s="13"/>
      <c r="O976" s="13"/>
      <c r="P976" s="13"/>
      <c r="Q976" s="13"/>
      <c r="R976" s="13"/>
      <c r="S976" s="421"/>
      <c r="T976" s="421"/>
      <c r="U976" s="421"/>
      <c r="V976" s="421"/>
      <c r="W976" s="421"/>
      <c r="X976" s="421"/>
      <c r="Y976" s="421"/>
      <c r="Z976" s="421"/>
      <c r="AA976" s="421"/>
      <c r="AB976" s="421"/>
      <c r="AC976" s="421"/>
      <c r="AD976" s="421"/>
      <c r="AE976" s="421"/>
      <c r="AF976" s="421"/>
      <c r="AG976" s="421"/>
      <c r="AH976" s="421"/>
      <c r="AI976" s="421"/>
      <c r="AJ976" s="421"/>
      <c r="AK976" s="421"/>
      <c r="AL976" s="421"/>
      <c r="AM976" s="422"/>
      <c r="AN976" s="422"/>
      <c r="AO976" s="422"/>
      <c r="AP976" s="422"/>
      <c r="AQ976" s="422"/>
      <c r="AR976" s="422"/>
      <c r="AS976" s="422"/>
      <c r="AT976" s="422"/>
      <c r="AU976" s="422"/>
      <c r="AV976" s="422"/>
      <c r="AW976" s="422"/>
      <c r="AX976" s="422"/>
      <c r="AY976" s="422"/>
    </row>
    <row r="977" spans="1:51" x14ac:dyDescent="0.25">
      <c r="A977" s="3"/>
      <c r="B977" s="3"/>
      <c r="C977" s="3"/>
      <c r="D977" s="3"/>
      <c r="E977" s="3"/>
      <c r="F977" s="3"/>
      <c r="G977" s="3"/>
      <c r="H977" s="3"/>
      <c r="I977" s="3"/>
      <c r="J977" s="13"/>
      <c r="K977" s="13"/>
      <c r="L977" s="13"/>
      <c r="M977" s="13"/>
      <c r="N977" s="13"/>
      <c r="O977" s="13"/>
      <c r="P977" s="13"/>
      <c r="Q977" s="13"/>
      <c r="R977" s="13"/>
      <c r="S977" s="421"/>
      <c r="T977" s="421"/>
      <c r="U977" s="421"/>
      <c r="V977" s="421"/>
      <c r="W977" s="421"/>
      <c r="X977" s="421"/>
      <c r="Y977" s="421"/>
      <c r="Z977" s="421"/>
      <c r="AA977" s="421"/>
      <c r="AB977" s="421"/>
      <c r="AC977" s="421"/>
      <c r="AD977" s="421"/>
      <c r="AE977" s="421"/>
      <c r="AF977" s="421"/>
      <c r="AG977" s="421"/>
      <c r="AH977" s="421"/>
      <c r="AI977" s="421"/>
      <c r="AJ977" s="421"/>
      <c r="AK977" s="421"/>
      <c r="AL977" s="421"/>
      <c r="AM977" s="422"/>
      <c r="AN977" s="422"/>
      <c r="AO977" s="422"/>
      <c r="AP977" s="422"/>
      <c r="AQ977" s="422"/>
      <c r="AR977" s="422"/>
      <c r="AS977" s="422"/>
      <c r="AT977" s="422"/>
      <c r="AU977" s="422"/>
      <c r="AV977" s="422"/>
      <c r="AW977" s="422"/>
      <c r="AX977" s="422"/>
      <c r="AY977" s="422"/>
    </row>
    <row r="978" spans="1:51" x14ac:dyDescent="0.25">
      <c r="A978" s="3"/>
      <c r="B978" s="3"/>
      <c r="C978" s="3"/>
      <c r="D978" s="3"/>
      <c r="E978" s="3"/>
      <c r="F978" s="3"/>
      <c r="G978" s="3"/>
      <c r="H978" s="3"/>
      <c r="I978" s="3"/>
      <c r="J978" s="13"/>
      <c r="K978" s="13"/>
      <c r="L978" s="13"/>
      <c r="M978" s="13"/>
      <c r="N978" s="13"/>
      <c r="O978" s="13"/>
      <c r="P978" s="13"/>
      <c r="Q978" s="13"/>
      <c r="R978" s="13"/>
      <c r="S978" s="421"/>
      <c r="T978" s="421"/>
      <c r="U978" s="421"/>
      <c r="V978" s="421"/>
      <c r="W978" s="421"/>
      <c r="X978" s="421"/>
      <c r="Y978" s="421"/>
      <c r="Z978" s="421"/>
      <c r="AA978" s="421"/>
      <c r="AB978" s="421"/>
      <c r="AC978" s="421"/>
      <c r="AD978" s="421"/>
      <c r="AE978" s="421"/>
      <c r="AF978" s="421"/>
      <c r="AG978" s="421"/>
      <c r="AH978" s="421"/>
      <c r="AI978" s="421"/>
      <c r="AJ978" s="421"/>
      <c r="AK978" s="421"/>
      <c r="AL978" s="421"/>
      <c r="AM978" s="422"/>
      <c r="AN978" s="422"/>
      <c r="AO978" s="422"/>
      <c r="AP978" s="422"/>
      <c r="AQ978" s="422"/>
      <c r="AR978" s="422"/>
      <c r="AS978" s="422"/>
      <c r="AT978" s="422"/>
      <c r="AU978" s="422"/>
      <c r="AV978" s="422"/>
      <c r="AW978" s="422"/>
      <c r="AX978" s="422"/>
      <c r="AY978" s="422"/>
    </row>
    <row r="979" spans="1:51" x14ac:dyDescent="0.25">
      <c r="A979" s="3"/>
      <c r="B979" s="3"/>
      <c r="C979" s="3"/>
      <c r="D979" s="3"/>
      <c r="E979" s="3"/>
      <c r="F979" s="3"/>
      <c r="G979" s="3"/>
      <c r="H979" s="3"/>
      <c r="I979" s="3"/>
      <c r="J979" s="13"/>
      <c r="K979" s="13"/>
      <c r="L979" s="13"/>
      <c r="M979" s="13"/>
      <c r="N979" s="13"/>
      <c r="O979" s="13"/>
      <c r="P979" s="13"/>
      <c r="Q979" s="13"/>
      <c r="R979" s="13"/>
      <c r="S979" s="421"/>
      <c r="T979" s="421"/>
      <c r="U979" s="421"/>
      <c r="V979" s="421"/>
      <c r="W979" s="421"/>
      <c r="X979" s="421"/>
      <c r="Y979" s="421"/>
      <c r="Z979" s="421"/>
      <c r="AA979" s="421"/>
      <c r="AB979" s="421"/>
      <c r="AC979" s="421"/>
      <c r="AD979" s="421"/>
      <c r="AE979" s="421"/>
      <c r="AF979" s="421"/>
      <c r="AG979" s="421"/>
      <c r="AH979" s="421"/>
      <c r="AI979" s="421"/>
      <c r="AJ979" s="421"/>
      <c r="AK979" s="421"/>
      <c r="AL979" s="421"/>
      <c r="AM979" s="422"/>
      <c r="AN979" s="422"/>
      <c r="AO979" s="422"/>
      <c r="AP979" s="422"/>
      <c r="AQ979" s="422"/>
      <c r="AR979" s="422"/>
      <c r="AS979" s="422"/>
      <c r="AT979" s="422"/>
      <c r="AU979" s="422"/>
      <c r="AV979" s="422"/>
      <c r="AW979" s="422"/>
      <c r="AX979" s="422"/>
      <c r="AY979" s="422"/>
    </row>
    <row r="980" spans="1:51" x14ac:dyDescent="0.25">
      <c r="A980" s="3"/>
      <c r="B980" s="3"/>
      <c r="C980" s="3"/>
      <c r="D980" s="3"/>
      <c r="E980" s="3"/>
      <c r="F980" s="3"/>
      <c r="G980" s="3"/>
      <c r="H980" s="3"/>
      <c r="I980" s="3"/>
      <c r="J980" s="13"/>
      <c r="K980" s="13"/>
      <c r="L980" s="13"/>
      <c r="M980" s="13"/>
      <c r="N980" s="13"/>
      <c r="O980" s="13"/>
      <c r="P980" s="13"/>
      <c r="Q980" s="13"/>
      <c r="R980" s="13"/>
      <c r="S980" s="421"/>
      <c r="T980" s="421"/>
      <c r="U980" s="421"/>
      <c r="V980" s="421"/>
      <c r="W980" s="421"/>
      <c r="X980" s="421"/>
      <c r="Y980" s="421"/>
      <c r="Z980" s="421"/>
      <c r="AA980" s="421"/>
      <c r="AB980" s="421"/>
      <c r="AC980" s="421"/>
      <c r="AD980" s="421"/>
      <c r="AE980" s="421"/>
      <c r="AF980" s="421"/>
      <c r="AG980" s="421"/>
      <c r="AH980" s="421"/>
      <c r="AI980" s="421"/>
      <c r="AJ980" s="421"/>
      <c r="AK980" s="421"/>
      <c r="AL980" s="421"/>
      <c r="AM980" s="422"/>
      <c r="AN980" s="422"/>
      <c r="AO980" s="422"/>
      <c r="AP980" s="422"/>
      <c r="AQ980" s="422"/>
      <c r="AR980" s="422"/>
      <c r="AS980" s="422"/>
      <c r="AT980" s="422"/>
      <c r="AU980" s="422"/>
      <c r="AV980" s="422"/>
      <c r="AW980" s="422"/>
      <c r="AX980" s="422"/>
      <c r="AY980" s="422"/>
    </row>
    <row r="981" spans="1:51" x14ac:dyDescent="0.25">
      <c r="A981" s="3"/>
      <c r="B981" s="3"/>
      <c r="C981" s="3"/>
      <c r="D981" s="3"/>
      <c r="E981" s="3"/>
      <c r="F981" s="3"/>
      <c r="G981" s="3"/>
      <c r="H981" s="3"/>
      <c r="I981" s="3"/>
      <c r="J981" s="13"/>
      <c r="K981" s="13"/>
      <c r="L981" s="13"/>
      <c r="M981" s="13"/>
      <c r="N981" s="13"/>
      <c r="O981" s="13"/>
      <c r="P981" s="13"/>
      <c r="Q981" s="13"/>
      <c r="R981" s="13"/>
      <c r="S981" s="421"/>
      <c r="T981" s="421"/>
      <c r="U981" s="421"/>
      <c r="V981" s="421"/>
      <c r="W981" s="421"/>
      <c r="X981" s="421"/>
      <c r="Y981" s="421"/>
      <c r="Z981" s="421"/>
      <c r="AA981" s="421"/>
      <c r="AB981" s="421"/>
      <c r="AC981" s="421"/>
      <c r="AD981" s="421"/>
      <c r="AE981" s="421"/>
      <c r="AF981" s="421"/>
      <c r="AG981" s="421"/>
      <c r="AH981" s="421"/>
      <c r="AI981" s="421"/>
      <c r="AJ981" s="421"/>
      <c r="AK981" s="421"/>
      <c r="AL981" s="421"/>
      <c r="AM981" s="422"/>
      <c r="AN981" s="422"/>
      <c r="AO981" s="422"/>
      <c r="AP981" s="422"/>
      <c r="AQ981" s="422"/>
      <c r="AR981" s="422"/>
      <c r="AS981" s="422"/>
      <c r="AT981" s="422"/>
      <c r="AU981" s="422"/>
      <c r="AV981" s="422"/>
      <c r="AW981" s="422"/>
      <c r="AX981" s="422"/>
      <c r="AY981" s="422"/>
    </row>
    <row r="982" spans="1:51" x14ac:dyDescent="0.25">
      <c r="A982" s="3"/>
      <c r="B982" s="3"/>
      <c r="C982" s="3"/>
      <c r="D982" s="3"/>
      <c r="E982" s="3"/>
      <c r="F982" s="3"/>
      <c r="G982" s="3"/>
      <c r="H982" s="3"/>
      <c r="I982" s="3"/>
      <c r="J982" s="13"/>
      <c r="K982" s="13"/>
      <c r="L982" s="13"/>
      <c r="M982" s="13"/>
      <c r="N982" s="13"/>
      <c r="O982" s="13"/>
      <c r="P982" s="13"/>
      <c r="Q982" s="13"/>
      <c r="R982" s="13"/>
      <c r="S982" s="421"/>
      <c r="T982" s="421"/>
      <c r="U982" s="421"/>
      <c r="V982" s="421"/>
      <c r="W982" s="421"/>
      <c r="X982" s="421"/>
      <c r="Y982" s="421"/>
      <c r="Z982" s="421"/>
      <c r="AA982" s="421"/>
      <c r="AB982" s="421"/>
      <c r="AC982" s="421"/>
      <c r="AD982" s="421"/>
      <c r="AE982" s="421"/>
      <c r="AF982" s="421"/>
      <c r="AG982" s="421"/>
      <c r="AH982" s="421"/>
      <c r="AI982" s="421"/>
      <c r="AJ982" s="421"/>
      <c r="AK982" s="421"/>
      <c r="AL982" s="421"/>
      <c r="AM982" s="422"/>
      <c r="AN982" s="422"/>
      <c r="AO982" s="422"/>
      <c r="AP982" s="422"/>
      <c r="AQ982" s="422"/>
      <c r="AR982" s="422"/>
      <c r="AS982" s="422"/>
      <c r="AT982" s="422"/>
      <c r="AU982" s="422"/>
      <c r="AV982" s="422"/>
      <c r="AW982" s="422"/>
      <c r="AX982" s="422"/>
      <c r="AY982" s="422"/>
    </row>
    <row r="983" spans="1:51" x14ac:dyDescent="0.25">
      <c r="A983" s="3"/>
      <c r="B983" s="3"/>
      <c r="C983" s="3"/>
      <c r="D983" s="3"/>
      <c r="E983" s="3"/>
      <c r="F983" s="3"/>
      <c r="G983" s="3"/>
      <c r="H983" s="3"/>
      <c r="I983" s="3"/>
      <c r="J983" s="13"/>
      <c r="K983" s="13"/>
      <c r="L983" s="13"/>
      <c r="M983" s="13"/>
      <c r="N983" s="13"/>
      <c r="O983" s="13"/>
      <c r="P983" s="13"/>
      <c r="Q983" s="13"/>
      <c r="R983" s="13"/>
      <c r="S983" s="421"/>
      <c r="T983" s="421"/>
      <c r="U983" s="421"/>
      <c r="V983" s="421"/>
      <c r="W983" s="421"/>
      <c r="X983" s="421"/>
      <c r="Y983" s="421"/>
      <c r="Z983" s="421"/>
      <c r="AA983" s="421"/>
      <c r="AB983" s="421"/>
      <c r="AC983" s="421"/>
      <c r="AD983" s="421"/>
      <c r="AE983" s="421"/>
      <c r="AF983" s="421"/>
      <c r="AG983" s="421"/>
      <c r="AH983" s="421"/>
      <c r="AI983" s="421"/>
      <c r="AJ983" s="421"/>
      <c r="AK983" s="421"/>
      <c r="AL983" s="421"/>
      <c r="AM983" s="422"/>
      <c r="AN983" s="422"/>
      <c r="AO983" s="422"/>
      <c r="AP983" s="422"/>
      <c r="AQ983" s="422"/>
      <c r="AR983" s="422"/>
      <c r="AS983" s="422"/>
      <c r="AT983" s="422"/>
      <c r="AU983" s="422"/>
      <c r="AV983" s="422"/>
      <c r="AW983" s="422"/>
      <c r="AX983" s="422"/>
      <c r="AY983" s="422"/>
    </row>
    <row r="984" spans="1:51" x14ac:dyDescent="0.25">
      <c r="A984" s="3"/>
      <c r="B984" s="3"/>
      <c r="C984" s="3"/>
      <c r="D984" s="3"/>
      <c r="E984" s="3"/>
      <c r="F984" s="3"/>
      <c r="G984" s="3"/>
      <c r="H984" s="3"/>
      <c r="I984" s="3"/>
      <c r="J984" s="13"/>
      <c r="K984" s="13"/>
      <c r="L984" s="13"/>
      <c r="M984" s="13"/>
      <c r="N984" s="13"/>
      <c r="O984" s="13"/>
      <c r="P984" s="13"/>
      <c r="Q984" s="13"/>
      <c r="R984" s="13"/>
      <c r="S984" s="421"/>
      <c r="T984" s="421"/>
      <c r="U984" s="421"/>
      <c r="V984" s="421"/>
      <c r="W984" s="421"/>
      <c r="X984" s="421"/>
      <c r="Y984" s="421"/>
      <c r="Z984" s="421"/>
      <c r="AA984" s="421"/>
      <c r="AB984" s="421"/>
      <c r="AC984" s="421"/>
      <c r="AD984" s="421"/>
      <c r="AE984" s="421"/>
      <c r="AF984" s="421"/>
      <c r="AG984" s="421"/>
      <c r="AH984" s="421"/>
      <c r="AI984" s="421"/>
      <c r="AJ984" s="421"/>
      <c r="AK984" s="421"/>
      <c r="AL984" s="421"/>
      <c r="AM984" s="422"/>
      <c r="AN984" s="422"/>
      <c r="AO984" s="422"/>
      <c r="AP984" s="422"/>
      <c r="AQ984" s="422"/>
      <c r="AR984" s="422"/>
      <c r="AS984" s="422"/>
      <c r="AT984" s="422"/>
      <c r="AU984" s="422"/>
      <c r="AV984" s="422"/>
      <c r="AW984" s="422"/>
      <c r="AX984" s="422"/>
      <c r="AY984" s="422"/>
    </row>
    <row r="985" spans="1:51" x14ac:dyDescent="0.25">
      <c r="A985" s="3"/>
      <c r="B985" s="3"/>
      <c r="C985" s="3"/>
      <c r="D985" s="3"/>
      <c r="E985" s="3"/>
      <c r="F985" s="3"/>
      <c r="G985" s="3"/>
      <c r="H985" s="3"/>
      <c r="I985" s="3"/>
      <c r="J985" s="13"/>
      <c r="K985" s="13"/>
      <c r="L985" s="13"/>
      <c r="M985" s="13"/>
      <c r="N985" s="13"/>
      <c r="O985" s="13"/>
      <c r="P985" s="13"/>
      <c r="Q985" s="13"/>
      <c r="R985" s="13"/>
      <c r="S985" s="421"/>
      <c r="T985" s="421"/>
      <c r="U985" s="421"/>
      <c r="V985" s="421"/>
      <c r="W985" s="421"/>
      <c r="X985" s="421"/>
      <c r="Y985" s="421"/>
      <c r="Z985" s="421"/>
      <c r="AA985" s="421"/>
      <c r="AB985" s="421"/>
      <c r="AC985" s="421"/>
      <c r="AD985" s="421"/>
      <c r="AE985" s="421"/>
      <c r="AF985" s="421"/>
      <c r="AG985" s="421"/>
      <c r="AH985" s="421"/>
      <c r="AI985" s="421"/>
      <c r="AJ985" s="421"/>
      <c r="AK985" s="421"/>
      <c r="AL985" s="421"/>
      <c r="AM985" s="422"/>
      <c r="AN985" s="422"/>
      <c r="AO985" s="422"/>
      <c r="AP985" s="422"/>
      <c r="AQ985" s="422"/>
      <c r="AR985" s="422"/>
      <c r="AS985" s="422"/>
      <c r="AT985" s="422"/>
      <c r="AU985" s="422"/>
      <c r="AV985" s="422"/>
      <c r="AW985" s="422"/>
      <c r="AX985" s="422"/>
      <c r="AY985" s="422"/>
    </row>
    <row r="986" spans="1:51" x14ac:dyDescent="0.25">
      <c r="A986" s="3"/>
      <c r="B986" s="3"/>
      <c r="C986" s="3"/>
      <c r="D986" s="3"/>
      <c r="E986" s="3"/>
      <c r="F986" s="3"/>
      <c r="G986" s="3"/>
      <c r="H986" s="3"/>
      <c r="I986" s="3"/>
      <c r="J986" s="13"/>
      <c r="K986" s="13"/>
      <c r="L986" s="13"/>
      <c r="M986" s="13"/>
      <c r="N986" s="13"/>
      <c r="O986" s="13"/>
      <c r="P986" s="13"/>
      <c r="Q986" s="13"/>
      <c r="R986" s="13"/>
      <c r="S986" s="421"/>
      <c r="T986" s="421"/>
      <c r="U986" s="421"/>
      <c r="V986" s="421"/>
      <c r="W986" s="421"/>
      <c r="X986" s="421"/>
      <c r="Y986" s="421"/>
      <c r="Z986" s="421"/>
      <c r="AA986" s="421"/>
      <c r="AB986" s="421"/>
      <c r="AC986" s="421"/>
      <c r="AD986" s="421"/>
      <c r="AE986" s="421"/>
      <c r="AF986" s="421"/>
      <c r="AG986" s="421"/>
      <c r="AH986" s="421"/>
      <c r="AI986" s="421"/>
      <c r="AJ986" s="421"/>
      <c r="AK986" s="421"/>
      <c r="AL986" s="421"/>
      <c r="AM986" s="422"/>
      <c r="AN986" s="422"/>
      <c r="AO986" s="422"/>
      <c r="AP986" s="422"/>
      <c r="AQ986" s="422"/>
      <c r="AR986" s="422"/>
      <c r="AS986" s="422"/>
      <c r="AT986" s="422"/>
      <c r="AU986" s="422"/>
      <c r="AV986" s="422"/>
      <c r="AW986" s="422"/>
      <c r="AX986" s="422"/>
      <c r="AY986" s="422"/>
    </row>
    <row r="987" spans="1:51" x14ac:dyDescent="0.25">
      <c r="A987" s="3"/>
      <c r="B987" s="3"/>
      <c r="C987" s="3"/>
      <c r="D987" s="3"/>
      <c r="E987" s="3"/>
      <c r="F987" s="3"/>
      <c r="G987" s="3"/>
      <c r="H987" s="3"/>
      <c r="I987" s="3"/>
      <c r="J987" s="13"/>
      <c r="K987" s="13"/>
      <c r="L987" s="13"/>
      <c r="M987" s="13"/>
      <c r="N987" s="13"/>
      <c r="O987" s="13"/>
      <c r="P987" s="13"/>
      <c r="Q987" s="13"/>
      <c r="R987" s="13"/>
      <c r="S987" s="421"/>
      <c r="T987" s="421"/>
      <c r="U987" s="421"/>
      <c r="V987" s="421"/>
      <c r="W987" s="421"/>
      <c r="X987" s="421"/>
      <c r="Y987" s="421"/>
      <c r="Z987" s="421"/>
      <c r="AA987" s="421"/>
      <c r="AB987" s="421"/>
      <c r="AC987" s="421"/>
      <c r="AD987" s="421"/>
      <c r="AE987" s="421"/>
      <c r="AF987" s="421"/>
      <c r="AG987" s="421"/>
      <c r="AH987" s="421"/>
      <c r="AI987" s="421"/>
      <c r="AJ987" s="421"/>
      <c r="AK987" s="421"/>
      <c r="AL987" s="421"/>
      <c r="AM987" s="422"/>
      <c r="AN987" s="422"/>
      <c r="AO987" s="422"/>
      <c r="AP987" s="422"/>
      <c r="AQ987" s="422"/>
      <c r="AR987" s="422"/>
      <c r="AS987" s="422"/>
      <c r="AT987" s="422"/>
      <c r="AU987" s="422"/>
      <c r="AV987" s="422"/>
      <c r="AW987" s="422"/>
      <c r="AX987" s="422"/>
      <c r="AY987" s="422"/>
    </row>
    <row r="988" spans="1:51" x14ac:dyDescent="0.25">
      <c r="A988" s="3"/>
      <c r="B988" s="3"/>
      <c r="C988" s="3"/>
      <c r="D988" s="3"/>
      <c r="E988" s="3"/>
      <c r="F988" s="3"/>
      <c r="G988" s="3"/>
      <c r="H988" s="3"/>
      <c r="I988" s="3"/>
      <c r="J988" s="13"/>
      <c r="K988" s="13"/>
      <c r="L988" s="13"/>
      <c r="M988" s="13"/>
      <c r="N988" s="13"/>
      <c r="O988" s="13"/>
      <c r="P988" s="13"/>
      <c r="Q988" s="13"/>
      <c r="R988" s="13"/>
      <c r="S988" s="421"/>
      <c r="T988" s="421"/>
      <c r="U988" s="421"/>
      <c r="V988" s="421"/>
      <c r="W988" s="421"/>
      <c r="X988" s="421"/>
      <c r="Y988" s="421"/>
      <c r="Z988" s="421"/>
      <c r="AA988" s="421"/>
      <c r="AB988" s="421"/>
      <c r="AC988" s="421"/>
      <c r="AD988" s="421"/>
      <c r="AE988" s="421"/>
      <c r="AF988" s="421"/>
      <c r="AG988" s="421"/>
      <c r="AH988" s="421"/>
      <c r="AI988" s="421"/>
      <c r="AJ988" s="421"/>
      <c r="AK988" s="421"/>
      <c r="AL988" s="421"/>
      <c r="AM988" s="422"/>
      <c r="AN988" s="422"/>
      <c r="AO988" s="422"/>
      <c r="AP988" s="422"/>
      <c r="AQ988" s="422"/>
      <c r="AR988" s="422"/>
      <c r="AS988" s="422"/>
      <c r="AT988" s="422"/>
      <c r="AU988" s="422"/>
      <c r="AV988" s="422"/>
      <c r="AW988" s="422"/>
      <c r="AX988" s="422"/>
      <c r="AY988" s="422"/>
    </row>
    <row r="989" spans="1:51" x14ac:dyDescent="0.25">
      <c r="A989" s="3"/>
      <c r="B989" s="3"/>
      <c r="C989" s="3"/>
      <c r="D989" s="3"/>
      <c r="E989" s="3"/>
      <c r="F989" s="3"/>
      <c r="G989" s="3"/>
      <c r="H989" s="3"/>
      <c r="I989" s="3"/>
      <c r="J989" s="13"/>
      <c r="K989" s="13"/>
      <c r="L989" s="13"/>
      <c r="M989" s="13"/>
      <c r="N989" s="13"/>
      <c r="O989" s="13"/>
      <c r="P989" s="13"/>
      <c r="Q989" s="13"/>
      <c r="R989" s="13"/>
      <c r="S989" s="421"/>
      <c r="T989" s="421"/>
      <c r="U989" s="421"/>
      <c r="V989" s="421"/>
      <c r="W989" s="421"/>
      <c r="X989" s="421"/>
      <c r="Y989" s="421"/>
      <c r="Z989" s="421"/>
      <c r="AA989" s="421"/>
      <c r="AB989" s="421"/>
      <c r="AC989" s="421"/>
      <c r="AD989" s="421"/>
      <c r="AE989" s="421"/>
      <c r="AF989" s="421"/>
      <c r="AG989" s="421"/>
      <c r="AH989" s="421"/>
      <c r="AI989" s="421"/>
      <c r="AJ989" s="421"/>
      <c r="AK989" s="421"/>
      <c r="AL989" s="421"/>
      <c r="AM989" s="422"/>
      <c r="AN989" s="422"/>
      <c r="AO989" s="422"/>
      <c r="AP989" s="422"/>
      <c r="AQ989" s="422"/>
      <c r="AR989" s="422"/>
      <c r="AS989" s="422"/>
      <c r="AT989" s="422"/>
      <c r="AU989" s="422"/>
      <c r="AV989" s="422"/>
      <c r="AW989" s="422"/>
      <c r="AX989" s="422"/>
      <c r="AY989" s="422"/>
    </row>
    <row r="990" spans="1:51" x14ac:dyDescent="0.25">
      <c r="A990" s="3"/>
      <c r="B990" s="3"/>
      <c r="C990" s="3"/>
      <c r="D990" s="3"/>
      <c r="E990" s="3"/>
      <c r="F990" s="3"/>
      <c r="G990" s="3"/>
      <c r="H990" s="3"/>
      <c r="I990" s="3"/>
      <c r="J990" s="13"/>
      <c r="K990" s="13"/>
      <c r="L990" s="13"/>
      <c r="M990" s="13"/>
      <c r="N990" s="13"/>
      <c r="O990" s="13"/>
      <c r="P990" s="13"/>
      <c r="Q990" s="13"/>
      <c r="R990" s="13"/>
      <c r="S990" s="421"/>
      <c r="T990" s="421"/>
      <c r="U990" s="421"/>
      <c r="V990" s="421"/>
      <c r="W990" s="421"/>
      <c r="X990" s="421"/>
      <c r="Y990" s="421"/>
      <c r="Z990" s="421"/>
      <c r="AA990" s="421"/>
      <c r="AB990" s="421"/>
      <c r="AC990" s="421"/>
      <c r="AD990" s="421"/>
      <c r="AE990" s="421"/>
      <c r="AF990" s="421"/>
      <c r="AG990" s="421"/>
      <c r="AH990" s="421"/>
      <c r="AI990" s="421"/>
      <c r="AJ990" s="421"/>
      <c r="AK990" s="421"/>
      <c r="AL990" s="421"/>
      <c r="AM990" s="422"/>
      <c r="AN990" s="422"/>
      <c r="AO990" s="422"/>
      <c r="AP990" s="422"/>
      <c r="AQ990" s="422"/>
      <c r="AR990" s="422"/>
      <c r="AS990" s="422"/>
      <c r="AT990" s="422"/>
      <c r="AU990" s="422"/>
      <c r="AV990" s="422"/>
      <c r="AW990" s="422"/>
      <c r="AX990" s="422"/>
      <c r="AY990" s="422"/>
    </row>
    <row r="991" spans="1:51" x14ac:dyDescent="0.25">
      <c r="A991" s="3"/>
      <c r="B991" s="3"/>
      <c r="C991" s="3"/>
      <c r="D991" s="3"/>
      <c r="E991" s="3"/>
      <c r="F991" s="3"/>
      <c r="G991" s="3"/>
      <c r="H991" s="3"/>
      <c r="I991" s="3"/>
      <c r="J991" s="13"/>
      <c r="K991" s="13"/>
      <c r="L991" s="13"/>
      <c r="M991" s="13"/>
      <c r="N991" s="13"/>
      <c r="O991" s="13"/>
      <c r="P991" s="13"/>
      <c r="Q991" s="13"/>
      <c r="R991" s="13"/>
      <c r="S991" s="421"/>
      <c r="T991" s="421"/>
      <c r="U991" s="421"/>
      <c r="V991" s="421"/>
      <c r="W991" s="421"/>
      <c r="X991" s="421"/>
      <c r="Y991" s="421"/>
      <c r="Z991" s="421"/>
      <c r="AA991" s="421"/>
      <c r="AB991" s="421"/>
      <c r="AC991" s="421"/>
      <c r="AD991" s="421"/>
      <c r="AE991" s="421"/>
      <c r="AF991" s="421"/>
      <c r="AG991" s="421"/>
      <c r="AH991" s="421"/>
      <c r="AI991" s="421"/>
      <c r="AJ991" s="421"/>
      <c r="AK991" s="421"/>
      <c r="AL991" s="421"/>
      <c r="AM991" s="422"/>
      <c r="AN991" s="422"/>
      <c r="AO991" s="422"/>
      <c r="AP991" s="422"/>
      <c r="AQ991" s="422"/>
      <c r="AR991" s="422"/>
      <c r="AS991" s="422"/>
      <c r="AT991" s="422"/>
      <c r="AU991" s="422"/>
      <c r="AV991" s="422"/>
      <c r="AW991" s="422"/>
      <c r="AX991" s="422"/>
      <c r="AY991" s="422"/>
    </row>
    <row r="992" spans="1:51" x14ac:dyDescent="0.25">
      <c r="A992" s="3"/>
      <c r="B992" s="3"/>
      <c r="C992" s="3"/>
      <c r="D992" s="3"/>
      <c r="E992" s="3"/>
      <c r="F992" s="3"/>
      <c r="G992" s="3"/>
      <c r="H992" s="3"/>
      <c r="I992" s="3"/>
      <c r="J992" s="13"/>
      <c r="K992" s="13"/>
      <c r="L992" s="13"/>
      <c r="M992" s="13"/>
      <c r="N992" s="13"/>
      <c r="O992" s="13"/>
      <c r="P992" s="13"/>
      <c r="Q992" s="13"/>
      <c r="R992" s="13"/>
      <c r="S992" s="421"/>
      <c r="T992" s="421"/>
      <c r="U992" s="421"/>
      <c r="V992" s="421"/>
      <c r="W992" s="421"/>
      <c r="X992" s="421"/>
      <c r="Y992" s="421"/>
      <c r="Z992" s="421"/>
      <c r="AA992" s="421"/>
      <c r="AB992" s="421"/>
      <c r="AC992" s="421"/>
      <c r="AD992" s="421"/>
      <c r="AE992" s="421"/>
      <c r="AF992" s="421"/>
      <c r="AG992" s="421"/>
      <c r="AH992" s="421"/>
      <c r="AI992" s="421"/>
      <c r="AJ992" s="421"/>
      <c r="AK992" s="421"/>
      <c r="AL992" s="421"/>
      <c r="AM992" s="422"/>
      <c r="AN992" s="422"/>
      <c r="AO992" s="422"/>
      <c r="AP992" s="422"/>
      <c r="AQ992" s="422"/>
      <c r="AR992" s="422"/>
      <c r="AS992" s="422"/>
      <c r="AT992" s="422"/>
      <c r="AU992" s="422"/>
      <c r="AV992" s="422"/>
      <c r="AW992" s="422"/>
      <c r="AX992" s="422"/>
      <c r="AY992" s="422"/>
    </row>
    <row r="993" spans="1:51" x14ac:dyDescent="0.25">
      <c r="A993" s="3"/>
      <c r="B993" s="3"/>
      <c r="C993" s="3"/>
      <c r="D993" s="3"/>
      <c r="E993" s="3"/>
      <c r="F993" s="3"/>
      <c r="G993" s="3"/>
      <c r="H993" s="3"/>
      <c r="I993" s="3"/>
      <c r="J993" s="13"/>
      <c r="K993" s="13"/>
      <c r="L993" s="13"/>
      <c r="M993" s="13"/>
      <c r="N993" s="13"/>
      <c r="O993" s="13"/>
      <c r="P993" s="13"/>
      <c r="Q993" s="13"/>
      <c r="R993" s="13"/>
      <c r="S993" s="421"/>
      <c r="T993" s="421"/>
      <c r="U993" s="421"/>
      <c r="V993" s="421"/>
      <c r="W993" s="421"/>
      <c r="X993" s="421"/>
      <c r="Y993" s="421"/>
      <c r="Z993" s="421"/>
      <c r="AA993" s="421"/>
      <c r="AB993" s="421"/>
      <c r="AC993" s="421"/>
      <c r="AD993" s="421"/>
      <c r="AE993" s="421"/>
      <c r="AF993" s="421"/>
      <c r="AG993" s="421"/>
      <c r="AH993" s="421"/>
      <c r="AI993" s="421"/>
      <c r="AJ993" s="421"/>
      <c r="AK993" s="421"/>
      <c r="AL993" s="421"/>
      <c r="AM993" s="422"/>
      <c r="AN993" s="422"/>
      <c r="AO993" s="422"/>
      <c r="AP993" s="422"/>
      <c r="AQ993" s="422"/>
      <c r="AR993" s="422"/>
      <c r="AS993" s="422"/>
      <c r="AT993" s="422"/>
      <c r="AU993" s="422"/>
      <c r="AV993" s="422"/>
      <c r="AW993" s="422"/>
      <c r="AX993" s="422"/>
      <c r="AY993" s="422"/>
    </row>
    <row r="994" spans="1:51" x14ac:dyDescent="0.25">
      <c r="A994" s="3"/>
      <c r="B994" s="3"/>
      <c r="C994" s="3"/>
      <c r="D994" s="3"/>
      <c r="E994" s="3"/>
      <c r="F994" s="3"/>
      <c r="G994" s="3"/>
      <c r="H994" s="3"/>
      <c r="I994" s="3"/>
      <c r="J994" s="13"/>
      <c r="K994" s="13"/>
      <c r="L994" s="13"/>
      <c r="M994" s="13"/>
      <c r="N994" s="13"/>
      <c r="O994" s="13"/>
      <c r="P994" s="13"/>
      <c r="Q994" s="13"/>
      <c r="R994" s="13"/>
      <c r="S994" s="421"/>
      <c r="T994" s="421"/>
      <c r="U994" s="421"/>
      <c r="V994" s="421"/>
      <c r="W994" s="421"/>
      <c r="X994" s="421"/>
      <c r="Y994" s="421"/>
      <c r="Z994" s="421"/>
      <c r="AA994" s="421"/>
      <c r="AB994" s="421"/>
      <c r="AC994" s="421"/>
      <c r="AD994" s="421"/>
      <c r="AE994" s="421"/>
      <c r="AF994" s="421"/>
      <c r="AG994" s="421"/>
      <c r="AH994" s="421"/>
      <c r="AI994" s="421"/>
      <c r="AJ994" s="421"/>
      <c r="AK994" s="421"/>
      <c r="AL994" s="421"/>
      <c r="AM994" s="422"/>
      <c r="AN994" s="422"/>
      <c r="AO994" s="422"/>
      <c r="AP994" s="422"/>
      <c r="AQ994" s="422"/>
      <c r="AR994" s="422"/>
      <c r="AS994" s="422"/>
      <c r="AT994" s="422"/>
      <c r="AU994" s="422"/>
      <c r="AV994" s="422"/>
      <c r="AW994" s="422"/>
      <c r="AX994" s="422"/>
      <c r="AY994" s="422"/>
    </row>
    <row r="995" spans="1:51" x14ac:dyDescent="0.25">
      <c r="A995" s="3"/>
      <c r="B995" s="3"/>
      <c r="C995" s="3"/>
      <c r="D995" s="3"/>
      <c r="E995" s="3"/>
      <c r="F995" s="3"/>
      <c r="G995" s="3"/>
      <c r="H995" s="3"/>
      <c r="I995" s="3"/>
      <c r="J995" s="13"/>
      <c r="K995" s="13"/>
      <c r="L995" s="13"/>
      <c r="M995" s="13"/>
      <c r="N995" s="13"/>
      <c r="O995" s="13"/>
      <c r="P995" s="13"/>
      <c r="Q995" s="13"/>
      <c r="R995" s="13"/>
      <c r="S995" s="421"/>
      <c r="T995" s="421"/>
      <c r="U995" s="421"/>
      <c r="V995" s="421"/>
      <c r="W995" s="421"/>
      <c r="X995" s="421"/>
      <c r="Y995" s="421"/>
      <c r="Z995" s="421"/>
      <c r="AA995" s="421"/>
      <c r="AB995" s="421"/>
      <c r="AC995" s="421"/>
      <c r="AD995" s="421"/>
      <c r="AE995" s="421"/>
      <c r="AF995" s="421"/>
      <c r="AG995" s="421"/>
      <c r="AH995" s="421"/>
      <c r="AI995" s="421"/>
      <c r="AJ995" s="421"/>
      <c r="AK995" s="421"/>
      <c r="AL995" s="421"/>
      <c r="AM995" s="422"/>
      <c r="AN995" s="422"/>
      <c r="AO995" s="422"/>
      <c r="AP995" s="422"/>
      <c r="AQ995" s="422"/>
      <c r="AR995" s="422"/>
      <c r="AS995" s="422"/>
      <c r="AT995" s="422"/>
      <c r="AU995" s="422"/>
      <c r="AV995" s="422"/>
      <c r="AW995" s="422"/>
      <c r="AX995" s="422"/>
      <c r="AY995" s="422"/>
    </row>
    <row r="996" spans="1:51" x14ac:dyDescent="0.25">
      <c r="A996" s="3"/>
      <c r="B996" s="3"/>
      <c r="C996" s="3"/>
      <c r="D996" s="3"/>
      <c r="E996" s="3"/>
      <c r="F996" s="3"/>
      <c r="G996" s="3"/>
      <c r="H996" s="3"/>
      <c r="I996" s="3"/>
      <c r="J996" s="13"/>
      <c r="K996" s="13"/>
      <c r="L996" s="13"/>
      <c r="M996" s="13"/>
      <c r="N996" s="13"/>
      <c r="O996" s="13"/>
      <c r="P996" s="13"/>
      <c r="Q996" s="13"/>
      <c r="R996" s="13"/>
      <c r="S996" s="421"/>
      <c r="T996" s="421"/>
      <c r="U996" s="421"/>
      <c r="V996" s="421"/>
      <c r="W996" s="421"/>
      <c r="X996" s="421"/>
      <c r="Y996" s="421"/>
      <c r="Z996" s="421"/>
      <c r="AA996" s="421"/>
      <c r="AB996" s="421"/>
      <c r="AC996" s="421"/>
      <c r="AD996" s="421"/>
      <c r="AE996" s="421"/>
      <c r="AF996" s="421"/>
      <c r="AG996" s="421"/>
      <c r="AH996" s="421"/>
      <c r="AI996" s="421"/>
      <c r="AJ996" s="421"/>
      <c r="AK996" s="421"/>
      <c r="AL996" s="421"/>
      <c r="AM996" s="422"/>
      <c r="AN996" s="422"/>
      <c r="AO996" s="422"/>
      <c r="AP996" s="422"/>
      <c r="AQ996" s="422"/>
      <c r="AR996" s="422"/>
      <c r="AS996" s="422"/>
      <c r="AT996" s="422"/>
      <c r="AU996" s="422"/>
      <c r="AV996" s="422"/>
      <c r="AW996" s="422"/>
      <c r="AX996" s="422"/>
      <c r="AY996" s="422"/>
    </row>
    <row r="997" spans="1:51" x14ac:dyDescent="0.25">
      <c r="A997" s="3"/>
      <c r="B997" s="3"/>
      <c r="C997" s="3"/>
      <c r="D997" s="3"/>
      <c r="E997" s="3"/>
      <c r="F997" s="3"/>
      <c r="G997" s="3"/>
      <c r="H997" s="3"/>
      <c r="I997" s="3"/>
      <c r="J997" s="13"/>
      <c r="K997" s="13"/>
      <c r="L997" s="13"/>
      <c r="M997" s="13"/>
      <c r="N997" s="13"/>
      <c r="O997" s="13"/>
      <c r="P997" s="13"/>
      <c r="Q997" s="13"/>
      <c r="R997" s="13"/>
      <c r="S997" s="421"/>
      <c r="T997" s="421"/>
      <c r="U997" s="421"/>
      <c r="V997" s="421"/>
      <c r="W997" s="421"/>
      <c r="X997" s="421"/>
      <c r="Y997" s="421"/>
      <c r="Z997" s="421"/>
      <c r="AA997" s="421"/>
      <c r="AB997" s="421"/>
      <c r="AC997" s="421"/>
      <c r="AD997" s="421"/>
      <c r="AE997" s="421"/>
      <c r="AF997" s="421"/>
      <c r="AG997" s="421"/>
      <c r="AH997" s="421"/>
      <c r="AI997" s="421"/>
      <c r="AJ997" s="421"/>
      <c r="AK997" s="421"/>
      <c r="AL997" s="421"/>
      <c r="AM997" s="422"/>
      <c r="AN997" s="422"/>
      <c r="AO997" s="422"/>
      <c r="AP997" s="422"/>
      <c r="AQ997" s="422"/>
      <c r="AR997" s="422"/>
      <c r="AS997" s="422"/>
      <c r="AT997" s="422"/>
      <c r="AU997" s="422"/>
      <c r="AV997" s="422"/>
      <c r="AW997" s="422"/>
      <c r="AX997" s="422"/>
      <c r="AY997" s="422"/>
    </row>
    <row r="998" spans="1:51" x14ac:dyDescent="0.25">
      <c r="A998" s="3"/>
      <c r="B998" s="3"/>
      <c r="C998" s="3"/>
      <c r="D998" s="3"/>
      <c r="E998" s="3"/>
      <c r="F998" s="3"/>
      <c r="G998" s="3"/>
      <c r="H998" s="3"/>
      <c r="I998" s="3"/>
      <c r="J998" s="13"/>
      <c r="K998" s="13"/>
      <c r="L998" s="13"/>
      <c r="M998" s="13"/>
      <c r="N998" s="13"/>
      <c r="O998" s="13"/>
      <c r="P998" s="13"/>
      <c r="Q998" s="13"/>
      <c r="R998" s="13"/>
      <c r="S998" s="421"/>
      <c r="T998" s="421"/>
      <c r="U998" s="421"/>
      <c r="V998" s="421"/>
      <c r="W998" s="421"/>
      <c r="X998" s="421"/>
      <c r="Y998" s="421"/>
      <c r="Z998" s="421"/>
      <c r="AA998" s="421"/>
      <c r="AB998" s="421"/>
      <c r="AC998" s="421"/>
      <c r="AD998" s="421"/>
      <c r="AE998" s="421"/>
      <c r="AF998" s="421"/>
      <c r="AG998" s="421"/>
      <c r="AH998" s="421"/>
      <c r="AI998" s="421"/>
      <c r="AJ998" s="421"/>
      <c r="AK998" s="421"/>
      <c r="AL998" s="421"/>
      <c r="AM998" s="422"/>
      <c r="AN998" s="422"/>
      <c r="AO998" s="422"/>
      <c r="AP998" s="422"/>
      <c r="AQ998" s="422"/>
      <c r="AR998" s="422"/>
      <c r="AS998" s="422"/>
      <c r="AT998" s="422"/>
      <c r="AU998" s="422"/>
      <c r="AV998" s="422"/>
      <c r="AW998" s="422"/>
      <c r="AX998" s="422"/>
      <c r="AY998" s="422"/>
    </row>
    <row r="999" spans="1:51" x14ac:dyDescent="0.25">
      <c r="A999" s="3"/>
      <c r="B999" s="3"/>
      <c r="C999" s="3"/>
      <c r="D999" s="3"/>
      <c r="E999" s="3"/>
      <c r="F999" s="3"/>
      <c r="G999" s="3"/>
      <c r="H999" s="3"/>
      <c r="I999" s="3"/>
      <c r="J999" s="13"/>
      <c r="K999" s="13"/>
      <c r="L999" s="13"/>
      <c r="M999" s="13"/>
      <c r="N999" s="13"/>
      <c r="O999" s="13"/>
      <c r="P999" s="13"/>
      <c r="Q999" s="13"/>
      <c r="R999" s="13"/>
      <c r="S999" s="421"/>
      <c r="T999" s="421"/>
      <c r="U999" s="421"/>
      <c r="V999" s="421"/>
      <c r="W999" s="421"/>
      <c r="X999" s="421"/>
      <c r="Y999" s="421"/>
      <c r="Z999" s="421"/>
      <c r="AA999" s="421"/>
      <c r="AB999" s="421"/>
      <c r="AC999" s="421"/>
      <c r="AD999" s="421"/>
      <c r="AE999" s="421"/>
      <c r="AF999" s="421"/>
      <c r="AG999" s="421"/>
      <c r="AH999" s="421"/>
      <c r="AI999" s="421"/>
      <c r="AJ999" s="421"/>
      <c r="AK999" s="421"/>
      <c r="AL999" s="421"/>
      <c r="AM999" s="422"/>
      <c r="AN999" s="422"/>
      <c r="AO999" s="422"/>
      <c r="AP999" s="422"/>
      <c r="AQ999" s="422"/>
      <c r="AR999" s="422"/>
      <c r="AS999" s="422"/>
      <c r="AT999" s="422"/>
      <c r="AU999" s="422"/>
      <c r="AV999" s="422"/>
      <c r="AW999" s="422"/>
      <c r="AX999" s="422"/>
      <c r="AY999" s="422"/>
    </row>
    <row r="1000" spans="1:51" x14ac:dyDescent="0.25">
      <c r="A1000" s="3"/>
      <c r="B1000" s="3"/>
      <c r="C1000" s="3"/>
      <c r="D1000" s="3"/>
      <c r="E1000" s="3"/>
      <c r="F1000" s="3"/>
      <c r="G1000" s="3"/>
      <c r="H1000" s="3"/>
      <c r="I1000" s="3"/>
      <c r="J1000" s="13"/>
      <c r="K1000" s="13"/>
      <c r="L1000" s="13"/>
      <c r="M1000" s="13"/>
      <c r="N1000" s="13"/>
      <c r="O1000" s="13"/>
      <c r="P1000" s="13"/>
      <c r="Q1000" s="13"/>
      <c r="R1000" s="13"/>
      <c r="S1000" s="421"/>
      <c r="T1000" s="421"/>
      <c r="U1000" s="421"/>
      <c r="V1000" s="421"/>
      <c r="W1000" s="421"/>
      <c r="X1000" s="421"/>
      <c r="Y1000" s="421"/>
      <c r="Z1000" s="421"/>
      <c r="AA1000" s="421"/>
      <c r="AB1000" s="421"/>
      <c r="AC1000" s="421"/>
      <c r="AD1000" s="421"/>
      <c r="AE1000" s="421"/>
      <c r="AF1000" s="421"/>
      <c r="AG1000" s="421"/>
      <c r="AH1000" s="421"/>
      <c r="AI1000" s="421"/>
      <c r="AJ1000" s="421"/>
      <c r="AK1000" s="421"/>
      <c r="AL1000" s="421"/>
      <c r="AM1000" s="422"/>
      <c r="AN1000" s="422"/>
      <c r="AO1000" s="422"/>
      <c r="AP1000" s="422"/>
      <c r="AQ1000" s="422"/>
      <c r="AR1000" s="422"/>
      <c r="AS1000" s="422"/>
      <c r="AT1000" s="422"/>
      <c r="AU1000" s="422"/>
      <c r="AV1000" s="422"/>
      <c r="AW1000" s="422"/>
      <c r="AX1000" s="422"/>
      <c r="AY1000" s="422"/>
    </row>
    <row r="1001" spans="1:51" x14ac:dyDescent="0.25">
      <c r="A1001" s="3"/>
      <c r="B1001" s="3"/>
      <c r="C1001" s="3"/>
      <c r="D1001" s="3"/>
      <c r="E1001" s="3"/>
      <c r="F1001" s="3"/>
      <c r="G1001" s="3"/>
      <c r="H1001" s="3"/>
      <c r="I1001" s="3"/>
      <c r="J1001" s="13"/>
      <c r="K1001" s="13"/>
      <c r="L1001" s="13"/>
      <c r="M1001" s="13"/>
      <c r="N1001" s="13"/>
      <c r="O1001" s="13"/>
      <c r="P1001" s="13"/>
      <c r="Q1001" s="13"/>
      <c r="R1001" s="13"/>
      <c r="S1001" s="421"/>
      <c r="T1001" s="421"/>
      <c r="U1001" s="421"/>
      <c r="V1001" s="421"/>
      <c r="W1001" s="421"/>
      <c r="X1001" s="421"/>
      <c r="Y1001" s="421"/>
      <c r="Z1001" s="421"/>
      <c r="AA1001" s="421"/>
      <c r="AB1001" s="421"/>
      <c r="AC1001" s="421"/>
      <c r="AD1001" s="421"/>
      <c r="AE1001" s="421"/>
      <c r="AF1001" s="421"/>
      <c r="AG1001" s="421"/>
      <c r="AH1001" s="421"/>
      <c r="AI1001" s="421"/>
      <c r="AJ1001" s="421"/>
      <c r="AK1001" s="421"/>
      <c r="AL1001" s="421"/>
      <c r="AM1001" s="422"/>
      <c r="AN1001" s="422"/>
      <c r="AO1001" s="422"/>
      <c r="AP1001" s="422"/>
      <c r="AQ1001" s="422"/>
      <c r="AR1001" s="422"/>
      <c r="AS1001" s="422"/>
      <c r="AT1001" s="422"/>
      <c r="AU1001" s="422"/>
      <c r="AV1001" s="422"/>
      <c r="AW1001" s="422"/>
      <c r="AX1001" s="422"/>
      <c r="AY1001" s="422"/>
    </row>
  </sheetData>
  <sheetProtection formatCells="0" autoFilter="0"/>
  <mergeCells count="46">
    <mergeCell ref="A2:G5"/>
    <mergeCell ref="E11:E13"/>
    <mergeCell ref="D11:D13"/>
    <mergeCell ref="A11:A13"/>
    <mergeCell ref="C11:C13"/>
    <mergeCell ref="F11:F13"/>
    <mergeCell ref="G11:G13"/>
    <mergeCell ref="B11:B13"/>
    <mergeCell ref="A7:R7"/>
    <mergeCell ref="H5:R5"/>
    <mergeCell ref="H2:AW2"/>
    <mergeCell ref="H3:AW3"/>
    <mergeCell ref="S4:AW4"/>
    <mergeCell ref="S5:AW5"/>
    <mergeCell ref="H4:R4"/>
    <mergeCell ref="S7:AW7"/>
    <mergeCell ref="S8:AW8"/>
    <mergeCell ref="A8:R8"/>
    <mergeCell ref="AM11:AP11"/>
    <mergeCell ref="A14:A31"/>
    <mergeCell ref="K11:AL11"/>
    <mergeCell ref="O12:T12"/>
    <mergeCell ref="U12:Z12"/>
    <mergeCell ref="AA12:AF12"/>
    <mergeCell ref="AG12:AL12"/>
    <mergeCell ref="AP12:AP13"/>
    <mergeCell ref="AM12:AM13"/>
    <mergeCell ref="AN12:AN13"/>
    <mergeCell ref="AV10:AV13"/>
    <mergeCell ref="K12:N12"/>
    <mergeCell ref="A32:AW32"/>
    <mergeCell ref="AU10:AU13"/>
    <mergeCell ref="F10:AP10"/>
    <mergeCell ref="AR10:AR13"/>
    <mergeCell ref="AS10:AS13"/>
    <mergeCell ref="AT10:AT13"/>
    <mergeCell ref="AQ10:AQ13"/>
    <mergeCell ref="J11:J13"/>
    <mergeCell ref="C14:C31"/>
    <mergeCell ref="A10:C10"/>
    <mergeCell ref="D10:E10"/>
    <mergeCell ref="I11:I13"/>
    <mergeCell ref="H11:H13"/>
    <mergeCell ref="AW10:AW13"/>
    <mergeCell ref="AO12:AO13"/>
    <mergeCell ref="B14:B31"/>
  </mergeCells>
  <printOptions horizontalCentered="1" verticalCentered="1"/>
  <pageMargins left="0" right="0" top="0" bottom="0" header="0.31496062992125984" footer="0.31496062992125984"/>
  <pageSetup scale="50" orientation="landscape" r:id="rId1"/>
  <colBreaks count="1" manualBreakCount="1">
    <brk id="49" max="31" man="1"/>
  </colBreaks>
  <ignoredErrors>
    <ignoredError sqref="AT14:AU14"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32"/>
  <sheetViews>
    <sheetView zoomScale="91" zoomScaleNormal="91" zoomScaleSheetLayoutView="95" workbookViewId="0">
      <pane xSplit="7" ySplit="8" topLeftCell="AQ129" activePane="bottomRight" state="frozen"/>
      <selection pane="topRight" activeCell="H1" sqref="H1"/>
      <selection pane="bottomLeft" activeCell="A9" sqref="A9"/>
      <selection pane="bottomRight" activeCell="A132" sqref="A132:AT132"/>
    </sheetView>
  </sheetViews>
  <sheetFormatPr baseColWidth="10" defaultColWidth="15.140625" defaultRowHeight="15" customHeight="1" x14ac:dyDescent="0.25"/>
  <cols>
    <col min="1" max="2" width="10.28515625" customWidth="1"/>
    <col min="3" max="3" width="20" customWidth="1"/>
    <col min="4" max="6" width="10.28515625" customWidth="1"/>
    <col min="7" max="7" width="19.7109375" customWidth="1"/>
    <col min="8" max="8" width="19.5703125" bestFit="1" customWidth="1"/>
    <col min="9" max="9" width="10.28515625" style="183" customWidth="1"/>
    <col min="10" max="12" width="16.7109375" bestFit="1" customWidth="1"/>
    <col min="13" max="13" width="10.28515625" style="183" customWidth="1"/>
    <col min="14" max="16" width="18.140625" bestFit="1" customWidth="1"/>
    <col min="17" max="18" width="20.28515625" style="423" bestFit="1" customWidth="1"/>
    <col min="19" max="19" width="10.28515625" style="183" customWidth="1"/>
    <col min="20" max="20" width="18.140625" style="460" bestFit="1" customWidth="1"/>
    <col min="21" max="24" width="10.28515625" customWidth="1"/>
    <col min="25" max="25" width="10.28515625" style="183" customWidth="1"/>
    <col min="26" max="26" width="18.140625" bestFit="1" customWidth="1"/>
    <col min="27" max="31" width="10.28515625" customWidth="1"/>
    <col min="32" max="32" width="18.140625" bestFit="1" customWidth="1"/>
    <col min="33" max="35" width="10.28515625" customWidth="1"/>
    <col min="36" max="37" width="20.28515625" bestFit="1" customWidth="1"/>
    <col min="38" max="38" width="21.5703125" bestFit="1" customWidth="1"/>
    <col min="39" max="39" width="20.28515625" bestFit="1" customWidth="1"/>
    <col min="40" max="40" width="10.28515625" customWidth="1"/>
    <col min="41" max="41" width="11.42578125" customWidth="1"/>
    <col min="42" max="42" width="79" customWidth="1"/>
    <col min="43" max="43" width="8" customWidth="1"/>
    <col min="44" max="44" width="8.5703125" customWidth="1"/>
    <col min="45" max="45" width="54.7109375" customWidth="1"/>
    <col min="46" max="46" width="19.7109375" customWidth="1"/>
    <col min="47" max="47" width="18.140625" customWidth="1"/>
    <col min="48" max="48" width="18.42578125" customWidth="1"/>
    <col min="49" max="50" width="18.85546875" customWidth="1"/>
  </cols>
  <sheetData>
    <row r="1" spans="1:50" ht="19.5" customHeight="1" x14ac:dyDescent="0.25">
      <c r="A1" s="1047"/>
      <c r="B1" s="1004"/>
      <c r="C1" s="1004"/>
      <c r="D1" s="1004"/>
      <c r="E1" s="1005"/>
      <c r="F1" s="1019" t="s">
        <v>0</v>
      </c>
      <c r="G1" s="969"/>
      <c r="H1" s="969"/>
      <c r="I1" s="969"/>
      <c r="J1" s="969"/>
      <c r="K1" s="969"/>
      <c r="L1" s="969"/>
      <c r="M1" s="969"/>
      <c r="N1" s="969"/>
      <c r="O1" s="969"/>
      <c r="P1" s="969"/>
      <c r="Q1" s="969"/>
      <c r="R1" s="969"/>
      <c r="S1" s="969"/>
      <c r="T1" s="969"/>
      <c r="U1" s="969"/>
      <c r="V1" s="969"/>
      <c r="W1" s="969"/>
      <c r="X1" s="969"/>
      <c r="Y1" s="969"/>
      <c r="Z1" s="969"/>
      <c r="AA1" s="969"/>
      <c r="AB1" s="969"/>
      <c r="AC1" s="969"/>
      <c r="AD1" s="969"/>
      <c r="AE1" s="969"/>
      <c r="AF1" s="969"/>
      <c r="AG1" s="969"/>
      <c r="AH1" s="969"/>
      <c r="AI1" s="969"/>
      <c r="AJ1" s="969"/>
      <c r="AK1" s="969"/>
      <c r="AL1" s="969"/>
      <c r="AM1" s="969"/>
      <c r="AN1" s="969"/>
      <c r="AO1" s="969"/>
      <c r="AP1" s="969"/>
      <c r="AQ1" s="969"/>
      <c r="AR1" s="969"/>
      <c r="AS1" s="969"/>
      <c r="AT1" s="1020"/>
      <c r="AU1" s="3"/>
      <c r="AV1" s="3"/>
      <c r="AW1" s="3"/>
      <c r="AX1" s="3"/>
    </row>
    <row r="2" spans="1:50" ht="32.25" customHeight="1" x14ac:dyDescent="0.25">
      <c r="A2" s="1006"/>
      <c r="B2" s="1008"/>
      <c r="C2" s="1008"/>
      <c r="D2" s="1008"/>
      <c r="E2" s="1009"/>
      <c r="F2" s="1018" t="s">
        <v>2</v>
      </c>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4"/>
      <c r="AP2" s="994"/>
      <c r="AQ2" s="994"/>
      <c r="AR2" s="994"/>
      <c r="AS2" s="994"/>
      <c r="AT2" s="1021"/>
      <c r="AU2" s="3"/>
      <c r="AV2" s="3"/>
      <c r="AW2" s="3"/>
      <c r="AX2" s="3"/>
    </row>
    <row r="3" spans="1:50" ht="27.75" customHeight="1" x14ac:dyDescent="0.25">
      <c r="A3" s="1006"/>
      <c r="B3" s="1008"/>
      <c r="C3" s="1008"/>
      <c r="D3" s="1008"/>
      <c r="E3" s="1009"/>
      <c r="F3" s="1018" t="s">
        <v>4</v>
      </c>
      <c r="G3" s="994"/>
      <c r="H3" s="994"/>
      <c r="I3" s="994"/>
      <c r="J3" s="994"/>
      <c r="K3" s="994"/>
      <c r="L3" s="994"/>
      <c r="M3" s="994"/>
      <c r="N3" s="994"/>
      <c r="O3" s="994"/>
      <c r="P3" s="995"/>
      <c r="Q3" s="1018" t="s">
        <v>5</v>
      </c>
      <c r="R3" s="994"/>
      <c r="S3" s="994"/>
      <c r="T3" s="994"/>
      <c r="U3" s="994"/>
      <c r="V3" s="994"/>
      <c r="W3" s="994"/>
      <c r="X3" s="994"/>
      <c r="Y3" s="994"/>
      <c r="Z3" s="994"/>
      <c r="AA3" s="994"/>
      <c r="AB3" s="994"/>
      <c r="AC3" s="994"/>
      <c r="AD3" s="994"/>
      <c r="AE3" s="994"/>
      <c r="AF3" s="994"/>
      <c r="AG3" s="994"/>
      <c r="AH3" s="994"/>
      <c r="AI3" s="994"/>
      <c r="AJ3" s="994"/>
      <c r="AK3" s="994"/>
      <c r="AL3" s="994"/>
      <c r="AM3" s="994"/>
      <c r="AN3" s="994"/>
      <c r="AO3" s="994"/>
      <c r="AP3" s="994"/>
      <c r="AQ3" s="994"/>
      <c r="AR3" s="994"/>
      <c r="AS3" s="994"/>
      <c r="AT3" s="1021"/>
      <c r="AU3" s="3"/>
      <c r="AV3" s="3"/>
      <c r="AW3" s="3"/>
      <c r="AX3" s="3"/>
    </row>
    <row r="4" spans="1:50" ht="30" customHeight="1" thickBot="1" x14ac:dyDescent="0.3">
      <c r="A4" s="1048"/>
      <c r="B4" s="1049"/>
      <c r="C4" s="1049"/>
      <c r="D4" s="1049"/>
      <c r="E4" s="1050"/>
      <c r="F4" s="1046" t="s">
        <v>8</v>
      </c>
      <c r="G4" s="991"/>
      <c r="H4" s="991"/>
      <c r="I4" s="991"/>
      <c r="J4" s="991"/>
      <c r="K4" s="991"/>
      <c r="L4" s="991"/>
      <c r="M4" s="991"/>
      <c r="N4" s="991"/>
      <c r="O4" s="991"/>
      <c r="P4" s="992"/>
      <c r="Q4" s="1018" t="s">
        <v>9</v>
      </c>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1021"/>
      <c r="AU4" s="3"/>
      <c r="AV4" s="3"/>
      <c r="AW4" s="3"/>
      <c r="AX4" s="3"/>
    </row>
    <row r="5" spans="1:50" ht="25.5" customHeight="1" thickBot="1" x14ac:dyDescent="0.3">
      <c r="A5" s="3"/>
      <c r="B5" s="3"/>
      <c r="C5" s="3"/>
      <c r="D5" s="7"/>
      <c r="E5" s="7"/>
      <c r="F5" s="7"/>
      <c r="G5" s="8"/>
      <c r="H5" s="9"/>
      <c r="I5" s="9"/>
      <c r="J5" s="9"/>
      <c r="K5" s="9"/>
      <c r="L5" s="9"/>
      <c r="M5" s="9"/>
      <c r="N5" s="9"/>
      <c r="O5" s="9"/>
      <c r="P5" s="9"/>
      <c r="Q5" s="488"/>
      <c r="R5" s="489"/>
      <c r="S5" s="269"/>
      <c r="T5" s="9"/>
      <c r="U5" s="9"/>
      <c r="V5" s="9"/>
      <c r="W5" s="9"/>
      <c r="X5" s="9"/>
      <c r="Y5" s="9"/>
      <c r="Z5" s="9"/>
      <c r="AA5" s="9"/>
      <c r="AB5" s="9"/>
      <c r="AC5" s="9"/>
      <c r="AD5" s="9"/>
      <c r="AE5" s="9"/>
      <c r="AF5" s="9"/>
      <c r="AG5" s="9"/>
      <c r="AH5" s="9"/>
      <c r="AI5" s="9"/>
      <c r="AJ5" s="3">
        <v>0</v>
      </c>
      <c r="AK5" s="3"/>
      <c r="AL5" s="13"/>
      <c r="AM5" s="14"/>
      <c r="AN5" s="3"/>
      <c r="AO5" s="3"/>
      <c r="AP5" s="3"/>
      <c r="AQ5" s="3"/>
      <c r="AR5" s="3"/>
      <c r="AS5" s="3"/>
      <c r="AT5" s="3"/>
      <c r="AU5" s="3"/>
      <c r="AV5" s="3"/>
      <c r="AW5" s="3"/>
      <c r="AX5" s="3"/>
    </row>
    <row r="6" spans="1:50" ht="25.5" customHeight="1" x14ac:dyDescent="0.25">
      <c r="A6" s="1026" t="s">
        <v>12</v>
      </c>
      <c r="B6" s="1032" t="s">
        <v>19</v>
      </c>
      <c r="C6" s="1004"/>
      <c r="D6" s="1005"/>
      <c r="E6" s="966" t="s">
        <v>22</v>
      </c>
      <c r="F6" s="966" t="s">
        <v>30</v>
      </c>
      <c r="G6" s="966" t="s">
        <v>31</v>
      </c>
      <c r="H6" s="1032" t="s">
        <v>32</v>
      </c>
      <c r="I6" s="1029" t="s">
        <v>33</v>
      </c>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1"/>
      <c r="AJ6" s="1056" t="s">
        <v>34</v>
      </c>
      <c r="AK6" s="1057"/>
      <c r="AL6" s="1057"/>
      <c r="AM6" s="1058"/>
      <c r="AN6" s="966" t="s">
        <v>38</v>
      </c>
      <c r="AO6" s="966" t="s">
        <v>39</v>
      </c>
      <c r="AP6" s="966" t="s">
        <v>40</v>
      </c>
      <c r="AQ6" s="966" t="s">
        <v>41</v>
      </c>
      <c r="AR6" s="966" t="s">
        <v>42</v>
      </c>
      <c r="AS6" s="966" t="s">
        <v>44</v>
      </c>
      <c r="AT6" s="981" t="s">
        <v>45</v>
      </c>
      <c r="AU6" s="16"/>
      <c r="AV6" s="16"/>
      <c r="AW6" s="16"/>
      <c r="AX6" s="16"/>
    </row>
    <row r="7" spans="1:50" ht="24" customHeight="1" x14ac:dyDescent="0.25">
      <c r="A7" s="1027"/>
      <c r="B7" s="1051"/>
      <c r="C7" s="1052"/>
      <c r="D7" s="1053"/>
      <c r="E7" s="1010"/>
      <c r="F7" s="1010"/>
      <c r="G7" s="1010"/>
      <c r="H7" s="1033"/>
      <c r="I7" s="993">
        <v>2016</v>
      </c>
      <c r="J7" s="999"/>
      <c r="K7" s="999"/>
      <c r="L7" s="1000"/>
      <c r="M7" s="993">
        <v>2017</v>
      </c>
      <c r="N7" s="999"/>
      <c r="O7" s="999"/>
      <c r="P7" s="999"/>
      <c r="Q7" s="999"/>
      <c r="R7" s="1000"/>
      <c r="S7" s="993">
        <v>2018</v>
      </c>
      <c r="T7" s="999"/>
      <c r="U7" s="999"/>
      <c r="V7" s="999"/>
      <c r="W7" s="999"/>
      <c r="X7" s="1000"/>
      <c r="Y7" s="993">
        <v>2019</v>
      </c>
      <c r="Z7" s="999"/>
      <c r="AA7" s="999"/>
      <c r="AB7" s="999"/>
      <c r="AC7" s="999"/>
      <c r="AD7" s="1000"/>
      <c r="AE7" s="993">
        <v>2020</v>
      </c>
      <c r="AF7" s="994"/>
      <c r="AG7" s="994"/>
      <c r="AH7" s="994"/>
      <c r="AI7" s="995"/>
      <c r="AJ7" s="993" t="s">
        <v>73</v>
      </c>
      <c r="AK7" s="1054"/>
      <c r="AL7" s="1054"/>
      <c r="AM7" s="1055"/>
      <c r="AN7" s="1010"/>
      <c r="AO7" s="1010"/>
      <c r="AP7" s="1010"/>
      <c r="AQ7" s="1010"/>
      <c r="AR7" s="1010"/>
      <c r="AS7" s="1010"/>
      <c r="AT7" s="1025"/>
      <c r="AU7" s="16"/>
      <c r="AV7" s="16"/>
      <c r="AW7" s="16"/>
      <c r="AX7" s="16"/>
    </row>
    <row r="8" spans="1:50" ht="68.25" customHeight="1" thickBot="1" x14ac:dyDescent="0.3">
      <c r="A8" s="1028"/>
      <c r="B8" s="41" t="s">
        <v>35</v>
      </c>
      <c r="C8" s="41" t="s">
        <v>78</v>
      </c>
      <c r="D8" s="41" t="s">
        <v>79</v>
      </c>
      <c r="E8" s="1036"/>
      <c r="F8" s="1036"/>
      <c r="G8" s="1035"/>
      <c r="H8" s="1034"/>
      <c r="I8" s="266" t="s">
        <v>407</v>
      </c>
      <c r="J8" s="266" t="s">
        <v>408</v>
      </c>
      <c r="K8" s="266" t="s">
        <v>409</v>
      </c>
      <c r="L8" s="266" t="s">
        <v>76</v>
      </c>
      <c r="M8" s="266" t="s">
        <v>410</v>
      </c>
      <c r="N8" s="266" t="s">
        <v>411</v>
      </c>
      <c r="O8" s="345" t="s">
        <v>412</v>
      </c>
      <c r="P8" s="345" t="s">
        <v>408</v>
      </c>
      <c r="Q8" s="345" t="s">
        <v>409</v>
      </c>
      <c r="R8" s="345" t="s">
        <v>76</v>
      </c>
      <c r="S8" s="266" t="s">
        <v>410</v>
      </c>
      <c r="T8" s="459" t="s">
        <v>411</v>
      </c>
      <c r="U8" s="266" t="s">
        <v>412</v>
      </c>
      <c r="V8" s="266" t="s">
        <v>408</v>
      </c>
      <c r="W8" s="266" t="s">
        <v>409</v>
      </c>
      <c r="X8" s="266" t="s">
        <v>76</v>
      </c>
      <c r="Y8" s="266" t="s">
        <v>410</v>
      </c>
      <c r="Z8" s="266" t="s">
        <v>411</v>
      </c>
      <c r="AA8" s="266" t="s">
        <v>412</v>
      </c>
      <c r="AB8" s="266" t="s">
        <v>408</v>
      </c>
      <c r="AC8" s="266" t="s">
        <v>409</v>
      </c>
      <c r="AD8" s="266" t="s">
        <v>76</v>
      </c>
      <c r="AE8" s="345" t="s">
        <v>410</v>
      </c>
      <c r="AF8" s="266" t="s">
        <v>411</v>
      </c>
      <c r="AG8" s="266" t="s">
        <v>412</v>
      </c>
      <c r="AH8" s="266" t="s">
        <v>408</v>
      </c>
      <c r="AI8" s="266" t="s">
        <v>409</v>
      </c>
      <c r="AJ8" s="266" t="s">
        <v>531</v>
      </c>
      <c r="AK8" s="18" t="s">
        <v>56</v>
      </c>
      <c r="AL8" s="18" t="s">
        <v>66</v>
      </c>
      <c r="AM8" s="18" t="s">
        <v>71</v>
      </c>
      <c r="AN8" s="1010"/>
      <c r="AO8" s="1010"/>
      <c r="AP8" s="1010"/>
      <c r="AQ8" s="1010"/>
      <c r="AR8" s="1010"/>
      <c r="AS8" s="1010"/>
      <c r="AT8" s="1025"/>
      <c r="AU8" s="16"/>
      <c r="AV8" s="16"/>
      <c r="AW8" s="16"/>
      <c r="AX8" s="16"/>
    </row>
    <row r="9" spans="1:50" s="31" customFormat="1" ht="35.1" customHeight="1" x14ac:dyDescent="0.25">
      <c r="A9" s="1085" t="s">
        <v>74</v>
      </c>
      <c r="B9" s="1085">
        <v>1</v>
      </c>
      <c r="C9" s="1123" t="s">
        <v>91</v>
      </c>
      <c r="D9" s="1085" t="s">
        <v>84</v>
      </c>
      <c r="E9" s="1085">
        <v>522</v>
      </c>
      <c r="F9" s="1085">
        <v>181</v>
      </c>
      <c r="G9" s="140" t="s">
        <v>111</v>
      </c>
      <c r="H9" s="43">
        <f>L9+Q9+T9+Z9+AF9</f>
        <v>800</v>
      </c>
      <c r="I9" s="43"/>
      <c r="J9" s="43">
        <v>100</v>
      </c>
      <c r="K9" s="43">
        <v>100</v>
      </c>
      <c r="L9" s="43">
        <v>100</v>
      </c>
      <c r="M9" s="43"/>
      <c r="N9" s="43">
        <v>200</v>
      </c>
      <c r="O9" s="36">
        <v>200</v>
      </c>
      <c r="P9" s="36">
        <v>200</v>
      </c>
      <c r="Q9" s="650">
        <v>211</v>
      </c>
      <c r="R9" s="651">
        <v>211</v>
      </c>
      <c r="S9" s="44"/>
      <c r="T9" s="43">
        <v>200</v>
      </c>
      <c r="U9" s="43"/>
      <c r="V9" s="43"/>
      <c r="W9" s="43"/>
      <c r="X9" s="52"/>
      <c r="Y9" s="36"/>
      <c r="Z9" s="652">
        <v>200</v>
      </c>
      <c r="AA9" s="43"/>
      <c r="AB9" s="43"/>
      <c r="AC9" s="43"/>
      <c r="AD9" s="52"/>
      <c r="AE9" s="478"/>
      <c r="AF9" s="652">
        <f>100-11</f>
        <v>89</v>
      </c>
      <c r="AG9" s="43"/>
      <c r="AH9" s="43"/>
      <c r="AI9" s="44"/>
      <c r="AJ9" s="45">
        <v>63</v>
      </c>
      <c r="AK9" s="44">
        <v>113</v>
      </c>
      <c r="AL9" s="653">
        <v>163</v>
      </c>
      <c r="AM9" s="654">
        <v>211</v>
      </c>
      <c r="AN9" s="655">
        <f>+AM9/Q9</f>
        <v>1</v>
      </c>
      <c r="AO9" s="655">
        <f>+AM9/H9</f>
        <v>0.26374999999999998</v>
      </c>
      <c r="AP9" s="1073" t="s">
        <v>502</v>
      </c>
      <c r="AQ9" s="1062" t="s">
        <v>214</v>
      </c>
      <c r="AR9" s="1062" t="s">
        <v>86</v>
      </c>
      <c r="AS9" s="1076" t="s">
        <v>234</v>
      </c>
      <c r="AT9" s="1084" t="s">
        <v>92</v>
      </c>
    </row>
    <row r="10" spans="1:50" s="31" customFormat="1" ht="35.1" customHeight="1" x14ac:dyDescent="0.25">
      <c r="A10" s="1085"/>
      <c r="B10" s="1085"/>
      <c r="C10" s="1123"/>
      <c r="D10" s="1085"/>
      <c r="E10" s="1085"/>
      <c r="F10" s="1085"/>
      <c r="G10" s="141" t="s">
        <v>123</v>
      </c>
      <c r="H10" s="46">
        <f>L10+N10+T10+Z10+AF10</f>
        <v>4644322650</v>
      </c>
      <c r="I10" s="46"/>
      <c r="J10" s="46">
        <v>403878140</v>
      </c>
      <c r="K10" s="46">
        <f>+J10</f>
        <v>403878140</v>
      </c>
      <c r="L10" s="46">
        <v>307442240</v>
      </c>
      <c r="M10" s="46"/>
      <c r="N10" s="46">
        <v>750048000</v>
      </c>
      <c r="O10" s="46">
        <v>750048000</v>
      </c>
      <c r="P10" s="46">
        <v>750048000</v>
      </c>
      <c r="Q10" s="656">
        <v>568411402</v>
      </c>
      <c r="R10" s="656">
        <f>+AM10</f>
        <v>514046499</v>
      </c>
      <c r="S10" s="47"/>
      <c r="T10" s="47">
        <v>626832410</v>
      </c>
      <c r="U10" s="47"/>
      <c r="V10" s="47"/>
      <c r="W10" s="47"/>
      <c r="X10" s="444"/>
      <c r="Y10" s="47"/>
      <c r="Z10" s="134">
        <v>1995000000</v>
      </c>
      <c r="AA10" s="47"/>
      <c r="AB10" s="47"/>
      <c r="AC10" s="47"/>
      <c r="AD10" s="444"/>
      <c r="AE10" s="478"/>
      <c r="AF10" s="134">
        <v>965000000</v>
      </c>
      <c r="AG10" s="47"/>
      <c r="AH10" s="47"/>
      <c r="AI10" s="36"/>
      <c r="AJ10" s="47">
        <v>213403500</v>
      </c>
      <c r="AK10" s="47">
        <v>429352500</v>
      </c>
      <c r="AL10" s="657">
        <v>397355466</v>
      </c>
      <c r="AM10" s="656">
        <v>514046499</v>
      </c>
      <c r="AN10" s="655">
        <f>+AM10/Q10</f>
        <v>0.9043564171853119</v>
      </c>
      <c r="AO10" s="655">
        <f>+AM10/H10</f>
        <v>0.11068277071576842</v>
      </c>
      <c r="AP10" s="1074"/>
      <c r="AQ10" s="1063"/>
      <c r="AR10" s="1063"/>
      <c r="AS10" s="1077"/>
      <c r="AT10" s="1060"/>
      <c r="AU10" s="34"/>
      <c r="AV10" s="34"/>
      <c r="AW10" s="34"/>
      <c r="AX10" s="34"/>
    </row>
    <row r="11" spans="1:50" s="31" customFormat="1" ht="35.1" customHeight="1" x14ac:dyDescent="0.25">
      <c r="A11" s="1085"/>
      <c r="B11" s="1085"/>
      <c r="C11" s="1123"/>
      <c r="D11" s="1085"/>
      <c r="E11" s="1085"/>
      <c r="F11" s="1085"/>
      <c r="G11" s="141" t="s">
        <v>130</v>
      </c>
      <c r="H11" s="48"/>
      <c r="I11" s="48"/>
      <c r="J11" s="48"/>
      <c r="K11" s="36"/>
      <c r="L11" s="48"/>
      <c r="M11" s="48"/>
      <c r="N11" s="46">
        <v>0</v>
      </c>
      <c r="O11" s="47">
        <v>0</v>
      </c>
      <c r="P11" s="47">
        <v>0</v>
      </c>
      <c r="Q11" s="656">
        <v>0</v>
      </c>
      <c r="R11" s="656">
        <v>0</v>
      </c>
      <c r="S11" s="47"/>
      <c r="T11" s="47">
        <v>0</v>
      </c>
      <c r="U11" s="47"/>
      <c r="V11" s="47"/>
      <c r="W11" s="47"/>
      <c r="X11" s="444"/>
      <c r="Y11" s="47"/>
      <c r="Z11" s="134"/>
      <c r="AA11" s="47"/>
      <c r="AB11" s="47"/>
      <c r="AC11" s="47"/>
      <c r="AD11" s="444"/>
      <c r="AE11" s="478"/>
      <c r="AF11" s="134"/>
      <c r="AG11" s="48"/>
      <c r="AH11" s="48"/>
      <c r="AI11" s="36"/>
      <c r="AJ11" s="49"/>
      <c r="AK11" s="36"/>
      <c r="AL11" s="658"/>
      <c r="AM11" s="659"/>
      <c r="AN11" s="36"/>
      <c r="AO11" s="36"/>
      <c r="AP11" s="1074"/>
      <c r="AQ11" s="1063"/>
      <c r="AR11" s="1063"/>
      <c r="AS11" s="1077"/>
      <c r="AT11" s="1060"/>
    </row>
    <row r="12" spans="1:50" s="31" customFormat="1" ht="35.1" customHeight="1" thickBot="1" x14ac:dyDescent="0.3">
      <c r="A12" s="1085"/>
      <c r="B12" s="1085"/>
      <c r="C12" s="1123"/>
      <c r="D12" s="1085"/>
      <c r="E12" s="1085"/>
      <c r="F12" s="1085"/>
      <c r="G12" s="141" t="s">
        <v>135</v>
      </c>
      <c r="H12" s="48"/>
      <c r="I12" s="48"/>
      <c r="J12" s="50"/>
      <c r="K12" s="36"/>
      <c r="L12" s="48"/>
      <c r="M12" s="48"/>
      <c r="N12" s="47">
        <v>182178948</v>
      </c>
      <c r="O12" s="47">
        <v>182178948</v>
      </c>
      <c r="P12" s="47">
        <v>182178948</v>
      </c>
      <c r="Q12" s="656">
        <v>182178948</v>
      </c>
      <c r="R12" s="656">
        <v>182178948</v>
      </c>
      <c r="S12" s="47"/>
      <c r="T12" s="47">
        <v>176651059</v>
      </c>
      <c r="U12" s="47"/>
      <c r="V12" s="47"/>
      <c r="W12" s="47"/>
      <c r="X12" s="444"/>
      <c r="Y12" s="47"/>
      <c r="Z12" s="47"/>
      <c r="AA12" s="47"/>
      <c r="AB12" s="47"/>
      <c r="AC12" s="47"/>
      <c r="AD12" s="47"/>
      <c r="AE12" s="478"/>
      <c r="AF12" s="134"/>
      <c r="AG12" s="48"/>
      <c r="AH12" s="48"/>
      <c r="AI12" s="36"/>
      <c r="AJ12" s="47">
        <v>66552148</v>
      </c>
      <c r="AK12" s="47">
        <v>89742794</v>
      </c>
      <c r="AL12" s="658">
        <v>131258913</v>
      </c>
      <c r="AM12" s="658">
        <v>182178948</v>
      </c>
      <c r="AN12" s="655"/>
      <c r="AO12" s="36"/>
      <c r="AP12" s="1074"/>
      <c r="AQ12" s="1063"/>
      <c r="AR12" s="1063"/>
      <c r="AS12" s="1077"/>
      <c r="AT12" s="1060"/>
      <c r="AU12" s="35"/>
      <c r="AV12" s="35"/>
      <c r="AW12" s="35"/>
      <c r="AX12" s="35"/>
    </row>
    <row r="13" spans="1:50" s="31" customFormat="1" ht="35.1" customHeight="1" x14ac:dyDescent="0.25">
      <c r="A13" s="1085"/>
      <c r="B13" s="1085"/>
      <c r="C13" s="1123"/>
      <c r="D13" s="1085"/>
      <c r="E13" s="1085"/>
      <c r="F13" s="1085"/>
      <c r="G13" s="142" t="s">
        <v>137</v>
      </c>
      <c r="H13" s="51">
        <v>800</v>
      </c>
      <c r="I13" s="51"/>
      <c r="J13" s="51">
        <v>100</v>
      </c>
      <c r="K13" s="51">
        <v>100</v>
      </c>
      <c r="L13" s="51">
        <v>100</v>
      </c>
      <c r="M13" s="51"/>
      <c r="N13" s="36">
        <f t="shared" ref="N13:O13" si="0">+N9</f>
        <v>200</v>
      </c>
      <c r="O13" s="36">
        <f t="shared" si="0"/>
        <v>200</v>
      </c>
      <c r="P13" s="36">
        <f>+P9</f>
        <v>200</v>
      </c>
      <c r="Q13" s="660">
        <v>200</v>
      </c>
      <c r="R13" s="661">
        <v>211</v>
      </c>
      <c r="S13" s="36"/>
      <c r="T13" s="51">
        <v>200</v>
      </c>
      <c r="U13" s="43"/>
      <c r="V13" s="43"/>
      <c r="W13" s="43"/>
      <c r="X13" s="52"/>
      <c r="Y13" s="36"/>
      <c r="Z13" s="479">
        <v>200</v>
      </c>
      <c r="AA13" s="51"/>
      <c r="AB13" s="51"/>
      <c r="AC13" s="51"/>
      <c r="AD13" s="54"/>
      <c r="AE13" s="478"/>
      <c r="AF13" s="468">
        <v>100</v>
      </c>
      <c r="AG13" s="53"/>
      <c r="AH13" s="53"/>
      <c r="AI13" s="54"/>
      <c r="AJ13" s="55">
        <v>63</v>
      </c>
      <c r="AK13" s="55">
        <v>113</v>
      </c>
      <c r="AL13" s="279">
        <v>163</v>
      </c>
      <c r="AM13" s="662">
        <f>+AM9</f>
        <v>211</v>
      </c>
      <c r="AN13" s="655">
        <f>+AM13/Q13</f>
        <v>1.0549999999999999</v>
      </c>
      <c r="AO13" s="655">
        <f>+AM13/H13</f>
        <v>0.26374999999999998</v>
      </c>
      <c r="AP13" s="1074"/>
      <c r="AQ13" s="1063"/>
      <c r="AR13" s="1063"/>
      <c r="AS13" s="1077"/>
      <c r="AT13" s="1060"/>
    </row>
    <row r="14" spans="1:50" s="31" customFormat="1" ht="35.1" customHeight="1" thickBot="1" x14ac:dyDescent="0.3">
      <c r="A14" s="1085"/>
      <c r="B14" s="1085"/>
      <c r="C14" s="1123"/>
      <c r="D14" s="1085"/>
      <c r="E14" s="1085"/>
      <c r="F14" s="1085"/>
      <c r="G14" s="143" t="s">
        <v>143</v>
      </c>
      <c r="H14" s="56">
        <f>+H10</f>
        <v>4644322650</v>
      </c>
      <c r="I14" s="56"/>
      <c r="J14" s="56">
        <f>+J10</f>
        <v>403878140</v>
      </c>
      <c r="K14" s="56">
        <f>+K10</f>
        <v>403878140</v>
      </c>
      <c r="L14" s="56">
        <v>307442240</v>
      </c>
      <c r="M14" s="56"/>
      <c r="N14" s="56">
        <f t="shared" ref="N14:O14" si="1">+N10+N12</f>
        <v>932226948</v>
      </c>
      <c r="O14" s="56">
        <f t="shared" si="1"/>
        <v>932226948</v>
      </c>
      <c r="P14" s="56">
        <f>+P10+P12</f>
        <v>932226948</v>
      </c>
      <c r="Q14" s="663">
        <f>+Q10+Q12</f>
        <v>750590350</v>
      </c>
      <c r="R14" s="664">
        <f>+R10+R12</f>
        <v>696225447</v>
      </c>
      <c r="S14" s="493"/>
      <c r="T14" s="493">
        <v>1213000000</v>
      </c>
      <c r="U14" s="493"/>
      <c r="V14" s="493"/>
      <c r="W14" s="493"/>
      <c r="X14" s="494"/>
      <c r="Y14" s="47"/>
      <c r="Z14" s="495">
        <v>1945000000</v>
      </c>
      <c r="AA14" s="493"/>
      <c r="AB14" s="493"/>
      <c r="AC14" s="493"/>
      <c r="AD14" s="494"/>
      <c r="AE14" s="478"/>
      <c r="AF14" s="495">
        <v>915000000</v>
      </c>
      <c r="AG14" s="493"/>
      <c r="AH14" s="493"/>
      <c r="AI14" s="496"/>
      <c r="AJ14" s="493">
        <v>279955648</v>
      </c>
      <c r="AK14" s="493">
        <v>429352500</v>
      </c>
      <c r="AL14" s="497">
        <v>397355466</v>
      </c>
      <c r="AM14" s="664">
        <f>+AM10+AM12</f>
        <v>696225447</v>
      </c>
      <c r="AN14" s="655">
        <f>+AM14/Q14</f>
        <v>0.9275704743606149</v>
      </c>
      <c r="AO14" s="655">
        <f>+AM14/H14</f>
        <v>0.14990893171472486</v>
      </c>
      <c r="AP14" s="1075"/>
      <c r="AQ14" s="1064"/>
      <c r="AR14" s="1064"/>
      <c r="AS14" s="1077"/>
      <c r="AT14" s="1060"/>
    </row>
    <row r="15" spans="1:50" s="20" customFormat="1" ht="35.1" customHeight="1" x14ac:dyDescent="0.25">
      <c r="A15" s="1085"/>
      <c r="B15" s="1085">
        <v>2</v>
      </c>
      <c r="C15" s="1085" t="s">
        <v>97</v>
      </c>
      <c r="D15" s="1085" t="s">
        <v>96</v>
      </c>
      <c r="E15" s="1085">
        <v>523</v>
      </c>
      <c r="F15" s="1085"/>
      <c r="G15" s="144" t="s">
        <v>111</v>
      </c>
      <c r="H15" s="57">
        <v>1</v>
      </c>
      <c r="I15" s="57"/>
      <c r="J15" s="57">
        <v>0</v>
      </c>
      <c r="K15" s="665">
        <v>0</v>
      </c>
      <c r="L15" s="665">
        <v>0</v>
      </c>
      <c r="M15" s="665"/>
      <c r="N15" s="666">
        <v>0.2</v>
      </c>
      <c r="O15" s="666">
        <v>0.2</v>
      </c>
      <c r="P15" s="666">
        <v>0.2</v>
      </c>
      <c r="Q15" s="667">
        <v>0.2</v>
      </c>
      <c r="R15" s="668">
        <v>0.12</v>
      </c>
      <c r="S15" s="669"/>
      <c r="T15" s="670">
        <v>0.6</v>
      </c>
      <c r="U15" s="666"/>
      <c r="V15" s="666"/>
      <c r="W15" s="666"/>
      <c r="X15" s="54"/>
      <c r="Y15" s="36"/>
      <c r="Z15" s="670">
        <v>1</v>
      </c>
      <c r="AA15" s="666"/>
      <c r="AB15" s="666"/>
      <c r="AC15" s="666"/>
      <c r="AD15" s="54"/>
      <c r="AE15" s="498"/>
      <c r="AF15" s="671">
        <v>0</v>
      </c>
      <c r="AG15" s="57"/>
      <c r="AH15" s="57"/>
      <c r="AI15" s="58"/>
      <c r="AJ15" s="22">
        <v>0</v>
      </c>
      <c r="AK15" s="22">
        <v>0</v>
      </c>
      <c r="AL15" s="672">
        <v>0.12</v>
      </c>
      <c r="AM15" s="673">
        <v>0.12</v>
      </c>
      <c r="AN15" s="674">
        <f>+AM15/Q15</f>
        <v>0.6</v>
      </c>
      <c r="AO15" s="675">
        <f>+AM15/H15</f>
        <v>0.12</v>
      </c>
      <c r="AP15" s="1101" t="s">
        <v>503</v>
      </c>
      <c r="AQ15" s="1087" t="s">
        <v>504</v>
      </c>
      <c r="AR15" s="1087" t="s">
        <v>532</v>
      </c>
      <c r="AS15" s="1078" t="s">
        <v>242</v>
      </c>
      <c r="AT15" s="1059" t="s">
        <v>101</v>
      </c>
      <c r="AU15" s="30"/>
      <c r="AV15" s="30"/>
      <c r="AW15" s="30"/>
      <c r="AX15" s="30"/>
    </row>
    <row r="16" spans="1:50" s="20" customFormat="1" ht="35.1" customHeight="1" x14ac:dyDescent="0.25">
      <c r="A16" s="1085"/>
      <c r="B16" s="1085"/>
      <c r="C16" s="1085"/>
      <c r="D16" s="1085"/>
      <c r="E16" s="1085"/>
      <c r="F16" s="1085"/>
      <c r="G16" s="145" t="s">
        <v>123</v>
      </c>
      <c r="H16" s="60">
        <f>L16+N16+T16+Z16+AF16</f>
        <v>1986508000</v>
      </c>
      <c r="I16" s="60"/>
      <c r="J16" s="60">
        <v>0</v>
      </c>
      <c r="K16" s="676">
        <v>0</v>
      </c>
      <c r="L16" s="676">
        <v>0</v>
      </c>
      <c r="M16" s="676"/>
      <c r="N16" s="676">
        <v>1000000000</v>
      </c>
      <c r="O16" s="676">
        <v>1000000000</v>
      </c>
      <c r="P16" s="676">
        <v>1000000000</v>
      </c>
      <c r="Q16" s="677">
        <v>1000000000</v>
      </c>
      <c r="R16" s="678">
        <f>+AM16</f>
        <v>999763898</v>
      </c>
      <c r="S16" s="27"/>
      <c r="T16" s="507">
        <v>986508000</v>
      </c>
      <c r="U16" s="507"/>
      <c r="V16" s="507"/>
      <c r="W16" s="507"/>
      <c r="X16" s="679"/>
      <c r="Y16" s="49"/>
      <c r="Z16" s="680">
        <v>0</v>
      </c>
      <c r="AA16" s="507"/>
      <c r="AB16" s="507"/>
      <c r="AC16" s="507"/>
      <c r="AD16" s="679"/>
      <c r="AE16" s="498"/>
      <c r="AF16" s="681">
        <v>0</v>
      </c>
      <c r="AG16" s="61"/>
      <c r="AH16" s="61"/>
      <c r="AI16" s="27"/>
      <c r="AJ16" s="61">
        <v>0</v>
      </c>
      <c r="AK16" s="61">
        <v>0</v>
      </c>
      <c r="AL16" s="658">
        <v>0</v>
      </c>
      <c r="AM16" s="682">
        <v>999763898</v>
      </c>
      <c r="AN16" s="655">
        <f>+AM16/Q16</f>
        <v>0.99976389799999998</v>
      </c>
      <c r="AO16" s="655">
        <f>+AM16/H16</f>
        <v>0.50327705601991035</v>
      </c>
      <c r="AP16" s="1099"/>
      <c r="AQ16" s="1063"/>
      <c r="AR16" s="1063"/>
      <c r="AS16" s="1077"/>
      <c r="AT16" s="1060"/>
      <c r="AU16" s="30"/>
      <c r="AV16" s="30"/>
      <c r="AW16" s="30"/>
      <c r="AX16" s="30"/>
    </row>
    <row r="17" spans="1:50" s="20" customFormat="1" ht="35.1" customHeight="1" x14ac:dyDescent="0.25">
      <c r="A17" s="1085"/>
      <c r="B17" s="1085"/>
      <c r="C17" s="1085"/>
      <c r="D17" s="1085"/>
      <c r="E17" s="1085"/>
      <c r="F17" s="1085"/>
      <c r="G17" s="145" t="s">
        <v>130</v>
      </c>
      <c r="H17" s="62"/>
      <c r="I17" s="62"/>
      <c r="J17" s="62"/>
      <c r="K17" s="62"/>
      <c r="L17" s="62"/>
      <c r="M17" s="62"/>
      <c r="N17" s="62"/>
      <c r="O17" s="62"/>
      <c r="P17" s="62"/>
      <c r="Q17" s="683"/>
      <c r="R17" s="684"/>
      <c r="S17" s="63"/>
      <c r="T17" s="63">
        <v>0.08</v>
      </c>
      <c r="U17" s="62"/>
      <c r="V17" s="62"/>
      <c r="W17" s="62"/>
      <c r="X17" s="64"/>
      <c r="Y17" s="40"/>
      <c r="Z17" s="63"/>
      <c r="AA17" s="62"/>
      <c r="AB17" s="62"/>
      <c r="AC17" s="62"/>
      <c r="AD17" s="64"/>
      <c r="AE17" s="498"/>
      <c r="AF17" s="469"/>
      <c r="AG17" s="62"/>
      <c r="AH17" s="62"/>
      <c r="AI17" s="27"/>
      <c r="AJ17" s="24"/>
      <c r="AK17" s="24"/>
      <c r="AL17" s="658"/>
      <c r="AM17" s="661"/>
      <c r="AN17" s="685"/>
      <c r="AO17" s="685"/>
      <c r="AP17" s="1099"/>
      <c r="AQ17" s="1063"/>
      <c r="AR17" s="1063"/>
      <c r="AS17" s="1077"/>
      <c r="AT17" s="1060"/>
      <c r="AU17" s="30"/>
      <c r="AV17" s="30"/>
      <c r="AW17" s="30"/>
      <c r="AX17" s="30"/>
    </row>
    <row r="18" spans="1:50" s="20" customFormat="1" ht="35.1" customHeight="1" x14ac:dyDescent="0.25">
      <c r="A18" s="1085"/>
      <c r="B18" s="1085"/>
      <c r="C18" s="1085"/>
      <c r="D18" s="1085"/>
      <c r="E18" s="1085"/>
      <c r="F18" s="1085"/>
      <c r="G18" s="145" t="s">
        <v>135</v>
      </c>
      <c r="H18" s="66"/>
      <c r="I18" s="66"/>
      <c r="J18" s="66"/>
      <c r="K18" s="66"/>
      <c r="L18" s="66"/>
      <c r="M18" s="66"/>
      <c r="N18" s="66"/>
      <c r="O18" s="66"/>
      <c r="P18" s="66"/>
      <c r="Q18" s="686"/>
      <c r="R18" s="687"/>
      <c r="S18" s="67"/>
      <c r="T18" s="47">
        <v>999763898</v>
      </c>
      <c r="U18" s="66"/>
      <c r="V18" s="66"/>
      <c r="W18" s="66"/>
      <c r="X18" s="24"/>
      <c r="Y18" s="23"/>
      <c r="Z18" s="66"/>
      <c r="AA18" s="66"/>
      <c r="AB18" s="66"/>
      <c r="AC18" s="66"/>
      <c r="AD18" s="64"/>
      <c r="AE18" s="498"/>
      <c r="AF18" s="470"/>
      <c r="AG18" s="66"/>
      <c r="AH18" s="66"/>
      <c r="AI18" s="27"/>
      <c r="AJ18" s="61"/>
      <c r="AK18" s="61"/>
      <c r="AL18" s="657"/>
      <c r="AM18" s="657"/>
      <c r="AN18" s="685"/>
      <c r="AO18" s="685"/>
      <c r="AP18" s="1099"/>
      <c r="AQ18" s="1063"/>
      <c r="AR18" s="1063"/>
      <c r="AS18" s="1077"/>
      <c r="AT18" s="1060"/>
      <c r="AU18" s="30"/>
      <c r="AV18" s="30"/>
      <c r="AW18" s="30"/>
      <c r="AX18" s="30"/>
    </row>
    <row r="19" spans="1:50" s="20" customFormat="1" ht="35.1" customHeight="1" x14ac:dyDescent="0.25">
      <c r="A19" s="1085"/>
      <c r="B19" s="1085"/>
      <c r="C19" s="1085"/>
      <c r="D19" s="1085"/>
      <c r="E19" s="1085"/>
      <c r="F19" s="1085"/>
      <c r="G19" s="145" t="s">
        <v>137</v>
      </c>
      <c r="H19" s="70">
        <v>1</v>
      </c>
      <c r="I19" s="70"/>
      <c r="J19" s="70">
        <v>0</v>
      </c>
      <c r="K19" s="70">
        <v>0</v>
      </c>
      <c r="L19" s="70">
        <v>0</v>
      </c>
      <c r="M19" s="70"/>
      <c r="N19" s="71">
        <f t="shared" ref="N19:O19" si="2">+N15</f>
        <v>0.2</v>
      </c>
      <c r="O19" s="71">
        <f t="shared" si="2"/>
        <v>0.2</v>
      </c>
      <c r="P19" s="71">
        <f>+P15</f>
        <v>0.2</v>
      </c>
      <c r="Q19" s="688">
        <v>0.2</v>
      </c>
      <c r="R19" s="689">
        <v>0.12</v>
      </c>
      <c r="S19" s="39"/>
      <c r="T19" s="72">
        <v>0.6</v>
      </c>
      <c r="U19" s="71"/>
      <c r="V19" s="71"/>
      <c r="W19" s="71"/>
      <c r="X19" s="24"/>
      <c r="Y19" s="24"/>
      <c r="Z19" s="71">
        <v>0.9</v>
      </c>
      <c r="AA19" s="71"/>
      <c r="AB19" s="71"/>
      <c r="AC19" s="71"/>
      <c r="AD19" s="64"/>
      <c r="AE19" s="498"/>
      <c r="AF19" s="471">
        <v>1</v>
      </c>
      <c r="AG19" s="70"/>
      <c r="AH19" s="70"/>
      <c r="AI19" s="27"/>
      <c r="AJ19" s="24">
        <v>0</v>
      </c>
      <c r="AK19" s="24">
        <v>0</v>
      </c>
      <c r="AL19" s="279">
        <v>0.12</v>
      </c>
      <c r="AM19" s="690">
        <v>0.12</v>
      </c>
      <c r="AN19" s="655">
        <f>+AM19/Q19</f>
        <v>0.6</v>
      </c>
      <c r="AO19" s="655">
        <f>+AM19/H19</f>
        <v>0.12</v>
      </c>
      <c r="AP19" s="1099"/>
      <c r="AQ19" s="1063"/>
      <c r="AR19" s="1063"/>
      <c r="AS19" s="1077"/>
      <c r="AT19" s="1060"/>
      <c r="AU19" s="30"/>
      <c r="AV19" s="30"/>
      <c r="AW19" s="30"/>
      <c r="AX19" s="30"/>
    </row>
    <row r="20" spans="1:50" s="20" customFormat="1" ht="35.1" customHeight="1" thickBot="1" x14ac:dyDescent="0.3">
      <c r="A20" s="1085"/>
      <c r="B20" s="1085"/>
      <c r="C20" s="1085"/>
      <c r="D20" s="1085"/>
      <c r="E20" s="1085"/>
      <c r="F20" s="1085"/>
      <c r="G20" s="146" t="s">
        <v>143</v>
      </c>
      <c r="H20" s="75">
        <f>+K20+N20+T20+Z20+AF20</f>
        <v>1986508000</v>
      </c>
      <c r="I20" s="75"/>
      <c r="J20" s="75">
        <v>0</v>
      </c>
      <c r="K20" s="75">
        <v>0</v>
      </c>
      <c r="L20" s="75">
        <v>0</v>
      </c>
      <c r="M20" s="75"/>
      <c r="N20" s="76">
        <f t="shared" ref="N20:O20" si="3">+N16</f>
        <v>1000000000</v>
      </c>
      <c r="O20" s="76">
        <f t="shared" si="3"/>
        <v>1000000000</v>
      </c>
      <c r="P20" s="76">
        <f>+P16</f>
        <v>1000000000</v>
      </c>
      <c r="Q20" s="691">
        <v>1000000000</v>
      </c>
      <c r="R20" s="664">
        <f>+R16+R18</f>
        <v>999763898</v>
      </c>
      <c r="S20" s="114"/>
      <c r="T20" s="114">
        <f t="shared" ref="T20:Z20" si="4">+T16</f>
        <v>986508000</v>
      </c>
      <c r="U20" s="114"/>
      <c r="V20" s="114"/>
      <c r="W20" s="114"/>
      <c r="X20" s="114"/>
      <c r="Y20" s="114"/>
      <c r="Z20" s="114">
        <f t="shared" si="4"/>
        <v>0</v>
      </c>
      <c r="AA20" s="114"/>
      <c r="AB20" s="114"/>
      <c r="AC20" s="114"/>
      <c r="AD20" s="447"/>
      <c r="AE20" s="498"/>
      <c r="AF20" s="96">
        <f>+AF16</f>
        <v>0</v>
      </c>
      <c r="AG20" s="95"/>
      <c r="AH20" s="95"/>
      <c r="AI20" s="58"/>
      <c r="AJ20" s="95">
        <v>0</v>
      </c>
      <c r="AK20" s="95">
        <v>0</v>
      </c>
      <c r="AL20" s="499">
        <v>0</v>
      </c>
      <c r="AM20" s="664">
        <f>+AM16+AM18</f>
        <v>999763898</v>
      </c>
      <c r="AN20" s="655">
        <f>+AM20/Q20</f>
        <v>0.99976389799999998</v>
      </c>
      <c r="AO20" s="655">
        <f>+AM20/H20</f>
        <v>0.50327705601991035</v>
      </c>
      <c r="AP20" s="1102"/>
      <c r="AQ20" s="1113"/>
      <c r="AR20" s="1113"/>
      <c r="AS20" s="1079"/>
      <c r="AT20" s="1061"/>
      <c r="AU20" s="30"/>
      <c r="AV20" s="30"/>
      <c r="AW20" s="30"/>
      <c r="AX20" s="30"/>
    </row>
    <row r="21" spans="1:50" s="20" customFormat="1" ht="35.1" customHeight="1" x14ac:dyDescent="0.25">
      <c r="A21" s="1085"/>
      <c r="B21" s="1086">
        <v>3</v>
      </c>
      <c r="C21" s="1085" t="s">
        <v>99</v>
      </c>
      <c r="D21" s="1085" t="s">
        <v>84</v>
      </c>
      <c r="E21" s="1085">
        <v>477</v>
      </c>
      <c r="F21" s="1085"/>
      <c r="G21" s="147" t="s">
        <v>111</v>
      </c>
      <c r="H21" s="77">
        <v>20000</v>
      </c>
      <c r="I21" s="77"/>
      <c r="J21" s="78">
        <v>2500</v>
      </c>
      <c r="K21" s="77">
        <v>2591</v>
      </c>
      <c r="L21" s="77">
        <v>2591</v>
      </c>
      <c r="M21" s="77"/>
      <c r="N21" s="77">
        <v>5000</v>
      </c>
      <c r="O21" s="77">
        <v>5000</v>
      </c>
      <c r="P21" s="77">
        <v>5000</v>
      </c>
      <c r="Q21" s="692">
        <v>5000</v>
      </c>
      <c r="R21" s="692">
        <v>5000</v>
      </c>
      <c r="S21" s="77"/>
      <c r="T21" s="77">
        <f>5000-91</f>
        <v>4909</v>
      </c>
      <c r="U21" s="77"/>
      <c r="V21" s="77"/>
      <c r="W21" s="77"/>
      <c r="X21" s="77"/>
      <c r="Y21" s="77"/>
      <c r="Z21" s="77">
        <v>5000</v>
      </c>
      <c r="AA21" s="77"/>
      <c r="AB21" s="77"/>
      <c r="AC21" s="77"/>
      <c r="AD21" s="52"/>
      <c r="AE21" s="498"/>
      <c r="AF21" s="693">
        <v>2500</v>
      </c>
      <c r="AG21" s="77"/>
      <c r="AH21" s="77"/>
      <c r="AI21" s="52"/>
      <c r="AJ21" s="38">
        <v>1279</v>
      </c>
      <c r="AK21" s="38">
        <v>2745</v>
      </c>
      <c r="AL21" s="38">
        <v>3961</v>
      </c>
      <c r="AM21" s="694">
        <v>5000</v>
      </c>
      <c r="AN21" s="674">
        <f>+AM21/Q21</f>
        <v>1</v>
      </c>
      <c r="AO21" s="675">
        <f>+AM21/H21</f>
        <v>0.25</v>
      </c>
      <c r="AP21" s="1101" t="s">
        <v>533</v>
      </c>
      <c r="AQ21" s="1087" t="s">
        <v>214</v>
      </c>
      <c r="AR21" s="1087" t="s">
        <v>86</v>
      </c>
      <c r="AS21" s="1078" t="s">
        <v>243</v>
      </c>
      <c r="AT21" s="1059" t="s">
        <v>110</v>
      </c>
      <c r="AU21" s="30"/>
      <c r="AV21" s="30"/>
      <c r="AW21" s="30"/>
      <c r="AX21" s="30"/>
    </row>
    <row r="22" spans="1:50" s="20" customFormat="1" ht="35.1" customHeight="1" x14ac:dyDescent="0.25">
      <c r="A22" s="1085"/>
      <c r="B22" s="1086"/>
      <c r="C22" s="1085"/>
      <c r="D22" s="1085"/>
      <c r="E22" s="1085"/>
      <c r="F22" s="1085"/>
      <c r="G22" s="145" t="s">
        <v>123</v>
      </c>
      <c r="H22" s="60">
        <f>L22+N22+T22+Z22+AF22</f>
        <v>924691773</v>
      </c>
      <c r="I22" s="60"/>
      <c r="J22" s="60">
        <v>98907915</v>
      </c>
      <c r="K22" s="676">
        <v>98907913</v>
      </c>
      <c r="L22" s="676">
        <v>80827278</v>
      </c>
      <c r="M22" s="676"/>
      <c r="N22" s="676">
        <v>207769000</v>
      </c>
      <c r="O22" s="676">
        <v>207769000</v>
      </c>
      <c r="P22" s="676">
        <v>207769000</v>
      </c>
      <c r="Q22" s="695">
        <v>173527500</v>
      </c>
      <c r="R22" s="695">
        <f>+AM22</f>
        <v>173527500</v>
      </c>
      <c r="S22" s="507"/>
      <c r="T22" s="507">
        <v>193095495</v>
      </c>
      <c r="U22" s="507"/>
      <c r="V22" s="507"/>
      <c r="W22" s="507"/>
      <c r="X22" s="54"/>
      <c r="Y22" s="54"/>
      <c r="Z22" s="507">
        <v>284000000</v>
      </c>
      <c r="AA22" s="507"/>
      <c r="AB22" s="507"/>
      <c r="AC22" s="507"/>
      <c r="AD22" s="54"/>
      <c r="AE22" s="498"/>
      <c r="AF22" s="680">
        <v>159000000</v>
      </c>
      <c r="AG22" s="61"/>
      <c r="AH22" s="61"/>
      <c r="AI22" s="54"/>
      <c r="AJ22" s="61">
        <v>43220000</v>
      </c>
      <c r="AK22" s="61">
        <v>61710000</v>
      </c>
      <c r="AL22" s="658">
        <v>61710000</v>
      </c>
      <c r="AM22" s="696">
        <v>173527500</v>
      </c>
      <c r="AN22" s="697">
        <f>+AM22/Q22</f>
        <v>1</v>
      </c>
      <c r="AO22" s="697">
        <f>+AM22/H22</f>
        <v>0.18765982900120384</v>
      </c>
      <c r="AP22" s="1099"/>
      <c r="AQ22" s="1063"/>
      <c r="AR22" s="1063"/>
      <c r="AS22" s="1077"/>
      <c r="AT22" s="1060"/>
      <c r="AU22" s="30"/>
      <c r="AV22" s="30"/>
      <c r="AW22" s="30"/>
      <c r="AX22" s="30"/>
    </row>
    <row r="23" spans="1:50" s="20" customFormat="1" ht="35.1" customHeight="1" x14ac:dyDescent="0.25">
      <c r="A23" s="1085"/>
      <c r="B23" s="1086"/>
      <c r="C23" s="1085"/>
      <c r="D23" s="1085"/>
      <c r="E23" s="1085"/>
      <c r="F23" s="1085"/>
      <c r="G23" s="145" t="s">
        <v>130</v>
      </c>
      <c r="H23" s="62"/>
      <c r="I23" s="62"/>
      <c r="J23" s="79"/>
      <c r="K23" s="80"/>
      <c r="L23" s="80"/>
      <c r="M23" s="80"/>
      <c r="N23" s="79"/>
      <c r="O23" s="62"/>
      <c r="P23" s="62"/>
      <c r="Q23" s="683">
        <v>0</v>
      </c>
      <c r="R23" s="689">
        <v>0</v>
      </c>
      <c r="S23" s="270"/>
      <c r="T23" s="63">
        <v>0</v>
      </c>
      <c r="U23" s="62"/>
      <c r="V23" s="62"/>
      <c r="W23" s="62"/>
      <c r="X23" s="54"/>
      <c r="Y23" s="54"/>
      <c r="Z23" s="62"/>
      <c r="AA23" s="62"/>
      <c r="AB23" s="62"/>
      <c r="AC23" s="62"/>
      <c r="AD23" s="54"/>
      <c r="AE23" s="498"/>
      <c r="AF23" s="63"/>
      <c r="AG23" s="62"/>
      <c r="AH23" s="62"/>
      <c r="AI23" s="54"/>
      <c r="AJ23" s="61"/>
      <c r="AK23" s="24"/>
      <c r="AL23" s="658"/>
      <c r="AM23" s="661"/>
      <c r="AN23" s="685"/>
      <c r="AO23" s="685"/>
      <c r="AP23" s="1099"/>
      <c r="AQ23" s="1063"/>
      <c r="AR23" s="1063"/>
      <c r="AS23" s="1077"/>
      <c r="AT23" s="1060"/>
      <c r="AU23" s="30"/>
      <c r="AV23" s="30"/>
      <c r="AW23" s="30"/>
      <c r="AX23" s="30"/>
    </row>
    <row r="24" spans="1:50" s="20" customFormat="1" ht="35.1" customHeight="1" x14ac:dyDescent="0.25">
      <c r="A24" s="1085"/>
      <c r="B24" s="1086"/>
      <c r="C24" s="1085"/>
      <c r="D24" s="1085"/>
      <c r="E24" s="1085"/>
      <c r="F24" s="1085"/>
      <c r="G24" s="145" t="s">
        <v>135</v>
      </c>
      <c r="H24" s="62"/>
      <c r="I24" s="62"/>
      <c r="J24" s="79"/>
      <c r="K24" s="81"/>
      <c r="L24" s="82"/>
      <c r="M24" s="82"/>
      <c r="N24" s="47">
        <v>57533097</v>
      </c>
      <c r="O24" s="47">
        <v>57533097</v>
      </c>
      <c r="P24" s="47">
        <v>57533097</v>
      </c>
      <c r="Q24" s="507">
        <v>57533097</v>
      </c>
      <c r="R24" s="507">
        <v>57533097</v>
      </c>
      <c r="S24" s="270"/>
      <c r="T24" s="61">
        <v>118520100</v>
      </c>
      <c r="U24" s="62"/>
      <c r="V24" s="62"/>
      <c r="W24" s="62"/>
      <c r="X24" s="54"/>
      <c r="Y24" s="54"/>
      <c r="Z24" s="62"/>
      <c r="AA24" s="62"/>
      <c r="AB24" s="62"/>
      <c r="AC24" s="62"/>
      <c r="AD24" s="54"/>
      <c r="AE24" s="498"/>
      <c r="AF24" s="63"/>
      <c r="AG24" s="62"/>
      <c r="AH24" s="62"/>
      <c r="AI24" s="54"/>
      <c r="AJ24" s="61">
        <v>17533097</v>
      </c>
      <c r="AK24" s="68">
        <v>47533097</v>
      </c>
      <c r="AL24" s="698">
        <v>57533097</v>
      </c>
      <c r="AM24" s="698">
        <v>57533097</v>
      </c>
      <c r="AN24" s="685"/>
      <c r="AO24" s="685"/>
      <c r="AP24" s="1099"/>
      <c r="AQ24" s="1063"/>
      <c r="AR24" s="1063"/>
      <c r="AS24" s="1077"/>
      <c r="AT24" s="1060"/>
      <c r="AU24" s="30"/>
      <c r="AV24" s="30"/>
      <c r="AW24" s="30"/>
      <c r="AX24" s="30"/>
    </row>
    <row r="25" spans="1:50" s="20" customFormat="1" ht="35.1" customHeight="1" x14ac:dyDescent="0.25">
      <c r="A25" s="1085"/>
      <c r="B25" s="1086"/>
      <c r="C25" s="1085"/>
      <c r="D25" s="1085"/>
      <c r="E25" s="1085"/>
      <c r="F25" s="1085"/>
      <c r="G25" s="145" t="s">
        <v>137</v>
      </c>
      <c r="H25" s="70">
        <f>+H21</f>
        <v>20000</v>
      </c>
      <c r="I25" s="83"/>
      <c r="J25" s="83">
        <v>2500</v>
      </c>
      <c r="K25" s="83">
        <f>+K21</f>
        <v>2591</v>
      </c>
      <c r="L25" s="83">
        <v>2591</v>
      </c>
      <c r="M25" s="83"/>
      <c r="N25" s="83">
        <f t="shared" ref="N25:O25" si="5">+N21</f>
        <v>5000</v>
      </c>
      <c r="O25" s="83">
        <f t="shared" si="5"/>
        <v>5000</v>
      </c>
      <c r="P25" s="83">
        <f>+P21</f>
        <v>5000</v>
      </c>
      <c r="Q25" s="699">
        <v>5000</v>
      </c>
      <c r="R25" s="699">
        <v>5002</v>
      </c>
      <c r="S25" s="83"/>
      <c r="T25" s="83">
        <f t="shared" ref="T25:Z25" si="6">+T21</f>
        <v>4909</v>
      </c>
      <c r="U25" s="83"/>
      <c r="V25" s="83"/>
      <c r="W25" s="83"/>
      <c r="X25" s="83"/>
      <c r="Y25" s="83"/>
      <c r="Z25" s="83">
        <f t="shared" si="6"/>
        <v>5000</v>
      </c>
      <c r="AA25" s="83"/>
      <c r="AB25" s="83"/>
      <c r="AC25" s="83"/>
      <c r="AD25" s="462"/>
      <c r="AE25" s="498"/>
      <c r="AF25" s="472">
        <f>+AF21</f>
        <v>2500</v>
      </c>
      <c r="AG25" s="70"/>
      <c r="AH25" s="70"/>
      <c r="AI25" s="54"/>
      <c r="AJ25" s="24">
        <v>1279</v>
      </c>
      <c r="AK25" s="24">
        <v>2745</v>
      </c>
      <c r="AL25" s="658">
        <v>3961</v>
      </c>
      <c r="AM25" s="661">
        <v>5002</v>
      </c>
      <c r="AN25" s="655">
        <f>+AM25/Q25</f>
        <v>1.0004</v>
      </c>
      <c r="AO25" s="655">
        <f>+AM25/H25</f>
        <v>0.25009999999999999</v>
      </c>
      <c r="AP25" s="1099"/>
      <c r="AQ25" s="1063"/>
      <c r="AR25" s="1063"/>
      <c r="AS25" s="1077"/>
      <c r="AT25" s="1060"/>
      <c r="AU25" s="30"/>
      <c r="AV25" s="30"/>
      <c r="AW25" s="30"/>
      <c r="AX25" s="30"/>
    </row>
    <row r="26" spans="1:50" s="20" customFormat="1" ht="35.1" customHeight="1" thickBot="1" x14ac:dyDescent="0.3">
      <c r="A26" s="1085"/>
      <c r="B26" s="1086"/>
      <c r="C26" s="1085"/>
      <c r="D26" s="1085"/>
      <c r="E26" s="1085"/>
      <c r="F26" s="1085"/>
      <c r="G26" s="148" t="s">
        <v>143</v>
      </c>
      <c r="H26" s="84">
        <f>+H22</f>
        <v>924691773</v>
      </c>
      <c r="I26" s="84"/>
      <c r="J26" s="84">
        <f>+J22</f>
        <v>98907915</v>
      </c>
      <c r="K26" s="84">
        <f t="shared" ref="K26:Z26" si="7">+K22</f>
        <v>98907913</v>
      </c>
      <c r="L26" s="84">
        <v>80827278</v>
      </c>
      <c r="M26" s="84"/>
      <c r="N26" s="84">
        <f t="shared" ref="N26:O26" si="8">+N22+N24</f>
        <v>265302097</v>
      </c>
      <c r="O26" s="84">
        <f t="shared" si="8"/>
        <v>265302097</v>
      </c>
      <c r="P26" s="84">
        <f>+P22+P24</f>
        <v>265302097</v>
      </c>
      <c r="Q26" s="700">
        <f>+Q22+Q24</f>
        <v>231060597</v>
      </c>
      <c r="R26" s="664">
        <f>+R22+R24</f>
        <v>231060597</v>
      </c>
      <c r="S26" s="500"/>
      <c r="T26" s="500">
        <f t="shared" si="7"/>
        <v>193095495</v>
      </c>
      <c r="U26" s="500"/>
      <c r="V26" s="500"/>
      <c r="W26" s="500"/>
      <c r="X26" s="500"/>
      <c r="Y26" s="500"/>
      <c r="Z26" s="500">
        <f t="shared" si="7"/>
        <v>284000000</v>
      </c>
      <c r="AA26" s="500"/>
      <c r="AB26" s="500"/>
      <c r="AC26" s="500"/>
      <c r="AD26" s="501"/>
      <c r="AE26" s="498"/>
      <c r="AF26" s="502">
        <f>+AF22</f>
        <v>159000000</v>
      </c>
      <c r="AG26" s="500"/>
      <c r="AH26" s="500"/>
      <c r="AI26" s="496"/>
      <c r="AJ26" s="500">
        <v>60753097</v>
      </c>
      <c r="AK26" s="500">
        <v>109243097</v>
      </c>
      <c r="AL26" s="499">
        <v>119243097</v>
      </c>
      <c r="AM26" s="664">
        <f>+AM22+AM24</f>
        <v>231060597</v>
      </c>
      <c r="AN26" s="701">
        <f>+AM26/Q26</f>
        <v>1</v>
      </c>
      <c r="AO26" s="701">
        <f>+AM26/H26</f>
        <v>0.24987850410993112</v>
      </c>
      <c r="AP26" s="1102"/>
      <c r="AQ26" s="1113"/>
      <c r="AR26" s="1113"/>
      <c r="AS26" s="1079"/>
      <c r="AT26" s="1061"/>
      <c r="AU26" s="30"/>
      <c r="AV26" s="30"/>
      <c r="AW26" s="30"/>
      <c r="AX26" s="30"/>
    </row>
    <row r="27" spans="1:50" s="31" customFormat="1" ht="35.1" customHeight="1" x14ac:dyDescent="0.25">
      <c r="A27" s="1085" t="s">
        <v>181</v>
      </c>
      <c r="B27" s="1086">
        <v>4</v>
      </c>
      <c r="C27" s="1085" t="s">
        <v>182</v>
      </c>
      <c r="D27" s="1085" t="s">
        <v>84</v>
      </c>
      <c r="E27" s="1085">
        <v>478</v>
      </c>
      <c r="F27" s="1085"/>
      <c r="G27" s="142" t="s">
        <v>111</v>
      </c>
      <c r="H27" s="85">
        <f>+L27+R27+R29+T27+T29+Z27+AF27</f>
        <v>500</v>
      </c>
      <c r="I27" s="85"/>
      <c r="J27" s="86">
        <v>60</v>
      </c>
      <c r="K27" s="86">
        <v>60</v>
      </c>
      <c r="L27" s="86">
        <v>13</v>
      </c>
      <c r="M27" s="86"/>
      <c r="N27" s="86">
        <v>120</v>
      </c>
      <c r="O27" s="86">
        <v>120</v>
      </c>
      <c r="P27" s="86">
        <v>120</v>
      </c>
      <c r="Q27" s="702">
        <v>120</v>
      </c>
      <c r="R27" s="490">
        <v>103</v>
      </c>
      <c r="S27" s="703"/>
      <c r="T27" s="473">
        <v>130</v>
      </c>
      <c r="U27" s="86"/>
      <c r="V27" s="86"/>
      <c r="W27" s="86"/>
      <c r="X27" s="58"/>
      <c r="Y27" s="58"/>
      <c r="Z27" s="86">
        <v>130</v>
      </c>
      <c r="AA27" s="86"/>
      <c r="AB27" s="86"/>
      <c r="AC27" s="86"/>
      <c r="AD27" s="58"/>
      <c r="AE27" s="478"/>
      <c r="AF27" s="473">
        <v>60</v>
      </c>
      <c r="AG27" s="87"/>
      <c r="AH27" s="87"/>
      <c r="AI27" s="58"/>
      <c r="AJ27" s="87">
        <v>0</v>
      </c>
      <c r="AK27" s="86">
        <v>0</v>
      </c>
      <c r="AL27" s="704">
        <v>11</v>
      </c>
      <c r="AM27" s="490">
        <f>92+AL27</f>
        <v>103</v>
      </c>
      <c r="AN27" s="655">
        <f>(AM29+AM27 )/Q31</f>
        <v>0.89820359281437123</v>
      </c>
      <c r="AO27" s="655">
        <f>(AM29+AM27)/H27</f>
        <v>0.3</v>
      </c>
      <c r="AP27" s="1107" t="s">
        <v>550</v>
      </c>
      <c r="AQ27" s="1110" t="s">
        <v>551</v>
      </c>
      <c r="AR27" s="1110" t="s">
        <v>552</v>
      </c>
      <c r="AS27" s="1076" t="s">
        <v>534</v>
      </c>
      <c r="AT27" s="1084" t="s">
        <v>418</v>
      </c>
    </row>
    <row r="28" spans="1:50" s="31" customFormat="1" ht="35.1" customHeight="1" x14ac:dyDescent="0.25">
      <c r="A28" s="1085"/>
      <c r="B28" s="1086"/>
      <c r="C28" s="1085"/>
      <c r="D28" s="1085"/>
      <c r="E28" s="1085"/>
      <c r="F28" s="1085"/>
      <c r="G28" s="141" t="s">
        <v>123</v>
      </c>
      <c r="H28" s="46">
        <f>L28+N28+T28+Z28+AF28</f>
        <v>7717539085</v>
      </c>
      <c r="I28" s="88"/>
      <c r="J28" s="88">
        <v>628505447</v>
      </c>
      <c r="K28" s="88">
        <v>628505447</v>
      </c>
      <c r="L28" s="88">
        <v>545279085</v>
      </c>
      <c r="M28" s="88"/>
      <c r="N28" s="88">
        <v>1159424000</v>
      </c>
      <c r="O28" s="88">
        <v>1159424000</v>
      </c>
      <c r="P28" s="88">
        <v>1159424000</v>
      </c>
      <c r="Q28" s="705">
        <v>996271850</v>
      </c>
      <c r="R28" s="503">
        <f>+AM28</f>
        <v>996271849</v>
      </c>
      <c r="S28" s="271"/>
      <c r="T28" s="445">
        <v>1318836000</v>
      </c>
      <c r="U28" s="94"/>
      <c r="V28" s="94"/>
      <c r="W28" s="94"/>
      <c r="X28" s="58"/>
      <c r="Y28" s="58"/>
      <c r="Z28" s="94">
        <v>2694000000</v>
      </c>
      <c r="AA28" s="94"/>
      <c r="AB28" s="94"/>
      <c r="AC28" s="94"/>
      <c r="AD28" s="58"/>
      <c r="AE28" s="478"/>
      <c r="AF28" s="134">
        <v>2000000000</v>
      </c>
      <c r="AG28" s="87"/>
      <c r="AH28" s="87"/>
      <c r="AI28" s="58"/>
      <c r="AJ28" s="47">
        <v>263232000</v>
      </c>
      <c r="AK28" s="47">
        <v>698210500</v>
      </c>
      <c r="AL28" s="658">
        <v>866344417</v>
      </c>
      <c r="AM28" s="624">
        <v>996271849</v>
      </c>
      <c r="AN28" s="655">
        <f>+AM28/Q28</f>
        <v>0.99999999899625791</v>
      </c>
      <c r="AO28" s="655">
        <f>+AM28/H28</f>
        <v>0.12909190844739338</v>
      </c>
      <c r="AP28" s="1108"/>
      <c r="AQ28" s="1111"/>
      <c r="AR28" s="1111"/>
      <c r="AS28" s="1077"/>
      <c r="AT28" s="1060"/>
    </row>
    <row r="29" spans="1:50" s="31" customFormat="1" ht="35.1" customHeight="1" x14ac:dyDescent="0.25">
      <c r="A29" s="1085"/>
      <c r="B29" s="1086"/>
      <c r="C29" s="1085"/>
      <c r="D29" s="1085"/>
      <c r="E29" s="1085"/>
      <c r="F29" s="1085"/>
      <c r="G29" s="141" t="s">
        <v>130</v>
      </c>
      <c r="H29" s="36"/>
      <c r="I29" s="36"/>
      <c r="J29" s="89"/>
      <c r="K29" s="89"/>
      <c r="L29" s="89"/>
      <c r="M29" s="90"/>
      <c r="N29" s="88">
        <v>47</v>
      </c>
      <c r="O29" s="94">
        <v>47</v>
      </c>
      <c r="P29" s="94">
        <v>47</v>
      </c>
      <c r="Q29" s="705">
        <v>47</v>
      </c>
      <c r="R29" s="491">
        <v>47</v>
      </c>
      <c r="S29" s="271"/>
      <c r="T29" s="445">
        <v>17</v>
      </c>
      <c r="U29" s="94"/>
      <c r="V29" s="94"/>
      <c r="W29" s="94"/>
      <c r="X29" s="58"/>
      <c r="Y29" s="58"/>
      <c r="Z29" s="94"/>
      <c r="AA29" s="94"/>
      <c r="AB29" s="94"/>
      <c r="AC29" s="94"/>
      <c r="AD29" s="58"/>
      <c r="AE29" s="478"/>
      <c r="AF29" s="445"/>
      <c r="AG29" s="87"/>
      <c r="AH29" s="87"/>
      <c r="AI29" s="58"/>
      <c r="AJ29" s="47"/>
      <c r="AK29" s="47"/>
      <c r="AL29" s="658"/>
      <c r="AM29" s="661">
        <v>47</v>
      </c>
      <c r="AN29" s="706"/>
      <c r="AO29" s="706"/>
      <c r="AP29" s="1108"/>
      <c r="AQ29" s="1111"/>
      <c r="AR29" s="1111"/>
      <c r="AS29" s="1077"/>
      <c r="AT29" s="1060"/>
    </row>
    <row r="30" spans="1:50" s="31" customFormat="1" ht="35.1" customHeight="1" x14ac:dyDescent="0.25">
      <c r="A30" s="1085"/>
      <c r="B30" s="1086"/>
      <c r="C30" s="1085"/>
      <c r="D30" s="1085"/>
      <c r="E30" s="1085"/>
      <c r="F30" s="1085"/>
      <c r="G30" s="141" t="s">
        <v>135</v>
      </c>
      <c r="H30" s="47"/>
      <c r="I30" s="47"/>
      <c r="J30" s="46"/>
      <c r="K30" s="46"/>
      <c r="L30" s="46"/>
      <c r="M30" s="46"/>
      <c r="N30" s="46">
        <v>263795085</v>
      </c>
      <c r="O30" s="47">
        <v>263795085</v>
      </c>
      <c r="P30" s="47">
        <v>263795085</v>
      </c>
      <c r="Q30" s="656">
        <v>263795085</v>
      </c>
      <c r="R30" s="656">
        <v>263795085</v>
      </c>
      <c r="S30" s="36"/>
      <c r="T30" s="47">
        <v>311247066</v>
      </c>
      <c r="U30" s="47"/>
      <c r="V30" s="47"/>
      <c r="W30" s="47"/>
      <c r="X30" s="36"/>
      <c r="Y30" s="36"/>
      <c r="Z30" s="47"/>
      <c r="AA30" s="47"/>
      <c r="AB30" s="47"/>
      <c r="AC30" s="47"/>
      <c r="AD30" s="463"/>
      <c r="AE30" s="478"/>
      <c r="AF30" s="134"/>
      <c r="AG30" s="87"/>
      <c r="AH30" s="87"/>
      <c r="AI30" s="58"/>
      <c r="AJ30" s="47">
        <v>257556993</v>
      </c>
      <c r="AK30" s="47">
        <v>263795085</v>
      </c>
      <c r="AL30" s="658">
        <v>263795085</v>
      </c>
      <c r="AM30" s="658">
        <v>263795085</v>
      </c>
      <c r="AN30" s="706"/>
      <c r="AO30" s="706"/>
      <c r="AP30" s="1108"/>
      <c r="AQ30" s="1111"/>
      <c r="AR30" s="1111"/>
      <c r="AS30" s="1077"/>
      <c r="AT30" s="1060"/>
    </row>
    <row r="31" spans="1:50" s="31" customFormat="1" ht="35.1" customHeight="1" x14ac:dyDescent="0.25">
      <c r="A31" s="1085"/>
      <c r="B31" s="1086"/>
      <c r="C31" s="1085"/>
      <c r="D31" s="1085"/>
      <c r="E31" s="1085"/>
      <c r="F31" s="1085"/>
      <c r="G31" s="141" t="s">
        <v>137</v>
      </c>
      <c r="H31" s="91">
        <v>500</v>
      </c>
      <c r="I31" s="91"/>
      <c r="J31" s="86">
        <f>+J27</f>
        <v>60</v>
      </c>
      <c r="K31" s="86">
        <f>+K27</f>
        <v>60</v>
      </c>
      <c r="L31" s="86">
        <v>13</v>
      </c>
      <c r="M31" s="86"/>
      <c r="N31" s="86">
        <f t="shared" ref="N31:O31" si="9">+N27+N29</f>
        <v>167</v>
      </c>
      <c r="O31" s="86">
        <f t="shared" si="9"/>
        <v>167</v>
      </c>
      <c r="P31" s="86">
        <f>+P27+P29</f>
        <v>167</v>
      </c>
      <c r="Q31" s="707">
        <v>167</v>
      </c>
      <c r="R31" s="657">
        <f>+R27+R29</f>
        <v>150</v>
      </c>
      <c r="S31" s="86"/>
      <c r="T31" s="86">
        <f>+T27+T29</f>
        <v>147</v>
      </c>
      <c r="U31" s="86"/>
      <c r="V31" s="86"/>
      <c r="W31" s="86"/>
      <c r="X31" s="86"/>
      <c r="Y31" s="86"/>
      <c r="Z31" s="86">
        <f t="shared" ref="Z31" si="10">+Z27</f>
        <v>130</v>
      </c>
      <c r="AA31" s="86"/>
      <c r="AB31" s="86"/>
      <c r="AC31" s="86"/>
      <c r="AD31" s="464"/>
      <c r="AE31" s="478"/>
      <c r="AF31" s="473">
        <f>+AF27</f>
        <v>60</v>
      </c>
      <c r="AG31" s="87"/>
      <c r="AH31" s="87"/>
      <c r="AI31" s="58"/>
      <c r="AJ31" s="47">
        <v>0</v>
      </c>
      <c r="AK31" s="47">
        <v>0</v>
      </c>
      <c r="AL31" s="49">
        <v>11</v>
      </c>
      <c r="AM31" s="657">
        <f>+AM27+AM29</f>
        <v>150</v>
      </c>
      <c r="AN31" s="655">
        <f>(AM31)/Q31</f>
        <v>0.89820359281437123</v>
      </c>
      <c r="AO31" s="655">
        <f>(AM31)/H31</f>
        <v>0.3</v>
      </c>
      <c r="AP31" s="1108"/>
      <c r="AQ31" s="1111"/>
      <c r="AR31" s="1111"/>
      <c r="AS31" s="1077"/>
      <c r="AT31" s="1060"/>
    </row>
    <row r="32" spans="1:50" s="31" customFormat="1" ht="35.1" customHeight="1" thickBot="1" x14ac:dyDescent="0.3">
      <c r="A32" s="1085"/>
      <c r="B32" s="1086"/>
      <c r="C32" s="1085"/>
      <c r="D32" s="1085"/>
      <c r="E32" s="1085"/>
      <c r="F32" s="1085"/>
      <c r="G32" s="149" t="s">
        <v>143</v>
      </c>
      <c r="H32" s="88">
        <f>+H28</f>
        <v>7717539085</v>
      </c>
      <c r="I32" s="88"/>
      <c r="J32" s="88">
        <f>+J28</f>
        <v>628505447</v>
      </c>
      <c r="K32" s="88">
        <f t="shared" ref="K32:Z32" si="11">+K28</f>
        <v>628505447</v>
      </c>
      <c r="L32" s="88">
        <v>545279085</v>
      </c>
      <c r="M32" s="88"/>
      <c r="N32" s="88">
        <f t="shared" ref="N32:O32" si="12">+N28+N30</f>
        <v>1423219085</v>
      </c>
      <c r="O32" s="88">
        <f t="shared" si="12"/>
        <v>1423219085</v>
      </c>
      <c r="P32" s="88">
        <f>+P28+P30</f>
        <v>1423219085</v>
      </c>
      <c r="Q32" s="664">
        <f>+Q28+Q30</f>
        <v>1260066935</v>
      </c>
      <c r="R32" s="664">
        <f>+R28+R30</f>
        <v>1260066934</v>
      </c>
      <c r="S32" s="94"/>
      <c r="T32" s="94">
        <f t="shared" si="11"/>
        <v>1318836000</v>
      </c>
      <c r="U32" s="94"/>
      <c r="V32" s="94"/>
      <c r="W32" s="94"/>
      <c r="X32" s="94"/>
      <c r="Y32" s="94"/>
      <c r="Z32" s="94">
        <f t="shared" si="11"/>
        <v>2694000000</v>
      </c>
      <c r="AA32" s="94"/>
      <c r="AB32" s="94"/>
      <c r="AC32" s="94"/>
      <c r="AD32" s="465"/>
      <c r="AE32" s="478"/>
      <c r="AF32" s="445">
        <f>+AF28</f>
        <v>2000000000</v>
      </c>
      <c r="AG32" s="87"/>
      <c r="AH32" s="87"/>
      <c r="AI32" s="58"/>
      <c r="AJ32" s="87">
        <v>520788993</v>
      </c>
      <c r="AK32" s="94">
        <v>962005585</v>
      </c>
      <c r="AL32" s="515">
        <v>1130139502</v>
      </c>
      <c r="AM32" s="664">
        <f>+AM28+AM30</f>
        <v>1260066934</v>
      </c>
      <c r="AN32" s="655">
        <f>+AM32/Q32</f>
        <v>0.99999999920639138</v>
      </c>
      <c r="AO32" s="655">
        <f>+AM32/H32</f>
        <v>0.16327315224733974</v>
      </c>
      <c r="AP32" s="1109"/>
      <c r="AQ32" s="1112"/>
      <c r="AR32" s="1112"/>
      <c r="AS32" s="1077"/>
      <c r="AT32" s="1060"/>
    </row>
    <row r="33" spans="1:50" s="31" customFormat="1" ht="35.1" customHeight="1" x14ac:dyDescent="0.25">
      <c r="A33" s="1085"/>
      <c r="B33" s="1086">
        <v>5</v>
      </c>
      <c r="C33" s="1123" t="s">
        <v>188</v>
      </c>
      <c r="D33" s="1085" t="s">
        <v>189</v>
      </c>
      <c r="E33" s="1085">
        <v>478</v>
      </c>
      <c r="F33" s="1085"/>
      <c r="G33" s="140" t="s">
        <v>111</v>
      </c>
      <c r="H33" s="92">
        <v>100</v>
      </c>
      <c r="I33" s="92"/>
      <c r="J33" s="93">
        <v>10</v>
      </c>
      <c r="K33" s="93">
        <v>10</v>
      </c>
      <c r="L33" s="93">
        <v>10</v>
      </c>
      <c r="M33" s="93"/>
      <c r="N33" s="93">
        <v>30</v>
      </c>
      <c r="O33" s="93">
        <v>30</v>
      </c>
      <c r="P33" s="93">
        <v>30</v>
      </c>
      <c r="Q33" s="708">
        <v>30</v>
      </c>
      <c r="R33" s="708">
        <v>24</v>
      </c>
      <c r="S33" s="93"/>
      <c r="T33" s="93">
        <v>60</v>
      </c>
      <c r="U33" s="93"/>
      <c r="V33" s="93"/>
      <c r="W33" s="93"/>
      <c r="X33" s="93"/>
      <c r="Y33" s="93"/>
      <c r="Z33" s="93">
        <v>90</v>
      </c>
      <c r="AA33" s="93"/>
      <c r="AB33" s="93"/>
      <c r="AC33" s="93"/>
      <c r="AD33" s="709"/>
      <c r="AE33" s="478"/>
      <c r="AF33" s="710">
        <v>100</v>
      </c>
      <c r="AG33" s="92"/>
      <c r="AH33" s="92"/>
      <c r="AI33" s="52"/>
      <c r="AJ33" s="92">
        <v>3</v>
      </c>
      <c r="AK33" s="93">
        <v>16</v>
      </c>
      <c r="AL33" s="711">
        <v>24</v>
      </c>
      <c r="AM33" s="651">
        <v>24</v>
      </c>
      <c r="AN33" s="674">
        <f>+AM33/Q33</f>
        <v>0.8</v>
      </c>
      <c r="AO33" s="675">
        <f>+AM33/H33</f>
        <v>0.24</v>
      </c>
      <c r="AP33" s="1117" t="s">
        <v>547</v>
      </c>
      <c r="AQ33" s="1090" t="s">
        <v>535</v>
      </c>
      <c r="AR33" s="1092" t="s">
        <v>536</v>
      </c>
      <c r="AS33" s="1114" t="s">
        <v>419</v>
      </c>
      <c r="AT33" s="1103" t="s">
        <v>101</v>
      </c>
    </row>
    <row r="34" spans="1:50" s="31" customFormat="1" ht="35.1" customHeight="1" x14ac:dyDescent="0.25">
      <c r="A34" s="1085"/>
      <c r="B34" s="1086"/>
      <c r="C34" s="1123"/>
      <c r="D34" s="1085"/>
      <c r="E34" s="1085"/>
      <c r="F34" s="1085"/>
      <c r="G34" s="141" t="s">
        <v>123</v>
      </c>
      <c r="H34" s="46">
        <f>+L34+N34+T34+Z34+AF34</f>
        <v>2339131556</v>
      </c>
      <c r="I34" s="46"/>
      <c r="J34" s="46">
        <v>204249768</v>
      </c>
      <c r="K34" s="46">
        <v>204249770</v>
      </c>
      <c r="L34" s="46">
        <v>204249768</v>
      </c>
      <c r="M34" s="46"/>
      <c r="N34" s="46">
        <v>318016000</v>
      </c>
      <c r="O34" s="46">
        <v>318016000</v>
      </c>
      <c r="P34" s="46">
        <v>318016000</v>
      </c>
      <c r="Q34" s="705">
        <v>298569621</v>
      </c>
      <c r="R34" s="503">
        <f>+AM34</f>
        <v>298525101</v>
      </c>
      <c r="S34" s="271"/>
      <c r="T34" s="445">
        <v>642865788</v>
      </c>
      <c r="U34" s="94"/>
      <c r="V34" s="94"/>
      <c r="W34" s="94"/>
      <c r="X34" s="54"/>
      <c r="Y34" s="54"/>
      <c r="Z34" s="47">
        <v>674000000</v>
      </c>
      <c r="AA34" s="94"/>
      <c r="AB34" s="94"/>
      <c r="AC34" s="94"/>
      <c r="AD34" s="54"/>
      <c r="AE34" s="478"/>
      <c r="AF34" s="134">
        <v>500000000</v>
      </c>
      <c r="AG34" s="47"/>
      <c r="AH34" s="47"/>
      <c r="AI34" s="54"/>
      <c r="AJ34" s="47">
        <v>235666500</v>
      </c>
      <c r="AK34" s="47">
        <v>315121500</v>
      </c>
      <c r="AL34" s="658">
        <v>298569549</v>
      </c>
      <c r="AM34" s="624">
        <v>298525101</v>
      </c>
      <c r="AN34" s="655">
        <f>+AM34/Q34</f>
        <v>0.99985088904942543</v>
      </c>
      <c r="AO34" s="655">
        <f>+AM34/H34</f>
        <v>0.12762219390109411</v>
      </c>
      <c r="AP34" s="1118"/>
      <c r="AQ34" s="1066"/>
      <c r="AR34" s="1093"/>
      <c r="AS34" s="1068"/>
      <c r="AT34" s="1060"/>
    </row>
    <row r="35" spans="1:50" s="31" customFormat="1" ht="35.1" customHeight="1" x14ac:dyDescent="0.25">
      <c r="A35" s="1085"/>
      <c r="B35" s="1086"/>
      <c r="C35" s="1123"/>
      <c r="D35" s="1085"/>
      <c r="E35" s="1085"/>
      <c r="F35" s="1085"/>
      <c r="G35" s="141" t="s">
        <v>130</v>
      </c>
      <c r="H35" s="88"/>
      <c r="I35" s="88"/>
      <c r="J35" s="46"/>
      <c r="K35" s="46"/>
      <c r="L35" s="46"/>
      <c r="M35" s="46"/>
      <c r="N35" s="46"/>
      <c r="O35" s="47"/>
      <c r="P35" s="47"/>
      <c r="Q35" s="705"/>
      <c r="R35" s="661"/>
      <c r="S35" s="271"/>
      <c r="T35" s="445">
        <v>6</v>
      </c>
      <c r="U35" s="94"/>
      <c r="V35" s="94"/>
      <c r="W35" s="94"/>
      <c r="X35" s="54"/>
      <c r="Y35" s="54"/>
      <c r="Z35" s="47"/>
      <c r="AA35" s="94"/>
      <c r="AB35" s="94"/>
      <c r="AC35" s="94"/>
      <c r="AD35" s="54"/>
      <c r="AE35" s="478"/>
      <c r="AF35" s="134"/>
      <c r="AG35" s="47"/>
      <c r="AH35" s="47"/>
      <c r="AI35" s="54"/>
      <c r="AJ35" s="47"/>
      <c r="AK35" s="47"/>
      <c r="AL35" s="658"/>
      <c r="AM35" s="661"/>
      <c r="AN35" s="706"/>
      <c r="AO35" s="712"/>
      <c r="AP35" s="1118"/>
      <c r="AQ35" s="1066"/>
      <c r="AR35" s="1093"/>
      <c r="AS35" s="1068"/>
      <c r="AT35" s="1060"/>
    </row>
    <row r="36" spans="1:50" s="31" customFormat="1" ht="35.1" customHeight="1" x14ac:dyDescent="0.25">
      <c r="A36" s="1085"/>
      <c r="B36" s="1086"/>
      <c r="C36" s="1123"/>
      <c r="D36" s="1085"/>
      <c r="E36" s="1085"/>
      <c r="F36" s="1085"/>
      <c r="G36" s="141" t="s">
        <v>135</v>
      </c>
      <c r="H36" s="88"/>
      <c r="I36" s="88"/>
      <c r="J36" s="46"/>
      <c r="K36" s="46"/>
      <c r="L36" s="46"/>
      <c r="M36" s="46"/>
      <c r="N36" s="46">
        <v>65573517</v>
      </c>
      <c r="O36" s="47">
        <v>65573517</v>
      </c>
      <c r="P36" s="47">
        <v>65573517</v>
      </c>
      <c r="Q36" s="705">
        <v>65573517</v>
      </c>
      <c r="R36" s="705">
        <v>65573517</v>
      </c>
      <c r="S36" s="271"/>
      <c r="T36" s="47">
        <v>26848540</v>
      </c>
      <c r="U36" s="94"/>
      <c r="V36" s="94"/>
      <c r="W36" s="94"/>
      <c r="X36" s="54"/>
      <c r="Y36" s="54"/>
      <c r="Z36" s="47"/>
      <c r="AA36" s="94"/>
      <c r="AB36" s="94"/>
      <c r="AC36" s="94"/>
      <c r="AD36" s="54"/>
      <c r="AE36" s="478"/>
      <c r="AF36" s="134"/>
      <c r="AG36" s="47"/>
      <c r="AH36" s="47"/>
      <c r="AI36" s="54"/>
      <c r="AJ36" s="47">
        <v>65573517</v>
      </c>
      <c r="AK36" s="47">
        <v>65573517</v>
      </c>
      <c r="AL36" s="658">
        <v>65573517</v>
      </c>
      <c r="AM36" s="658">
        <v>65573517</v>
      </c>
      <c r="AN36" s="706"/>
      <c r="AO36" s="712"/>
      <c r="AP36" s="1118"/>
      <c r="AQ36" s="1066"/>
      <c r="AR36" s="1093"/>
      <c r="AS36" s="1068"/>
      <c r="AT36" s="1060"/>
    </row>
    <row r="37" spans="1:50" s="31" customFormat="1" ht="35.1" customHeight="1" x14ac:dyDescent="0.25">
      <c r="A37" s="1085"/>
      <c r="B37" s="1086"/>
      <c r="C37" s="1123"/>
      <c r="D37" s="1085"/>
      <c r="E37" s="1085"/>
      <c r="F37" s="1085"/>
      <c r="G37" s="141" t="s">
        <v>137</v>
      </c>
      <c r="H37" s="94">
        <v>100</v>
      </c>
      <c r="I37" s="94"/>
      <c r="J37" s="94">
        <v>10</v>
      </c>
      <c r="K37" s="94">
        <f>+K33</f>
        <v>10</v>
      </c>
      <c r="L37" s="94">
        <v>8</v>
      </c>
      <c r="M37" s="94"/>
      <c r="N37" s="94">
        <f t="shared" ref="N37:O37" si="13">+N33</f>
        <v>30</v>
      </c>
      <c r="O37" s="94">
        <f t="shared" si="13"/>
        <v>30</v>
      </c>
      <c r="P37" s="94">
        <f>+P33</f>
        <v>30</v>
      </c>
      <c r="Q37" s="713">
        <v>30</v>
      </c>
      <c r="R37" s="713">
        <f>+R33</f>
        <v>24</v>
      </c>
      <c r="S37" s="94"/>
      <c r="T37" s="94">
        <f t="shared" ref="T37:Z37" si="14">+T33</f>
        <v>60</v>
      </c>
      <c r="U37" s="94"/>
      <c r="V37" s="94"/>
      <c r="W37" s="94"/>
      <c r="X37" s="94"/>
      <c r="Y37" s="94"/>
      <c r="Z37" s="94">
        <f t="shared" si="14"/>
        <v>90</v>
      </c>
      <c r="AA37" s="94"/>
      <c r="AB37" s="94"/>
      <c r="AC37" s="94"/>
      <c r="AD37" s="465"/>
      <c r="AE37" s="478"/>
      <c r="AF37" s="445">
        <f>+AF33</f>
        <v>100</v>
      </c>
      <c r="AG37" s="47"/>
      <c r="AH37" s="47"/>
      <c r="AI37" s="54"/>
      <c r="AJ37" s="47">
        <v>3</v>
      </c>
      <c r="AK37" s="47">
        <v>16</v>
      </c>
      <c r="AL37" s="49">
        <v>24</v>
      </c>
      <c r="AM37" s="661">
        <v>24</v>
      </c>
      <c r="AN37" s="706"/>
      <c r="AO37" s="712"/>
      <c r="AP37" s="1118"/>
      <c r="AQ37" s="1066"/>
      <c r="AR37" s="1093"/>
      <c r="AS37" s="1068"/>
      <c r="AT37" s="1060"/>
    </row>
    <row r="38" spans="1:50" s="31" customFormat="1" ht="35.1" customHeight="1" thickBot="1" x14ac:dyDescent="0.3">
      <c r="A38" s="1085"/>
      <c r="B38" s="1086"/>
      <c r="C38" s="1123"/>
      <c r="D38" s="1085"/>
      <c r="E38" s="1085"/>
      <c r="F38" s="1085"/>
      <c r="G38" s="143" t="s">
        <v>143</v>
      </c>
      <c r="H38" s="56">
        <f>+H34</f>
        <v>2339131556</v>
      </c>
      <c r="I38" s="56"/>
      <c r="J38" s="56">
        <f>+J34</f>
        <v>204249768</v>
      </c>
      <c r="K38" s="56">
        <f t="shared" ref="K38:Z38" si="15">+K34</f>
        <v>204249770</v>
      </c>
      <c r="L38" s="56">
        <v>204249768</v>
      </c>
      <c r="M38" s="56"/>
      <c r="N38" s="56">
        <f t="shared" ref="N38:O38" si="16">+N34+N36</f>
        <v>383589517</v>
      </c>
      <c r="O38" s="56">
        <f t="shared" si="16"/>
        <v>383589517</v>
      </c>
      <c r="P38" s="56">
        <f>+P34+P36</f>
        <v>383589517</v>
      </c>
      <c r="Q38" s="664">
        <f>+Q34+Q36</f>
        <v>364143138</v>
      </c>
      <c r="R38" s="664">
        <f>+R34+R36</f>
        <v>364098618</v>
      </c>
      <c r="S38" s="493"/>
      <c r="T38" s="493">
        <f t="shared" si="15"/>
        <v>642865788</v>
      </c>
      <c r="U38" s="493"/>
      <c r="V38" s="493"/>
      <c r="W38" s="493"/>
      <c r="X38" s="493"/>
      <c r="Y38" s="493"/>
      <c r="Z38" s="493">
        <f t="shared" si="15"/>
        <v>674000000</v>
      </c>
      <c r="AA38" s="493"/>
      <c r="AB38" s="493"/>
      <c r="AC38" s="493"/>
      <c r="AD38" s="494"/>
      <c r="AE38" s="478"/>
      <c r="AF38" s="495">
        <f>+AF34</f>
        <v>500000000</v>
      </c>
      <c r="AG38" s="504"/>
      <c r="AH38" s="504"/>
      <c r="AI38" s="496"/>
      <c r="AJ38" s="504">
        <v>301240017</v>
      </c>
      <c r="AK38" s="493">
        <v>380695017</v>
      </c>
      <c r="AL38" s="513">
        <v>364143066</v>
      </c>
      <c r="AM38" s="664">
        <f>+AM34+AM36</f>
        <v>364098618</v>
      </c>
      <c r="AN38" s="714"/>
      <c r="AO38" s="715"/>
      <c r="AP38" s="1119"/>
      <c r="AQ38" s="1091"/>
      <c r="AR38" s="1094"/>
      <c r="AS38" s="1096"/>
      <c r="AT38" s="1061"/>
    </row>
    <row r="39" spans="1:50" s="20" customFormat="1" ht="35.1" customHeight="1" x14ac:dyDescent="0.25">
      <c r="A39" s="1085"/>
      <c r="B39" s="1086">
        <v>6</v>
      </c>
      <c r="C39" s="1085" t="s">
        <v>190</v>
      </c>
      <c r="D39" s="1085" t="s">
        <v>189</v>
      </c>
      <c r="E39" s="1085">
        <v>478</v>
      </c>
      <c r="F39" s="1085"/>
      <c r="G39" s="144" t="s">
        <v>111</v>
      </c>
      <c r="H39" s="95">
        <v>100</v>
      </c>
      <c r="I39" s="95"/>
      <c r="J39" s="716">
        <v>25</v>
      </c>
      <c r="K39" s="716">
        <v>25</v>
      </c>
      <c r="L39" s="716">
        <v>25</v>
      </c>
      <c r="M39" s="716"/>
      <c r="N39" s="717">
        <v>70</v>
      </c>
      <c r="O39" s="716">
        <v>70</v>
      </c>
      <c r="P39" s="716">
        <v>70</v>
      </c>
      <c r="Q39" s="718">
        <v>70</v>
      </c>
      <c r="R39" s="719">
        <v>70</v>
      </c>
      <c r="S39" s="720"/>
      <c r="T39" s="720">
        <v>80</v>
      </c>
      <c r="U39" s="716"/>
      <c r="V39" s="716"/>
      <c r="W39" s="716"/>
      <c r="X39" s="54"/>
      <c r="Y39" s="54"/>
      <c r="Z39" s="716">
        <v>90</v>
      </c>
      <c r="AA39" s="716"/>
      <c r="AB39" s="716"/>
      <c r="AC39" s="716"/>
      <c r="AD39" s="721"/>
      <c r="AE39" s="498"/>
      <c r="AF39" s="722">
        <v>100</v>
      </c>
      <c r="AG39" s="95"/>
      <c r="AH39" s="95"/>
      <c r="AI39" s="54"/>
      <c r="AJ39" s="446">
        <v>42.5</v>
      </c>
      <c r="AK39" s="95">
        <v>52</v>
      </c>
      <c r="AL39" s="723">
        <v>61</v>
      </c>
      <c r="AM39" s="661">
        <v>70</v>
      </c>
      <c r="AN39" s="674">
        <f>+AM39/Q39</f>
        <v>1</v>
      </c>
      <c r="AO39" s="675">
        <f>+AM39/H39</f>
        <v>0.7</v>
      </c>
      <c r="AP39" s="1080" t="s">
        <v>500</v>
      </c>
      <c r="AQ39" s="1065" t="s">
        <v>214</v>
      </c>
      <c r="AR39" s="1115" t="s">
        <v>86</v>
      </c>
      <c r="AS39" s="1120" t="s">
        <v>244</v>
      </c>
      <c r="AT39" s="1084" t="s">
        <v>101</v>
      </c>
      <c r="AU39" s="30"/>
      <c r="AV39" s="30"/>
      <c r="AW39" s="30"/>
      <c r="AX39" s="30"/>
    </row>
    <row r="40" spans="1:50" s="20" customFormat="1" ht="35.1" customHeight="1" x14ac:dyDescent="0.25">
      <c r="A40" s="1085"/>
      <c r="B40" s="1086"/>
      <c r="C40" s="1085"/>
      <c r="D40" s="1085"/>
      <c r="E40" s="1085"/>
      <c r="F40" s="1085"/>
      <c r="G40" s="145" t="s">
        <v>123</v>
      </c>
      <c r="H40" s="60">
        <f>+L40+N40+T40+Z40+AF40</f>
        <v>688657311</v>
      </c>
      <c r="I40" s="60"/>
      <c r="J40" s="724">
        <v>60608658</v>
      </c>
      <c r="K40" s="724">
        <v>60608658</v>
      </c>
      <c r="L40" s="724">
        <v>44335011</v>
      </c>
      <c r="M40" s="724"/>
      <c r="N40" s="724">
        <v>200000000</v>
      </c>
      <c r="O40" s="724">
        <v>200000000</v>
      </c>
      <c r="P40" s="724">
        <v>200000000</v>
      </c>
      <c r="Q40" s="725">
        <v>102639067</v>
      </c>
      <c r="R40" s="726">
        <f>+AM40</f>
        <v>91224934</v>
      </c>
      <c r="S40" s="727"/>
      <c r="T40" s="727">
        <v>134322300</v>
      </c>
      <c r="U40" s="725"/>
      <c r="V40" s="725"/>
      <c r="W40" s="725"/>
      <c r="X40" s="54"/>
      <c r="Y40" s="54"/>
      <c r="Z40" s="725">
        <v>150000000</v>
      </c>
      <c r="AA40" s="725"/>
      <c r="AB40" s="725"/>
      <c r="AC40" s="725"/>
      <c r="AD40" s="728"/>
      <c r="AE40" s="498"/>
      <c r="AF40" s="729">
        <v>160000000</v>
      </c>
      <c r="AG40" s="505"/>
      <c r="AH40" s="505"/>
      <c r="AI40" s="36"/>
      <c r="AJ40" s="69">
        <v>0</v>
      </c>
      <c r="AK40" s="69">
        <v>113400000</v>
      </c>
      <c r="AL40" s="658">
        <v>102639067</v>
      </c>
      <c r="AM40" s="624">
        <v>91224934</v>
      </c>
      <c r="AN40" s="655">
        <f>+AM40/Q40</f>
        <v>0.88879348445363404</v>
      </c>
      <c r="AO40" s="655">
        <f>+AM40/H40</f>
        <v>0.13246782186561293</v>
      </c>
      <c r="AP40" s="1081"/>
      <c r="AQ40" s="1066"/>
      <c r="AR40" s="1093"/>
      <c r="AS40" s="1068"/>
      <c r="AT40" s="1060"/>
      <c r="AU40" s="30"/>
      <c r="AV40" s="30"/>
      <c r="AW40" s="30"/>
      <c r="AX40" s="30"/>
    </row>
    <row r="41" spans="1:50" s="20" customFormat="1" ht="35.1" customHeight="1" x14ac:dyDescent="0.25">
      <c r="A41" s="1085"/>
      <c r="B41" s="1086"/>
      <c r="C41" s="1085"/>
      <c r="D41" s="1085"/>
      <c r="E41" s="1085"/>
      <c r="F41" s="1085"/>
      <c r="G41" s="145" t="s">
        <v>130</v>
      </c>
      <c r="H41" s="24">
        <v>0</v>
      </c>
      <c r="I41" s="24"/>
      <c r="J41" s="24">
        <v>0</v>
      </c>
      <c r="K41" s="24"/>
      <c r="L41" s="60"/>
      <c r="M41" s="60"/>
      <c r="N41" s="60">
        <v>0</v>
      </c>
      <c r="O41" s="61">
        <v>0</v>
      </c>
      <c r="P41" s="61">
        <v>0</v>
      </c>
      <c r="Q41" s="696">
        <v>0</v>
      </c>
      <c r="R41" s="695">
        <v>0</v>
      </c>
      <c r="S41" s="123"/>
      <c r="T41" s="123"/>
      <c r="U41" s="114"/>
      <c r="V41" s="114"/>
      <c r="W41" s="114"/>
      <c r="X41" s="54"/>
      <c r="Y41" s="54"/>
      <c r="Z41" s="114"/>
      <c r="AA41" s="114"/>
      <c r="AB41" s="114"/>
      <c r="AC41" s="114"/>
      <c r="AD41" s="447"/>
      <c r="AE41" s="498"/>
      <c r="AF41" s="474"/>
      <c r="AG41" s="69"/>
      <c r="AH41" s="69"/>
      <c r="AI41" s="36"/>
      <c r="AJ41" s="69"/>
      <c r="AK41" s="69"/>
      <c r="AL41" s="658"/>
      <c r="AM41" s="624"/>
      <c r="AN41" s="730"/>
      <c r="AO41" s="731"/>
      <c r="AP41" s="1081"/>
      <c r="AQ41" s="1066"/>
      <c r="AR41" s="1093"/>
      <c r="AS41" s="1068"/>
      <c r="AT41" s="1060"/>
      <c r="AU41" s="30"/>
      <c r="AV41" s="30"/>
      <c r="AW41" s="30"/>
      <c r="AX41" s="30"/>
    </row>
    <row r="42" spans="1:50" s="20" customFormat="1" ht="35.1" customHeight="1" x14ac:dyDescent="0.25">
      <c r="A42" s="1085"/>
      <c r="B42" s="1086"/>
      <c r="C42" s="1085"/>
      <c r="D42" s="1085"/>
      <c r="E42" s="1085"/>
      <c r="F42" s="1085"/>
      <c r="G42" s="145" t="s">
        <v>135</v>
      </c>
      <c r="H42" s="61">
        <v>0</v>
      </c>
      <c r="I42" s="61"/>
      <c r="J42" s="61">
        <v>0</v>
      </c>
      <c r="K42" s="61"/>
      <c r="L42" s="60"/>
      <c r="M42" s="60"/>
      <c r="N42" s="60">
        <v>14704074</v>
      </c>
      <c r="O42" s="61">
        <v>14704074</v>
      </c>
      <c r="P42" s="61">
        <v>14704074</v>
      </c>
      <c r="Q42" s="677">
        <v>14704074</v>
      </c>
      <c r="R42" s="695">
        <v>14704074</v>
      </c>
      <c r="S42" s="99"/>
      <c r="T42" s="99"/>
      <c r="U42" s="61"/>
      <c r="V42" s="61"/>
      <c r="W42" s="61"/>
      <c r="X42" s="98"/>
      <c r="Y42" s="98"/>
      <c r="Z42" s="61"/>
      <c r="AA42" s="61"/>
      <c r="AB42" s="61"/>
      <c r="AC42" s="61"/>
      <c r="AD42" s="68"/>
      <c r="AE42" s="498"/>
      <c r="AF42" s="474"/>
      <c r="AG42" s="69"/>
      <c r="AH42" s="69"/>
      <c r="AI42" s="36"/>
      <c r="AJ42" s="69">
        <v>6683670</v>
      </c>
      <c r="AK42" s="69">
        <v>14704074</v>
      </c>
      <c r="AL42" s="658">
        <v>14704074</v>
      </c>
      <c r="AM42" s="658">
        <v>14704074</v>
      </c>
      <c r="AN42" s="680"/>
      <c r="AO42" s="679"/>
      <c r="AP42" s="1081"/>
      <c r="AQ42" s="1066"/>
      <c r="AR42" s="1093"/>
      <c r="AS42" s="1068"/>
      <c r="AT42" s="1060"/>
      <c r="AU42" s="30"/>
      <c r="AV42" s="30"/>
      <c r="AW42" s="30"/>
      <c r="AX42" s="30"/>
    </row>
    <row r="43" spans="1:50" s="20" customFormat="1" ht="35.1" customHeight="1" x14ac:dyDescent="0.25">
      <c r="A43" s="1085"/>
      <c r="B43" s="1086"/>
      <c r="C43" s="1085"/>
      <c r="D43" s="1085"/>
      <c r="E43" s="1085"/>
      <c r="F43" s="1085"/>
      <c r="G43" s="145" t="s">
        <v>137</v>
      </c>
      <c r="H43" s="95">
        <v>100</v>
      </c>
      <c r="I43" s="95"/>
      <c r="J43" s="95">
        <v>25</v>
      </c>
      <c r="K43" s="95">
        <f>+K39</f>
        <v>25</v>
      </c>
      <c r="L43" s="95">
        <v>25</v>
      </c>
      <c r="M43" s="95"/>
      <c r="N43" s="95">
        <f t="shared" ref="N43:O43" si="17">+N39</f>
        <v>70</v>
      </c>
      <c r="O43" s="95">
        <f t="shared" si="17"/>
        <v>70</v>
      </c>
      <c r="P43" s="95">
        <f>+P39</f>
        <v>70</v>
      </c>
      <c r="Q43" s="732">
        <v>70</v>
      </c>
      <c r="R43" s="732">
        <v>70</v>
      </c>
      <c r="S43" s="95"/>
      <c r="T43" s="95">
        <f t="shared" ref="T43:Z43" si="18">+T39</f>
        <v>80</v>
      </c>
      <c r="U43" s="95"/>
      <c r="V43" s="95"/>
      <c r="W43" s="95"/>
      <c r="X43" s="95"/>
      <c r="Y43" s="95"/>
      <c r="Z43" s="95">
        <f t="shared" si="18"/>
        <v>90</v>
      </c>
      <c r="AA43" s="95"/>
      <c r="AB43" s="95"/>
      <c r="AC43" s="95"/>
      <c r="AD43" s="466"/>
      <c r="AE43" s="498"/>
      <c r="AF43" s="96">
        <f>+AF39</f>
        <v>100</v>
      </c>
      <c r="AG43" s="95"/>
      <c r="AH43" s="95"/>
      <c r="AI43" s="54"/>
      <c r="AJ43" s="107">
        <f>+AJ39</f>
        <v>42.5</v>
      </c>
      <c r="AK43" s="107">
        <v>52</v>
      </c>
      <c r="AL43" s="733">
        <v>61</v>
      </c>
      <c r="AM43" s="734">
        <v>70</v>
      </c>
      <c r="AN43" s="735"/>
      <c r="AO43" s="736"/>
      <c r="AP43" s="1081"/>
      <c r="AQ43" s="1066"/>
      <c r="AR43" s="1093"/>
      <c r="AS43" s="1068"/>
      <c r="AT43" s="1060"/>
      <c r="AU43" s="30"/>
      <c r="AV43" s="30"/>
      <c r="AW43" s="30"/>
      <c r="AX43" s="30"/>
    </row>
    <row r="44" spans="1:50" s="20" customFormat="1" ht="35.1" customHeight="1" thickBot="1" x14ac:dyDescent="0.3">
      <c r="A44" s="1085"/>
      <c r="B44" s="1086"/>
      <c r="C44" s="1085"/>
      <c r="D44" s="1085"/>
      <c r="E44" s="1085"/>
      <c r="F44" s="1085"/>
      <c r="G44" s="146" t="s">
        <v>143</v>
      </c>
      <c r="H44" s="76">
        <f>+H40</f>
        <v>688657311</v>
      </c>
      <c r="I44" s="76"/>
      <c r="J44" s="76">
        <f>+J40</f>
        <v>60608658</v>
      </c>
      <c r="K44" s="76">
        <f>+K40</f>
        <v>60608658</v>
      </c>
      <c r="L44" s="76">
        <v>44335011</v>
      </c>
      <c r="M44" s="76"/>
      <c r="N44" s="76">
        <f t="shared" ref="N44:O44" si="19">+N40+N42</f>
        <v>214704074</v>
      </c>
      <c r="O44" s="76">
        <f t="shared" si="19"/>
        <v>214704074</v>
      </c>
      <c r="P44" s="76">
        <f>+P40+P42</f>
        <v>214704074</v>
      </c>
      <c r="Q44" s="664">
        <f>+Q40+Q42</f>
        <v>117343141</v>
      </c>
      <c r="R44" s="664">
        <f>+R40+R42</f>
        <v>105929008</v>
      </c>
      <c r="S44" s="123"/>
      <c r="T44" s="123">
        <f>+T40</f>
        <v>134322300</v>
      </c>
      <c r="U44" s="114"/>
      <c r="V44" s="114"/>
      <c r="W44" s="114"/>
      <c r="X44" s="54"/>
      <c r="Y44" s="54"/>
      <c r="Z44" s="114">
        <f>+Z40</f>
        <v>150000000</v>
      </c>
      <c r="AA44" s="114"/>
      <c r="AB44" s="114"/>
      <c r="AC44" s="114"/>
      <c r="AD44" s="447"/>
      <c r="AE44" s="498"/>
      <c r="AF44" s="506">
        <f>+AF40</f>
        <v>160000000</v>
      </c>
      <c r="AG44" s="114"/>
      <c r="AH44" s="114"/>
      <c r="AI44" s="54"/>
      <c r="AJ44" s="95">
        <v>6683670</v>
      </c>
      <c r="AK44" s="114">
        <v>128104074</v>
      </c>
      <c r="AL44" s="515">
        <v>117343141</v>
      </c>
      <c r="AM44" s="737">
        <f>+AM40+AM42</f>
        <v>105929008</v>
      </c>
      <c r="AN44" s="738"/>
      <c r="AO44" s="739"/>
      <c r="AP44" s="1082"/>
      <c r="AQ44" s="1066"/>
      <c r="AR44" s="1093"/>
      <c r="AS44" s="1068"/>
      <c r="AT44" s="1060"/>
      <c r="AU44" s="30"/>
      <c r="AV44" s="30"/>
      <c r="AW44" s="30"/>
      <c r="AX44" s="30"/>
    </row>
    <row r="45" spans="1:50" s="20" customFormat="1" ht="35.1" customHeight="1" x14ac:dyDescent="0.25">
      <c r="A45" s="1085" t="s">
        <v>191</v>
      </c>
      <c r="B45" s="1086">
        <v>7</v>
      </c>
      <c r="C45" s="1085" t="s">
        <v>128</v>
      </c>
      <c r="D45" s="1122" t="s">
        <v>84</v>
      </c>
      <c r="E45" s="1085">
        <v>520</v>
      </c>
      <c r="F45" s="1085"/>
      <c r="G45" s="147" t="s">
        <v>111</v>
      </c>
      <c r="H45" s="100">
        <f>+L45+T49+Z45+AF45+R45</f>
        <v>15000</v>
      </c>
      <c r="I45" s="100"/>
      <c r="J45" s="100">
        <v>500</v>
      </c>
      <c r="K45" s="740">
        <v>1028</v>
      </c>
      <c r="L45" s="740">
        <v>1028</v>
      </c>
      <c r="M45" s="740"/>
      <c r="N45" s="740">
        <v>2250</v>
      </c>
      <c r="O45" s="740">
        <v>2250</v>
      </c>
      <c r="P45" s="740">
        <v>2250</v>
      </c>
      <c r="Q45" s="741">
        <f>2427+200</f>
        <v>2627</v>
      </c>
      <c r="R45" s="694">
        <v>2427</v>
      </c>
      <c r="S45" s="742"/>
      <c r="T45" s="743">
        <v>4500</v>
      </c>
      <c r="U45" s="740"/>
      <c r="V45" s="740"/>
      <c r="W45" s="740"/>
      <c r="X45" s="52"/>
      <c r="Y45" s="52"/>
      <c r="Z45" s="740">
        <f>4972-177-200</f>
        <v>4595</v>
      </c>
      <c r="AA45" s="740"/>
      <c r="AB45" s="740"/>
      <c r="AC45" s="740"/>
      <c r="AD45" s="52"/>
      <c r="AE45" s="498"/>
      <c r="AF45" s="744">
        <v>2250</v>
      </c>
      <c r="AG45" s="101"/>
      <c r="AH45" s="101"/>
      <c r="AI45" s="52"/>
      <c r="AJ45" s="101">
        <v>363.12</v>
      </c>
      <c r="AK45" s="100">
        <v>1021.48</v>
      </c>
      <c r="AL45" s="745">
        <v>1591.88</v>
      </c>
      <c r="AM45" s="746">
        <f>AL45+835.39-0.27</f>
        <v>2427</v>
      </c>
      <c r="AN45" s="674">
        <f>+AM45/Q45</f>
        <v>0.92386752950133233</v>
      </c>
      <c r="AO45" s="675">
        <f>+AM45/H45</f>
        <v>0.1618</v>
      </c>
      <c r="AP45" s="1070" t="s">
        <v>564</v>
      </c>
      <c r="AQ45" s="1090" t="s">
        <v>214</v>
      </c>
      <c r="AR45" s="1092" t="s">
        <v>86</v>
      </c>
      <c r="AS45" s="1095" t="s">
        <v>239</v>
      </c>
      <c r="AT45" s="1103" t="s">
        <v>240</v>
      </c>
      <c r="AU45" s="30"/>
      <c r="AV45" s="30"/>
      <c r="AW45" s="30"/>
      <c r="AX45" s="30"/>
    </row>
    <row r="46" spans="1:50" s="20" customFormat="1" ht="35.1" customHeight="1" x14ac:dyDescent="0.25">
      <c r="A46" s="1085"/>
      <c r="B46" s="1086"/>
      <c r="C46" s="1085"/>
      <c r="D46" s="1122"/>
      <c r="E46" s="1085"/>
      <c r="F46" s="1085"/>
      <c r="G46" s="145" t="s">
        <v>123</v>
      </c>
      <c r="H46" s="60">
        <f>+L46+N46+T46+Z46+AF46</f>
        <v>2231775848</v>
      </c>
      <c r="I46" s="60"/>
      <c r="J46" s="60">
        <v>291959815</v>
      </c>
      <c r="K46" s="676">
        <v>291959815</v>
      </c>
      <c r="L46" s="676">
        <v>203012548</v>
      </c>
      <c r="M46" s="676"/>
      <c r="N46" s="676">
        <v>605318000</v>
      </c>
      <c r="O46" s="676">
        <v>605318000</v>
      </c>
      <c r="P46" s="676">
        <v>605318000</v>
      </c>
      <c r="Q46" s="677">
        <v>804524633</v>
      </c>
      <c r="R46" s="747">
        <f>+AM46</f>
        <v>801616488</v>
      </c>
      <c r="S46" s="270"/>
      <c r="T46" s="680">
        <v>463445300</v>
      </c>
      <c r="U46" s="507"/>
      <c r="V46" s="507"/>
      <c r="W46" s="507"/>
      <c r="X46" s="54"/>
      <c r="Y46" s="54"/>
      <c r="Z46" s="507">
        <v>640000000</v>
      </c>
      <c r="AA46" s="507"/>
      <c r="AB46" s="507"/>
      <c r="AC46" s="507"/>
      <c r="AD46" s="54"/>
      <c r="AE46" s="498"/>
      <c r="AF46" s="680">
        <v>320000000</v>
      </c>
      <c r="AG46" s="507"/>
      <c r="AH46" s="507"/>
      <c r="AI46" s="54"/>
      <c r="AJ46" s="61">
        <v>196390000</v>
      </c>
      <c r="AK46" s="61">
        <v>247700000</v>
      </c>
      <c r="AL46" s="658">
        <v>237021500</v>
      </c>
      <c r="AM46" s="748">
        <v>801616488</v>
      </c>
      <c r="AN46" s="655">
        <f>+AM46/Q46</f>
        <v>0.99638526294818863</v>
      </c>
      <c r="AO46" s="655">
        <f>+AM46/H46</f>
        <v>0.35918324356738895</v>
      </c>
      <c r="AP46" s="1071"/>
      <c r="AQ46" s="1066"/>
      <c r="AR46" s="1093"/>
      <c r="AS46" s="1068"/>
      <c r="AT46" s="1060"/>
      <c r="AU46" s="30"/>
      <c r="AV46" s="30"/>
      <c r="AW46" s="30"/>
      <c r="AX46" s="30"/>
    </row>
    <row r="47" spans="1:50" s="20" customFormat="1" ht="35.1" customHeight="1" x14ac:dyDescent="0.25">
      <c r="A47" s="1085"/>
      <c r="B47" s="1086"/>
      <c r="C47" s="1085"/>
      <c r="D47" s="1122"/>
      <c r="E47" s="1085"/>
      <c r="F47" s="1085"/>
      <c r="G47" s="145" t="s">
        <v>130</v>
      </c>
      <c r="H47" s="24"/>
      <c r="I47" s="24"/>
      <c r="J47" s="24"/>
      <c r="K47" s="24"/>
      <c r="L47" s="24"/>
      <c r="M47" s="24"/>
      <c r="N47" s="60">
        <v>0</v>
      </c>
      <c r="O47" s="24">
        <v>0</v>
      </c>
      <c r="P47" s="24">
        <v>0</v>
      </c>
      <c r="Q47" s="749">
        <v>0</v>
      </c>
      <c r="R47" s="689"/>
      <c r="S47" s="39"/>
      <c r="T47" s="99">
        <v>200</v>
      </c>
      <c r="U47" s="61"/>
      <c r="V47" s="61"/>
      <c r="W47" s="61"/>
      <c r="X47" s="102"/>
      <c r="Y47" s="102"/>
      <c r="Z47" s="61"/>
      <c r="AA47" s="61"/>
      <c r="AB47" s="61"/>
      <c r="AC47" s="61"/>
      <c r="AD47" s="102"/>
      <c r="AE47" s="498"/>
      <c r="AF47" s="123"/>
      <c r="AG47" s="95"/>
      <c r="AH47" s="95"/>
      <c r="AI47" s="54"/>
      <c r="AJ47" s="61"/>
      <c r="AK47" s="61"/>
      <c r="AL47" s="658"/>
      <c r="AM47" s="747"/>
      <c r="AN47" s="750"/>
      <c r="AO47" s="751"/>
      <c r="AP47" s="1071"/>
      <c r="AQ47" s="1066"/>
      <c r="AR47" s="1093"/>
      <c r="AS47" s="1068"/>
      <c r="AT47" s="1060"/>
      <c r="AU47" s="30"/>
      <c r="AV47" s="30"/>
      <c r="AW47" s="30"/>
      <c r="AX47" s="30"/>
    </row>
    <row r="48" spans="1:50" s="20" customFormat="1" ht="35.1" customHeight="1" thickBot="1" x14ac:dyDescent="0.3">
      <c r="A48" s="1085"/>
      <c r="B48" s="1086"/>
      <c r="C48" s="1085"/>
      <c r="D48" s="1122"/>
      <c r="E48" s="1085"/>
      <c r="F48" s="1085"/>
      <c r="G48" s="145" t="s">
        <v>135</v>
      </c>
      <c r="H48" s="61"/>
      <c r="I48" s="61"/>
      <c r="J48" s="61"/>
      <c r="K48" s="61"/>
      <c r="L48" s="61"/>
      <c r="M48" s="61"/>
      <c r="N48" s="60">
        <v>105773637</v>
      </c>
      <c r="O48" s="61">
        <v>105773637</v>
      </c>
      <c r="P48" s="61">
        <v>105773637</v>
      </c>
      <c r="Q48" s="677">
        <v>105773637</v>
      </c>
      <c r="R48" s="677">
        <v>105773637</v>
      </c>
      <c r="S48" s="39"/>
      <c r="T48" s="99">
        <v>579365304</v>
      </c>
      <c r="U48" s="61"/>
      <c r="V48" s="61"/>
      <c r="W48" s="61"/>
      <c r="X48" s="102"/>
      <c r="Y48" s="102"/>
      <c r="Z48" s="61"/>
      <c r="AA48" s="61"/>
      <c r="AB48" s="61"/>
      <c r="AC48" s="61"/>
      <c r="AD48" s="102"/>
      <c r="AE48" s="498"/>
      <c r="AF48" s="474"/>
      <c r="AG48" s="95"/>
      <c r="AH48" s="95"/>
      <c r="AI48" s="54"/>
      <c r="AJ48" s="61">
        <v>42892971</v>
      </c>
      <c r="AK48" s="61">
        <v>59661260</v>
      </c>
      <c r="AL48" s="658">
        <v>80371846</v>
      </c>
      <c r="AM48" s="658">
        <v>105773637</v>
      </c>
      <c r="AN48" s="735"/>
      <c r="AO48" s="736"/>
      <c r="AP48" s="1071"/>
      <c r="AQ48" s="1066"/>
      <c r="AR48" s="1093"/>
      <c r="AS48" s="1068"/>
      <c r="AT48" s="1060"/>
      <c r="AU48" s="30"/>
      <c r="AV48" s="30"/>
      <c r="AW48" s="30"/>
      <c r="AX48" s="30"/>
    </row>
    <row r="49" spans="1:50" s="20" customFormat="1" ht="35.1" customHeight="1" x14ac:dyDescent="0.25">
      <c r="A49" s="1085"/>
      <c r="B49" s="1086"/>
      <c r="C49" s="1085"/>
      <c r="D49" s="1122"/>
      <c r="E49" s="1085"/>
      <c r="F49" s="1085"/>
      <c r="G49" s="145" t="s">
        <v>137</v>
      </c>
      <c r="H49" s="103">
        <f>+H45</f>
        <v>15000</v>
      </c>
      <c r="I49" s="103"/>
      <c r="J49" s="103">
        <f>+J45</f>
        <v>500</v>
      </c>
      <c r="K49" s="103">
        <f t="shared" ref="K49:Z49" si="20">+K45</f>
        <v>1028</v>
      </c>
      <c r="L49" s="103">
        <v>1028</v>
      </c>
      <c r="M49" s="103"/>
      <c r="N49" s="103">
        <f t="shared" ref="N49:O49" si="21">+N45</f>
        <v>2250</v>
      </c>
      <c r="O49" s="103">
        <f t="shared" si="21"/>
        <v>2250</v>
      </c>
      <c r="P49" s="103">
        <f>+P45</f>
        <v>2250</v>
      </c>
      <c r="Q49" s="752">
        <v>2250</v>
      </c>
      <c r="R49" s="752">
        <v>2427.27</v>
      </c>
      <c r="S49" s="103"/>
      <c r="T49" s="103">
        <f>+T45+T47</f>
        <v>4700</v>
      </c>
      <c r="U49" s="103"/>
      <c r="V49" s="103"/>
      <c r="W49" s="103"/>
      <c r="X49" s="103"/>
      <c r="Y49" s="103"/>
      <c r="Z49" s="103">
        <f t="shared" si="20"/>
        <v>4595</v>
      </c>
      <c r="AA49" s="103"/>
      <c r="AB49" s="103"/>
      <c r="AC49" s="103"/>
      <c r="AD49" s="467"/>
      <c r="AE49" s="498"/>
      <c r="AF49" s="475">
        <f>+AF45</f>
        <v>2250</v>
      </c>
      <c r="AG49" s="104"/>
      <c r="AH49" s="104"/>
      <c r="AI49" s="54"/>
      <c r="AJ49" s="61">
        <v>363.12</v>
      </c>
      <c r="AK49" s="61">
        <v>1021.48</v>
      </c>
      <c r="AL49" s="753">
        <v>1591.88</v>
      </c>
      <c r="AM49" s="689">
        <v>2427.27</v>
      </c>
      <c r="AN49" s="674">
        <f>+AM49/Q49</f>
        <v>1.0787866666666666</v>
      </c>
      <c r="AO49" s="675">
        <f>+AM49/H49</f>
        <v>0.16181799999999999</v>
      </c>
      <c r="AP49" s="1071"/>
      <c r="AQ49" s="1066"/>
      <c r="AR49" s="1093"/>
      <c r="AS49" s="1068"/>
      <c r="AT49" s="1060"/>
      <c r="AU49" s="30"/>
      <c r="AV49" s="30"/>
      <c r="AW49" s="30"/>
      <c r="AX49" s="30"/>
    </row>
    <row r="50" spans="1:50" s="20" customFormat="1" ht="35.1" customHeight="1" thickBot="1" x14ac:dyDescent="0.3">
      <c r="A50" s="1085"/>
      <c r="B50" s="1086"/>
      <c r="C50" s="1085"/>
      <c r="D50" s="1122"/>
      <c r="E50" s="1085"/>
      <c r="F50" s="1085"/>
      <c r="G50" s="148" t="s">
        <v>143</v>
      </c>
      <c r="H50" s="84">
        <f>+H46</f>
        <v>2231775848</v>
      </c>
      <c r="I50" s="84"/>
      <c r="J50" s="84">
        <f>+J46</f>
        <v>291959815</v>
      </c>
      <c r="K50" s="84">
        <f t="shared" ref="K50:Z50" si="22">+K46</f>
        <v>291959815</v>
      </c>
      <c r="L50" s="84">
        <v>203012548</v>
      </c>
      <c r="M50" s="84"/>
      <c r="N50" s="84">
        <f t="shared" ref="N50:O50" si="23">+N46+N48</f>
        <v>711091637</v>
      </c>
      <c r="O50" s="84">
        <f t="shared" si="23"/>
        <v>711091637</v>
      </c>
      <c r="P50" s="84">
        <f>+P46+P48</f>
        <v>711091637</v>
      </c>
      <c r="Q50" s="664">
        <f>+Q46+Q48</f>
        <v>910298270</v>
      </c>
      <c r="R50" s="664">
        <f>+R46+R48</f>
        <v>907390125</v>
      </c>
      <c r="S50" s="500"/>
      <c r="T50" s="500">
        <f t="shared" si="22"/>
        <v>463445300</v>
      </c>
      <c r="U50" s="500"/>
      <c r="V50" s="500"/>
      <c r="W50" s="500"/>
      <c r="X50" s="500"/>
      <c r="Y50" s="500"/>
      <c r="Z50" s="500">
        <f t="shared" si="22"/>
        <v>640000000</v>
      </c>
      <c r="AA50" s="500"/>
      <c r="AB50" s="500"/>
      <c r="AC50" s="500"/>
      <c r="AD50" s="501"/>
      <c r="AE50" s="498"/>
      <c r="AF50" s="502">
        <f>+AF46</f>
        <v>320000000</v>
      </c>
      <c r="AG50" s="508"/>
      <c r="AH50" s="508"/>
      <c r="AI50" s="496"/>
      <c r="AJ50" s="509">
        <v>239282971</v>
      </c>
      <c r="AK50" s="500">
        <v>307361260</v>
      </c>
      <c r="AL50" s="513">
        <v>317393346</v>
      </c>
      <c r="AM50" s="664">
        <f>+AM46+AM48</f>
        <v>907390125</v>
      </c>
      <c r="AN50" s="655">
        <f>+AM50/Q50</f>
        <v>0.99680528339354091</v>
      </c>
      <c r="AO50" s="655">
        <f>+AM50/H50</f>
        <v>0.40657762553222149</v>
      </c>
      <c r="AP50" s="1072"/>
      <c r="AQ50" s="1091"/>
      <c r="AR50" s="1094"/>
      <c r="AS50" s="1096"/>
      <c r="AT50" s="1061"/>
      <c r="AU50" s="30"/>
      <c r="AV50" s="30"/>
      <c r="AW50" s="30"/>
      <c r="AX50" s="30"/>
    </row>
    <row r="51" spans="1:50" s="20" customFormat="1" ht="35.1" customHeight="1" x14ac:dyDescent="0.25">
      <c r="A51" s="1122" t="s">
        <v>134</v>
      </c>
      <c r="B51" s="1086">
        <v>8</v>
      </c>
      <c r="C51" s="1085" t="s">
        <v>121</v>
      </c>
      <c r="D51" s="1122" t="s">
        <v>84</v>
      </c>
      <c r="E51" s="1085">
        <v>469</v>
      </c>
      <c r="F51" s="1085"/>
      <c r="G51" s="754" t="s">
        <v>111</v>
      </c>
      <c r="H51" s="717">
        <f>+L51+R51+T51+Z51+AF51</f>
        <v>24999.66</v>
      </c>
      <c r="I51" s="717"/>
      <c r="J51" s="717">
        <v>1000</v>
      </c>
      <c r="K51" s="717">
        <v>1390</v>
      </c>
      <c r="L51" s="717">
        <v>1390</v>
      </c>
      <c r="M51" s="717"/>
      <c r="N51" s="717">
        <v>7000</v>
      </c>
      <c r="O51" s="717">
        <v>7000</v>
      </c>
      <c r="P51" s="717">
        <v>7000</v>
      </c>
      <c r="Q51" s="755">
        <v>7910.66</v>
      </c>
      <c r="R51" s="756">
        <v>7910.66</v>
      </c>
      <c r="S51" s="730"/>
      <c r="T51" s="757">
        <f>7000-390</f>
        <v>6610</v>
      </c>
      <c r="U51" s="717"/>
      <c r="V51" s="717"/>
      <c r="W51" s="717"/>
      <c r="X51" s="54"/>
      <c r="Y51" s="54"/>
      <c r="Z51" s="717">
        <v>6089</v>
      </c>
      <c r="AA51" s="717"/>
      <c r="AB51" s="717"/>
      <c r="AC51" s="717"/>
      <c r="AD51" s="54"/>
      <c r="AE51" s="498"/>
      <c r="AF51" s="722">
        <v>3000</v>
      </c>
      <c r="AG51" s="95"/>
      <c r="AH51" s="95"/>
      <c r="AI51" s="58"/>
      <c r="AJ51" s="448">
        <v>1368</v>
      </c>
      <c r="AK51" s="95">
        <v>3379</v>
      </c>
      <c r="AL51" s="758">
        <v>5265.41</v>
      </c>
      <c r="AM51" s="759">
        <f>AL51+1924+721.25</f>
        <v>7910.66</v>
      </c>
      <c r="AN51" s="674">
        <f>+AM51/Q51</f>
        <v>1</v>
      </c>
      <c r="AO51" s="675">
        <f>+AM51/H51</f>
        <v>0.31643070345756702</v>
      </c>
      <c r="AP51" s="1098" t="s">
        <v>548</v>
      </c>
      <c r="AQ51" s="1065" t="s">
        <v>214</v>
      </c>
      <c r="AR51" s="1115" t="s">
        <v>86</v>
      </c>
      <c r="AS51" s="1116" t="s">
        <v>245</v>
      </c>
      <c r="AT51" s="1069" t="s">
        <v>198</v>
      </c>
      <c r="AU51" s="32"/>
      <c r="AV51" s="32"/>
      <c r="AW51" s="32"/>
      <c r="AX51" s="32"/>
    </row>
    <row r="52" spans="1:50" s="20" customFormat="1" ht="35.1" customHeight="1" x14ac:dyDescent="0.25">
      <c r="A52" s="1122"/>
      <c r="B52" s="1086"/>
      <c r="C52" s="1085"/>
      <c r="D52" s="1122"/>
      <c r="E52" s="1085"/>
      <c r="F52" s="1085"/>
      <c r="G52" s="760" t="s">
        <v>123</v>
      </c>
      <c r="H52" s="676">
        <f>+L52+N52+T52+Z52+AF52</f>
        <v>1669714341.6578948</v>
      </c>
      <c r="I52" s="676"/>
      <c r="J52" s="676">
        <v>289673103</v>
      </c>
      <c r="K52" s="676">
        <v>289673103</v>
      </c>
      <c r="L52" s="676">
        <v>286086231</v>
      </c>
      <c r="M52" s="761"/>
      <c r="N52" s="761">
        <v>353881000</v>
      </c>
      <c r="O52" s="676">
        <v>353881000</v>
      </c>
      <c r="P52" s="676">
        <v>353881000</v>
      </c>
      <c r="Q52" s="677">
        <v>364740267</v>
      </c>
      <c r="R52" s="695">
        <f>+AM52</f>
        <v>354644867</v>
      </c>
      <c r="S52" s="270"/>
      <c r="T52" s="680">
        <v>486128950</v>
      </c>
      <c r="U52" s="507"/>
      <c r="V52" s="507"/>
      <c r="W52" s="507"/>
      <c r="X52" s="58"/>
      <c r="Y52" s="58"/>
      <c r="Z52" s="507">
        <f>260272715.131579+60000000</f>
        <v>320272715.13157904</v>
      </c>
      <c r="AA52" s="507"/>
      <c r="AB52" s="507"/>
      <c r="AC52" s="507"/>
      <c r="AD52" s="58"/>
      <c r="AE52" s="498"/>
      <c r="AF52" s="762">
        <f>193345445.526316+30000000</f>
        <v>223345445.52631599</v>
      </c>
      <c r="AG52" s="69"/>
      <c r="AH52" s="69"/>
      <c r="AI52" s="36"/>
      <c r="AJ52" s="69">
        <v>94926500</v>
      </c>
      <c r="AK52" s="69">
        <v>293689000</v>
      </c>
      <c r="AL52" s="658">
        <v>293689000</v>
      </c>
      <c r="AM52" s="657">
        <v>354644867</v>
      </c>
      <c r="AN52" s="655">
        <f>+AM52/Q52</f>
        <v>0.97232167404209313</v>
      </c>
      <c r="AO52" s="655">
        <f>+AM52/H52</f>
        <v>0.2123985271923014</v>
      </c>
      <c r="AP52" s="1099"/>
      <c r="AQ52" s="1066"/>
      <c r="AR52" s="1093"/>
      <c r="AS52" s="1068"/>
      <c r="AT52" s="1060"/>
      <c r="AU52" s="32"/>
      <c r="AV52" s="32"/>
      <c r="AW52" s="32"/>
      <c r="AX52" s="32"/>
    </row>
    <row r="53" spans="1:50" s="20" customFormat="1" ht="35.1" customHeight="1" x14ac:dyDescent="0.25">
      <c r="A53" s="1122"/>
      <c r="B53" s="1086"/>
      <c r="C53" s="1085"/>
      <c r="D53" s="1122"/>
      <c r="E53" s="1085"/>
      <c r="F53" s="1085"/>
      <c r="G53" s="760" t="s">
        <v>130</v>
      </c>
      <c r="H53" s="27"/>
      <c r="I53" s="27"/>
      <c r="J53" s="27"/>
      <c r="K53" s="27"/>
      <c r="L53" s="27"/>
      <c r="M53" s="27"/>
      <c r="N53" s="676"/>
      <c r="O53" s="27"/>
      <c r="P53" s="27"/>
      <c r="Q53" s="749"/>
      <c r="R53" s="689"/>
      <c r="S53" s="763"/>
      <c r="T53" s="681">
        <f>+R51-Q51</f>
        <v>0</v>
      </c>
      <c r="U53" s="764"/>
      <c r="V53" s="764"/>
      <c r="W53" s="764"/>
      <c r="X53" s="58"/>
      <c r="Y53" s="58"/>
      <c r="Z53" s="764"/>
      <c r="AA53" s="764"/>
      <c r="AB53" s="764"/>
      <c r="AC53" s="764"/>
      <c r="AD53" s="58"/>
      <c r="AE53" s="498"/>
      <c r="AF53" s="762"/>
      <c r="AG53" s="69"/>
      <c r="AH53" s="69"/>
      <c r="AI53" s="36"/>
      <c r="AJ53" s="69"/>
      <c r="AK53" s="69"/>
      <c r="AL53" s="765"/>
      <c r="AM53" s="661"/>
      <c r="AN53" s="685"/>
      <c r="AO53" s="685"/>
      <c r="AP53" s="1099"/>
      <c r="AQ53" s="1066"/>
      <c r="AR53" s="1093"/>
      <c r="AS53" s="1068"/>
      <c r="AT53" s="1060"/>
      <c r="AU53" s="32"/>
      <c r="AV53" s="32"/>
      <c r="AW53" s="32"/>
      <c r="AX53" s="32"/>
    </row>
    <row r="54" spans="1:50" s="20" customFormat="1" ht="35.1" customHeight="1" x14ac:dyDescent="0.25">
      <c r="A54" s="1122"/>
      <c r="B54" s="1086"/>
      <c r="C54" s="1085"/>
      <c r="D54" s="1122"/>
      <c r="E54" s="1085"/>
      <c r="F54" s="1085"/>
      <c r="G54" s="760" t="s">
        <v>135</v>
      </c>
      <c r="H54" s="507"/>
      <c r="I54" s="507"/>
      <c r="J54" s="507"/>
      <c r="K54" s="507"/>
      <c r="L54" s="507"/>
      <c r="M54" s="507"/>
      <c r="N54" s="507">
        <v>179241931</v>
      </c>
      <c r="O54" s="507">
        <v>179241931</v>
      </c>
      <c r="P54" s="507">
        <v>179241931</v>
      </c>
      <c r="Q54" s="677">
        <v>179241931</v>
      </c>
      <c r="R54" s="677">
        <v>179199239</v>
      </c>
      <c r="S54" s="270"/>
      <c r="T54" s="680">
        <v>83702995</v>
      </c>
      <c r="U54" s="507"/>
      <c r="V54" s="507"/>
      <c r="W54" s="507"/>
      <c r="X54" s="58"/>
      <c r="Y54" s="58"/>
      <c r="Z54" s="507"/>
      <c r="AA54" s="507"/>
      <c r="AB54" s="507"/>
      <c r="AC54" s="507"/>
      <c r="AD54" s="58"/>
      <c r="AE54" s="498"/>
      <c r="AF54" s="762"/>
      <c r="AG54" s="69"/>
      <c r="AH54" s="69"/>
      <c r="AI54" s="36"/>
      <c r="AJ54" s="69">
        <v>65520468</v>
      </c>
      <c r="AK54" s="69">
        <v>82075853</v>
      </c>
      <c r="AL54" s="765">
        <v>126833255</v>
      </c>
      <c r="AM54" s="765">
        <v>179199239</v>
      </c>
      <c r="AN54" s="685"/>
      <c r="AO54" s="685"/>
      <c r="AP54" s="1099"/>
      <c r="AQ54" s="1066"/>
      <c r="AR54" s="1093"/>
      <c r="AS54" s="1068"/>
      <c r="AT54" s="1060"/>
      <c r="AU54" s="32"/>
      <c r="AV54" s="32"/>
      <c r="AW54" s="32"/>
      <c r="AX54" s="32"/>
    </row>
    <row r="55" spans="1:50" s="20" customFormat="1" ht="35.1" customHeight="1" x14ac:dyDescent="0.25">
      <c r="A55" s="1122"/>
      <c r="B55" s="1086"/>
      <c r="C55" s="1085"/>
      <c r="D55" s="1122"/>
      <c r="E55" s="1085"/>
      <c r="F55" s="1085"/>
      <c r="G55" s="760" t="s">
        <v>137</v>
      </c>
      <c r="H55" s="766">
        <f t="shared" ref="H55:K56" si="24">H51</f>
        <v>24999.66</v>
      </c>
      <c r="I55" s="766"/>
      <c r="J55" s="766">
        <f t="shared" si="24"/>
        <v>1000</v>
      </c>
      <c r="K55" s="766">
        <f t="shared" si="24"/>
        <v>1390</v>
      </c>
      <c r="L55" s="766">
        <v>1390</v>
      </c>
      <c r="M55" s="766"/>
      <c r="N55" s="717">
        <f t="shared" ref="N55:O55" si="25">+N51</f>
        <v>7000</v>
      </c>
      <c r="O55" s="717">
        <f t="shared" si="25"/>
        <v>7000</v>
      </c>
      <c r="P55" s="717">
        <f>+P51</f>
        <v>7000</v>
      </c>
      <c r="Q55" s="767">
        <v>7000</v>
      </c>
      <c r="R55" s="767">
        <v>7910.66</v>
      </c>
      <c r="S55" s="730"/>
      <c r="T55" s="757">
        <v>6610</v>
      </c>
      <c r="U55" s="717"/>
      <c r="V55" s="717"/>
      <c r="W55" s="717"/>
      <c r="X55" s="58"/>
      <c r="Y55" s="58"/>
      <c r="Z55" s="717">
        <v>7000</v>
      </c>
      <c r="AA55" s="717"/>
      <c r="AB55" s="717"/>
      <c r="AC55" s="717"/>
      <c r="AD55" s="58"/>
      <c r="AE55" s="498"/>
      <c r="AF55" s="762">
        <v>3000</v>
      </c>
      <c r="AG55" s="69"/>
      <c r="AH55" s="69"/>
      <c r="AI55" s="36"/>
      <c r="AJ55" s="69">
        <v>1368.3</v>
      </c>
      <c r="AK55" s="69">
        <v>3379</v>
      </c>
      <c r="AL55" s="753">
        <v>5265.41</v>
      </c>
      <c r="AM55" s="768">
        <v>7910.66</v>
      </c>
      <c r="AN55" s="655">
        <f>+AM55/Q55</f>
        <v>1.1300942857142857</v>
      </c>
      <c r="AO55" s="655">
        <f>+AM55/H55</f>
        <v>0.31643070345756702</v>
      </c>
      <c r="AP55" s="1099"/>
      <c r="AQ55" s="1066"/>
      <c r="AR55" s="1093"/>
      <c r="AS55" s="1068"/>
      <c r="AT55" s="1060"/>
      <c r="AU55" s="32"/>
      <c r="AV55" s="32"/>
      <c r="AW55" s="32"/>
      <c r="AX55" s="32"/>
    </row>
    <row r="56" spans="1:50" s="20" customFormat="1" ht="35.1" customHeight="1" thickBot="1" x14ac:dyDescent="0.3">
      <c r="A56" s="1122"/>
      <c r="B56" s="1086"/>
      <c r="C56" s="1085"/>
      <c r="D56" s="1122"/>
      <c r="E56" s="1085"/>
      <c r="F56" s="1085"/>
      <c r="G56" s="769" t="s">
        <v>143</v>
      </c>
      <c r="H56" s="770">
        <f t="shared" si="24"/>
        <v>1669714341.6578948</v>
      </c>
      <c r="I56" s="770"/>
      <c r="J56" s="770">
        <f t="shared" si="24"/>
        <v>289673103</v>
      </c>
      <c r="K56" s="770">
        <f t="shared" si="24"/>
        <v>289673103</v>
      </c>
      <c r="L56" s="770">
        <v>286086231</v>
      </c>
      <c r="M56" s="770"/>
      <c r="N56" s="770">
        <f t="shared" ref="N56:O56" si="26">+N52+N54</f>
        <v>533122931</v>
      </c>
      <c r="O56" s="770">
        <f t="shared" si="26"/>
        <v>533122931</v>
      </c>
      <c r="P56" s="770">
        <f>+P52+P54</f>
        <v>533122931</v>
      </c>
      <c r="Q56" s="664">
        <f>+Q52+Q54</f>
        <v>543982198</v>
      </c>
      <c r="R56" s="664">
        <f>+R52+R54</f>
        <v>533844106</v>
      </c>
      <c r="S56" s="763"/>
      <c r="T56" s="681">
        <f>T52</f>
        <v>486128950</v>
      </c>
      <c r="U56" s="764"/>
      <c r="V56" s="764"/>
      <c r="W56" s="764"/>
      <c r="X56" s="54"/>
      <c r="Y56" s="54"/>
      <c r="Z56" s="764">
        <f>Z52</f>
        <v>320272715.13157904</v>
      </c>
      <c r="AA56" s="764"/>
      <c r="AB56" s="764"/>
      <c r="AC56" s="764"/>
      <c r="AD56" s="54"/>
      <c r="AE56" s="498"/>
      <c r="AF56" s="722">
        <f>AF52</f>
        <v>223345445.52631599</v>
      </c>
      <c r="AG56" s="95"/>
      <c r="AH56" s="95"/>
      <c r="AI56" s="58"/>
      <c r="AJ56" s="510">
        <v>160446968</v>
      </c>
      <c r="AK56" s="509">
        <v>375764853</v>
      </c>
      <c r="AL56" s="515">
        <v>420522255</v>
      </c>
      <c r="AM56" s="664">
        <f>+AM52+AM54</f>
        <v>533844106</v>
      </c>
      <c r="AN56" s="655">
        <f>+AM56/Q56</f>
        <v>0.98136319159473673</v>
      </c>
      <c r="AO56" s="655">
        <f>+AM56/H56</f>
        <v>0.31972181868542549</v>
      </c>
      <c r="AP56" s="1100"/>
      <c r="AQ56" s="1066"/>
      <c r="AR56" s="1093"/>
      <c r="AS56" s="1068"/>
      <c r="AT56" s="1060"/>
      <c r="AU56" s="32"/>
      <c r="AV56" s="32"/>
      <c r="AW56" s="32"/>
      <c r="AX56" s="32"/>
    </row>
    <row r="57" spans="1:50" s="20" customFormat="1" ht="35.1" customHeight="1" x14ac:dyDescent="0.25">
      <c r="A57" s="1122"/>
      <c r="B57" s="1085">
        <v>9</v>
      </c>
      <c r="C57" s="1085" t="s">
        <v>146</v>
      </c>
      <c r="D57" s="1085" t="s">
        <v>84</v>
      </c>
      <c r="E57" s="1085">
        <v>469</v>
      </c>
      <c r="F57" s="1085"/>
      <c r="G57" s="771" t="s">
        <v>111</v>
      </c>
      <c r="H57" s="740">
        <f>+L57+R57+T57+Z57+AF57</f>
        <v>8000</v>
      </c>
      <c r="I57" s="740"/>
      <c r="J57" s="77">
        <v>1059</v>
      </c>
      <c r="K57" s="77">
        <v>1000</v>
      </c>
      <c r="L57" s="77">
        <v>1059</v>
      </c>
      <c r="M57" s="77"/>
      <c r="N57" s="740">
        <v>2000</v>
      </c>
      <c r="O57" s="740">
        <v>2000</v>
      </c>
      <c r="P57" s="740">
        <v>2000</v>
      </c>
      <c r="Q57" s="741">
        <v>2030</v>
      </c>
      <c r="R57" s="694">
        <v>2030</v>
      </c>
      <c r="S57" s="742"/>
      <c r="T57" s="743">
        <f>2000-59</f>
        <v>1941</v>
      </c>
      <c r="U57" s="740"/>
      <c r="V57" s="740"/>
      <c r="W57" s="740"/>
      <c r="X57" s="52"/>
      <c r="Y57" s="52"/>
      <c r="Z57" s="740">
        <f>2000-30</f>
        <v>1970</v>
      </c>
      <c r="AA57" s="740"/>
      <c r="AB57" s="740"/>
      <c r="AC57" s="740"/>
      <c r="AD57" s="52"/>
      <c r="AE57" s="498"/>
      <c r="AF57" s="772">
        <v>1000</v>
      </c>
      <c r="AG57" s="101"/>
      <c r="AH57" s="101"/>
      <c r="AI57" s="106"/>
      <c r="AJ57" s="101">
        <v>381</v>
      </c>
      <c r="AK57" s="101">
        <v>1261</v>
      </c>
      <c r="AL57" s="773">
        <v>1736</v>
      </c>
      <c r="AM57" s="774">
        <v>2030</v>
      </c>
      <c r="AN57" s="674">
        <f>+AM57/Q57</f>
        <v>1</v>
      </c>
      <c r="AO57" s="675">
        <f>+AM57/H57</f>
        <v>0.25374999999999998</v>
      </c>
      <c r="AP57" s="1101" t="s">
        <v>506</v>
      </c>
      <c r="AQ57" s="1087" t="s">
        <v>214</v>
      </c>
      <c r="AR57" s="1090" t="s">
        <v>86</v>
      </c>
      <c r="AS57" s="1095" t="s">
        <v>420</v>
      </c>
      <c r="AT57" s="1059" t="s">
        <v>237</v>
      </c>
      <c r="AU57" s="33"/>
      <c r="AV57" s="33"/>
      <c r="AW57" s="33"/>
      <c r="AX57" s="33"/>
    </row>
    <row r="58" spans="1:50" s="20" customFormat="1" ht="35.1" customHeight="1" x14ac:dyDescent="0.25">
      <c r="A58" s="1122"/>
      <c r="B58" s="1085"/>
      <c r="C58" s="1085"/>
      <c r="D58" s="1085"/>
      <c r="E58" s="1085"/>
      <c r="F58" s="1085"/>
      <c r="G58" s="760" t="s">
        <v>123</v>
      </c>
      <c r="H58" s="676">
        <f>+L58+N58+T58+Z58+AF58</f>
        <v>703384176.57894731</v>
      </c>
      <c r="I58" s="676"/>
      <c r="J58" s="676">
        <v>92060463</v>
      </c>
      <c r="K58" s="676">
        <v>92060463</v>
      </c>
      <c r="L58" s="676">
        <v>90363218</v>
      </c>
      <c r="M58" s="676"/>
      <c r="N58" s="676">
        <v>169154000</v>
      </c>
      <c r="O58" s="676">
        <v>169154000</v>
      </c>
      <c r="P58" s="676">
        <v>169154000</v>
      </c>
      <c r="Q58" s="677">
        <v>160793033</v>
      </c>
      <c r="R58" s="695">
        <f>+AM58</f>
        <v>160793033</v>
      </c>
      <c r="S58" s="270"/>
      <c r="T58" s="680">
        <v>191581030</v>
      </c>
      <c r="U58" s="507"/>
      <c r="V58" s="507"/>
      <c r="W58" s="507"/>
      <c r="X58" s="54"/>
      <c r="Y58" s="54"/>
      <c r="Z58" s="507">
        <v>144754221.31578946</v>
      </c>
      <c r="AA58" s="507"/>
      <c r="AB58" s="507"/>
      <c r="AC58" s="507"/>
      <c r="AD58" s="54"/>
      <c r="AE58" s="498"/>
      <c r="AF58" s="762">
        <v>107531707.26315789</v>
      </c>
      <c r="AG58" s="69"/>
      <c r="AH58" s="69"/>
      <c r="AI58" s="40"/>
      <c r="AJ58" s="69">
        <v>24234500</v>
      </c>
      <c r="AK58" s="69">
        <v>152377500</v>
      </c>
      <c r="AL58" s="658">
        <v>152377500</v>
      </c>
      <c r="AM58" s="657">
        <v>160793033</v>
      </c>
      <c r="AN58" s="655">
        <f>+AM58/Q58</f>
        <v>1</v>
      </c>
      <c r="AO58" s="655">
        <f>+AM58/H58</f>
        <v>0.2285991615308291</v>
      </c>
      <c r="AP58" s="1099"/>
      <c r="AQ58" s="1063"/>
      <c r="AR58" s="1066"/>
      <c r="AS58" s="1068"/>
      <c r="AT58" s="1060"/>
      <c r="AU58" s="33"/>
      <c r="AV58" s="33"/>
      <c r="AW58" s="33"/>
      <c r="AX58" s="33"/>
    </row>
    <row r="59" spans="1:50" s="20" customFormat="1" ht="35.1" customHeight="1" x14ac:dyDescent="0.25">
      <c r="A59" s="1122"/>
      <c r="B59" s="1085"/>
      <c r="C59" s="1085"/>
      <c r="D59" s="1085"/>
      <c r="E59" s="1085"/>
      <c r="F59" s="1085"/>
      <c r="G59" s="760" t="s">
        <v>130</v>
      </c>
      <c r="H59" s="717"/>
      <c r="I59" s="717"/>
      <c r="J59" s="507"/>
      <c r="K59" s="507"/>
      <c r="L59" s="507"/>
      <c r="M59" s="507"/>
      <c r="N59" s="507">
        <v>0</v>
      </c>
      <c r="O59" s="507">
        <v>0</v>
      </c>
      <c r="P59" s="507">
        <v>0</v>
      </c>
      <c r="Q59" s="677">
        <v>0</v>
      </c>
      <c r="R59" s="689">
        <v>0</v>
      </c>
      <c r="S59" s="270"/>
      <c r="T59" s="680">
        <v>0</v>
      </c>
      <c r="U59" s="507"/>
      <c r="V59" s="507"/>
      <c r="W59" s="507"/>
      <c r="X59" s="54"/>
      <c r="Y59" s="54"/>
      <c r="Z59" s="507"/>
      <c r="AA59" s="507"/>
      <c r="AB59" s="507"/>
      <c r="AC59" s="507"/>
      <c r="AD59" s="54"/>
      <c r="AE59" s="498"/>
      <c r="AF59" s="762"/>
      <c r="AG59" s="69"/>
      <c r="AH59" s="69"/>
      <c r="AI59" s="40"/>
      <c r="AJ59" s="69"/>
      <c r="AK59" s="69"/>
      <c r="AL59" s="765"/>
      <c r="AM59" s="661"/>
      <c r="AN59" s="775"/>
      <c r="AO59" s="751"/>
      <c r="AP59" s="1099"/>
      <c r="AQ59" s="1063"/>
      <c r="AR59" s="1066"/>
      <c r="AS59" s="1068"/>
      <c r="AT59" s="1060"/>
      <c r="AU59" s="33"/>
      <c r="AV59" s="33"/>
      <c r="AW59" s="33"/>
      <c r="AX59" s="33"/>
    </row>
    <row r="60" spans="1:50" s="20" customFormat="1" ht="35.1" customHeight="1" x14ac:dyDescent="0.25">
      <c r="A60" s="1122"/>
      <c r="B60" s="1085"/>
      <c r="C60" s="1085"/>
      <c r="D60" s="1085"/>
      <c r="E60" s="1085"/>
      <c r="F60" s="1085"/>
      <c r="G60" s="760" t="s">
        <v>135</v>
      </c>
      <c r="H60" s="717"/>
      <c r="I60" s="717"/>
      <c r="J60" s="507"/>
      <c r="K60" s="507"/>
      <c r="L60" s="507"/>
      <c r="M60" s="507"/>
      <c r="N60" s="507">
        <v>29964766</v>
      </c>
      <c r="O60" s="507">
        <v>29964766</v>
      </c>
      <c r="P60" s="507">
        <v>29964766</v>
      </c>
      <c r="Q60" s="677">
        <v>29964766</v>
      </c>
      <c r="R60" s="689">
        <v>29964766</v>
      </c>
      <c r="S60" s="270"/>
      <c r="T60" s="680">
        <v>38648633</v>
      </c>
      <c r="U60" s="507"/>
      <c r="V60" s="507"/>
      <c r="W60" s="507"/>
      <c r="X60" s="54"/>
      <c r="Y60" s="54"/>
      <c r="Z60" s="507"/>
      <c r="AA60" s="507"/>
      <c r="AB60" s="507"/>
      <c r="AC60" s="507"/>
      <c r="AD60" s="54"/>
      <c r="AE60" s="498"/>
      <c r="AF60" s="762"/>
      <c r="AG60" s="69"/>
      <c r="AH60" s="69"/>
      <c r="AI60" s="40"/>
      <c r="AJ60" s="69">
        <v>29964766</v>
      </c>
      <c r="AK60" s="69">
        <v>29964766</v>
      </c>
      <c r="AL60" s="765">
        <v>29964766</v>
      </c>
      <c r="AM60" s="765">
        <v>29964766</v>
      </c>
      <c r="AN60" s="776"/>
      <c r="AO60" s="736"/>
      <c r="AP60" s="1099"/>
      <c r="AQ60" s="1063"/>
      <c r="AR60" s="1066"/>
      <c r="AS60" s="1068"/>
      <c r="AT60" s="1060"/>
      <c r="AU60" s="33"/>
      <c r="AV60" s="33"/>
      <c r="AW60" s="33"/>
      <c r="AX60" s="33"/>
    </row>
    <row r="61" spans="1:50" s="20" customFormat="1" ht="35.1" customHeight="1" x14ac:dyDescent="0.25">
      <c r="A61" s="1122"/>
      <c r="B61" s="1085"/>
      <c r="C61" s="1085"/>
      <c r="D61" s="1085"/>
      <c r="E61" s="1085"/>
      <c r="F61" s="1085"/>
      <c r="G61" s="760" t="s">
        <v>137</v>
      </c>
      <c r="H61" s="766">
        <f>+H57</f>
        <v>8000</v>
      </c>
      <c r="I61" s="766"/>
      <c r="J61" s="766">
        <f t="shared" ref="J61:Z62" si="27">J57</f>
        <v>1059</v>
      </c>
      <c r="K61" s="766">
        <f t="shared" si="27"/>
        <v>1000</v>
      </c>
      <c r="L61" s="766">
        <v>1059</v>
      </c>
      <c r="M61" s="766"/>
      <c r="N61" s="766">
        <f t="shared" ref="N61:O61" si="28">+N57</f>
        <v>2000</v>
      </c>
      <c r="O61" s="766">
        <f t="shared" si="28"/>
        <v>2000</v>
      </c>
      <c r="P61" s="766">
        <f>+P57</f>
        <v>2000</v>
      </c>
      <c r="Q61" s="777">
        <v>2000</v>
      </c>
      <c r="R61" s="777">
        <v>2030</v>
      </c>
      <c r="S61" s="766"/>
      <c r="T61" s="766">
        <f t="shared" si="27"/>
        <v>1941</v>
      </c>
      <c r="U61" s="766"/>
      <c r="V61" s="766"/>
      <c r="W61" s="766"/>
      <c r="X61" s="766"/>
      <c r="Y61" s="766"/>
      <c r="Z61" s="766">
        <f t="shared" si="27"/>
        <v>1970</v>
      </c>
      <c r="AA61" s="766"/>
      <c r="AB61" s="766"/>
      <c r="AC61" s="766"/>
      <c r="AD61" s="778"/>
      <c r="AE61" s="498"/>
      <c r="AF61" s="779">
        <f t="shared" ref="AF61:AF62" si="29">AF57</f>
        <v>1000</v>
      </c>
      <c r="AG61" s="107"/>
      <c r="AH61" s="107"/>
      <c r="AI61" s="102"/>
      <c r="AJ61" s="108">
        <v>381</v>
      </c>
      <c r="AK61" s="108">
        <v>1261</v>
      </c>
      <c r="AL61" s="753">
        <v>1736</v>
      </c>
      <c r="AM61" s="780">
        <v>2030</v>
      </c>
      <c r="AN61" s="776"/>
      <c r="AO61" s="736"/>
      <c r="AP61" s="1099"/>
      <c r="AQ61" s="1063"/>
      <c r="AR61" s="1066"/>
      <c r="AS61" s="1068"/>
      <c r="AT61" s="1060"/>
      <c r="AU61" s="33"/>
      <c r="AV61" s="33"/>
      <c r="AW61" s="33"/>
      <c r="AX61" s="33"/>
    </row>
    <row r="62" spans="1:50" s="20" customFormat="1" ht="35.1" customHeight="1" thickBot="1" x14ac:dyDescent="0.3">
      <c r="A62" s="1122"/>
      <c r="B62" s="1085"/>
      <c r="C62" s="1085"/>
      <c r="D62" s="1085"/>
      <c r="E62" s="1085"/>
      <c r="F62" s="1085"/>
      <c r="G62" s="781" t="s">
        <v>143</v>
      </c>
      <c r="H62" s="782">
        <f>+H58</f>
        <v>703384176.57894731</v>
      </c>
      <c r="I62" s="782"/>
      <c r="J62" s="782">
        <f t="shared" si="27"/>
        <v>92060463</v>
      </c>
      <c r="K62" s="782">
        <f t="shared" si="27"/>
        <v>92060463</v>
      </c>
      <c r="L62" s="782">
        <v>90363218</v>
      </c>
      <c r="M62" s="782"/>
      <c r="N62" s="782">
        <f t="shared" ref="N62:O62" si="30">+N58+N60</f>
        <v>199118766</v>
      </c>
      <c r="O62" s="782">
        <f t="shared" si="30"/>
        <v>199118766</v>
      </c>
      <c r="P62" s="782">
        <f>+P58+P60</f>
        <v>199118766</v>
      </c>
      <c r="Q62" s="664">
        <f>+Q58+Q60</f>
        <v>190757799</v>
      </c>
      <c r="R62" s="664">
        <f>+R58+R60</f>
        <v>190757799</v>
      </c>
      <c r="S62" s="508"/>
      <c r="T62" s="508">
        <f t="shared" si="27"/>
        <v>191581030</v>
      </c>
      <c r="U62" s="508"/>
      <c r="V62" s="508"/>
      <c r="W62" s="508"/>
      <c r="X62" s="508"/>
      <c r="Y62" s="508"/>
      <c r="Z62" s="508">
        <f t="shared" si="27"/>
        <v>144754221.31578946</v>
      </c>
      <c r="AA62" s="508"/>
      <c r="AB62" s="508"/>
      <c r="AC62" s="508"/>
      <c r="AD62" s="783"/>
      <c r="AE62" s="498"/>
      <c r="AF62" s="784">
        <f t="shared" si="29"/>
        <v>107531707.26315789</v>
      </c>
      <c r="AG62" s="500"/>
      <c r="AH62" s="500"/>
      <c r="AI62" s="511"/>
      <c r="AJ62" s="509">
        <v>54199266</v>
      </c>
      <c r="AK62" s="509">
        <v>182342266</v>
      </c>
      <c r="AL62" s="513">
        <v>182342266</v>
      </c>
      <c r="AM62" s="664">
        <f>+AM58+AM60</f>
        <v>190757799</v>
      </c>
      <c r="AN62" s="785"/>
      <c r="AO62" s="786"/>
      <c r="AP62" s="1102"/>
      <c r="AQ62" s="1113"/>
      <c r="AR62" s="1091"/>
      <c r="AS62" s="1096"/>
      <c r="AT62" s="1061"/>
      <c r="AU62" s="33"/>
      <c r="AV62" s="33"/>
      <c r="AW62" s="33"/>
      <c r="AX62" s="33"/>
    </row>
    <row r="63" spans="1:50" s="20" customFormat="1" ht="35.1" customHeight="1" x14ac:dyDescent="0.25">
      <c r="A63" s="1122"/>
      <c r="B63" s="1085">
        <v>10</v>
      </c>
      <c r="C63" s="1085" t="s">
        <v>148</v>
      </c>
      <c r="D63" s="1085" t="s">
        <v>189</v>
      </c>
      <c r="E63" s="1085">
        <v>469</v>
      </c>
      <c r="F63" s="1085"/>
      <c r="G63" s="147" t="s">
        <v>111</v>
      </c>
      <c r="H63" s="109">
        <v>1</v>
      </c>
      <c r="I63" s="109"/>
      <c r="J63" s="109">
        <v>0.2</v>
      </c>
      <c r="K63" s="787">
        <v>0.2</v>
      </c>
      <c r="L63" s="787">
        <v>0.1</v>
      </c>
      <c r="M63" s="787"/>
      <c r="N63" s="788">
        <v>0.5</v>
      </c>
      <c r="O63" s="789">
        <v>0.5</v>
      </c>
      <c r="P63" s="789">
        <v>0.5</v>
      </c>
      <c r="Q63" s="790">
        <v>0.5</v>
      </c>
      <c r="R63" s="791">
        <f>+L63+R65+15%</f>
        <v>0.35</v>
      </c>
      <c r="S63" s="792"/>
      <c r="T63" s="792">
        <v>0.65</v>
      </c>
      <c r="U63" s="740"/>
      <c r="V63" s="740"/>
      <c r="W63" s="740"/>
      <c r="X63" s="52"/>
      <c r="Y63" s="52"/>
      <c r="Z63" s="788">
        <v>0.9</v>
      </c>
      <c r="AA63" s="740"/>
      <c r="AB63" s="740"/>
      <c r="AC63" s="740"/>
      <c r="AD63" s="52"/>
      <c r="AE63" s="498"/>
      <c r="AF63" s="792">
        <v>1</v>
      </c>
      <c r="AG63" s="100"/>
      <c r="AH63" s="100"/>
      <c r="AI63" s="106"/>
      <c r="AJ63" s="101">
        <v>0.245</v>
      </c>
      <c r="AK63" s="100">
        <v>28.5</v>
      </c>
      <c r="AL63" s="793">
        <v>0.35</v>
      </c>
      <c r="AM63" s="791">
        <f>+R63</f>
        <v>0.35</v>
      </c>
      <c r="AN63" s="674">
        <f>+AM63/Q63</f>
        <v>0.7</v>
      </c>
      <c r="AO63" s="675">
        <f>+AM63/H63</f>
        <v>0.35</v>
      </c>
      <c r="AP63" s="1098" t="s">
        <v>538</v>
      </c>
      <c r="AQ63" s="1062" t="s">
        <v>539</v>
      </c>
      <c r="AR63" s="1065" t="s">
        <v>540</v>
      </c>
      <c r="AS63" s="1067" t="s">
        <v>208</v>
      </c>
      <c r="AT63" s="1069" t="s">
        <v>421</v>
      </c>
      <c r="AU63" s="33"/>
      <c r="AV63" s="33"/>
      <c r="AW63" s="33"/>
      <c r="AX63" s="33"/>
    </row>
    <row r="64" spans="1:50" s="20" customFormat="1" ht="35.1" customHeight="1" x14ac:dyDescent="0.25">
      <c r="A64" s="1122"/>
      <c r="B64" s="1085"/>
      <c r="C64" s="1085"/>
      <c r="D64" s="1085"/>
      <c r="E64" s="1085"/>
      <c r="F64" s="1085"/>
      <c r="G64" s="145" t="s">
        <v>123</v>
      </c>
      <c r="H64" s="60">
        <f>+L64+N64+T64+Z64+AF64</f>
        <v>675933556.76315796</v>
      </c>
      <c r="I64" s="60"/>
      <c r="J64" s="60">
        <v>166837646</v>
      </c>
      <c r="K64" s="676">
        <v>166837646</v>
      </c>
      <c r="L64" s="676">
        <v>166837646</v>
      </c>
      <c r="M64" s="676"/>
      <c r="N64" s="676">
        <v>150000000</v>
      </c>
      <c r="O64" s="676">
        <v>150000000</v>
      </c>
      <c r="P64" s="676">
        <v>150000000</v>
      </c>
      <c r="Q64" s="677">
        <v>250000000</v>
      </c>
      <c r="R64" s="695">
        <f>+AM64</f>
        <v>0</v>
      </c>
      <c r="S64" s="680"/>
      <c r="T64" s="680">
        <v>150000000</v>
      </c>
      <c r="U64" s="507"/>
      <c r="V64" s="507"/>
      <c r="W64" s="507"/>
      <c r="X64" s="54"/>
      <c r="Y64" s="54"/>
      <c r="Z64" s="507">
        <v>119973063.55263159</v>
      </c>
      <c r="AA64" s="507"/>
      <c r="AB64" s="507"/>
      <c r="AC64" s="507"/>
      <c r="AD64" s="54"/>
      <c r="AE64" s="498"/>
      <c r="AF64" s="680">
        <v>89122847.210526317</v>
      </c>
      <c r="AG64" s="61"/>
      <c r="AH64" s="61"/>
      <c r="AI64" s="102"/>
      <c r="AJ64" s="69">
        <v>0</v>
      </c>
      <c r="AK64" s="99"/>
      <c r="AL64" s="658">
        <v>0</v>
      </c>
      <c r="AM64" s="677">
        <v>0</v>
      </c>
      <c r="AN64" s="655">
        <f>+AM64/Q64</f>
        <v>0</v>
      </c>
      <c r="AO64" s="655">
        <f>+AM64/H64</f>
        <v>0</v>
      </c>
      <c r="AP64" s="1099"/>
      <c r="AQ64" s="1063"/>
      <c r="AR64" s="1066"/>
      <c r="AS64" s="1068"/>
      <c r="AT64" s="1060"/>
      <c r="AU64" s="33"/>
      <c r="AV64" s="33"/>
      <c r="AW64" s="33"/>
      <c r="AX64" s="33"/>
    </row>
    <row r="65" spans="1:50" s="20" customFormat="1" ht="35.1" customHeight="1" x14ac:dyDescent="0.25">
      <c r="A65" s="1122"/>
      <c r="B65" s="1085"/>
      <c r="C65" s="1085"/>
      <c r="D65" s="1085"/>
      <c r="E65" s="1085"/>
      <c r="F65" s="1085"/>
      <c r="G65" s="145" t="s">
        <v>130</v>
      </c>
      <c r="H65" s="107"/>
      <c r="I65" s="107"/>
      <c r="J65" s="61"/>
      <c r="K65" s="61"/>
      <c r="L65" s="61"/>
      <c r="M65" s="61"/>
      <c r="N65" s="61"/>
      <c r="O65" s="277">
        <v>0.1</v>
      </c>
      <c r="P65" s="277">
        <v>0.1</v>
      </c>
      <c r="Q65" s="794">
        <v>0.1</v>
      </c>
      <c r="R65" s="794">
        <v>0.1</v>
      </c>
      <c r="S65" s="99"/>
      <c r="T65" s="99"/>
      <c r="U65" s="61"/>
      <c r="V65" s="61"/>
      <c r="W65" s="61"/>
      <c r="X65" s="102"/>
      <c r="Y65" s="102"/>
      <c r="Z65" s="61"/>
      <c r="AA65" s="61"/>
      <c r="AB65" s="61"/>
      <c r="AC65" s="61"/>
      <c r="AD65" s="102"/>
      <c r="AE65" s="498"/>
      <c r="AF65" s="99"/>
      <c r="AG65" s="61"/>
      <c r="AH65" s="61"/>
      <c r="AI65" s="102"/>
      <c r="AJ65" s="107"/>
      <c r="AK65" s="61">
        <v>10</v>
      </c>
      <c r="AL65" s="765"/>
      <c r="AM65" s="689"/>
      <c r="AN65" s="750"/>
      <c r="AO65" s="751"/>
      <c r="AP65" s="1099"/>
      <c r="AQ65" s="1063"/>
      <c r="AR65" s="1066"/>
      <c r="AS65" s="1068"/>
      <c r="AT65" s="1060"/>
      <c r="AU65" s="33"/>
      <c r="AV65" s="33"/>
      <c r="AW65" s="33"/>
      <c r="AX65" s="33"/>
    </row>
    <row r="66" spans="1:50" s="20" customFormat="1" ht="35.1" customHeight="1" x14ac:dyDescent="0.25">
      <c r="A66" s="1122"/>
      <c r="B66" s="1085"/>
      <c r="C66" s="1085"/>
      <c r="D66" s="1085"/>
      <c r="E66" s="1085"/>
      <c r="F66" s="1085"/>
      <c r="G66" s="145" t="s">
        <v>135</v>
      </c>
      <c r="H66" s="107"/>
      <c r="I66" s="107"/>
      <c r="J66" s="61"/>
      <c r="K66" s="61"/>
      <c r="L66" s="61"/>
      <c r="M66" s="61"/>
      <c r="N66" s="61">
        <v>166837646</v>
      </c>
      <c r="O66" s="61">
        <v>166837646</v>
      </c>
      <c r="P66" s="61">
        <v>166837646</v>
      </c>
      <c r="Q66" s="677">
        <v>166837646</v>
      </c>
      <c r="R66" s="695">
        <v>166837646</v>
      </c>
      <c r="S66" s="99"/>
      <c r="T66" s="99"/>
      <c r="U66" s="61"/>
      <c r="V66" s="61"/>
      <c r="W66" s="61"/>
      <c r="X66" s="102"/>
      <c r="Y66" s="102"/>
      <c r="Z66" s="61"/>
      <c r="AA66" s="61"/>
      <c r="AB66" s="61"/>
      <c r="AC66" s="61"/>
      <c r="AD66" s="102"/>
      <c r="AE66" s="498"/>
      <c r="AF66" s="99"/>
      <c r="AG66" s="61"/>
      <c r="AH66" s="61"/>
      <c r="AI66" s="102"/>
      <c r="AJ66" s="61">
        <v>100102588</v>
      </c>
      <c r="AK66" s="61">
        <v>100102588</v>
      </c>
      <c r="AL66" s="765">
        <v>166837646</v>
      </c>
      <c r="AM66" s="765">
        <v>166837646</v>
      </c>
      <c r="AN66" s="735"/>
      <c r="AO66" s="736"/>
      <c r="AP66" s="1099"/>
      <c r="AQ66" s="1063"/>
      <c r="AR66" s="1066"/>
      <c r="AS66" s="1068"/>
      <c r="AT66" s="1060"/>
      <c r="AU66" s="33"/>
      <c r="AV66" s="33"/>
      <c r="AW66" s="33"/>
      <c r="AX66" s="33"/>
    </row>
    <row r="67" spans="1:50" s="20" customFormat="1" ht="35.1" customHeight="1" x14ac:dyDescent="0.25">
      <c r="A67" s="1122"/>
      <c r="B67" s="1085"/>
      <c r="C67" s="1085"/>
      <c r="D67" s="1085"/>
      <c r="E67" s="1085"/>
      <c r="F67" s="1085"/>
      <c r="G67" s="145" t="s">
        <v>137</v>
      </c>
      <c r="H67" s="110">
        <v>1</v>
      </c>
      <c r="I67" s="111"/>
      <c r="J67" s="111">
        <f t="shared" ref="J67:K68" si="31">J63</f>
        <v>0.2</v>
      </c>
      <c r="K67" s="111">
        <f t="shared" si="31"/>
        <v>0.2</v>
      </c>
      <c r="L67" s="111">
        <v>0.1</v>
      </c>
      <c r="M67" s="111"/>
      <c r="N67" s="277">
        <f t="shared" ref="N67:O67" si="32">+N63+N65</f>
        <v>0.5</v>
      </c>
      <c r="O67" s="277">
        <f t="shared" si="32"/>
        <v>0.6</v>
      </c>
      <c r="P67" s="277">
        <f>+P63+P65</f>
        <v>0.6</v>
      </c>
      <c r="Q67" s="677">
        <v>0.6</v>
      </c>
      <c r="R67" s="795">
        <v>0.35</v>
      </c>
      <c r="S67" s="112"/>
      <c r="T67" s="112">
        <f>T63</f>
        <v>0.65</v>
      </c>
      <c r="U67" s="61"/>
      <c r="V67" s="61"/>
      <c r="W67" s="61"/>
      <c r="X67" s="102"/>
      <c r="Y67" s="102"/>
      <c r="Z67" s="111">
        <f>Z63</f>
        <v>0.9</v>
      </c>
      <c r="AA67" s="61"/>
      <c r="AB67" s="61"/>
      <c r="AC67" s="61"/>
      <c r="AD67" s="102"/>
      <c r="AE67" s="498"/>
      <c r="AF67" s="112">
        <f>AF63</f>
        <v>1</v>
      </c>
      <c r="AG67" s="61"/>
      <c r="AH67" s="61"/>
      <c r="AI67" s="102"/>
      <c r="AJ67" s="61">
        <v>0.245</v>
      </c>
      <c r="AK67" s="61">
        <v>28.5</v>
      </c>
      <c r="AL67" s="796">
        <v>0.35</v>
      </c>
      <c r="AM67" s="797">
        <v>0.35</v>
      </c>
      <c r="AN67" s="735"/>
      <c r="AO67" s="736"/>
      <c r="AP67" s="1099"/>
      <c r="AQ67" s="1063"/>
      <c r="AR67" s="1066"/>
      <c r="AS67" s="1068"/>
      <c r="AT67" s="1060"/>
      <c r="AU67" s="33"/>
      <c r="AV67" s="33"/>
      <c r="AW67" s="33"/>
      <c r="AX67" s="33"/>
    </row>
    <row r="68" spans="1:50" s="20" customFormat="1" ht="35.1" customHeight="1" thickBot="1" x14ac:dyDescent="0.3">
      <c r="A68" s="1122"/>
      <c r="B68" s="1085"/>
      <c r="C68" s="1085"/>
      <c r="D68" s="1085"/>
      <c r="E68" s="1085"/>
      <c r="F68" s="1085"/>
      <c r="G68" s="146" t="s">
        <v>143</v>
      </c>
      <c r="H68" s="76">
        <f>+H64</f>
        <v>675933556.76315796</v>
      </c>
      <c r="I68" s="76"/>
      <c r="J68" s="76">
        <f t="shared" si="31"/>
        <v>166837646</v>
      </c>
      <c r="K68" s="76">
        <f>+K64</f>
        <v>166837646</v>
      </c>
      <c r="L68" s="76">
        <v>166837646</v>
      </c>
      <c r="M68" s="76"/>
      <c r="N68" s="76">
        <f t="shared" ref="N68:O68" si="33">+N64+N66</f>
        <v>316837646</v>
      </c>
      <c r="O68" s="76">
        <f t="shared" si="33"/>
        <v>316837646</v>
      </c>
      <c r="P68" s="76">
        <f>+P64+P66</f>
        <v>316837646</v>
      </c>
      <c r="Q68" s="664">
        <f>+Q64+Q66</f>
        <v>416837646</v>
      </c>
      <c r="R68" s="664">
        <f>+R64+R66</f>
        <v>166837646</v>
      </c>
      <c r="S68" s="123"/>
      <c r="T68" s="123">
        <f>+T64</f>
        <v>150000000</v>
      </c>
      <c r="U68" s="114"/>
      <c r="V68" s="114"/>
      <c r="W68" s="114"/>
      <c r="X68" s="102"/>
      <c r="Y68" s="102"/>
      <c r="Z68" s="114">
        <f>+Z64</f>
        <v>119973063.55263159</v>
      </c>
      <c r="AA68" s="114"/>
      <c r="AB68" s="114"/>
      <c r="AC68" s="114"/>
      <c r="AD68" s="102"/>
      <c r="AE68" s="498"/>
      <c r="AF68" s="123">
        <f>+AF64</f>
        <v>89122847.210526317</v>
      </c>
      <c r="AG68" s="114"/>
      <c r="AH68" s="114"/>
      <c r="AI68" s="102"/>
      <c r="AJ68" s="95">
        <v>100102588</v>
      </c>
      <c r="AK68" s="114">
        <v>100102588</v>
      </c>
      <c r="AL68" s="497">
        <v>166837646</v>
      </c>
      <c r="AM68" s="664">
        <f>+AM64+AM66</f>
        <v>166837646</v>
      </c>
      <c r="AN68" s="798"/>
      <c r="AO68" s="739"/>
      <c r="AP68" s="1100"/>
      <c r="AQ68" s="1064"/>
      <c r="AR68" s="1066"/>
      <c r="AS68" s="1068"/>
      <c r="AT68" s="1060"/>
      <c r="AU68" s="33"/>
      <c r="AV68" s="33"/>
      <c r="AW68" s="33"/>
      <c r="AX68" s="33"/>
    </row>
    <row r="69" spans="1:50" s="20" customFormat="1" ht="35.1" customHeight="1" x14ac:dyDescent="0.25">
      <c r="A69" s="1122" t="s">
        <v>192</v>
      </c>
      <c r="B69" s="1085">
        <v>11</v>
      </c>
      <c r="C69" s="1085" t="s">
        <v>153</v>
      </c>
      <c r="D69" s="1122" t="s">
        <v>84</v>
      </c>
      <c r="E69" s="1122">
        <v>480</v>
      </c>
      <c r="F69" s="1085"/>
      <c r="G69" s="147" t="s">
        <v>111</v>
      </c>
      <c r="H69" s="78">
        <f>+L69+R69+Z69+AF69+T69</f>
        <v>31999999.609999999</v>
      </c>
      <c r="I69" s="78"/>
      <c r="J69" s="78">
        <v>4000000</v>
      </c>
      <c r="K69" s="77">
        <v>4112722</v>
      </c>
      <c r="L69" s="77">
        <v>4112722</v>
      </c>
      <c r="M69" s="78"/>
      <c r="N69" s="100">
        <v>8000000</v>
      </c>
      <c r="O69" s="100">
        <v>8000000</v>
      </c>
      <c r="P69" s="100">
        <v>8000000</v>
      </c>
      <c r="Q69" s="741">
        <v>11375079.609999999</v>
      </c>
      <c r="R69" s="799">
        <v>11375079.609999999</v>
      </c>
      <c r="S69" s="272"/>
      <c r="T69" s="800">
        <v>7887278</v>
      </c>
      <c r="U69" s="100"/>
      <c r="V69" s="100"/>
      <c r="W69" s="100"/>
      <c r="X69" s="106"/>
      <c r="Y69" s="106"/>
      <c r="Z69" s="100">
        <f>8000000-2345000</f>
        <v>5655000</v>
      </c>
      <c r="AA69" s="100"/>
      <c r="AB69" s="100"/>
      <c r="AC69" s="100"/>
      <c r="AD69" s="106"/>
      <c r="AE69" s="498"/>
      <c r="AF69" s="801">
        <v>2969920</v>
      </c>
      <c r="AG69" s="100"/>
      <c r="AH69" s="100"/>
      <c r="AI69" s="106"/>
      <c r="AJ69" s="101">
        <v>1562370.83</v>
      </c>
      <c r="AK69" s="100">
        <v>4271112.7779999999</v>
      </c>
      <c r="AL69" s="802">
        <v>7430602</v>
      </c>
      <c r="AM69" s="803">
        <v>11375079.609999999</v>
      </c>
      <c r="AN69" s="674">
        <f>+AM69/Q69</f>
        <v>1</v>
      </c>
      <c r="AO69" s="675">
        <f>+AM69/H69</f>
        <v>0.35547124214480574</v>
      </c>
      <c r="AP69" s="1104" t="s">
        <v>558</v>
      </c>
      <c r="AQ69" s="1087" t="s">
        <v>214</v>
      </c>
      <c r="AR69" s="1090" t="s">
        <v>86</v>
      </c>
      <c r="AS69" s="1095" t="s">
        <v>246</v>
      </c>
      <c r="AT69" s="1059" t="s">
        <v>238</v>
      </c>
      <c r="AU69" s="33"/>
      <c r="AV69" s="33"/>
      <c r="AW69" s="33"/>
      <c r="AX69" s="33"/>
    </row>
    <row r="70" spans="1:50" s="20" customFormat="1" ht="35.1" customHeight="1" x14ac:dyDescent="0.25">
      <c r="A70" s="1122"/>
      <c r="B70" s="1085"/>
      <c r="C70" s="1085"/>
      <c r="D70" s="1122"/>
      <c r="E70" s="1122"/>
      <c r="F70" s="1085"/>
      <c r="G70" s="145" t="s">
        <v>123</v>
      </c>
      <c r="H70" s="60">
        <f>+L70+N70+T70+Z70+AF70</f>
        <v>4144129909.3276877</v>
      </c>
      <c r="I70" s="60"/>
      <c r="J70" s="60">
        <v>584376813</v>
      </c>
      <c r="K70" s="676">
        <v>584376813</v>
      </c>
      <c r="L70" s="676">
        <v>576704116</v>
      </c>
      <c r="M70" s="60"/>
      <c r="N70" s="60">
        <v>846827000</v>
      </c>
      <c r="O70" s="60">
        <v>846827000</v>
      </c>
      <c r="P70" s="60">
        <v>846827000</v>
      </c>
      <c r="Q70" s="677">
        <v>822392131</v>
      </c>
      <c r="R70" s="695">
        <f>+AM70</f>
        <v>777224846</v>
      </c>
      <c r="S70" s="39"/>
      <c r="T70" s="680">
        <v>805362182</v>
      </c>
      <c r="U70" s="61"/>
      <c r="V70" s="61"/>
      <c r="W70" s="61"/>
      <c r="X70" s="102"/>
      <c r="Y70" s="102"/>
      <c r="Z70" s="507">
        <v>1144983117.7876222</v>
      </c>
      <c r="AA70" s="507"/>
      <c r="AB70" s="507"/>
      <c r="AC70" s="507"/>
      <c r="AD70" s="54"/>
      <c r="AE70" s="498"/>
      <c r="AF70" s="680">
        <v>770253493.54006517</v>
      </c>
      <c r="AG70" s="61"/>
      <c r="AH70" s="61"/>
      <c r="AI70" s="102"/>
      <c r="AJ70" s="61">
        <v>343934000</v>
      </c>
      <c r="AK70" s="61">
        <v>744468000</v>
      </c>
      <c r="AL70" s="804">
        <v>744468000</v>
      </c>
      <c r="AM70" s="677">
        <v>777224846</v>
      </c>
      <c r="AN70" s="655">
        <f>+AM70/Q70</f>
        <v>0.94507816490768437</v>
      </c>
      <c r="AO70" s="655">
        <f>+AM70/H70</f>
        <v>0.18754837879251982</v>
      </c>
      <c r="AP70" s="1105"/>
      <c r="AQ70" s="1063"/>
      <c r="AR70" s="1066"/>
      <c r="AS70" s="1068"/>
      <c r="AT70" s="1060"/>
      <c r="AU70" s="33"/>
      <c r="AV70" s="33"/>
      <c r="AW70" s="33"/>
      <c r="AX70" s="33"/>
    </row>
    <row r="71" spans="1:50" s="20" customFormat="1" ht="35.1" customHeight="1" x14ac:dyDescent="0.25">
      <c r="A71" s="1122"/>
      <c r="B71" s="1085"/>
      <c r="C71" s="1085"/>
      <c r="D71" s="1122"/>
      <c r="E71" s="1122"/>
      <c r="F71" s="1085"/>
      <c r="G71" s="145" t="s">
        <v>130</v>
      </c>
      <c r="H71" s="61"/>
      <c r="I71" s="61"/>
      <c r="J71" s="61"/>
      <c r="K71" s="61"/>
      <c r="L71" s="61"/>
      <c r="M71" s="61"/>
      <c r="N71" s="61">
        <v>0</v>
      </c>
      <c r="O71" s="61">
        <v>0</v>
      </c>
      <c r="P71" s="61">
        <v>0</v>
      </c>
      <c r="Q71" s="677">
        <v>0</v>
      </c>
      <c r="R71" s="689">
        <v>0</v>
      </c>
      <c r="S71" s="39"/>
      <c r="T71" s="99">
        <v>0</v>
      </c>
      <c r="U71" s="61"/>
      <c r="V71" s="61"/>
      <c r="W71" s="61"/>
      <c r="X71" s="102"/>
      <c r="Y71" s="102"/>
      <c r="Z71" s="61"/>
      <c r="AA71" s="61"/>
      <c r="AB71" s="61"/>
      <c r="AC71" s="61"/>
      <c r="AD71" s="102"/>
      <c r="AE71" s="498"/>
      <c r="AF71" s="99"/>
      <c r="AG71" s="61"/>
      <c r="AH71" s="61"/>
      <c r="AI71" s="102"/>
      <c r="AJ71" s="61"/>
      <c r="AK71" s="61"/>
      <c r="AL71" s="765"/>
      <c r="AM71" s="805"/>
      <c r="AN71" s="750"/>
      <c r="AO71" s="751"/>
      <c r="AP71" s="1105"/>
      <c r="AQ71" s="1063"/>
      <c r="AR71" s="1066"/>
      <c r="AS71" s="1068"/>
      <c r="AT71" s="1060"/>
      <c r="AU71" s="33"/>
      <c r="AV71" s="33"/>
      <c r="AW71" s="33"/>
      <c r="AX71" s="33"/>
    </row>
    <row r="72" spans="1:50" s="20" customFormat="1" ht="35.1" customHeight="1" x14ac:dyDescent="0.25">
      <c r="A72" s="1122"/>
      <c r="B72" s="1085"/>
      <c r="C72" s="1085"/>
      <c r="D72" s="1122"/>
      <c r="E72" s="1122"/>
      <c r="F72" s="1085"/>
      <c r="G72" s="145" t="s">
        <v>135</v>
      </c>
      <c r="H72" s="61"/>
      <c r="I72" s="61"/>
      <c r="J72" s="61"/>
      <c r="K72" s="61"/>
      <c r="L72" s="61"/>
      <c r="M72" s="61"/>
      <c r="N72" s="61">
        <v>290216168</v>
      </c>
      <c r="O72" s="61">
        <v>290216168</v>
      </c>
      <c r="P72" s="61">
        <v>290216168</v>
      </c>
      <c r="Q72" s="677">
        <v>290216168</v>
      </c>
      <c r="R72" s="737">
        <v>290096678</v>
      </c>
      <c r="S72" s="39"/>
      <c r="T72" s="99">
        <v>100920290</v>
      </c>
      <c r="U72" s="61"/>
      <c r="V72" s="61"/>
      <c r="W72" s="61"/>
      <c r="X72" s="102"/>
      <c r="Y72" s="102"/>
      <c r="Z72" s="61"/>
      <c r="AA72" s="61"/>
      <c r="AB72" s="61"/>
      <c r="AC72" s="61"/>
      <c r="AD72" s="102"/>
      <c r="AE72" s="498"/>
      <c r="AF72" s="99"/>
      <c r="AG72" s="61"/>
      <c r="AH72" s="61"/>
      <c r="AI72" s="102"/>
      <c r="AJ72" s="61">
        <v>137832253</v>
      </c>
      <c r="AK72" s="61">
        <v>168606787</v>
      </c>
      <c r="AL72" s="765">
        <v>229681801</v>
      </c>
      <c r="AM72" s="765">
        <v>290096678</v>
      </c>
      <c r="AN72" s="776"/>
      <c r="AO72" s="736"/>
      <c r="AP72" s="1105"/>
      <c r="AQ72" s="1063"/>
      <c r="AR72" s="1066"/>
      <c r="AS72" s="1068"/>
      <c r="AT72" s="1060"/>
      <c r="AU72" s="33"/>
      <c r="AV72" s="33"/>
      <c r="AW72" s="33"/>
      <c r="AX72" s="33"/>
    </row>
    <row r="73" spans="1:50" s="20" customFormat="1" ht="35.1" customHeight="1" x14ac:dyDescent="0.25">
      <c r="A73" s="1122"/>
      <c r="B73" s="1085"/>
      <c r="C73" s="1085"/>
      <c r="D73" s="1122"/>
      <c r="E73" s="1122"/>
      <c r="F73" s="1085"/>
      <c r="G73" s="145" t="s">
        <v>137</v>
      </c>
      <c r="H73" s="61">
        <v>32000000</v>
      </c>
      <c r="I73" s="61"/>
      <c r="J73" s="70">
        <v>4000000</v>
      </c>
      <c r="K73" s="70">
        <f t="shared" ref="K73" si="34">K69</f>
        <v>4112722</v>
      </c>
      <c r="L73" s="70">
        <v>4112722</v>
      </c>
      <c r="M73" s="70"/>
      <c r="N73" s="61">
        <f t="shared" ref="N73:O73" si="35">+N69</f>
        <v>8000000</v>
      </c>
      <c r="O73" s="61">
        <f t="shared" si="35"/>
        <v>8000000</v>
      </c>
      <c r="P73" s="61">
        <f>+P69</f>
        <v>8000000</v>
      </c>
      <c r="Q73" s="677">
        <v>8000000</v>
      </c>
      <c r="R73" s="689">
        <v>11375079.609999999</v>
      </c>
      <c r="S73" s="39"/>
      <c r="T73" s="74">
        <f>T69</f>
        <v>7887278</v>
      </c>
      <c r="U73" s="61"/>
      <c r="V73" s="61"/>
      <c r="W73" s="61"/>
      <c r="X73" s="102"/>
      <c r="Y73" s="102"/>
      <c r="Z73" s="70">
        <f>Z69</f>
        <v>5655000</v>
      </c>
      <c r="AA73" s="61"/>
      <c r="AB73" s="61"/>
      <c r="AC73" s="61"/>
      <c r="AD73" s="102"/>
      <c r="AE73" s="498"/>
      <c r="AF73" s="74">
        <f>AF69</f>
        <v>2969920</v>
      </c>
      <c r="AG73" s="61"/>
      <c r="AH73" s="61"/>
      <c r="AI73" s="102"/>
      <c r="AJ73" s="61">
        <v>1562370.83</v>
      </c>
      <c r="AK73" s="61">
        <v>4271112.7779999999</v>
      </c>
      <c r="AL73" s="765">
        <v>7430602</v>
      </c>
      <c r="AM73" s="806">
        <v>11375079.609999999</v>
      </c>
      <c r="AN73" s="776"/>
      <c r="AO73" s="736"/>
      <c r="AP73" s="1105"/>
      <c r="AQ73" s="1063"/>
      <c r="AR73" s="1066"/>
      <c r="AS73" s="1068"/>
      <c r="AT73" s="1060"/>
      <c r="AU73" s="33"/>
      <c r="AV73" s="33"/>
      <c r="AW73" s="33"/>
      <c r="AX73" s="33"/>
    </row>
    <row r="74" spans="1:50" s="20" customFormat="1" ht="35.1" customHeight="1" thickBot="1" x14ac:dyDescent="0.3">
      <c r="A74" s="1122"/>
      <c r="B74" s="1085"/>
      <c r="C74" s="1085"/>
      <c r="D74" s="1122"/>
      <c r="E74" s="1122"/>
      <c r="F74" s="1085"/>
      <c r="G74" s="148" t="s">
        <v>143</v>
      </c>
      <c r="H74" s="84">
        <f>+H70</f>
        <v>4144129909.3276877</v>
      </c>
      <c r="I74" s="84"/>
      <c r="J74" s="84">
        <f>+J70</f>
        <v>584376813</v>
      </c>
      <c r="K74" s="84">
        <f>+K70</f>
        <v>584376813</v>
      </c>
      <c r="L74" s="84">
        <v>576704116</v>
      </c>
      <c r="M74" s="84"/>
      <c r="N74" s="84">
        <f t="shared" ref="N74:O74" si="36">+N70+N72</f>
        <v>1137043168</v>
      </c>
      <c r="O74" s="84">
        <f t="shared" si="36"/>
        <v>1137043168</v>
      </c>
      <c r="P74" s="84">
        <f>+P70+P72</f>
        <v>1137043168</v>
      </c>
      <c r="Q74" s="664">
        <f>+Q70+Q72</f>
        <v>1112608299</v>
      </c>
      <c r="R74" s="664">
        <f>+R70+R72</f>
        <v>1067321524</v>
      </c>
      <c r="S74" s="512"/>
      <c r="T74" s="502">
        <f>T70</f>
        <v>805362182</v>
      </c>
      <c r="U74" s="500"/>
      <c r="V74" s="500"/>
      <c r="W74" s="500"/>
      <c r="X74" s="511"/>
      <c r="Y74" s="511"/>
      <c r="Z74" s="500">
        <f>Z70</f>
        <v>1144983117.7876222</v>
      </c>
      <c r="AA74" s="500"/>
      <c r="AB74" s="500"/>
      <c r="AC74" s="500"/>
      <c r="AD74" s="511"/>
      <c r="AE74" s="498"/>
      <c r="AF74" s="502">
        <f>AF70</f>
        <v>770253493.54006517</v>
      </c>
      <c r="AG74" s="500"/>
      <c r="AH74" s="500"/>
      <c r="AI74" s="511"/>
      <c r="AJ74" s="509">
        <v>481766253</v>
      </c>
      <c r="AK74" s="500">
        <v>913074787</v>
      </c>
      <c r="AL74" s="513">
        <v>974149801</v>
      </c>
      <c r="AM74" s="664">
        <f>+AM70+AM72</f>
        <v>1067321524</v>
      </c>
      <c r="AN74" s="785"/>
      <c r="AO74" s="786"/>
      <c r="AP74" s="1106"/>
      <c r="AQ74" s="1113"/>
      <c r="AR74" s="1091"/>
      <c r="AS74" s="1096"/>
      <c r="AT74" s="1061"/>
      <c r="AU74" s="33"/>
      <c r="AV74" s="33"/>
      <c r="AW74" s="33"/>
      <c r="AX74" s="33"/>
    </row>
    <row r="75" spans="1:50" s="20" customFormat="1" ht="35.1" customHeight="1" x14ac:dyDescent="0.25">
      <c r="A75" s="1122"/>
      <c r="B75" s="1122">
        <v>12</v>
      </c>
      <c r="C75" s="1085" t="s">
        <v>163</v>
      </c>
      <c r="D75" s="1122" t="s">
        <v>193</v>
      </c>
      <c r="E75" s="1122">
        <v>480</v>
      </c>
      <c r="F75" s="1085"/>
      <c r="G75" s="144" t="s">
        <v>111</v>
      </c>
      <c r="H75" s="111">
        <v>1</v>
      </c>
      <c r="I75" s="111"/>
      <c r="J75" s="111">
        <v>1</v>
      </c>
      <c r="K75" s="807">
        <v>1</v>
      </c>
      <c r="L75" s="807">
        <v>1</v>
      </c>
      <c r="M75" s="111"/>
      <c r="N75" s="59">
        <v>1</v>
      </c>
      <c r="O75" s="115">
        <v>1</v>
      </c>
      <c r="P75" s="115">
        <v>1</v>
      </c>
      <c r="Q75" s="808">
        <v>1</v>
      </c>
      <c r="R75" s="809">
        <v>1</v>
      </c>
      <c r="S75" s="273"/>
      <c r="T75" s="810">
        <v>1</v>
      </c>
      <c r="U75" s="716"/>
      <c r="V75" s="716"/>
      <c r="W75" s="716"/>
      <c r="X75" s="54"/>
      <c r="Y75" s="54"/>
      <c r="Z75" s="811">
        <v>1</v>
      </c>
      <c r="AA75" s="716"/>
      <c r="AB75" s="716"/>
      <c r="AC75" s="716"/>
      <c r="AD75" s="54"/>
      <c r="AE75" s="498"/>
      <c r="AF75" s="812">
        <v>1</v>
      </c>
      <c r="AG75" s="716"/>
      <c r="AH75" s="716"/>
      <c r="AI75" s="54"/>
      <c r="AJ75" s="813">
        <v>1</v>
      </c>
      <c r="AK75" s="95">
        <v>1</v>
      </c>
      <c r="AL75" s="814">
        <v>1</v>
      </c>
      <c r="AM75" s="815">
        <v>1</v>
      </c>
      <c r="AN75" s="674">
        <f>+AM75/Q75</f>
        <v>1</v>
      </c>
      <c r="AO75" s="675">
        <f>+AM75/H75</f>
        <v>1</v>
      </c>
      <c r="AP75" s="1098" t="s">
        <v>507</v>
      </c>
      <c r="AQ75" s="1065" t="s">
        <v>214</v>
      </c>
      <c r="AR75" s="1115" t="s">
        <v>86</v>
      </c>
      <c r="AS75" s="1116" t="s">
        <v>200</v>
      </c>
      <c r="AT75" s="1069" t="s">
        <v>238</v>
      </c>
      <c r="AU75" s="33"/>
      <c r="AV75" s="33"/>
      <c r="AW75" s="33"/>
      <c r="AX75" s="33"/>
    </row>
    <row r="76" spans="1:50" s="20" customFormat="1" ht="35.1" customHeight="1" x14ac:dyDescent="0.25">
      <c r="A76" s="1122"/>
      <c r="B76" s="1122"/>
      <c r="C76" s="1085"/>
      <c r="D76" s="1122"/>
      <c r="E76" s="1122"/>
      <c r="F76" s="1085"/>
      <c r="G76" s="145" t="s">
        <v>123</v>
      </c>
      <c r="H76" s="60">
        <f>+L76+N76+T76+Z76+AF76</f>
        <v>448655123.28925079</v>
      </c>
      <c r="I76" s="60"/>
      <c r="J76" s="60">
        <v>62376897</v>
      </c>
      <c r="K76" s="676">
        <v>62376897</v>
      </c>
      <c r="L76" s="676">
        <v>60848980</v>
      </c>
      <c r="M76" s="60"/>
      <c r="N76" s="60">
        <v>100968000</v>
      </c>
      <c r="O76" s="60">
        <v>100968000</v>
      </c>
      <c r="P76" s="60">
        <v>100968000</v>
      </c>
      <c r="Q76" s="677">
        <v>100968000</v>
      </c>
      <c r="R76" s="695">
        <f>+AM76</f>
        <v>97187000</v>
      </c>
      <c r="S76" s="39"/>
      <c r="T76" s="680">
        <v>106072975</v>
      </c>
      <c r="U76" s="507"/>
      <c r="V76" s="507"/>
      <c r="W76" s="507"/>
      <c r="X76" s="54"/>
      <c r="Y76" s="54"/>
      <c r="Z76" s="507">
        <v>108066577.6495114</v>
      </c>
      <c r="AA76" s="507"/>
      <c r="AB76" s="507"/>
      <c r="AC76" s="507"/>
      <c r="AD76" s="54"/>
      <c r="AE76" s="498"/>
      <c r="AF76" s="762">
        <v>72698590.639739409</v>
      </c>
      <c r="AG76" s="49"/>
      <c r="AH76" s="49"/>
      <c r="AI76" s="36"/>
      <c r="AJ76" s="49">
        <v>55222500</v>
      </c>
      <c r="AK76" s="69">
        <v>100968000</v>
      </c>
      <c r="AL76" s="816">
        <v>100968000</v>
      </c>
      <c r="AM76" s="657">
        <v>97187000</v>
      </c>
      <c r="AN76" s="655">
        <f>+AM76/Q76</f>
        <v>0.96255249187861502</v>
      </c>
      <c r="AO76" s="655">
        <f>+AM76/H76</f>
        <v>0.21661850039176511</v>
      </c>
      <c r="AP76" s="1099"/>
      <c r="AQ76" s="1066"/>
      <c r="AR76" s="1093"/>
      <c r="AS76" s="1068"/>
      <c r="AT76" s="1060"/>
      <c r="AU76" s="33"/>
      <c r="AV76" s="33"/>
      <c r="AW76" s="33"/>
      <c r="AX76" s="33"/>
    </row>
    <row r="77" spans="1:50" s="20" customFormat="1" ht="35.1" customHeight="1" x14ac:dyDescent="0.25">
      <c r="A77" s="1122"/>
      <c r="B77" s="1122"/>
      <c r="C77" s="1085"/>
      <c r="D77" s="1122"/>
      <c r="E77" s="1122"/>
      <c r="F77" s="1085"/>
      <c r="G77" s="145" t="s">
        <v>130</v>
      </c>
      <c r="H77" s="61"/>
      <c r="I77" s="61"/>
      <c r="J77" s="24"/>
      <c r="K77" s="27"/>
      <c r="L77" s="507"/>
      <c r="M77" s="61"/>
      <c r="N77" s="61"/>
      <c r="O77" s="61"/>
      <c r="P77" s="61"/>
      <c r="Q77" s="677"/>
      <c r="R77" s="689">
        <v>0</v>
      </c>
      <c r="S77" s="39"/>
      <c r="T77" s="99">
        <v>0</v>
      </c>
      <c r="U77" s="61"/>
      <c r="V77" s="61"/>
      <c r="W77" s="61"/>
      <c r="X77" s="102"/>
      <c r="Y77" s="102"/>
      <c r="Z77" s="61"/>
      <c r="AA77" s="61"/>
      <c r="AB77" s="61"/>
      <c r="AC77" s="61"/>
      <c r="AD77" s="102"/>
      <c r="AE77" s="498"/>
      <c r="AF77" s="474"/>
      <c r="AG77" s="69"/>
      <c r="AH77" s="69"/>
      <c r="AI77" s="40"/>
      <c r="AJ77" s="69"/>
      <c r="AK77" s="69"/>
      <c r="AL77" s="765"/>
      <c r="AM77" s="661"/>
      <c r="AN77" s="775"/>
      <c r="AO77" s="751"/>
      <c r="AP77" s="1099"/>
      <c r="AQ77" s="1066"/>
      <c r="AR77" s="1093"/>
      <c r="AS77" s="1068"/>
      <c r="AT77" s="1060"/>
      <c r="AU77" s="33"/>
      <c r="AV77" s="33"/>
      <c r="AW77" s="33"/>
      <c r="AX77" s="33"/>
    </row>
    <row r="78" spans="1:50" s="20" customFormat="1" ht="35.1" customHeight="1" x14ac:dyDescent="0.25">
      <c r="A78" s="1122"/>
      <c r="B78" s="1122"/>
      <c r="C78" s="1085"/>
      <c r="D78" s="1122"/>
      <c r="E78" s="1122"/>
      <c r="F78" s="1085"/>
      <c r="G78" s="145" t="s">
        <v>135</v>
      </c>
      <c r="H78" s="24"/>
      <c r="I78" s="24"/>
      <c r="J78" s="24"/>
      <c r="K78" s="116"/>
      <c r="L78" s="117"/>
      <c r="M78" s="114"/>
      <c r="N78" s="61">
        <v>20174074</v>
      </c>
      <c r="O78" s="61">
        <v>20174074</v>
      </c>
      <c r="P78" s="61">
        <v>20174074</v>
      </c>
      <c r="Q78" s="677">
        <v>20174074</v>
      </c>
      <c r="R78" s="737">
        <v>20174074</v>
      </c>
      <c r="S78" s="39"/>
      <c r="T78" s="99">
        <v>20572000</v>
      </c>
      <c r="U78" s="61"/>
      <c r="V78" s="61"/>
      <c r="W78" s="61"/>
      <c r="X78" s="102"/>
      <c r="Y78" s="102"/>
      <c r="Z78" s="61"/>
      <c r="AA78" s="61"/>
      <c r="AB78" s="61"/>
      <c r="AC78" s="61"/>
      <c r="AD78" s="102"/>
      <c r="AE78" s="498"/>
      <c r="AF78" s="474"/>
      <c r="AG78" s="69"/>
      <c r="AH78" s="69"/>
      <c r="AI78" s="40"/>
      <c r="AJ78" s="69">
        <v>16057782</v>
      </c>
      <c r="AK78" s="69">
        <v>20174074</v>
      </c>
      <c r="AL78" s="765">
        <v>20174074</v>
      </c>
      <c r="AM78" s="765">
        <v>20174074</v>
      </c>
      <c r="AN78" s="776"/>
      <c r="AO78" s="736"/>
      <c r="AP78" s="1099"/>
      <c r="AQ78" s="1066"/>
      <c r="AR78" s="1093"/>
      <c r="AS78" s="1068"/>
      <c r="AT78" s="1060"/>
      <c r="AU78" s="33"/>
      <c r="AV78" s="33"/>
      <c r="AW78" s="33"/>
      <c r="AX78" s="33"/>
    </row>
    <row r="79" spans="1:50" s="20" customFormat="1" ht="35.1" customHeight="1" x14ac:dyDescent="0.25">
      <c r="A79" s="1122"/>
      <c r="B79" s="1122"/>
      <c r="C79" s="1085"/>
      <c r="D79" s="1122"/>
      <c r="E79" s="1122"/>
      <c r="F79" s="1085"/>
      <c r="G79" s="145" t="s">
        <v>137</v>
      </c>
      <c r="H79" s="110">
        <v>1</v>
      </c>
      <c r="I79" s="110"/>
      <c r="J79" s="110">
        <f t="shared" ref="J79:K80" si="37">J75</f>
        <v>1</v>
      </c>
      <c r="K79" s="110">
        <f t="shared" si="37"/>
        <v>1</v>
      </c>
      <c r="L79" s="110">
        <v>1</v>
      </c>
      <c r="M79" s="110"/>
      <c r="N79" s="110">
        <f t="shared" ref="N79:O79" si="38">+N75</f>
        <v>1</v>
      </c>
      <c r="O79" s="110">
        <f t="shared" si="38"/>
        <v>1</v>
      </c>
      <c r="P79" s="110">
        <f>+P75</f>
        <v>1</v>
      </c>
      <c r="Q79" s="817">
        <v>1</v>
      </c>
      <c r="R79" s="689">
        <v>1</v>
      </c>
      <c r="S79" s="39"/>
      <c r="T79" s="118">
        <f>T75</f>
        <v>1</v>
      </c>
      <c r="U79" s="110"/>
      <c r="V79" s="110"/>
      <c r="W79" s="110"/>
      <c r="X79" s="102"/>
      <c r="Y79" s="102"/>
      <c r="Z79" s="110">
        <f>Z75</f>
        <v>1</v>
      </c>
      <c r="AA79" s="110"/>
      <c r="AB79" s="110"/>
      <c r="AC79" s="110"/>
      <c r="AD79" s="102"/>
      <c r="AE79" s="498"/>
      <c r="AF79" s="476">
        <f>AF75</f>
        <v>1</v>
      </c>
      <c r="AG79" s="119"/>
      <c r="AH79" s="119"/>
      <c r="AI79" s="40"/>
      <c r="AJ79" s="120">
        <v>1</v>
      </c>
      <c r="AK79" s="69">
        <v>1</v>
      </c>
      <c r="AL79" s="818">
        <v>1</v>
      </c>
      <c r="AM79" s="818">
        <v>1</v>
      </c>
      <c r="AN79" s="776"/>
      <c r="AO79" s="736"/>
      <c r="AP79" s="1099"/>
      <c r="AQ79" s="1066"/>
      <c r="AR79" s="1093"/>
      <c r="AS79" s="1068"/>
      <c r="AT79" s="1060"/>
      <c r="AU79" s="33"/>
      <c r="AV79" s="33"/>
      <c r="AW79" s="33"/>
      <c r="AX79" s="33"/>
    </row>
    <row r="80" spans="1:50" s="20" customFormat="1" ht="35.1" customHeight="1" thickBot="1" x14ac:dyDescent="0.3">
      <c r="A80" s="1122"/>
      <c r="B80" s="1122"/>
      <c r="C80" s="1085"/>
      <c r="D80" s="1122"/>
      <c r="E80" s="1122"/>
      <c r="F80" s="1085"/>
      <c r="G80" s="146" t="s">
        <v>143</v>
      </c>
      <c r="H80" s="76">
        <f>+H76</f>
        <v>448655123.28925079</v>
      </c>
      <c r="I80" s="76"/>
      <c r="J80" s="76">
        <f t="shared" si="37"/>
        <v>62376897</v>
      </c>
      <c r="K80" s="76">
        <f t="shared" si="37"/>
        <v>62376897</v>
      </c>
      <c r="L80" s="76">
        <v>60848980</v>
      </c>
      <c r="M80" s="76"/>
      <c r="N80" s="76">
        <f t="shared" ref="N80:O80" si="39">+N76+N78</f>
        <v>121142074</v>
      </c>
      <c r="O80" s="76">
        <f t="shared" si="39"/>
        <v>121142074</v>
      </c>
      <c r="P80" s="76">
        <f>+P76+P78</f>
        <v>121142074</v>
      </c>
      <c r="Q80" s="664">
        <f>+Q76+Q78</f>
        <v>121142074</v>
      </c>
      <c r="R80" s="664">
        <f>+R76+R78</f>
        <v>117361074</v>
      </c>
      <c r="S80" s="274"/>
      <c r="T80" s="123">
        <f>T76</f>
        <v>106072975</v>
      </c>
      <c r="U80" s="114"/>
      <c r="V80" s="114"/>
      <c r="W80" s="114"/>
      <c r="X80" s="102"/>
      <c r="Y80" s="102"/>
      <c r="Z80" s="114">
        <f>Z76</f>
        <v>108066577.6495114</v>
      </c>
      <c r="AA80" s="114"/>
      <c r="AB80" s="114"/>
      <c r="AC80" s="114"/>
      <c r="AD80" s="102"/>
      <c r="AE80" s="498"/>
      <c r="AF80" s="514">
        <f>AF76</f>
        <v>72698590.639739409</v>
      </c>
      <c r="AG80" s="95"/>
      <c r="AH80" s="95"/>
      <c r="AI80" s="102"/>
      <c r="AJ80" s="95">
        <v>71280282</v>
      </c>
      <c r="AK80" s="95">
        <v>121142074</v>
      </c>
      <c r="AL80" s="515">
        <v>121142074</v>
      </c>
      <c r="AM80" s="664">
        <f>+AM76+AM78</f>
        <v>117361074</v>
      </c>
      <c r="AN80" s="798"/>
      <c r="AO80" s="739"/>
      <c r="AP80" s="1100"/>
      <c r="AQ80" s="1066"/>
      <c r="AR80" s="1093"/>
      <c r="AS80" s="1068"/>
      <c r="AT80" s="1060"/>
      <c r="AU80" s="33"/>
      <c r="AV80" s="33"/>
      <c r="AW80" s="33"/>
      <c r="AX80" s="33"/>
    </row>
    <row r="81" spans="1:50" s="20" customFormat="1" ht="35.1" customHeight="1" x14ac:dyDescent="0.25">
      <c r="A81" s="1122"/>
      <c r="B81" s="1122">
        <v>13</v>
      </c>
      <c r="C81" s="1085" t="s">
        <v>167</v>
      </c>
      <c r="D81" s="1122" t="s">
        <v>193</v>
      </c>
      <c r="E81" s="1085" t="s">
        <v>194</v>
      </c>
      <c r="F81" s="1085"/>
      <c r="G81" s="147" t="s">
        <v>111</v>
      </c>
      <c r="H81" s="109">
        <v>1</v>
      </c>
      <c r="I81" s="109"/>
      <c r="J81" s="109">
        <v>1</v>
      </c>
      <c r="K81" s="787">
        <v>1</v>
      </c>
      <c r="L81" s="787">
        <v>1</v>
      </c>
      <c r="M81" s="109"/>
      <c r="N81" s="109">
        <v>1</v>
      </c>
      <c r="O81" s="331">
        <v>1</v>
      </c>
      <c r="P81" s="331">
        <v>1</v>
      </c>
      <c r="Q81" s="790">
        <v>1</v>
      </c>
      <c r="R81" s="819">
        <v>1</v>
      </c>
      <c r="S81" s="437"/>
      <c r="T81" s="820">
        <v>1</v>
      </c>
      <c r="U81" s="789"/>
      <c r="V81" s="789"/>
      <c r="W81" s="789"/>
      <c r="X81" s="821"/>
      <c r="Y81" s="821"/>
      <c r="Z81" s="822">
        <v>1</v>
      </c>
      <c r="AA81" s="789"/>
      <c r="AB81" s="789"/>
      <c r="AC81" s="789"/>
      <c r="AD81" s="821"/>
      <c r="AE81" s="498"/>
      <c r="AF81" s="820">
        <v>1</v>
      </c>
      <c r="AG81" s="331"/>
      <c r="AH81" s="331"/>
      <c r="AI81" s="438"/>
      <c r="AJ81" s="439">
        <v>1</v>
      </c>
      <c r="AK81" s="331">
        <v>1</v>
      </c>
      <c r="AL81" s="823">
        <v>1</v>
      </c>
      <c r="AM81" s="791">
        <v>1</v>
      </c>
      <c r="AN81" s="674">
        <f>+AM81/Q81</f>
        <v>1</v>
      </c>
      <c r="AO81" s="675">
        <f>+AM81/H81</f>
        <v>1</v>
      </c>
      <c r="AP81" s="1101" t="s">
        <v>541</v>
      </c>
      <c r="AQ81" s="1090" t="s">
        <v>214</v>
      </c>
      <c r="AR81" s="1092" t="s">
        <v>86</v>
      </c>
      <c r="AS81" s="1124" t="s">
        <v>219</v>
      </c>
      <c r="AT81" s="1059" t="s">
        <v>238</v>
      </c>
      <c r="AU81" s="33"/>
      <c r="AV81" s="33"/>
      <c r="AW81" s="33"/>
      <c r="AX81" s="33"/>
    </row>
    <row r="82" spans="1:50" s="20" customFormat="1" ht="35.1" customHeight="1" x14ac:dyDescent="0.25">
      <c r="A82" s="1122"/>
      <c r="B82" s="1122"/>
      <c r="C82" s="1085"/>
      <c r="D82" s="1122"/>
      <c r="E82" s="1085"/>
      <c r="F82" s="1085"/>
      <c r="G82" s="145" t="s">
        <v>123</v>
      </c>
      <c r="H82" s="60">
        <f>+L82+N82+T82+Z82+AF82</f>
        <v>1938467114</v>
      </c>
      <c r="I82" s="60"/>
      <c r="J82" s="60">
        <v>166456730</v>
      </c>
      <c r="K82" s="676">
        <v>166456730</v>
      </c>
      <c r="L82" s="676">
        <v>160878054</v>
      </c>
      <c r="M82" s="60"/>
      <c r="N82" s="60">
        <v>311755000</v>
      </c>
      <c r="O82" s="60">
        <v>311755000</v>
      </c>
      <c r="P82" s="60">
        <v>311755000</v>
      </c>
      <c r="Q82" s="677">
        <v>316420834</v>
      </c>
      <c r="R82" s="695">
        <f>+AM82</f>
        <v>307653234</v>
      </c>
      <c r="S82" s="39"/>
      <c r="T82" s="680">
        <v>700608060</v>
      </c>
      <c r="U82" s="507"/>
      <c r="V82" s="507"/>
      <c r="W82" s="507"/>
      <c r="X82" s="54"/>
      <c r="Y82" s="54"/>
      <c r="Z82" s="507">
        <v>457474000</v>
      </c>
      <c r="AA82" s="507"/>
      <c r="AB82" s="507"/>
      <c r="AC82" s="507"/>
      <c r="AD82" s="54"/>
      <c r="AE82" s="498"/>
      <c r="AF82" s="680">
        <v>307752000</v>
      </c>
      <c r="AG82" s="61"/>
      <c r="AH82" s="61"/>
      <c r="AI82" s="102"/>
      <c r="AJ82" s="61">
        <v>102852000</v>
      </c>
      <c r="AK82" s="61">
        <v>311738000</v>
      </c>
      <c r="AL82" s="816">
        <v>311738000</v>
      </c>
      <c r="AM82" s="677">
        <v>307653234</v>
      </c>
      <c r="AN82" s="655">
        <f>+AM82/Q82</f>
        <v>0.97229133148672509</v>
      </c>
      <c r="AO82" s="655">
        <f>+AM82/H82</f>
        <v>0.15870954517518837</v>
      </c>
      <c r="AP82" s="1099"/>
      <c r="AQ82" s="1066"/>
      <c r="AR82" s="1093"/>
      <c r="AS82" s="1068"/>
      <c r="AT82" s="1060"/>
      <c r="AU82" s="33"/>
      <c r="AV82" s="33"/>
      <c r="AW82" s="33"/>
      <c r="AX82" s="33"/>
    </row>
    <row r="83" spans="1:50" s="20" customFormat="1" ht="35.1" customHeight="1" x14ac:dyDescent="0.25">
      <c r="A83" s="1122"/>
      <c r="B83" s="1122"/>
      <c r="C83" s="1085"/>
      <c r="D83" s="1122"/>
      <c r="E83" s="1085"/>
      <c r="F83" s="1085"/>
      <c r="G83" s="145" t="s">
        <v>130</v>
      </c>
      <c r="H83" s="114">
        <f>H82/2</f>
        <v>969233557</v>
      </c>
      <c r="I83" s="114"/>
      <c r="J83" s="61">
        <f>J82/2</f>
        <v>83228365</v>
      </c>
      <c r="K83" s="61">
        <f>K82/2</f>
        <v>83228365</v>
      </c>
      <c r="L83" s="61">
        <f>L82/2</f>
        <v>80439027</v>
      </c>
      <c r="M83" s="61"/>
      <c r="N83" s="61"/>
      <c r="O83" s="334"/>
      <c r="P83" s="334"/>
      <c r="Q83" s="677">
        <f>Q82/2</f>
        <v>158210417</v>
      </c>
      <c r="R83" s="689"/>
      <c r="S83" s="24"/>
      <c r="T83" s="114"/>
      <c r="U83" s="61"/>
      <c r="V83" s="61"/>
      <c r="W83" s="61"/>
      <c r="X83" s="102"/>
      <c r="Y83" s="102"/>
      <c r="Z83" s="61"/>
      <c r="AA83" s="61"/>
      <c r="AB83" s="61"/>
      <c r="AC83" s="61"/>
      <c r="AD83" s="102"/>
      <c r="AE83" s="498"/>
      <c r="AF83" s="99">
        <v>153876000</v>
      </c>
      <c r="AG83" s="61"/>
      <c r="AH83" s="61"/>
      <c r="AI83" s="102"/>
      <c r="AJ83" s="61"/>
      <c r="AK83" s="61"/>
      <c r="AL83" s="765"/>
      <c r="AM83" s="765">
        <f>AM82/2</f>
        <v>153826617</v>
      </c>
      <c r="AN83" s="750"/>
      <c r="AO83" s="751"/>
      <c r="AP83" s="1099"/>
      <c r="AQ83" s="1066"/>
      <c r="AR83" s="1093"/>
      <c r="AS83" s="1068"/>
      <c r="AT83" s="1060"/>
      <c r="AU83" s="33"/>
      <c r="AV83" s="33"/>
      <c r="AW83" s="33"/>
      <c r="AX83" s="33"/>
    </row>
    <row r="84" spans="1:50" s="20" customFormat="1" ht="35.1" customHeight="1" x14ac:dyDescent="0.25">
      <c r="A84" s="1122"/>
      <c r="B84" s="1122"/>
      <c r="C84" s="1085"/>
      <c r="D84" s="1122"/>
      <c r="E84" s="1085"/>
      <c r="F84" s="1085"/>
      <c r="G84" s="150" t="s">
        <v>135</v>
      </c>
      <c r="H84" s="69"/>
      <c r="I84" s="267"/>
      <c r="J84" s="99"/>
      <c r="K84" s="61"/>
      <c r="L84" s="61"/>
      <c r="M84" s="61"/>
      <c r="N84" s="61">
        <v>53169121</v>
      </c>
      <c r="O84" s="61">
        <v>53169121</v>
      </c>
      <c r="P84" s="61">
        <v>53169121</v>
      </c>
      <c r="Q84" s="677">
        <v>53169121</v>
      </c>
      <c r="R84" s="677">
        <v>53169121</v>
      </c>
      <c r="S84" s="481"/>
      <c r="T84" s="69">
        <v>27632833</v>
      </c>
      <c r="U84" s="99"/>
      <c r="V84" s="61"/>
      <c r="W84" s="61"/>
      <c r="X84" s="102"/>
      <c r="Y84" s="102"/>
      <c r="Z84" s="61"/>
      <c r="AA84" s="61"/>
      <c r="AB84" s="61"/>
      <c r="AC84" s="61"/>
      <c r="AD84" s="102"/>
      <c r="AE84" s="498"/>
      <c r="AF84" s="99"/>
      <c r="AG84" s="61"/>
      <c r="AH84" s="61"/>
      <c r="AI84" s="102"/>
      <c r="AJ84" s="61">
        <v>53169121</v>
      </c>
      <c r="AK84" s="61">
        <v>53169121</v>
      </c>
      <c r="AL84" s="765">
        <v>53169121</v>
      </c>
      <c r="AM84" s="765">
        <v>53169121</v>
      </c>
      <c r="AN84" s="776"/>
      <c r="AO84" s="736"/>
      <c r="AP84" s="1099"/>
      <c r="AQ84" s="1066"/>
      <c r="AR84" s="1093"/>
      <c r="AS84" s="1068"/>
      <c r="AT84" s="1060"/>
      <c r="AU84" s="33"/>
      <c r="AV84" s="33"/>
      <c r="AW84" s="33"/>
      <c r="AX84" s="33"/>
    </row>
    <row r="85" spans="1:50" s="20" customFormat="1" ht="35.1" customHeight="1" x14ac:dyDescent="0.25">
      <c r="A85" s="1122"/>
      <c r="B85" s="1122"/>
      <c r="C85" s="1085"/>
      <c r="D85" s="1122"/>
      <c r="E85" s="1085"/>
      <c r="F85" s="1085"/>
      <c r="G85" s="145" t="s">
        <v>137</v>
      </c>
      <c r="H85" s="111">
        <v>1</v>
      </c>
      <c r="I85" s="111"/>
      <c r="J85" s="111">
        <v>1</v>
      </c>
      <c r="K85" s="111">
        <v>1</v>
      </c>
      <c r="L85" s="111">
        <v>1</v>
      </c>
      <c r="M85" s="111"/>
      <c r="N85" s="277">
        <f t="shared" ref="N85:O85" si="40">+N81</f>
        <v>1</v>
      </c>
      <c r="O85" s="277">
        <f t="shared" si="40"/>
        <v>1</v>
      </c>
      <c r="P85" s="277">
        <f>+P81</f>
        <v>1</v>
      </c>
      <c r="Q85" s="824">
        <v>1</v>
      </c>
      <c r="R85" s="825">
        <v>1</v>
      </c>
      <c r="S85" s="440"/>
      <c r="T85" s="441">
        <f>T81</f>
        <v>1</v>
      </c>
      <c r="U85" s="277"/>
      <c r="V85" s="277"/>
      <c r="W85" s="277"/>
      <c r="X85" s="442"/>
      <c r="Y85" s="442"/>
      <c r="Z85" s="443">
        <f>Z81</f>
        <v>1</v>
      </c>
      <c r="AA85" s="277"/>
      <c r="AB85" s="277"/>
      <c r="AC85" s="277"/>
      <c r="AD85" s="442"/>
      <c r="AE85" s="498"/>
      <c r="AF85" s="441">
        <f>AF81</f>
        <v>1</v>
      </c>
      <c r="AG85" s="277"/>
      <c r="AH85" s="277"/>
      <c r="AI85" s="442"/>
      <c r="AJ85" s="277">
        <v>1</v>
      </c>
      <c r="AK85" s="277">
        <v>1</v>
      </c>
      <c r="AL85" s="818">
        <v>1</v>
      </c>
      <c r="AM85" s="797">
        <v>1</v>
      </c>
      <c r="AN85" s="735"/>
      <c r="AO85" s="736"/>
      <c r="AP85" s="1099"/>
      <c r="AQ85" s="1066"/>
      <c r="AR85" s="1093"/>
      <c r="AS85" s="1068"/>
      <c r="AT85" s="1060"/>
      <c r="AU85" s="33"/>
      <c r="AV85" s="33"/>
      <c r="AW85" s="33"/>
      <c r="AX85" s="33"/>
    </row>
    <row r="86" spans="1:50" s="20" customFormat="1" ht="35.1" customHeight="1" thickBot="1" x14ac:dyDescent="0.3">
      <c r="A86" s="1122"/>
      <c r="B86" s="1122"/>
      <c r="C86" s="1085"/>
      <c r="D86" s="1122"/>
      <c r="E86" s="1085"/>
      <c r="F86" s="1085"/>
      <c r="G86" s="148" t="s">
        <v>143</v>
      </c>
      <c r="H86" s="84">
        <f>+H82</f>
        <v>1938467114</v>
      </c>
      <c r="I86" s="84"/>
      <c r="J86" s="84">
        <f>+J82</f>
        <v>166456730</v>
      </c>
      <c r="K86" s="84">
        <f>+K82</f>
        <v>166456730</v>
      </c>
      <c r="L86" s="84">
        <v>160878054</v>
      </c>
      <c r="M86" s="84"/>
      <c r="N86" s="84">
        <f t="shared" ref="N86:O86" si="41">+N82+N84</f>
        <v>364924121</v>
      </c>
      <c r="O86" s="84">
        <f t="shared" si="41"/>
        <v>364924121</v>
      </c>
      <c r="P86" s="84">
        <f>+P82+P84</f>
        <v>364924121</v>
      </c>
      <c r="Q86" s="664">
        <f>+Q82+Q84</f>
        <v>369589955</v>
      </c>
      <c r="R86" s="664">
        <f>+R82+R84</f>
        <v>360822355</v>
      </c>
      <c r="S86" s="512"/>
      <c r="T86" s="502">
        <f>T82</f>
        <v>700608060</v>
      </c>
      <c r="U86" s="500"/>
      <c r="V86" s="500"/>
      <c r="W86" s="500"/>
      <c r="X86" s="511"/>
      <c r="Y86" s="511"/>
      <c r="Z86" s="500">
        <f>Z82</f>
        <v>457474000</v>
      </c>
      <c r="AA86" s="500"/>
      <c r="AB86" s="500"/>
      <c r="AC86" s="500"/>
      <c r="AD86" s="511"/>
      <c r="AE86" s="498"/>
      <c r="AF86" s="502">
        <f>AF82</f>
        <v>307752000</v>
      </c>
      <c r="AG86" s="500"/>
      <c r="AH86" s="500"/>
      <c r="AI86" s="511"/>
      <c r="AJ86" s="509">
        <v>156021121</v>
      </c>
      <c r="AK86" s="500">
        <v>364907121</v>
      </c>
      <c r="AL86" s="513">
        <v>364907121</v>
      </c>
      <c r="AM86" s="664">
        <f>+AM82+AM84</f>
        <v>360822355</v>
      </c>
      <c r="AN86" s="785"/>
      <c r="AO86" s="786"/>
      <c r="AP86" s="1102"/>
      <c r="AQ86" s="1091"/>
      <c r="AR86" s="1094"/>
      <c r="AS86" s="1096"/>
      <c r="AT86" s="1061"/>
      <c r="AU86" s="33"/>
      <c r="AV86" s="33"/>
      <c r="AW86" s="33"/>
      <c r="AX86" s="33"/>
    </row>
    <row r="87" spans="1:50" s="20" customFormat="1" ht="35.1" customHeight="1" x14ac:dyDescent="0.25">
      <c r="A87" s="1122"/>
      <c r="B87" s="1122">
        <v>14</v>
      </c>
      <c r="C87" s="1085" t="s">
        <v>170</v>
      </c>
      <c r="D87" s="1122" t="s">
        <v>189</v>
      </c>
      <c r="E87" s="1122">
        <v>481</v>
      </c>
      <c r="F87" s="1085"/>
      <c r="G87" s="144" t="s">
        <v>111</v>
      </c>
      <c r="H87" s="122">
        <v>25</v>
      </c>
      <c r="I87" s="122"/>
      <c r="J87" s="122">
        <v>15</v>
      </c>
      <c r="K87" s="826">
        <v>0.15129999999999999</v>
      </c>
      <c r="L87" s="826">
        <v>0.15129999999999999</v>
      </c>
      <c r="M87" s="111"/>
      <c r="N87" s="111">
        <v>0.2</v>
      </c>
      <c r="O87" s="332">
        <v>0.2</v>
      </c>
      <c r="P87" s="332">
        <v>0.2</v>
      </c>
      <c r="Q87" s="827">
        <v>0.25</v>
      </c>
      <c r="R87" s="828">
        <v>0.3034</v>
      </c>
      <c r="S87" s="275"/>
      <c r="T87" s="829">
        <v>0.25</v>
      </c>
      <c r="U87" s="717"/>
      <c r="V87" s="717"/>
      <c r="W87" s="717"/>
      <c r="X87" s="54"/>
      <c r="Y87" s="54"/>
      <c r="Z87" s="807">
        <v>0.25</v>
      </c>
      <c r="AA87" s="717"/>
      <c r="AB87" s="717"/>
      <c r="AC87" s="717"/>
      <c r="AD87" s="54"/>
      <c r="AE87" s="498"/>
      <c r="AF87" s="830">
        <v>0.25</v>
      </c>
      <c r="AG87" s="95"/>
      <c r="AH87" s="95"/>
      <c r="AI87" s="102"/>
      <c r="AJ87" s="95">
        <v>0.11940000000000001</v>
      </c>
      <c r="AK87" s="95">
        <v>0.15390000000000001</v>
      </c>
      <c r="AL87" s="831">
        <v>0.22170000000000001</v>
      </c>
      <c r="AM87" s="832">
        <v>0.3034</v>
      </c>
      <c r="AN87" s="674">
        <f>+AM87/Q87</f>
        <v>1.2136</v>
      </c>
      <c r="AO87" s="675">
        <f>+AM87/H87</f>
        <v>1.2136000000000001E-2</v>
      </c>
      <c r="AP87" s="1098" t="s">
        <v>542</v>
      </c>
      <c r="AQ87" s="1065" t="s">
        <v>214</v>
      </c>
      <c r="AR87" s="1115" t="s">
        <v>86</v>
      </c>
      <c r="AS87" s="1116" t="s">
        <v>220</v>
      </c>
      <c r="AT87" s="1069" t="s">
        <v>238</v>
      </c>
      <c r="AU87" s="33"/>
      <c r="AV87" s="33"/>
      <c r="AW87" s="33"/>
      <c r="AX87" s="33"/>
    </row>
    <row r="88" spans="1:50" s="20" customFormat="1" ht="35.1" customHeight="1" x14ac:dyDescent="0.25">
      <c r="A88" s="1122"/>
      <c r="B88" s="1122"/>
      <c r="C88" s="1085"/>
      <c r="D88" s="1122"/>
      <c r="E88" s="1122"/>
      <c r="F88" s="1085"/>
      <c r="G88" s="145" t="s">
        <v>123</v>
      </c>
      <c r="H88" s="60">
        <f>+L88+N88+T88+Z88+AF88</f>
        <v>2548492949.7394133</v>
      </c>
      <c r="I88" s="60"/>
      <c r="J88" s="60">
        <v>377990921</v>
      </c>
      <c r="K88" s="676">
        <v>377990921</v>
      </c>
      <c r="L88" s="676">
        <v>359363489</v>
      </c>
      <c r="M88" s="60"/>
      <c r="N88" s="60">
        <v>418379000</v>
      </c>
      <c r="O88" s="60">
        <v>418379000</v>
      </c>
      <c r="P88" s="60">
        <v>418379000</v>
      </c>
      <c r="Q88" s="677">
        <v>443255434</v>
      </c>
      <c r="R88" s="695">
        <f>+AM88</f>
        <v>438081434</v>
      </c>
      <c r="S88" s="39"/>
      <c r="T88" s="680">
        <v>634002175</v>
      </c>
      <c r="U88" s="507"/>
      <c r="V88" s="507"/>
      <c r="W88" s="507"/>
      <c r="X88" s="54"/>
      <c r="Y88" s="54"/>
      <c r="Z88" s="507">
        <v>679580574.3517915</v>
      </c>
      <c r="AA88" s="507"/>
      <c r="AB88" s="507"/>
      <c r="AC88" s="507"/>
      <c r="AD88" s="54"/>
      <c r="AE88" s="498"/>
      <c r="AF88" s="762">
        <v>457167711.38762212</v>
      </c>
      <c r="AG88" s="69"/>
      <c r="AH88" s="69"/>
      <c r="AI88" s="40"/>
      <c r="AJ88" s="69">
        <v>57119000</v>
      </c>
      <c r="AK88" s="69">
        <v>368379000</v>
      </c>
      <c r="AL88" s="816">
        <v>368379000</v>
      </c>
      <c r="AM88" s="657">
        <v>438081434</v>
      </c>
      <c r="AN88" s="655">
        <f>+AM88/Q88</f>
        <v>0.98832727226080663</v>
      </c>
      <c r="AO88" s="655">
        <f>+AM88/H88</f>
        <v>0.17189823265738066</v>
      </c>
      <c r="AP88" s="1099"/>
      <c r="AQ88" s="1066"/>
      <c r="AR88" s="1093"/>
      <c r="AS88" s="1068"/>
      <c r="AT88" s="1060"/>
      <c r="AU88" s="33"/>
      <c r="AV88" s="33"/>
      <c r="AW88" s="33"/>
      <c r="AX88" s="33"/>
    </row>
    <row r="89" spans="1:50" s="20" customFormat="1" ht="35.1" customHeight="1" x14ac:dyDescent="0.25">
      <c r="A89" s="1122"/>
      <c r="B89" s="1122"/>
      <c r="C89" s="1085"/>
      <c r="D89" s="1122"/>
      <c r="E89" s="1122"/>
      <c r="F89" s="1085"/>
      <c r="G89" s="145" t="s">
        <v>130</v>
      </c>
      <c r="H89" s="114"/>
      <c r="I89" s="114"/>
      <c r="J89" s="114"/>
      <c r="K89" s="114"/>
      <c r="L89" s="114"/>
      <c r="M89" s="114"/>
      <c r="N89" s="114">
        <v>0</v>
      </c>
      <c r="O89" s="114">
        <v>0</v>
      </c>
      <c r="P89" s="114">
        <v>0</v>
      </c>
      <c r="Q89" s="696">
        <v>0</v>
      </c>
      <c r="R89" s="805">
        <v>0</v>
      </c>
      <c r="S89" s="274"/>
      <c r="T89" s="123">
        <v>0</v>
      </c>
      <c r="U89" s="114"/>
      <c r="V89" s="114"/>
      <c r="W89" s="114"/>
      <c r="X89" s="102"/>
      <c r="Y89" s="102"/>
      <c r="Z89" s="114"/>
      <c r="AA89" s="114"/>
      <c r="AB89" s="114"/>
      <c r="AC89" s="114"/>
      <c r="AD89" s="102"/>
      <c r="AE89" s="498"/>
      <c r="AF89" s="474"/>
      <c r="AG89" s="69"/>
      <c r="AH89" s="69"/>
      <c r="AI89" s="40"/>
      <c r="AJ89" s="69"/>
      <c r="AK89" s="69"/>
      <c r="AL89" s="765"/>
      <c r="AM89" s="661"/>
      <c r="AN89" s="775"/>
      <c r="AO89" s="751"/>
      <c r="AP89" s="1099"/>
      <c r="AQ89" s="1066"/>
      <c r="AR89" s="1093"/>
      <c r="AS89" s="1068"/>
      <c r="AT89" s="1060"/>
      <c r="AU89" s="33"/>
      <c r="AV89" s="33"/>
      <c r="AW89" s="33"/>
      <c r="AX89" s="33"/>
    </row>
    <row r="90" spans="1:50" s="20" customFormat="1" ht="35.1" customHeight="1" x14ac:dyDescent="0.25">
      <c r="A90" s="1122"/>
      <c r="B90" s="1122"/>
      <c r="C90" s="1085"/>
      <c r="D90" s="1122"/>
      <c r="E90" s="1122"/>
      <c r="F90" s="1085"/>
      <c r="G90" s="150" t="s">
        <v>135</v>
      </c>
      <c r="H90" s="69"/>
      <c r="I90" s="69"/>
      <c r="J90" s="69"/>
      <c r="K90" s="69"/>
      <c r="L90" s="69"/>
      <c r="M90" s="69"/>
      <c r="N90" s="69">
        <v>200557722</v>
      </c>
      <c r="O90" s="69">
        <v>200557722</v>
      </c>
      <c r="P90" s="69">
        <v>200557722</v>
      </c>
      <c r="Q90" s="657">
        <v>200557722</v>
      </c>
      <c r="R90" s="661">
        <v>200557722</v>
      </c>
      <c r="S90" s="40"/>
      <c r="T90" s="69">
        <v>145989000</v>
      </c>
      <c r="U90" s="69"/>
      <c r="V90" s="69"/>
      <c r="W90" s="69"/>
      <c r="X90" s="40"/>
      <c r="Y90" s="40"/>
      <c r="Z90" s="69"/>
      <c r="AA90" s="69"/>
      <c r="AB90" s="69"/>
      <c r="AC90" s="69"/>
      <c r="AD90" s="124"/>
      <c r="AE90" s="498"/>
      <c r="AF90" s="474"/>
      <c r="AG90" s="69"/>
      <c r="AH90" s="69"/>
      <c r="AI90" s="40"/>
      <c r="AJ90" s="69">
        <v>74838708</v>
      </c>
      <c r="AK90" s="69">
        <v>105891644</v>
      </c>
      <c r="AL90" s="765">
        <v>148409295</v>
      </c>
      <c r="AM90" s="765">
        <v>200557722</v>
      </c>
      <c r="AN90" s="776"/>
      <c r="AO90" s="736"/>
      <c r="AP90" s="1099"/>
      <c r="AQ90" s="1066"/>
      <c r="AR90" s="1093"/>
      <c r="AS90" s="1068"/>
      <c r="AT90" s="1060"/>
      <c r="AU90" s="33"/>
      <c r="AV90" s="33"/>
      <c r="AW90" s="33"/>
      <c r="AX90" s="33"/>
    </row>
    <row r="91" spans="1:50" s="20" customFormat="1" ht="35.1" customHeight="1" x14ac:dyDescent="0.25">
      <c r="A91" s="1122"/>
      <c r="B91" s="1122"/>
      <c r="C91" s="1085"/>
      <c r="D91" s="1122"/>
      <c r="E91" s="1122"/>
      <c r="F91" s="1085"/>
      <c r="G91" s="145" t="s">
        <v>137</v>
      </c>
      <c r="H91" s="122">
        <v>25</v>
      </c>
      <c r="I91" s="122"/>
      <c r="J91" s="122">
        <v>15</v>
      </c>
      <c r="K91" s="111">
        <v>0.15</v>
      </c>
      <c r="L91" s="111">
        <v>15.13</v>
      </c>
      <c r="M91" s="111"/>
      <c r="N91" s="332">
        <f t="shared" ref="N91:O91" si="42">+N87</f>
        <v>0.2</v>
      </c>
      <c r="O91" s="332">
        <f t="shared" si="42"/>
        <v>0.2</v>
      </c>
      <c r="P91" s="332">
        <f>+P87</f>
        <v>0.2</v>
      </c>
      <c r="Q91" s="755">
        <v>0.2</v>
      </c>
      <c r="R91" s="828">
        <v>0.3034</v>
      </c>
      <c r="S91" s="275"/>
      <c r="T91" s="112">
        <v>0.25</v>
      </c>
      <c r="U91" s="107"/>
      <c r="V91" s="107"/>
      <c r="W91" s="107"/>
      <c r="X91" s="102"/>
      <c r="Y91" s="102"/>
      <c r="Z91" s="111">
        <v>0.25</v>
      </c>
      <c r="AA91" s="107"/>
      <c r="AB91" s="107"/>
      <c r="AC91" s="107"/>
      <c r="AD91" s="102"/>
      <c r="AE91" s="498"/>
      <c r="AF91" s="476">
        <v>0.25</v>
      </c>
      <c r="AG91" s="69"/>
      <c r="AH91" s="69"/>
      <c r="AI91" s="40"/>
      <c r="AJ91" s="69">
        <v>0.11940000000000001</v>
      </c>
      <c r="AK91" s="69">
        <v>15.39</v>
      </c>
      <c r="AL91" s="833">
        <v>0.22170000000000001</v>
      </c>
      <c r="AM91" s="834">
        <v>0.3034</v>
      </c>
      <c r="AN91" s="776"/>
      <c r="AO91" s="736"/>
      <c r="AP91" s="1099"/>
      <c r="AQ91" s="1066"/>
      <c r="AR91" s="1093"/>
      <c r="AS91" s="1068"/>
      <c r="AT91" s="1060"/>
      <c r="AU91" s="33"/>
      <c r="AV91" s="33"/>
      <c r="AW91" s="33"/>
      <c r="AX91" s="33"/>
    </row>
    <row r="92" spans="1:50" s="20" customFormat="1" ht="35.1" customHeight="1" thickBot="1" x14ac:dyDescent="0.3">
      <c r="A92" s="1122"/>
      <c r="B92" s="1122"/>
      <c r="C92" s="1085"/>
      <c r="D92" s="1122"/>
      <c r="E92" s="1122"/>
      <c r="F92" s="1085"/>
      <c r="G92" s="146" t="s">
        <v>143</v>
      </c>
      <c r="H92" s="76">
        <f>+H88</f>
        <v>2548492949.7394133</v>
      </c>
      <c r="I92" s="76"/>
      <c r="J92" s="76">
        <f>+J88</f>
        <v>377990921</v>
      </c>
      <c r="K92" s="76">
        <f>+K88</f>
        <v>377990921</v>
      </c>
      <c r="L92" s="76">
        <v>359363489</v>
      </c>
      <c r="M92" s="76"/>
      <c r="N92" s="76">
        <f t="shared" ref="N92:O92" si="43">+N88+N90</f>
        <v>618936722</v>
      </c>
      <c r="O92" s="76">
        <f t="shared" si="43"/>
        <v>618936722</v>
      </c>
      <c r="P92" s="76">
        <f>+P88+P90</f>
        <v>618936722</v>
      </c>
      <c r="Q92" s="664">
        <f>+Q88+Q90</f>
        <v>643813156</v>
      </c>
      <c r="R92" s="664">
        <f>+R88+R90</f>
        <v>638639156</v>
      </c>
      <c r="S92" s="274"/>
      <c r="T92" s="123">
        <f>T88</f>
        <v>634002175</v>
      </c>
      <c r="U92" s="114"/>
      <c r="V92" s="114"/>
      <c r="W92" s="114"/>
      <c r="X92" s="102"/>
      <c r="Y92" s="102"/>
      <c r="Z92" s="114">
        <f>Z88</f>
        <v>679580574.3517915</v>
      </c>
      <c r="AA92" s="114"/>
      <c r="AB92" s="114"/>
      <c r="AC92" s="114"/>
      <c r="AD92" s="102"/>
      <c r="AE92" s="498"/>
      <c r="AF92" s="514">
        <f>AF88</f>
        <v>457167711.38762212</v>
      </c>
      <c r="AG92" s="95"/>
      <c r="AH92" s="95"/>
      <c r="AI92" s="102"/>
      <c r="AJ92" s="95">
        <v>131957708</v>
      </c>
      <c r="AK92" s="95">
        <v>474270644</v>
      </c>
      <c r="AL92" s="515">
        <v>516788295</v>
      </c>
      <c r="AM92" s="664">
        <f>+AM88+AM90</f>
        <v>638639156</v>
      </c>
      <c r="AN92" s="798"/>
      <c r="AO92" s="739"/>
      <c r="AP92" s="1100"/>
      <c r="AQ92" s="1066"/>
      <c r="AR92" s="1093"/>
      <c r="AS92" s="1068"/>
      <c r="AT92" s="1060"/>
      <c r="AU92" s="33"/>
      <c r="AV92" s="33"/>
      <c r="AW92" s="33"/>
      <c r="AX92" s="33"/>
    </row>
    <row r="93" spans="1:50" s="20" customFormat="1" ht="35.1" customHeight="1" x14ac:dyDescent="0.25">
      <c r="A93" s="1122"/>
      <c r="B93" s="1122">
        <v>15</v>
      </c>
      <c r="C93" s="1085" t="s">
        <v>172</v>
      </c>
      <c r="D93" s="1122" t="s">
        <v>189</v>
      </c>
      <c r="E93" s="1122">
        <v>480</v>
      </c>
      <c r="F93" s="1085"/>
      <c r="G93" s="147" t="s">
        <v>111</v>
      </c>
      <c r="H93" s="109">
        <v>1</v>
      </c>
      <c r="I93" s="109"/>
      <c r="J93" s="109">
        <v>0.1</v>
      </c>
      <c r="K93" s="787">
        <v>0.1</v>
      </c>
      <c r="L93" s="787">
        <v>0.05</v>
      </c>
      <c r="M93" s="109"/>
      <c r="N93" s="121">
        <v>0.5</v>
      </c>
      <c r="O93" s="331">
        <v>0.5</v>
      </c>
      <c r="P93" s="331">
        <v>0.5</v>
      </c>
      <c r="Q93" s="790">
        <v>0.5</v>
      </c>
      <c r="R93" s="791">
        <f>+R95+L93+14%</f>
        <v>0.24000000000000002</v>
      </c>
      <c r="S93" s="125"/>
      <c r="T93" s="792">
        <v>0.7</v>
      </c>
      <c r="U93" s="100"/>
      <c r="V93" s="100"/>
      <c r="W93" s="100"/>
      <c r="X93" s="106"/>
      <c r="Y93" s="106"/>
      <c r="Z93" s="121">
        <v>0.9</v>
      </c>
      <c r="AA93" s="100"/>
      <c r="AB93" s="100"/>
      <c r="AC93" s="100"/>
      <c r="AD93" s="106"/>
      <c r="AE93" s="498"/>
      <c r="AF93" s="835">
        <v>1</v>
      </c>
      <c r="AG93" s="100"/>
      <c r="AH93" s="100"/>
      <c r="AI93" s="106"/>
      <c r="AJ93" s="101">
        <v>0.16</v>
      </c>
      <c r="AK93" s="100">
        <v>0.21</v>
      </c>
      <c r="AL93" s="836">
        <v>0.24</v>
      </c>
      <c r="AM93" s="791">
        <f>+R93</f>
        <v>0.24000000000000002</v>
      </c>
      <c r="AN93" s="674">
        <f>+AM93/Q93</f>
        <v>0.48000000000000004</v>
      </c>
      <c r="AO93" s="675">
        <f>+AM93/H93</f>
        <v>0.24000000000000002</v>
      </c>
      <c r="AP93" s="1098" t="s">
        <v>543</v>
      </c>
      <c r="AQ93" s="1062" t="s">
        <v>539</v>
      </c>
      <c r="AR93" s="1065" t="s">
        <v>544</v>
      </c>
      <c r="AS93" s="1095" t="s">
        <v>247</v>
      </c>
      <c r="AT93" s="1059" t="s">
        <v>238</v>
      </c>
      <c r="AU93" s="33"/>
      <c r="AV93" s="33"/>
      <c r="AW93" s="33"/>
      <c r="AX93" s="33"/>
    </row>
    <row r="94" spans="1:50" s="20" customFormat="1" ht="35.1" customHeight="1" x14ac:dyDescent="0.25">
      <c r="A94" s="1122"/>
      <c r="B94" s="1122"/>
      <c r="C94" s="1085"/>
      <c r="D94" s="1122"/>
      <c r="E94" s="1122"/>
      <c r="F94" s="1085"/>
      <c r="G94" s="145" t="s">
        <v>123</v>
      </c>
      <c r="H94" s="60">
        <f>+L94+N94+T94+Z94+AF94</f>
        <v>1000139346.7791531</v>
      </c>
      <c r="I94" s="60"/>
      <c r="J94" s="60">
        <v>245268594</v>
      </c>
      <c r="K94" s="676">
        <v>245268594</v>
      </c>
      <c r="L94" s="676">
        <v>245268594</v>
      </c>
      <c r="M94" s="60"/>
      <c r="N94" s="60">
        <v>200000000</v>
      </c>
      <c r="O94" s="60">
        <v>200000000</v>
      </c>
      <c r="P94" s="60">
        <v>200000000</v>
      </c>
      <c r="Q94" s="677">
        <v>350000000</v>
      </c>
      <c r="R94" s="695">
        <f>+AM94</f>
        <v>0</v>
      </c>
      <c r="S94" s="99"/>
      <c r="T94" s="680">
        <v>127743000</v>
      </c>
      <c r="U94" s="61"/>
      <c r="V94" s="61"/>
      <c r="W94" s="61"/>
      <c r="X94" s="102"/>
      <c r="Y94" s="102"/>
      <c r="Z94" s="99">
        <v>257000000</v>
      </c>
      <c r="AA94" s="61"/>
      <c r="AB94" s="61"/>
      <c r="AC94" s="61"/>
      <c r="AD94" s="102"/>
      <c r="AE94" s="498"/>
      <c r="AF94" s="506">
        <v>170127752.77915311</v>
      </c>
      <c r="AG94" s="114"/>
      <c r="AH94" s="114"/>
      <c r="AI94" s="102"/>
      <c r="AJ94" s="114">
        <v>0</v>
      </c>
      <c r="AK94" s="114">
        <v>0</v>
      </c>
      <c r="AL94" s="816">
        <v>0</v>
      </c>
      <c r="AM94" s="816">
        <v>0</v>
      </c>
      <c r="AN94" s="655">
        <f>+AM94/Q94</f>
        <v>0</v>
      </c>
      <c r="AO94" s="655">
        <f>+AM94/H94</f>
        <v>0</v>
      </c>
      <c r="AP94" s="1099"/>
      <c r="AQ94" s="1063"/>
      <c r="AR94" s="1066"/>
      <c r="AS94" s="1068"/>
      <c r="AT94" s="1060"/>
      <c r="AU94" s="33"/>
      <c r="AV94" s="33"/>
      <c r="AW94" s="33"/>
      <c r="AX94" s="33"/>
    </row>
    <row r="95" spans="1:50" s="20" customFormat="1" ht="35.1" customHeight="1" x14ac:dyDescent="0.25">
      <c r="A95" s="1122"/>
      <c r="B95" s="1122"/>
      <c r="C95" s="1085"/>
      <c r="D95" s="1122"/>
      <c r="E95" s="1122"/>
      <c r="F95" s="1085"/>
      <c r="G95" s="145" t="s">
        <v>130</v>
      </c>
      <c r="H95" s="61"/>
      <c r="I95" s="61"/>
      <c r="J95" s="61"/>
      <c r="K95" s="61"/>
      <c r="L95" s="61"/>
      <c r="M95" s="61"/>
      <c r="N95" s="60"/>
      <c r="O95" s="333">
        <v>0.05</v>
      </c>
      <c r="P95" s="333">
        <v>0.05</v>
      </c>
      <c r="Q95" s="824">
        <v>0.05</v>
      </c>
      <c r="R95" s="824">
        <v>0.05</v>
      </c>
      <c r="S95" s="99"/>
      <c r="T95" s="99"/>
      <c r="U95" s="61"/>
      <c r="V95" s="61"/>
      <c r="W95" s="61"/>
      <c r="X95" s="102"/>
      <c r="Y95" s="102"/>
      <c r="Z95" s="61"/>
      <c r="AA95" s="61"/>
      <c r="AB95" s="61"/>
      <c r="AC95" s="61"/>
      <c r="AD95" s="102"/>
      <c r="AE95" s="498"/>
      <c r="AF95" s="474"/>
      <c r="AG95" s="69"/>
      <c r="AH95" s="69"/>
      <c r="AI95" s="40"/>
      <c r="AJ95" s="69"/>
      <c r="AK95" s="69">
        <v>0.05</v>
      </c>
      <c r="AL95" s="818">
        <v>0.05</v>
      </c>
      <c r="AM95" s="661"/>
      <c r="AN95" s="775"/>
      <c r="AO95" s="751"/>
      <c r="AP95" s="1099"/>
      <c r="AQ95" s="1063"/>
      <c r="AR95" s="1066"/>
      <c r="AS95" s="1068"/>
      <c r="AT95" s="1060"/>
      <c r="AU95" s="33"/>
      <c r="AV95" s="33"/>
      <c r="AW95" s="33"/>
      <c r="AX95" s="33"/>
    </row>
    <row r="96" spans="1:50" s="20" customFormat="1" ht="35.1" customHeight="1" x14ac:dyDescent="0.25">
      <c r="A96" s="1122"/>
      <c r="B96" s="1122"/>
      <c r="C96" s="1085"/>
      <c r="D96" s="1122"/>
      <c r="E96" s="1122"/>
      <c r="F96" s="1085"/>
      <c r="G96" s="145" t="s">
        <v>135</v>
      </c>
      <c r="H96" s="61"/>
      <c r="I96" s="61"/>
      <c r="J96" s="61"/>
      <c r="K96" s="61"/>
      <c r="L96" s="61"/>
      <c r="M96" s="61"/>
      <c r="N96" s="61">
        <v>245268594</v>
      </c>
      <c r="O96" s="61">
        <v>245268594</v>
      </c>
      <c r="P96" s="61">
        <v>245268594</v>
      </c>
      <c r="Q96" s="677">
        <v>245268594</v>
      </c>
      <c r="R96" s="695">
        <v>245268594</v>
      </c>
      <c r="S96" s="99"/>
      <c r="T96" s="99"/>
      <c r="U96" s="61"/>
      <c r="V96" s="61"/>
      <c r="W96" s="61"/>
      <c r="X96" s="102"/>
      <c r="Y96" s="102"/>
      <c r="Z96" s="61"/>
      <c r="AA96" s="61"/>
      <c r="AB96" s="61"/>
      <c r="AC96" s="61"/>
      <c r="AD96" s="102"/>
      <c r="AE96" s="498"/>
      <c r="AF96" s="474"/>
      <c r="AG96" s="69"/>
      <c r="AH96" s="69"/>
      <c r="AI96" s="40"/>
      <c r="AJ96" s="69">
        <v>147161156</v>
      </c>
      <c r="AK96" s="69">
        <v>147161156</v>
      </c>
      <c r="AL96" s="765">
        <v>245268594</v>
      </c>
      <c r="AM96" s="765">
        <v>245268594</v>
      </c>
      <c r="AN96" s="776"/>
      <c r="AO96" s="736"/>
      <c r="AP96" s="1099"/>
      <c r="AQ96" s="1063"/>
      <c r="AR96" s="1066"/>
      <c r="AS96" s="1068"/>
      <c r="AT96" s="1060"/>
      <c r="AU96" s="33"/>
      <c r="AV96" s="33"/>
      <c r="AW96" s="33"/>
      <c r="AX96" s="33"/>
    </row>
    <row r="97" spans="1:50" s="20" customFormat="1" ht="35.1" customHeight="1" x14ac:dyDescent="0.25">
      <c r="A97" s="1122"/>
      <c r="B97" s="1122"/>
      <c r="C97" s="1085"/>
      <c r="D97" s="1122"/>
      <c r="E97" s="1122"/>
      <c r="F97" s="1085"/>
      <c r="G97" s="145" t="s">
        <v>137</v>
      </c>
      <c r="H97" s="110">
        <v>1</v>
      </c>
      <c r="I97" s="110"/>
      <c r="J97" s="110">
        <v>0.1</v>
      </c>
      <c r="K97" s="110">
        <v>0.1</v>
      </c>
      <c r="L97" s="110">
        <v>0.05</v>
      </c>
      <c r="M97" s="110"/>
      <c r="N97" s="277">
        <f t="shared" ref="N97:O97" si="44">+N93+N95</f>
        <v>0.5</v>
      </c>
      <c r="O97" s="277">
        <f t="shared" si="44"/>
        <v>0.55000000000000004</v>
      </c>
      <c r="P97" s="277">
        <f>+P93+P95</f>
        <v>0.55000000000000004</v>
      </c>
      <c r="Q97" s="677">
        <v>0.55000000000000004</v>
      </c>
      <c r="R97" s="795">
        <v>0.5</v>
      </c>
      <c r="S97" s="118"/>
      <c r="T97" s="118">
        <f>T93</f>
        <v>0.7</v>
      </c>
      <c r="U97" s="61"/>
      <c r="V97" s="61"/>
      <c r="W97" s="61"/>
      <c r="X97" s="102"/>
      <c r="Y97" s="102"/>
      <c r="Z97" s="110">
        <f>Z93</f>
        <v>0.9</v>
      </c>
      <c r="AA97" s="61"/>
      <c r="AB97" s="61"/>
      <c r="AC97" s="61"/>
      <c r="AD97" s="102"/>
      <c r="AE97" s="498"/>
      <c r="AF97" s="476">
        <f>AF93</f>
        <v>1</v>
      </c>
      <c r="AG97" s="69"/>
      <c r="AH97" s="69"/>
      <c r="AI97" s="40"/>
      <c r="AJ97" s="69">
        <v>0.16</v>
      </c>
      <c r="AK97" s="69">
        <v>16</v>
      </c>
      <c r="AL97" s="818">
        <v>0.19</v>
      </c>
      <c r="AM97" s="818">
        <v>0.5</v>
      </c>
      <c r="AN97" s="776"/>
      <c r="AO97" s="736"/>
      <c r="AP97" s="1099"/>
      <c r="AQ97" s="1063"/>
      <c r="AR97" s="1066"/>
      <c r="AS97" s="1068"/>
      <c r="AT97" s="1060"/>
      <c r="AU97" s="33"/>
      <c r="AV97" s="33"/>
      <c r="AW97" s="33"/>
      <c r="AX97" s="33"/>
    </row>
    <row r="98" spans="1:50" s="20" customFormat="1" ht="35.1" customHeight="1" thickBot="1" x14ac:dyDescent="0.3">
      <c r="A98" s="1122"/>
      <c r="B98" s="1122"/>
      <c r="C98" s="1085"/>
      <c r="D98" s="1122"/>
      <c r="E98" s="1122"/>
      <c r="F98" s="1085"/>
      <c r="G98" s="148" t="s">
        <v>143</v>
      </c>
      <c r="H98" s="84">
        <f>+H94</f>
        <v>1000139346.7791531</v>
      </c>
      <c r="I98" s="84"/>
      <c r="J98" s="84">
        <f>+J94</f>
        <v>245268594</v>
      </c>
      <c r="K98" s="84">
        <f>+K94</f>
        <v>245268594</v>
      </c>
      <c r="L98" s="84">
        <v>245268594</v>
      </c>
      <c r="M98" s="84"/>
      <c r="N98" s="84">
        <f t="shared" ref="N98:O98" si="45">+N94+N96</f>
        <v>445268594</v>
      </c>
      <c r="O98" s="84">
        <f t="shared" si="45"/>
        <v>445268594</v>
      </c>
      <c r="P98" s="84">
        <f>+P94+P96</f>
        <v>445268594</v>
      </c>
      <c r="Q98" s="664">
        <f>+Q94+Q96</f>
        <v>595268594</v>
      </c>
      <c r="R98" s="664">
        <f>+R94+R96</f>
        <v>245268594</v>
      </c>
      <c r="S98" s="502"/>
      <c r="T98" s="502">
        <f>T94</f>
        <v>127743000</v>
      </c>
      <c r="U98" s="500"/>
      <c r="V98" s="500"/>
      <c r="W98" s="500"/>
      <c r="X98" s="511"/>
      <c r="Y98" s="511"/>
      <c r="Z98" s="500">
        <f>Z94</f>
        <v>257000000</v>
      </c>
      <c r="AA98" s="500"/>
      <c r="AB98" s="500"/>
      <c r="AC98" s="500"/>
      <c r="AD98" s="511"/>
      <c r="AE98" s="498"/>
      <c r="AF98" s="516">
        <f>AF94</f>
        <v>170127752.77915311</v>
      </c>
      <c r="AG98" s="509"/>
      <c r="AH98" s="509"/>
      <c r="AI98" s="511"/>
      <c r="AJ98" s="509">
        <v>147161156</v>
      </c>
      <c r="AK98" s="509">
        <v>147161156</v>
      </c>
      <c r="AL98" s="513">
        <v>245268594</v>
      </c>
      <c r="AM98" s="664">
        <f>+AM94+AM96</f>
        <v>245268594</v>
      </c>
      <c r="AN98" s="785"/>
      <c r="AO98" s="786"/>
      <c r="AP98" s="1100"/>
      <c r="AQ98" s="1064"/>
      <c r="AR98" s="1066"/>
      <c r="AS98" s="1096"/>
      <c r="AT98" s="1061"/>
      <c r="AU98" s="33"/>
      <c r="AV98" s="33"/>
      <c r="AW98" s="33"/>
      <c r="AX98" s="33"/>
    </row>
    <row r="99" spans="1:50" s="20" customFormat="1" ht="35.1" customHeight="1" x14ac:dyDescent="0.25">
      <c r="A99" s="1122" t="s">
        <v>173</v>
      </c>
      <c r="B99" s="1122">
        <v>16</v>
      </c>
      <c r="C99" s="1085" t="s">
        <v>174</v>
      </c>
      <c r="D99" s="1122" t="s">
        <v>84</v>
      </c>
      <c r="E99" s="1122">
        <v>521</v>
      </c>
      <c r="F99" s="1085"/>
      <c r="G99" s="144" t="s">
        <v>111</v>
      </c>
      <c r="H99" s="83">
        <f>+L99+R99+T99+Z99+AF99</f>
        <v>32000</v>
      </c>
      <c r="I99" s="83"/>
      <c r="J99" s="126">
        <v>4000</v>
      </c>
      <c r="K99" s="837">
        <v>4667</v>
      </c>
      <c r="L99" s="837">
        <v>4667</v>
      </c>
      <c r="M99" s="126"/>
      <c r="N99" s="107">
        <v>8000</v>
      </c>
      <c r="O99" s="107">
        <v>8000</v>
      </c>
      <c r="P99" s="107">
        <v>8000</v>
      </c>
      <c r="Q99" s="755">
        <v>8028</v>
      </c>
      <c r="R99" s="838">
        <v>8028</v>
      </c>
      <c r="S99" s="730"/>
      <c r="T99" s="757">
        <f>8000-667</f>
        <v>7333</v>
      </c>
      <c r="U99" s="717"/>
      <c r="V99" s="717"/>
      <c r="W99" s="717"/>
      <c r="X99" s="54"/>
      <c r="Y99" s="54"/>
      <c r="Z99" s="717">
        <v>8000</v>
      </c>
      <c r="AA99" s="717"/>
      <c r="AB99" s="717"/>
      <c r="AC99" s="717"/>
      <c r="AD99" s="54"/>
      <c r="AE99" s="498"/>
      <c r="AF99" s="757">
        <f>4000-28</f>
        <v>3972</v>
      </c>
      <c r="AG99" s="107"/>
      <c r="AH99" s="107"/>
      <c r="AI99" s="102"/>
      <c r="AJ99" s="95">
        <v>28.5</v>
      </c>
      <c r="AK99" s="107">
        <v>4206.0829999999996</v>
      </c>
      <c r="AL99" s="839">
        <v>6383</v>
      </c>
      <c r="AM99" s="840">
        <v>8028</v>
      </c>
      <c r="AN99" s="674">
        <f>+AM99/Q99</f>
        <v>1</v>
      </c>
      <c r="AO99" s="675">
        <f>+AM99/H99</f>
        <v>0.25087500000000001</v>
      </c>
      <c r="AP99" s="1098" t="s">
        <v>509</v>
      </c>
      <c r="AQ99" s="1062" t="s">
        <v>214</v>
      </c>
      <c r="AR99" s="1065" t="s">
        <v>86</v>
      </c>
      <c r="AS99" s="1135" t="s">
        <v>221</v>
      </c>
      <c r="AT99" s="1069" t="s">
        <v>139</v>
      </c>
      <c r="AU99" s="33"/>
      <c r="AV99" s="33"/>
      <c r="AW99" s="33"/>
      <c r="AX99" s="33"/>
    </row>
    <row r="100" spans="1:50" s="20" customFormat="1" ht="35.1" customHeight="1" x14ac:dyDescent="0.25">
      <c r="A100" s="1122"/>
      <c r="B100" s="1122"/>
      <c r="C100" s="1085"/>
      <c r="D100" s="1122"/>
      <c r="E100" s="1122"/>
      <c r="F100" s="1085"/>
      <c r="G100" s="145" t="s">
        <v>123</v>
      </c>
      <c r="H100" s="60">
        <f>+L100+N100+T100+Z100+AF100</f>
        <v>2084478652.9592171</v>
      </c>
      <c r="I100" s="60"/>
      <c r="J100" s="60">
        <v>544505819</v>
      </c>
      <c r="K100" s="676">
        <v>544505819</v>
      </c>
      <c r="L100" s="676">
        <v>519164657</v>
      </c>
      <c r="M100" s="60"/>
      <c r="N100" s="60">
        <v>307231000</v>
      </c>
      <c r="O100" s="60">
        <v>307231000</v>
      </c>
      <c r="P100" s="60">
        <v>307231000</v>
      </c>
      <c r="Q100" s="677">
        <v>258978562</v>
      </c>
      <c r="R100" s="695">
        <f>+AM100</f>
        <v>243130723</v>
      </c>
      <c r="S100" s="270"/>
      <c r="T100" s="680">
        <v>525237755</v>
      </c>
      <c r="U100" s="507"/>
      <c r="V100" s="507"/>
      <c r="W100" s="507"/>
      <c r="X100" s="54"/>
      <c r="Y100" s="54"/>
      <c r="Z100" s="507">
        <v>429512490.14029366</v>
      </c>
      <c r="AA100" s="507"/>
      <c r="AB100" s="507"/>
      <c r="AC100" s="507"/>
      <c r="AD100" s="54"/>
      <c r="AE100" s="498"/>
      <c r="AF100" s="680">
        <v>303332750.81892335</v>
      </c>
      <c r="AG100" s="61"/>
      <c r="AH100" s="61"/>
      <c r="AI100" s="102"/>
      <c r="AJ100" s="61">
        <v>51851000</v>
      </c>
      <c r="AK100" s="61">
        <v>239789500</v>
      </c>
      <c r="AL100" s="816">
        <v>239789500</v>
      </c>
      <c r="AM100" s="677">
        <v>243130723</v>
      </c>
      <c r="AN100" s="655">
        <f>+AM100/Q100</f>
        <v>0.93880636730078071</v>
      </c>
      <c r="AO100" s="655">
        <f>+AM100/H100</f>
        <v>0.11663862455719611</v>
      </c>
      <c r="AP100" s="1099"/>
      <c r="AQ100" s="1063"/>
      <c r="AR100" s="1066"/>
      <c r="AS100" s="1136"/>
      <c r="AT100" s="1060"/>
      <c r="AU100" s="33"/>
      <c r="AV100" s="33"/>
      <c r="AW100" s="33"/>
      <c r="AX100" s="33"/>
    </row>
    <row r="101" spans="1:50" s="20" customFormat="1" ht="35.1" customHeight="1" x14ac:dyDescent="0.25">
      <c r="A101" s="1122"/>
      <c r="B101" s="1122"/>
      <c r="C101" s="1085"/>
      <c r="D101" s="1122"/>
      <c r="E101" s="1122"/>
      <c r="F101" s="1085"/>
      <c r="G101" s="145" t="s">
        <v>130</v>
      </c>
      <c r="H101" s="61"/>
      <c r="I101" s="61"/>
      <c r="J101" s="61"/>
      <c r="K101" s="61"/>
      <c r="L101" s="61"/>
      <c r="M101" s="61"/>
      <c r="N101" s="61">
        <v>0</v>
      </c>
      <c r="O101" s="61">
        <v>0</v>
      </c>
      <c r="P101" s="61">
        <v>0</v>
      </c>
      <c r="Q101" s="677">
        <v>0</v>
      </c>
      <c r="R101" s="689">
        <v>0</v>
      </c>
      <c r="S101" s="39"/>
      <c r="T101" s="99">
        <v>0</v>
      </c>
      <c r="U101" s="61"/>
      <c r="V101" s="61"/>
      <c r="W101" s="61"/>
      <c r="X101" s="102"/>
      <c r="Y101" s="102"/>
      <c r="Z101" s="61"/>
      <c r="AA101" s="61"/>
      <c r="AB101" s="61"/>
      <c r="AC101" s="61"/>
      <c r="AD101" s="102"/>
      <c r="AE101" s="498"/>
      <c r="AF101" s="99"/>
      <c r="AG101" s="61"/>
      <c r="AH101" s="61"/>
      <c r="AI101" s="102"/>
      <c r="AJ101" s="61"/>
      <c r="AK101" s="61"/>
      <c r="AL101" s="765"/>
      <c r="AM101" s="689"/>
      <c r="AN101" s="750"/>
      <c r="AO101" s="751"/>
      <c r="AP101" s="1099"/>
      <c r="AQ101" s="1063"/>
      <c r="AR101" s="1066"/>
      <c r="AS101" s="1136"/>
      <c r="AT101" s="1060"/>
      <c r="AU101" s="33"/>
      <c r="AV101" s="33"/>
      <c r="AW101" s="33"/>
      <c r="AX101" s="33"/>
    </row>
    <row r="102" spans="1:50" s="20" customFormat="1" ht="35.1" customHeight="1" x14ac:dyDescent="0.25">
      <c r="A102" s="1122"/>
      <c r="B102" s="1122"/>
      <c r="C102" s="1085"/>
      <c r="D102" s="1122"/>
      <c r="E102" s="1122"/>
      <c r="F102" s="1085"/>
      <c r="G102" s="145" t="s">
        <v>135</v>
      </c>
      <c r="H102" s="61"/>
      <c r="I102" s="61"/>
      <c r="J102" s="61"/>
      <c r="K102" s="61"/>
      <c r="L102" s="61"/>
      <c r="M102" s="61"/>
      <c r="N102" s="61">
        <v>430313010</v>
      </c>
      <c r="O102" s="61">
        <v>430313010</v>
      </c>
      <c r="P102" s="61">
        <v>430313010</v>
      </c>
      <c r="Q102" s="677">
        <v>430313010</v>
      </c>
      <c r="R102" s="677">
        <v>430275443</v>
      </c>
      <c r="S102" s="39"/>
      <c r="T102" s="99">
        <v>61498275</v>
      </c>
      <c r="U102" s="61"/>
      <c r="V102" s="61"/>
      <c r="W102" s="61"/>
      <c r="X102" s="102"/>
      <c r="Y102" s="102"/>
      <c r="Z102" s="61"/>
      <c r="AA102" s="61"/>
      <c r="AB102" s="61"/>
      <c r="AC102" s="61"/>
      <c r="AD102" s="102"/>
      <c r="AE102" s="498"/>
      <c r="AF102" s="99"/>
      <c r="AG102" s="61"/>
      <c r="AH102" s="61"/>
      <c r="AI102" s="102"/>
      <c r="AJ102" s="61">
        <v>53565530</v>
      </c>
      <c r="AK102" s="61">
        <v>89610819</v>
      </c>
      <c r="AL102" s="765">
        <v>164524157</v>
      </c>
      <c r="AM102" s="678">
        <v>430275443</v>
      </c>
      <c r="AN102" s="735"/>
      <c r="AO102" s="736"/>
      <c r="AP102" s="1099"/>
      <c r="AQ102" s="1063"/>
      <c r="AR102" s="1066"/>
      <c r="AS102" s="1136"/>
      <c r="AT102" s="1060"/>
      <c r="AU102" s="33"/>
      <c r="AV102" s="33"/>
      <c r="AW102" s="33"/>
      <c r="AX102" s="33"/>
    </row>
    <row r="103" spans="1:50" s="20" customFormat="1" ht="35.1" customHeight="1" x14ac:dyDescent="0.25">
      <c r="A103" s="1122"/>
      <c r="B103" s="1122"/>
      <c r="C103" s="1085"/>
      <c r="D103" s="1122"/>
      <c r="E103" s="1122"/>
      <c r="F103" s="1085"/>
      <c r="G103" s="145" t="s">
        <v>137</v>
      </c>
      <c r="H103" s="70">
        <v>32000</v>
      </c>
      <c r="I103" s="70"/>
      <c r="J103" s="70">
        <v>4000</v>
      </c>
      <c r="K103" s="70">
        <v>4000</v>
      </c>
      <c r="L103" s="70">
        <v>4667</v>
      </c>
      <c r="M103" s="70"/>
      <c r="N103" s="61">
        <f t="shared" ref="N103:O103" si="46">+N99</f>
        <v>8000</v>
      </c>
      <c r="O103" s="61">
        <f t="shared" si="46"/>
        <v>8000</v>
      </c>
      <c r="P103" s="61">
        <f>+P99</f>
        <v>8000</v>
      </c>
      <c r="Q103" s="677">
        <v>8000</v>
      </c>
      <c r="R103" s="841">
        <v>8028.1</v>
      </c>
      <c r="S103" s="39"/>
      <c r="T103" s="74">
        <f>T99</f>
        <v>7333</v>
      </c>
      <c r="U103" s="61"/>
      <c r="V103" s="61"/>
      <c r="W103" s="61"/>
      <c r="X103" s="102"/>
      <c r="Y103" s="102"/>
      <c r="Z103" s="70">
        <f>Z99</f>
        <v>8000</v>
      </c>
      <c r="AA103" s="61"/>
      <c r="AB103" s="61"/>
      <c r="AC103" s="61"/>
      <c r="AD103" s="102"/>
      <c r="AE103" s="498"/>
      <c r="AF103" s="74">
        <f>AF99</f>
        <v>3972</v>
      </c>
      <c r="AG103" s="61"/>
      <c r="AH103" s="61"/>
      <c r="AI103" s="102"/>
      <c r="AJ103" s="61">
        <v>28.5</v>
      </c>
      <c r="AK103" s="61">
        <v>4206.0829999999996</v>
      </c>
      <c r="AL103" s="842">
        <v>6383</v>
      </c>
      <c r="AM103" s="840">
        <v>8028.1</v>
      </c>
      <c r="AN103" s="735"/>
      <c r="AO103" s="736"/>
      <c r="AP103" s="1099"/>
      <c r="AQ103" s="1063"/>
      <c r="AR103" s="1066"/>
      <c r="AS103" s="1136"/>
      <c r="AT103" s="1060"/>
      <c r="AU103" s="33"/>
      <c r="AV103" s="33"/>
      <c r="AW103" s="33"/>
      <c r="AX103" s="33"/>
    </row>
    <row r="104" spans="1:50" s="20" customFormat="1" ht="35.1" customHeight="1" thickBot="1" x14ac:dyDescent="0.3">
      <c r="A104" s="1122"/>
      <c r="B104" s="1122"/>
      <c r="C104" s="1085"/>
      <c r="D104" s="1122"/>
      <c r="E104" s="1122"/>
      <c r="F104" s="1085"/>
      <c r="G104" s="146" t="s">
        <v>143</v>
      </c>
      <c r="H104" s="76">
        <f>+H100</f>
        <v>2084478652.9592171</v>
      </c>
      <c r="I104" s="76"/>
      <c r="J104" s="76">
        <f>+J100</f>
        <v>544505819</v>
      </c>
      <c r="K104" s="76">
        <f>+K100</f>
        <v>544505819</v>
      </c>
      <c r="L104" s="76">
        <v>519164657</v>
      </c>
      <c r="M104" s="76"/>
      <c r="N104" s="76">
        <f t="shared" ref="N104:O104" si="47">+N100+N102</f>
        <v>737544010</v>
      </c>
      <c r="O104" s="76">
        <f t="shared" si="47"/>
        <v>737544010</v>
      </c>
      <c r="P104" s="76">
        <f>+P100+P102</f>
        <v>737544010</v>
      </c>
      <c r="Q104" s="664">
        <f>+Q100+Q102</f>
        <v>689291572</v>
      </c>
      <c r="R104" s="664">
        <f>+R100+R102</f>
        <v>673406166</v>
      </c>
      <c r="S104" s="274"/>
      <c r="T104" s="123">
        <f>T100</f>
        <v>525237755</v>
      </c>
      <c r="U104" s="114"/>
      <c r="V104" s="114"/>
      <c r="W104" s="114"/>
      <c r="X104" s="102"/>
      <c r="Y104" s="102"/>
      <c r="Z104" s="114">
        <f>Z100</f>
        <v>429512490.14029366</v>
      </c>
      <c r="AA104" s="114"/>
      <c r="AB104" s="114"/>
      <c r="AC104" s="114"/>
      <c r="AD104" s="102"/>
      <c r="AE104" s="498"/>
      <c r="AF104" s="123">
        <f>AF100</f>
        <v>303332750.81892335</v>
      </c>
      <c r="AG104" s="114"/>
      <c r="AH104" s="114"/>
      <c r="AI104" s="102"/>
      <c r="AJ104" s="95">
        <v>105416530</v>
      </c>
      <c r="AK104" s="114">
        <v>329400319</v>
      </c>
      <c r="AL104" s="515">
        <v>404313657</v>
      </c>
      <c r="AM104" s="664">
        <f>+AM100+AM102</f>
        <v>673406166</v>
      </c>
      <c r="AN104" s="798"/>
      <c r="AO104" s="739"/>
      <c r="AP104" s="1100"/>
      <c r="AQ104" s="1064"/>
      <c r="AR104" s="1066"/>
      <c r="AS104" s="1136"/>
      <c r="AT104" s="1060"/>
      <c r="AU104" s="33"/>
      <c r="AV104" s="33"/>
      <c r="AW104" s="33"/>
      <c r="AX104" s="33"/>
    </row>
    <row r="105" spans="1:50" s="20" customFormat="1" ht="35.1" customHeight="1" x14ac:dyDescent="0.25">
      <c r="A105" s="1122"/>
      <c r="B105" s="1122">
        <v>17</v>
      </c>
      <c r="C105" s="1085" t="s">
        <v>178</v>
      </c>
      <c r="D105" s="1122" t="s">
        <v>189</v>
      </c>
      <c r="E105" s="1122">
        <v>521</v>
      </c>
      <c r="F105" s="1085"/>
      <c r="G105" s="147" t="s">
        <v>111</v>
      </c>
      <c r="H105" s="109">
        <v>1</v>
      </c>
      <c r="I105" s="109"/>
      <c r="J105" s="127">
        <v>0.1</v>
      </c>
      <c r="K105" s="787">
        <v>0.1</v>
      </c>
      <c r="L105" s="788">
        <v>0.05</v>
      </c>
      <c r="M105" s="128"/>
      <c r="N105" s="109">
        <v>0.4</v>
      </c>
      <c r="O105" s="331">
        <v>0.4</v>
      </c>
      <c r="P105" s="331">
        <v>0.4</v>
      </c>
      <c r="Q105" s="790">
        <v>0.4</v>
      </c>
      <c r="R105" s="819">
        <f>+L105+R107+17.75%</f>
        <v>0.2475</v>
      </c>
      <c r="S105" s="742"/>
      <c r="T105" s="843">
        <v>0.6</v>
      </c>
      <c r="U105" s="740"/>
      <c r="V105" s="740"/>
      <c r="W105" s="740"/>
      <c r="X105" s="52"/>
      <c r="Y105" s="52"/>
      <c r="Z105" s="787">
        <v>0.85</v>
      </c>
      <c r="AA105" s="740"/>
      <c r="AB105" s="740"/>
      <c r="AC105" s="740"/>
      <c r="AD105" s="52"/>
      <c r="AE105" s="498"/>
      <c r="AF105" s="844">
        <v>1</v>
      </c>
      <c r="AG105" s="845"/>
      <c r="AH105" s="845"/>
      <c r="AI105" s="52"/>
      <c r="AJ105" s="845">
        <v>0.14499999999999999</v>
      </c>
      <c r="AK105" s="845">
        <v>0.16750000000000001</v>
      </c>
      <c r="AL105" s="836">
        <v>0.17749999999999999</v>
      </c>
      <c r="AM105" s="846">
        <f>+R105</f>
        <v>0.2475</v>
      </c>
      <c r="AN105" s="674">
        <f>+AM105/Q105</f>
        <v>0.61874999999999991</v>
      </c>
      <c r="AO105" s="675">
        <f>+AM105/H105</f>
        <v>0.2475</v>
      </c>
      <c r="AP105" s="1101" t="s">
        <v>561</v>
      </c>
      <c r="AQ105" s="1087" t="s">
        <v>214</v>
      </c>
      <c r="AR105" s="1090" t="s">
        <v>86</v>
      </c>
      <c r="AS105" s="1095" t="s">
        <v>222</v>
      </c>
      <c r="AT105" s="1059" t="s">
        <v>223</v>
      </c>
      <c r="AU105" s="33"/>
      <c r="AV105" s="33"/>
      <c r="AW105" s="33"/>
      <c r="AX105" s="33"/>
    </row>
    <row r="106" spans="1:50" s="20" customFormat="1" ht="35.1" customHeight="1" x14ac:dyDescent="0.25">
      <c r="A106" s="1122"/>
      <c r="B106" s="1122"/>
      <c r="C106" s="1085"/>
      <c r="D106" s="1122"/>
      <c r="E106" s="1122"/>
      <c r="F106" s="1085"/>
      <c r="G106" s="145" t="s">
        <v>123</v>
      </c>
      <c r="H106" s="60">
        <f>+L106+N106+T106+Z106+AF106</f>
        <v>1274573540.6574225</v>
      </c>
      <c r="I106" s="60"/>
      <c r="J106" s="60">
        <v>409957828</v>
      </c>
      <c r="K106" s="676">
        <v>409957828</v>
      </c>
      <c r="L106" s="676">
        <v>323441007</v>
      </c>
      <c r="M106" s="60"/>
      <c r="N106" s="60">
        <v>232672000</v>
      </c>
      <c r="O106" s="61">
        <v>232672000</v>
      </c>
      <c r="P106" s="61">
        <v>232672000</v>
      </c>
      <c r="Q106" s="677">
        <v>199362000</v>
      </c>
      <c r="R106" s="695">
        <f>+AM106</f>
        <v>187800001</v>
      </c>
      <c r="S106" s="270"/>
      <c r="T106" s="680">
        <v>200000000</v>
      </c>
      <c r="U106" s="507"/>
      <c r="V106" s="507"/>
      <c r="W106" s="507"/>
      <c r="X106" s="54"/>
      <c r="Y106" s="54"/>
      <c r="Z106" s="507">
        <v>303863984.37846655</v>
      </c>
      <c r="AA106" s="507"/>
      <c r="AB106" s="507"/>
      <c r="AC106" s="507"/>
      <c r="AD106" s="54"/>
      <c r="AE106" s="498"/>
      <c r="AF106" s="762">
        <v>214596549.27895597</v>
      </c>
      <c r="AG106" s="49"/>
      <c r="AH106" s="49"/>
      <c r="AI106" s="36"/>
      <c r="AJ106" s="49">
        <v>0</v>
      </c>
      <c r="AK106" s="49">
        <v>0</v>
      </c>
      <c r="AL106" s="816">
        <v>0</v>
      </c>
      <c r="AM106" s="657">
        <v>187800001</v>
      </c>
      <c r="AN106" s="655">
        <f>+AM106/Q106</f>
        <v>0.94200500095304018</v>
      </c>
      <c r="AO106" s="655">
        <f>+AM106/H106</f>
        <v>0.14734340154522046</v>
      </c>
      <c r="AP106" s="1099"/>
      <c r="AQ106" s="1063"/>
      <c r="AR106" s="1066"/>
      <c r="AS106" s="1068"/>
      <c r="AT106" s="1060"/>
      <c r="AU106" s="33"/>
      <c r="AV106" s="33"/>
      <c r="AW106" s="33"/>
      <c r="AX106" s="33"/>
    </row>
    <row r="107" spans="1:50" s="20" customFormat="1" ht="35.1" customHeight="1" x14ac:dyDescent="0.25">
      <c r="A107" s="1122"/>
      <c r="B107" s="1122"/>
      <c r="C107" s="1085"/>
      <c r="D107" s="1122"/>
      <c r="E107" s="1122"/>
      <c r="F107" s="1085"/>
      <c r="G107" s="145" t="s">
        <v>130</v>
      </c>
      <c r="H107" s="61"/>
      <c r="I107" s="61"/>
      <c r="J107" s="61"/>
      <c r="K107" s="114"/>
      <c r="L107" s="114"/>
      <c r="M107" s="61"/>
      <c r="N107" s="277">
        <v>0.05</v>
      </c>
      <c r="O107" s="277">
        <v>0.05</v>
      </c>
      <c r="P107" s="277">
        <v>0.05</v>
      </c>
      <c r="Q107" s="794">
        <v>0.05</v>
      </c>
      <c r="R107" s="847">
        <v>0.02</v>
      </c>
      <c r="S107" s="270"/>
      <c r="T107" s="681"/>
      <c r="U107" s="507"/>
      <c r="V107" s="507"/>
      <c r="W107" s="507"/>
      <c r="X107" s="54"/>
      <c r="Y107" s="54"/>
      <c r="Z107" s="507"/>
      <c r="AA107" s="507"/>
      <c r="AB107" s="507"/>
      <c r="AC107" s="507"/>
      <c r="AD107" s="54"/>
      <c r="AE107" s="498"/>
      <c r="AF107" s="762"/>
      <c r="AG107" s="49"/>
      <c r="AH107" s="49"/>
      <c r="AI107" s="36"/>
      <c r="AJ107" s="49"/>
      <c r="AK107" s="49"/>
      <c r="AL107" s="765"/>
      <c r="AM107" s="661"/>
      <c r="AN107" s="775"/>
      <c r="AO107" s="751"/>
      <c r="AP107" s="1099"/>
      <c r="AQ107" s="1063"/>
      <c r="AR107" s="1066"/>
      <c r="AS107" s="1068"/>
      <c r="AT107" s="1060"/>
      <c r="AU107" s="33"/>
      <c r="AV107" s="33"/>
      <c r="AW107" s="33"/>
      <c r="AX107" s="33"/>
    </row>
    <row r="108" spans="1:50" s="20" customFormat="1" ht="35.1" customHeight="1" thickBot="1" x14ac:dyDescent="0.3">
      <c r="A108" s="1122"/>
      <c r="B108" s="1122"/>
      <c r="C108" s="1085"/>
      <c r="D108" s="1122"/>
      <c r="E108" s="1122"/>
      <c r="F108" s="1085"/>
      <c r="G108" s="145" t="s">
        <v>135</v>
      </c>
      <c r="H108" s="61"/>
      <c r="I108" s="61"/>
      <c r="J108" s="68"/>
      <c r="K108" s="69"/>
      <c r="L108" s="69"/>
      <c r="M108" s="123"/>
      <c r="N108" s="61">
        <v>317414034</v>
      </c>
      <c r="O108" s="114">
        <v>317414034</v>
      </c>
      <c r="P108" s="114">
        <v>317414034</v>
      </c>
      <c r="Q108" s="696">
        <v>317414034</v>
      </c>
      <c r="R108" s="696">
        <v>128741984</v>
      </c>
      <c r="S108" s="848"/>
      <c r="T108" s="49">
        <v>187800001</v>
      </c>
      <c r="U108" s="681"/>
      <c r="V108" s="764"/>
      <c r="W108" s="764"/>
      <c r="X108" s="54"/>
      <c r="Y108" s="54"/>
      <c r="Z108" s="764"/>
      <c r="AA108" s="764"/>
      <c r="AB108" s="764"/>
      <c r="AC108" s="764"/>
      <c r="AD108" s="54"/>
      <c r="AE108" s="498"/>
      <c r="AF108" s="762"/>
      <c r="AG108" s="49"/>
      <c r="AH108" s="49"/>
      <c r="AI108" s="36"/>
      <c r="AJ108" s="49">
        <v>2960618</v>
      </c>
      <c r="AK108" s="49">
        <v>65851301</v>
      </c>
      <c r="AL108" s="765">
        <v>128741984</v>
      </c>
      <c r="AM108" s="765">
        <v>128741984</v>
      </c>
      <c r="AN108" s="776"/>
      <c r="AO108" s="736"/>
      <c r="AP108" s="1099"/>
      <c r="AQ108" s="1063"/>
      <c r="AR108" s="1066"/>
      <c r="AS108" s="1068"/>
      <c r="AT108" s="1060"/>
      <c r="AU108" s="33"/>
      <c r="AV108" s="33"/>
      <c r="AW108" s="33"/>
      <c r="AX108" s="33"/>
    </row>
    <row r="109" spans="1:50" s="20" customFormat="1" ht="35.1" customHeight="1" x14ac:dyDescent="0.25">
      <c r="A109" s="1122"/>
      <c r="B109" s="1122"/>
      <c r="C109" s="1085"/>
      <c r="D109" s="1122"/>
      <c r="E109" s="1122"/>
      <c r="F109" s="1085"/>
      <c r="G109" s="145" t="s">
        <v>137</v>
      </c>
      <c r="H109" s="110">
        <v>1</v>
      </c>
      <c r="I109" s="110"/>
      <c r="J109" s="110">
        <v>0.1</v>
      </c>
      <c r="K109" s="129">
        <v>0.1</v>
      </c>
      <c r="L109" s="113">
        <v>0.1</v>
      </c>
      <c r="M109" s="113"/>
      <c r="N109" s="277">
        <f t="shared" ref="N109:O109" si="48">+N105</f>
        <v>0.4</v>
      </c>
      <c r="O109" s="277">
        <f t="shared" si="48"/>
        <v>0.4</v>
      </c>
      <c r="P109" s="277">
        <f>+P105</f>
        <v>0.4</v>
      </c>
      <c r="Q109" s="824">
        <v>0.4</v>
      </c>
      <c r="R109" s="825">
        <v>0.2</v>
      </c>
      <c r="S109" s="270"/>
      <c r="T109" s="829">
        <f>T105</f>
        <v>0.6</v>
      </c>
      <c r="U109" s="507"/>
      <c r="V109" s="507"/>
      <c r="W109" s="507"/>
      <c r="X109" s="54"/>
      <c r="Y109" s="54"/>
      <c r="Z109" s="849">
        <f>Z105</f>
        <v>0.85</v>
      </c>
      <c r="AA109" s="507"/>
      <c r="AB109" s="507"/>
      <c r="AC109" s="507"/>
      <c r="AD109" s="54"/>
      <c r="AE109" s="498"/>
      <c r="AF109" s="850">
        <f>AF105</f>
        <v>1</v>
      </c>
      <c r="AG109" s="49"/>
      <c r="AH109" s="49"/>
      <c r="AI109" s="36"/>
      <c r="AJ109" s="49">
        <v>0.14499999999999999</v>
      </c>
      <c r="AK109" s="49">
        <v>16.75</v>
      </c>
      <c r="AL109" s="851">
        <v>0.17749999999999999</v>
      </c>
      <c r="AM109" s="818">
        <v>0.2</v>
      </c>
      <c r="AN109" s="674">
        <f>+AM109/Q109</f>
        <v>0.5</v>
      </c>
      <c r="AO109" s="675">
        <f>+AM109/H109</f>
        <v>0.2</v>
      </c>
      <c r="AP109" s="1099"/>
      <c r="AQ109" s="1063"/>
      <c r="AR109" s="1066"/>
      <c r="AS109" s="1068"/>
      <c r="AT109" s="1060"/>
      <c r="AU109" s="33"/>
      <c r="AV109" s="33"/>
      <c r="AW109" s="33"/>
      <c r="AX109" s="33"/>
    </row>
    <row r="110" spans="1:50" s="20" customFormat="1" ht="35.1" customHeight="1" thickBot="1" x14ac:dyDescent="0.3">
      <c r="A110" s="1122"/>
      <c r="B110" s="1122"/>
      <c r="C110" s="1085"/>
      <c r="D110" s="1122"/>
      <c r="E110" s="1122"/>
      <c r="F110" s="1085"/>
      <c r="G110" s="148" t="s">
        <v>143</v>
      </c>
      <c r="H110" s="84">
        <f>+H106</f>
        <v>1274573540.6574225</v>
      </c>
      <c r="I110" s="84"/>
      <c r="J110" s="84">
        <f>+J106</f>
        <v>409957828</v>
      </c>
      <c r="K110" s="84">
        <f>+K106</f>
        <v>409957828</v>
      </c>
      <c r="L110" s="84">
        <v>323441007</v>
      </c>
      <c r="M110" s="84"/>
      <c r="N110" s="105">
        <f t="shared" ref="N110:O110" si="49">+N106+N108</f>
        <v>550086034</v>
      </c>
      <c r="O110" s="105">
        <f t="shared" si="49"/>
        <v>550086034</v>
      </c>
      <c r="P110" s="105">
        <f>+P106+P108</f>
        <v>550086034</v>
      </c>
      <c r="Q110" s="664">
        <f>+Q106+Q108</f>
        <v>516776034</v>
      </c>
      <c r="R110" s="664">
        <f>+R106+R108</f>
        <v>316541985</v>
      </c>
      <c r="S110" s="852"/>
      <c r="T110" s="853">
        <f>T106</f>
        <v>200000000</v>
      </c>
      <c r="U110" s="854"/>
      <c r="V110" s="854"/>
      <c r="W110" s="854"/>
      <c r="X110" s="496"/>
      <c r="Y110" s="496"/>
      <c r="Z110" s="854">
        <f>Z106</f>
        <v>303863984.37846655</v>
      </c>
      <c r="AA110" s="854"/>
      <c r="AB110" s="854"/>
      <c r="AC110" s="854"/>
      <c r="AD110" s="496"/>
      <c r="AE110" s="498"/>
      <c r="AF110" s="855">
        <f>AF106</f>
        <v>214596549.27895597</v>
      </c>
      <c r="AG110" s="854"/>
      <c r="AH110" s="854"/>
      <c r="AI110" s="496"/>
      <c r="AJ110" s="854">
        <v>2960618</v>
      </c>
      <c r="AK110" s="854">
        <v>65851301</v>
      </c>
      <c r="AL110" s="513">
        <v>128741984</v>
      </c>
      <c r="AM110" s="664">
        <f>+AM106+AM108</f>
        <v>316541985</v>
      </c>
      <c r="AN110" s="655">
        <f>+AM110/Q110</f>
        <v>0.61253224641605575</v>
      </c>
      <c r="AO110" s="655">
        <f>+AM110/H110</f>
        <v>0.24835129155178309</v>
      </c>
      <c r="AP110" s="1102"/>
      <c r="AQ110" s="1113"/>
      <c r="AR110" s="1091"/>
      <c r="AS110" s="1096"/>
      <c r="AT110" s="1061"/>
      <c r="AU110" s="33"/>
      <c r="AV110" s="33"/>
      <c r="AW110" s="33"/>
      <c r="AX110" s="33"/>
    </row>
    <row r="111" spans="1:50" s="20" customFormat="1" ht="35.1" customHeight="1" x14ac:dyDescent="0.25">
      <c r="A111" s="1122"/>
      <c r="B111" s="1122">
        <v>18</v>
      </c>
      <c r="C111" s="1085" t="s">
        <v>179</v>
      </c>
      <c r="D111" s="1122" t="s">
        <v>193</v>
      </c>
      <c r="E111" s="1122">
        <v>521</v>
      </c>
      <c r="F111" s="1085"/>
      <c r="G111" s="144" t="s">
        <v>111</v>
      </c>
      <c r="H111" s="111">
        <v>1</v>
      </c>
      <c r="I111" s="111"/>
      <c r="J111" s="111">
        <v>1</v>
      </c>
      <c r="K111" s="807">
        <v>1</v>
      </c>
      <c r="L111" s="856">
        <v>1</v>
      </c>
      <c r="M111" s="113"/>
      <c r="N111" s="111">
        <v>1</v>
      </c>
      <c r="O111" s="332">
        <v>1</v>
      </c>
      <c r="P111" s="332">
        <v>1</v>
      </c>
      <c r="Q111" s="827">
        <v>1</v>
      </c>
      <c r="R111" s="809">
        <v>1</v>
      </c>
      <c r="S111" s="275"/>
      <c r="T111" s="829">
        <v>1</v>
      </c>
      <c r="U111" s="717"/>
      <c r="V111" s="717"/>
      <c r="W111" s="717"/>
      <c r="X111" s="54"/>
      <c r="Y111" s="54"/>
      <c r="Z111" s="807">
        <v>1</v>
      </c>
      <c r="AA111" s="717"/>
      <c r="AB111" s="717"/>
      <c r="AC111" s="717"/>
      <c r="AD111" s="54"/>
      <c r="AE111" s="498"/>
      <c r="AF111" s="829">
        <v>1</v>
      </c>
      <c r="AG111" s="107"/>
      <c r="AH111" s="107"/>
      <c r="AI111" s="102"/>
      <c r="AJ111" s="115">
        <v>0.125</v>
      </c>
      <c r="AK111" s="107">
        <v>0.34</v>
      </c>
      <c r="AL111" s="831">
        <v>0.82299999999999995</v>
      </c>
      <c r="AM111" s="797">
        <v>1</v>
      </c>
      <c r="AN111" s="674">
        <f>+AM111/Q111</f>
        <v>1</v>
      </c>
      <c r="AO111" s="675">
        <f>+AM111/H111</f>
        <v>1</v>
      </c>
      <c r="AP111" s="1098" t="s">
        <v>545</v>
      </c>
      <c r="AQ111" s="1062" t="s">
        <v>214</v>
      </c>
      <c r="AR111" s="1062" t="s">
        <v>86</v>
      </c>
      <c r="AS111" s="1125" t="s">
        <v>248</v>
      </c>
      <c r="AT111" s="1069" t="s">
        <v>201</v>
      </c>
      <c r="AU111" s="33"/>
      <c r="AV111" s="33"/>
      <c r="AW111" s="33"/>
      <c r="AX111" s="33"/>
    </row>
    <row r="112" spans="1:50" s="20" customFormat="1" ht="35.1" customHeight="1" x14ac:dyDescent="0.25">
      <c r="A112" s="1122"/>
      <c r="B112" s="1122"/>
      <c r="C112" s="1085"/>
      <c r="D112" s="1122"/>
      <c r="E112" s="1122"/>
      <c r="F112" s="1085"/>
      <c r="G112" s="145" t="s">
        <v>123</v>
      </c>
      <c r="H112" s="60">
        <f>+L112+N112+T112+Z112+AF112</f>
        <v>1085578107.3833606</v>
      </c>
      <c r="I112" s="60"/>
      <c r="J112" s="60">
        <v>110021167</v>
      </c>
      <c r="K112" s="676">
        <v>110021167</v>
      </c>
      <c r="L112" s="676">
        <v>106600997</v>
      </c>
      <c r="M112" s="60"/>
      <c r="N112" s="60">
        <v>217671000</v>
      </c>
      <c r="O112" s="60">
        <v>217671000</v>
      </c>
      <c r="P112" s="60">
        <v>217671000</v>
      </c>
      <c r="Q112" s="677">
        <v>231190370</v>
      </c>
      <c r="R112" s="695">
        <f>+AM112</f>
        <v>222500537</v>
      </c>
      <c r="S112" s="39"/>
      <c r="T112" s="680">
        <v>258611885</v>
      </c>
      <c r="U112" s="507"/>
      <c r="V112" s="507"/>
      <c r="W112" s="507"/>
      <c r="X112" s="54"/>
      <c r="Y112" s="54"/>
      <c r="Z112" s="507">
        <v>294623525.4812398</v>
      </c>
      <c r="AA112" s="507"/>
      <c r="AB112" s="507"/>
      <c r="AC112" s="507"/>
      <c r="AD112" s="54"/>
      <c r="AE112" s="498"/>
      <c r="AF112" s="680">
        <v>208070699.90212074</v>
      </c>
      <c r="AG112" s="61"/>
      <c r="AH112" s="61"/>
      <c r="AI112" s="102"/>
      <c r="AJ112" s="61">
        <v>86440000</v>
      </c>
      <c r="AK112" s="61">
        <v>205141000</v>
      </c>
      <c r="AL112" s="816">
        <v>205141000</v>
      </c>
      <c r="AM112" s="677">
        <v>222500537</v>
      </c>
      <c r="AN112" s="655">
        <f>+AM112/Q112</f>
        <v>0.96241265153042488</v>
      </c>
      <c r="AO112" s="655">
        <f>+AM112/H112</f>
        <v>0.20496041278531996</v>
      </c>
      <c r="AP112" s="1099"/>
      <c r="AQ112" s="1088"/>
      <c r="AR112" s="1088"/>
      <c r="AS112" s="1126"/>
      <c r="AT112" s="1060"/>
      <c r="AU112" s="33"/>
      <c r="AV112" s="33"/>
      <c r="AW112" s="33"/>
      <c r="AX112" s="33"/>
    </row>
    <row r="113" spans="1:50" s="20" customFormat="1" ht="35.1" customHeight="1" x14ac:dyDescent="0.25">
      <c r="A113" s="1122"/>
      <c r="B113" s="1122"/>
      <c r="C113" s="1085"/>
      <c r="D113" s="1122"/>
      <c r="E113" s="1122"/>
      <c r="F113" s="1085"/>
      <c r="G113" s="145" t="s">
        <v>130</v>
      </c>
      <c r="H113" s="61"/>
      <c r="I113" s="61"/>
      <c r="J113" s="61"/>
      <c r="K113" s="61"/>
      <c r="L113" s="61"/>
      <c r="M113" s="61"/>
      <c r="N113" s="61"/>
      <c r="O113" s="61"/>
      <c r="P113" s="61"/>
      <c r="Q113" s="677"/>
      <c r="R113" s="689"/>
      <c r="S113" s="39"/>
      <c r="T113" s="99"/>
      <c r="U113" s="61"/>
      <c r="V113" s="61"/>
      <c r="W113" s="61"/>
      <c r="X113" s="102"/>
      <c r="Y113" s="102"/>
      <c r="Z113" s="61"/>
      <c r="AA113" s="61"/>
      <c r="AB113" s="61"/>
      <c r="AC113" s="61"/>
      <c r="AD113" s="102"/>
      <c r="AE113" s="498"/>
      <c r="AF113" s="99"/>
      <c r="AG113" s="61"/>
      <c r="AH113" s="61"/>
      <c r="AI113" s="102"/>
      <c r="AJ113" s="61"/>
      <c r="AK113" s="61"/>
      <c r="AL113" s="765"/>
      <c r="AM113" s="805"/>
      <c r="AN113" s="750"/>
      <c r="AO113" s="751"/>
      <c r="AP113" s="1099"/>
      <c r="AQ113" s="1088"/>
      <c r="AR113" s="1088"/>
      <c r="AS113" s="1126"/>
      <c r="AT113" s="1060"/>
      <c r="AU113" s="33"/>
      <c r="AV113" s="33"/>
      <c r="AW113" s="33"/>
      <c r="AX113" s="33"/>
    </row>
    <row r="114" spans="1:50" s="20" customFormat="1" ht="35.1" customHeight="1" thickBot="1" x14ac:dyDescent="0.3">
      <c r="A114" s="1122"/>
      <c r="B114" s="1122"/>
      <c r="C114" s="1085"/>
      <c r="D114" s="1122"/>
      <c r="E114" s="1122"/>
      <c r="F114" s="1085"/>
      <c r="G114" s="145" t="s">
        <v>135</v>
      </c>
      <c r="H114" s="61"/>
      <c r="I114" s="61"/>
      <c r="J114" s="61"/>
      <c r="K114" s="61"/>
      <c r="L114" s="61"/>
      <c r="M114" s="61"/>
      <c r="N114" s="61">
        <v>35311699</v>
      </c>
      <c r="O114" s="61">
        <v>35311699</v>
      </c>
      <c r="P114" s="61">
        <v>35311699</v>
      </c>
      <c r="Q114" s="677">
        <v>35311699</v>
      </c>
      <c r="R114" s="677">
        <v>35311699</v>
      </c>
      <c r="S114" s="39"/>
      <c r="T114" s="99">
        <v>49563271</v>
      </c>
      <c r="U114" s="61"/>
      <c r="V114" s="61"/>
      <c r="W114" s="61"/>
      <c r="X114" s="102"/>
      <c r="Y114" s="102"/>
      <c r="Z114" s="61"/>
      <c r="AA114" s="61"/>
      <c r="AB114" s="61"/>
      <c r="AC114" s="61"/>
      <c r="AD114" s="102"/>
      <c r="AE114" s="498"/>
      <c r="AF114" s="99"/>
      <c r="AG114" s="61"/>
      <c r="AH114" s="61"/>
      <c r="AI114" s="102"/>
      <c r="AJ114" s="61">
        <v>29420168</v>
      </c>
      <c r="AK114" s="61">
        <v>35311699</v>
      </c>
      <c r="AL114" s="765">
        <v>35311699</v>
      </c>
      <c r="AM114" s="765">
        <v>35311699</v>
      </c>
      <c r="AN114" s="776"/>
      <c r="AO114" s="736"/>
      <c r="AP114" s="1099"/>
      <c r="AQ114" s="1088"/>
      <c r="AR114" s="1088"/>
      <c r="AS114" s="1126"/>
      <c r="AT114" s="1060"/>
      <c r="AU114" s="33"/>
      <c r="AV114" s="33"/>
      <c r="AW114" s="33"/>
      <c r="AX114" s="33"/>
    </row>
    <row r="115" spans="1:50" s="20" customFormat="1" ht="35.1" customHeight="1" x14ac:dyDescent="0.25">
      <c r="A115" s="1122"/>
      <c r="B115" s="1122"/>
      <c r="C115" s="1085"/>
      <c r="D115" s="1122"/>
      <c r="E115" s="1122"/>
      <c r="F115" s="1085"/>
      <c r="G115" s="145" t="s">
        <v>137</v>
      </c>
      <c r="H115" s="110">
        <v>1</v>
      </c>
      <c r="I115" s="110"/>
      <c r="J115" s="110">
        <v>1</v>
      </c>
      <c r="K115" s="130" t="s">
        <v>195</v>
      </c>
      <c r="L115" s="113">
        <v>1</v>
      </c>
      <c r="M115" s="113"/>
      <c r="N115" s="277">
        <f t="shared" ref="N115:O115" si="50">+N111</f>
        <v>1</v>
      </c>
      <c r="O115" s="277">
        <f t="shared" si="50"/>
        <v>1</v>
      </c>
      <c r="P115" s="277">
        <f>+P111</f>
        <v>1</v>
      </c>
      <c r="Q115" s="677">
        <v>1</v>
      </c>
      <c r="R115" s="825">
        <v>1</v>
      </c>
      <c r="S115" s="39"/>
      <c r="T115" s="118">
        <f>T111</f>
        <v>1</v>
      </c>
      <c r="U115" s="61"/>
      <c r="V115" s="61"/>
      <c r="W115" s="61"/>
      <c r="X115" s="102"/>
      <c r="Y115" s="102"/>
      <c r="Z115" s="110">
        <f>Z111</f>
        <v>1</v>
      </c>
      <c r="AA115" s="61"/>
      <c r="AB115" s="61"/>
      <c r="AC115" s="61"/>
      <c r="AD115" s="102"/>
      <c r="AE115" s="498"/>
      <c r="AF115" s="118">
        <f>AF111</f>
        <v>1</v>
      </c>
      <c r="AG115" s="61"/>
      <c r="AH115" s="61"/>
      <c r="AI115" s="102"/>
      <c r="AJ115" s="61">
        <v>0.16500000000000001</v>
      </c>
      <c r="AK115" s="61">
        <v>0.125</v>
      </c>
      <c r="AL115" s="833">
        <v>0.82299999999999995</v>
      </c>
      <c r="AM115" s="797">
        <v>1</v>
      </c>
      <c r="AN115" s="674">
        <f>+AM115/Q115</f>
        <v>1</v>
      </c>
      <c r="AO115" s="675">
        <f>+AM115/H115</f>
        <v>1</v>
      </c>
      <c r="AP115" s="1099"/>
      <c r="AQ115" s="1088"/>
      <c r="AR115" s="1088"/>
      <c r="AS115" s="1126"/>
      <c r="AT115" s="1060"/>
      <c r="AU115" s="33"/>
      <c r="AV115" s="33"/>
      <c r="AW115" s="33"/>
      <c r="AX115" s="33"/>
    </row>
    <row r="116" spans="1:50" s="20" customFormat="1" ht="35.1" customHeight="1" thickBot="1" x14ac:dyDescent="0.3">
      <c r="A116" s="1122"/>
      <c r="B116" s="1122"/>
      <c r="C116" s="1085"/>
      <c r="D116" s="1122"/>
      <c r="E116" s="1122"/>
      <c r="F116" s="1085"/>
      <c r="G116" s="146" t="s">
        <v>143</v>
      </c>
      <c r="H116" s="76">
        <f>+H112</f>
        <v>1085578107.3833606</v>
      </c>
      <c r="I116" s="76"/>
      <c r="J116" s="76">
        <f>+J112</f>
        <v>110021167</v>
      </c>
      <c r="K116" s="76">
        <f>+K112</f>
        <v>110021167</v>
      </c>
      <c r="L116" s="76">
        <v>106600997</v>
      </c>
      <c r="M116" s="76"/>
      <c r="N116" s="76">
        <f t="shared" ref="N116:O116" si="51">+N112+N114</f>
        <v>252982699</v>
      </c>
      <c r="O116" s="76">
        <f t="shared" si="51"/>
        <v>252982699</v>
      </c>
      <c r="P116" s="76">
        <f>+P112+P114</f>
        <v>252982699</v>
      </c>
      <c r="Q116" s="664">
        <f>+Q112+Q114</f>
        <v>266502069</v>
      </c>
      <c r="R116" s="664">
        <f>+R112+R114</f>
        <v>257812236</v>
      </c>
      <c r="S116" s="274"/>
      <c r="T116" s="123">
        <f>T112</f>
        <v>258611885</v>
      </c>
      <c r="U116" s="114"/>
      <c r="V116" s="114"/>
      <c r="W116" s="114"/>
      <c r="X116" s="102"/>
      <c r="Y116" s="102"/>
      <c r="Z116" s="114">
        <f>Z112</f>
        <v>294623525.4812398</v>
      </c>
      <c r="AA116" s="114"/>
      <c r="AB116" s="114"/>
      <c r="AC116" s="114"/>
      <c r="AD116" s="102"/>
      <c r="AE116" s="498"/>
      <c r="AF116" s="123">
        <f>AF112</f>
        <v>208070699.90212074</v>
      </c>
      <c r="AG116" s="114"/>
      <c r="AH116" s="114"/>
      <c r="AI116" s="102"/>
      <c r="AJ116" s="95">
        <v>115860168</v>
      </c>
      <c r="AK116" s="114">
        <v>240452699</v>
      </c>
      <c r="AL116" s="515">
        <v>240452699</v>
      </c>
      <c r="AM116" s="664">
        <f>+AM112+AM114</f>
        <v>257812236</v>
      </c>
      <c r="AN116" s="655">
        <f>+AM116/Q116</f>
        <v>0.96739299986447758</v>
      </c>
      <c r="AO116" s="655">
        <f>+AM116/H116</f>
        <v>0.23748842597924305</v>
      </c>
      <c r="AP116" s="1100"/>
      <c r="AQ116" s="1127"/>
      <c r="AR116" s="1127"/>
      <c r="AS116" s="1126"/>
      <c r="AT116" s="1060"/>
      <c r="AU116" s="33"/>
      <c r="AV116" s="33"/>
      <c r="AW116" s="33"/>
      <c r="AX116" s="33"/>
    </row>
    <row r="117" spans="1:50" s="31" customFormat="1" ht="35.1" customHeight="1" x14ac:dyDescent="0.25">
      <c r="A117" s="1085" t="s">
        <v>184</v>
      </c>
      <c r="B117" s="1086">
        <v>19</v>
      </c>
      <c r="C117" s="1085" t="s">
        <v>185</v>
      </c>
      <c r="D117" s="1085" t="s">
        <v>84</v>
      </c>
      <c r="E117" s="1085">
        <v>472</v>
      </c>
      <c r="F117" s="1121"/>
      <c r="G117" s="335" t="s">
        <v>111</v>
      </c>
      <c r="H117" s="857">
        <f>+L117+R117+T117+Z117+AF117</f>
        <v>800000</v>
      </c>
      <c r="I117" s="857"/>
      <c r="J117" s="858">
        <v>0</v>
      </c>
      <c r="K117" s="859">
        <v>106549</v>
      </c>
      <c r="L117" s="43">
        <v>106549</v>
      </c>
      <c r="M117" s="43"/>
      <c r="N117" s="43">
        <v>350000</v>
      </c>
      <c r="O117" s="93">
        <v>350000</v>
      </c>
      <c r="P117" s="93">
        <v>350000</v>
      </c>
      <c r="Q117" s="860">
        <v>355398</v>
      </c>
      <c r="R117" s="861">
        <f>+AM117</f>
        <v>355398</v>
      </c>
      <c r="S117" s="862"/>
      <c r="T117" s="710">
        <v>120000</v>
      </c>
      <c r="U117" s="93"/>
      <c r="V117" s="93"/>
      <c r="W117" s="93"/>
      <c r="X117" s="52"/>
      <c r="Y117" s="52"/>
      <c r="Z117" s="93">
        <v>120000</v>
      </c>
      <c r="AA117" s="93"/>
      <c r="AB117" s="93"/>
      <c r="AC117" s="93"/>
      <c r="AD117" s="52"/>
      <c r="AE117" s="478"/>
      <c r="AF117" s="710">
        <f>103451-5398</f>
        <v>98053</v>
      </c>
      <c r="AG117" s="92"/>
      <c r="AH117" s="92"/>
      <c r="AI117" s="52"/>
      <c r="AJ117" s="92">
        <v>0</v>
      </c>
      <c r="AK117" s="93">
        <v>116438</v>
      </c>
      <c r="AL117" s="708">
        <v>275339</v>
      </c>
      <c r="AM117" s="863">
        <v>355398</v>
      </c>
      <c r="AN117" s="674">
        <f>+AM117/Q117</f>
        <v>1</v>
      </c>
      <c r="AO117" s="675">
        <f>+AM117/H117</f>
        <v>0.44424750000000002</v>
      </c>
      <c r="AP117" s="1087" t="s">
        <v>537</v>
      </c>
      <c r="AQ117" s="1090" t="s">
        <v>214</v>
      </c>
      <c r="AR117" s="1092" t="s">
        <v>86</v>
      </c>
      <c r="AS117" s="1095" t="s">
        <v>202</v>
      </c>
      <c r="AT117" s="1097" t="s">
        <v>216</v>
      </c>
    </row>
    <row r="118" spans="1:50" s="31" customFormat="1" ht="35.1" customHeight="1" x14ac:dyDescent="0.25">
      <c r="A118" s="1085"/>
      <c r="B118" s="1086"/>
      <c r="C118" s="1085"/>
      <c r="D118" s="1085"/>
      <c r="E118" s="1085"/>
      <c r="F118" s="1121"/>
      <c r="G118" s="336" t="s">
        <v>123</v>
      </c>
      <c r="H118" s="46">
        <f>+L118+N118+T118+Z118+AF118</f>
        <v>1435754758</v>
      </c>
      <c r="I118" s="46"/>
      <c r="J118" s="46">
        <f>117519000+95481000</f>
        <v>213000000</v>
      </c>
      <c r="K118" s="46">
        <f>117519000+95481000</f>
        <v>213000000</v>
      </c>
      <c r="L118" s="46">
        <v>207754758</v>
      </c>
      <c r="M118" s="46"/>
      <c r="N118" s="46">
        <v>213000000</v>
      </c>
      <c r="O118" s="46">
        <v>213000000</v>
      </c>
      <c r="P118" s="46">
        <v>213000000</v>
      </c>
      <c r="Q118" s="864">
        <v>213000000</v>
      </c>
      <c r="R118" s="503">
        <f>+AM118</f>
        <v>115901567</v>
      </c>
      <c r="S118" s="36"/>
      <c r="T118" s="47">
        <v>165000000</v>
      </c>
      <c r="U118" s="47"/>
      <c r="V118" s="47"/>
      <c r="W118" s="47"/>
      <c r="X118" s="47"/>
      <c r="Y118" s="47"/>
      <c r="Z118" s="47">
        <v>638000000</v>
      </c>
      <c r="AA118" s="47"/>
      <c r="AB118" s="47"/>
      <c r="AC118" s="47"/>
      <c r="AD118" s="444"/>
      <c r="AE118" s="478"/>
      <c r="AF118" s="134">
        <v>212000000</v>
      </c>
      <c r="AG118" s="87"/>
      <c r="AH118" s="87"/>
      <c r="AI118" s="54"/>
      <c r="AJ118" s="47">
        <v>37540000</v>
      </c>
      <c r="AK118" s="47">
        <v>114070000</v>
      </c>
      <c r="AL118" s="816">
        <v>115901567</v>
      </c>
      <c r="AM118" s="624">
        <v>115901567</v>
      </c>
      <c r="AN118" s="655">
        <f>+AM118/Q118</f>
        <v>0.54413881220657279</v>
      </c>
      <c r="AO118" s="655">
        <f>+AM118/H118</f>
        <v>8.0725183987166702E-2</v>
      </c>
      <c r="AP118" s="1088"/>
      <c r="AQ118" s="1066"/>
      <c r="AR118" s="1093"/>
      <c r="AS118" s="1068"/>
      <c r="AT118" s="1060"/>
    </row>
    <row r="119" spans="1:50" s="31" customFormat="1" ht="35.1" customHeight="1" x14ac:dyDescent="0.25">
      <c r="A119" s="1085"/>
      <c r="B119" s="1086"/>
      <c r="C119" s="1085"/>
      <c r="D119" s="1085"/>
      <c r="E119" s="1085"/>
      <c r="F119" s="1121"/>
      <c r="G119" s="336" t="s">
        <v>130</v>
      </c>
      <c r="H119" s="131"/>
      <c r="I119" s="131"/>
      <c r="J119" s="46"/>
      <c r="K119" s="46"/>
      <c r="L119" s="46"/>
      <c r="M119" s="46"/>
      <c r="N119" s="46"/>
      <c r="O119" s="47"/>
      <c r="P119" s="47"/>
      <c r="Q119" s="864"/>
      <c r="R119" s="661"/>
      <c r="S119" s="276"/>
      <c r="T119" s="134"/>
      <c r="U119" s="47"/>
      <c r="V119" s="47"/>
      <c r="W119" s="47"/>
      <c r="X119" s="54"/>
      <c r="Y119" s="54"/>
      <c r="Z119" s="47"/>
      <c r="AA119" s="47"/>
      <c r="AB119" s="47"/>
      <c r="AC119" s="47"/>
      <c r="AD119" s="54"/>
      <c r="AE119" s="478"/>
      <c r="AF119" s="134"/>
      <c r="AG119" s="87"/>
      <c r="AH119" s="87"/>
      <c r="AI119" s="54"/>
      <c r="AJ119" s="47"/>
      <c r="AK119" s="47"/>
      <c r="AL119" s="658"/>
      <c r="AM119" s="661"/>
      <c r="AN119" s="750"/>
      <c r="AO119" s="751"/>
      <c r="AP119" s="1088"/>
      <c r="AQ119" s="1066"/>
      <c r="AR119" s="1093"/>
      <c r="AS119" s="1068"/>
      <c r="AT119" s="1060"/>
    </row>
    <row r="120" spans="1:50" s="31" customFormat="1" ht="35.1" customHeight="1" thickBot="1" x14ac:dyDescent="0.3">
      <c r="A120" s="1085"/>
      <c r="B120" s="1086"/>
      <c r="C120" s="1085"/>
      <c r="D120" s="1085"/>
      <c r="E120" s="1085"/>
      <c r="F120" s="1121"/>
      <c r="G120" s="336" t="s">
        <v>135</v>
      </c>
      <c r="H120" s="48"/>
      <c r="I120" s="48"/>
      <c r="J120" s="46"/>
      <c r="K120" s="46"/>
      <c r="L120" s="46"/>
      <c r="M120" s="46"/>
      <c r="N120" s="47">
        <v>151632088</v>
      </c>
      <c r="O120" s="94">
        <v>151032326</v>
      </c>
      <c r="P120" s="94">
        <v>151032326</v>
      </c>
      <c r="Q120" s="705">
        <v>151032326</v>
      </c>
      <c r="R120" s="705">
        <v>151032326</v>
      </c>
      <c r="S120" s="271"/>
      <c r="T120" s="445">
        <v>19124500</v>
      </c>
      <c r="U120" s="47"/>
      <c r="V120" s="47"/>
      <c r="W120" s="47"/>
      <c r="X120" s="54"/>
      <c r="Y120" s="54"/>
      <c r="Z120" s="94"/>
      <c r="AA120" s="94"/>
      <c r="AB120" s="94"/>
      <c r="AC120" s="94"/>
      <c r="AD120" s="54"/>
      <c r="AE120" s="478"/>
      <c r="AF120" s="445"/>
      <c r="AG120" s="87"/>
      <c r="AH120" s="87"/>
      <c r="AI120" s="54"/>
      <c r="AJ120" s="47">
        <v>43732673</v>
      </c>
      <c r="AK120" s="47">
        <v>59530422</v>
      </c>
      <c r="AL120" s="658">
        <v>100626940</v>
      </c>
      <c r="AM120" s="658">
        <v>151032326</v>
      </c>
      <c r="AN120" s="735"/>
      <c r="AO120" s="736"/>
      <c r="AP120" s="1088"/>
      <c r="AQ120" s="1066"/>
      <c r="AR120" s="1093"/>
      <c r="AS120" s="1068"/>
      <c r="AT120" s="1060"/>
    </row>
    <row r="121" spans="1:50" s="31" customFormat="1" ht="35.1" customHeight="1" x14ac:dyDescent="0.25">
      <c r="A121" s="1085"/>
      <c r="B121" s="1086"/>
      <c r="C121" s="1085"/>
      <c r="D121" s="1085"/>
      <c r="E121" s="1085"/>
      <c r="F121" s="1121"/>
      <c r="G121" s="336" t="s">
        <v>137</v>
      </c>
      <c r="H121" s="132">
        <f>+H117</f>
        <v>800000</v>
      </c>
      <c r="I121" s="53"/>
      <c r="J121" s="133">
        <v>0</v>
      </c>
      <c r="K121" s="133">
        <f>+K117</f>
        <v>106549</v>
      </c>
      <c r="L121" s="51">
        <v>106549</v>
      </c>
      <c r="M121" s="51"/>
      <c r="N121" s="47">
        <f t="shared" ref="N121:O121" si="52">+N117</f>
        <v>350000</v>
      </c>
      <c r="O121" s="47">
        <f t="shared" si="52"/>
        <v>350000</v>
      </c>
      <c r="P121" s="47">
        <f>+P117</f>
        <v>350000</v>
      </c>
      <c r="Q121" s="864">
        <v>350000</v>
      </c>
      <c r="R121" s="661"/>
      <c r="S121" s="276"/>
      <c r="T121" s="134">
        <v>300000</v>
      </c>
      <c r="U121" s="93"/>
      <c r="V121" s="93"/>
      <c r="W121" s="93"/>
      <c r="X121" s="54"/>
      <c r="Y121" s="54"/>
      <c r="Z121" s="47">
        <v>300000</v>
      </c>
      <c r="AA121" s="47"/>
      <c r="AB121" s="47"/>
      <c r="AC121" s="47"/>
      <c r="AD121" s="54"/>
      <c r="AE121" s="478"/>
      <c r="AF121" s="477">
        <v>44451.37</v>
      </c>
      <c r="AG121" s="92"/>
      <c r="AH121" s="92"/>
      <c r="AI121" s="54"/>
      <c r="AJ121" s="47">
        <v>0</v>
      </c>
      <c r="AK121" s="47">
        <v>116438</v>
      </c>
      <c r="AL121" s="656">
        <v>275339</v>
      </c>
      <c r="AM121" s="865">
        <f>+AM117</f>
        <v>355398</v>
      </c>
      <c r="AN121" s="674">
        <f>+AM121/Q121</f>
        <v>1.0154228571428572</v>
      </c>
      <c r="AO121" s="675">
        <f>+AM121/H121</f>
        <v>0.44424750000000002</v>
      </c>
      <c r="AP121" s="1088"/>
      <c r="AQ121" s="1066"/>
      <c r="AR121" s="1093"/>
      <c r="AS121" s="1068"/>
      <c r="AT121" s="1060"/>
    </row>
    <row r="122" spans="1:50" s="31" customFormat="1" ht="35.1" customHeight="1" thickBot="1" x14ac:dyDescent="0.3">
      <c r="A122" s="1085"/>
      <c r="B122" s="1086"/>
      <c r="C122" s="1085"/>
      <c r="D122" s="1085"/>
      <c r="E122" s="1085"/>
      <c r="F122" s="1121"/>
      <c r="G122" s="337" t="s">
        <v>143</v>
      </c>
      <c r="H122" s="56">
        <f>+H118</f>
        <v>1435754758</v>
      </c>
      <c r="I122" s="56"/>
      <c r="J122" s="56">
        <f>+J118</f>
        <v>213000000</v>
      </c>
      <c r="K122" s="56">
        <f t="shared" ref="K122:Z122" si="53">+K118</f>
        <v>213000000</v>
      </c>
      <c r="L122" s="56">
        <v>207754758</v>
      </c>
      <c r="M122" s="56"/>
      <c r="N122" s="56">
        <f t="shared" ref="N122:O122" si="54">+N118+N120</f>
        <v>364632088</v>
      </c>
      <c r="O122" s="56">
        <f t="shared" si="54"/>
        <v>364032326</v>
      </c>
      <c r="P122" s="56">
        <f>+P118+P120</f>
        <v>364032326</v>
      </c>
      <c r="Q122" s="663">
        <v>364032326</v>
      </c>
      <c r="R122" s="664">
        <f>+R118+R120</f>
        <v>266933893</v>
      </c>
      <c r="S122" s="493"/>
      <c r="T122" s="493">
        <f t="shared" si="53"/>
        <v>165000000</v>
      </c>
      <c r="U122" s="493"/>
      <c r="V122" s="493"/>
      <c r="W122" s="493"/>
      <c r="X122" s="493"/>
      <c r="Y122" s="493"/>
      <c r="Z122" s="493">
        <f t="shared" si="53"/>
        <v>638000000</v>
      </c>
      <c r="AA122" s="493"/>
      <c r="AB122" s="493"/>
      <c r="AC122" s="493"/>
      <c r="AD122" s="494"/>
      <c r="AE122" s="478"/>
      <c r="AF122" s="495">
        <f>+AF118</f>
        <v>212000000</v>
      </c>
      <c r="AG122" s="504"/>
      <c r="AH122" s="504"/>
      <c r="AI122" s="496"/>
      <c r="AJ122" s="504">
        <v>81272673</v>
      </c>
      <c r="AK122" s="493"/>
      <c r="AL122" s="513">
        <v>216528507</v>
      </c>
      <c r="AM122" s="664">
        <f>+AM118+AM120</f>
        <v>266933893</v>
      </c>
      <c r="AN122" s="655">
        <f>+AM122/Q122</f>
        <v>0.73326975088470581</v>
      </c>
      <c r="AO122" s="655">
        <f>+AM122/H122</f>
        <v>0.1859188635890977</v>
      </c>
      <c r="AP122" s="1089"/>
      <c r="AQ122" s="1091"/>
      <c r="AR122" s="1094"/>
      <c r="AS122" s="1096"/>
      <c r="AT122" s="1061"/>
    </row>
    <row r="123" spans="1:50" s="31" customFormat="1" ht="35.1" customHeight="1" x14ac:dyDescent="0.25">
      <c r="A123" s="1085" t="s">
        <v>74</v>
      </c>
      <c r="B123" s="1085">
        <v>20</v>
      </c>
      <c r="C123" s="1085" t="s">
        <v>204</v>
      </c>
      <c r="D123" s="1122" t="s">
        <v>189</v>
      </c>
      <c r="E123" s="1085">
        <v>475</v>
      </c>
      <c r="F123" s="1121"/>
      <c r="G123" s="338" t="s">
        <v>111</v>
      </c>
      <c r="H123" s="339">
        <v>100</v>
      </c>
      <c r="I123" s="339"/>
      <c r="J123" s="339">
        <v>0</v>
      </c>
      <c r="K123" s="44">
        <v>0</v>
      </c>
      <c r="L123" s="43">
        <v>0</v>
      </c>
      <c r="M123" s="339"/>
      <c r="N123" s="43">
        <v>25</v>
      </c>
      <c r="O123" s="44">
        <v>25</v>
      </c>
      <c r="P123" s="44">
        <v>25</v>
      </c>
      <c r="Q123" s="866">
        <v>30</v>
      </c>
      <c r="R123" s="651">
        <v>25</v>
      </c>
      <c r="S123" s="44"/>
      <c r="T123" s="43">
        <v>50</v>
      </c>
      <c r="U123" s="43"/>
      <c r="V123" s="43"/>
      <c r="W123" s="43"/>
      <c r="X123" s="44"/>
      <c r="Y123" s="44"/>
      <c r="Z123" s="43">
        <v>75</v>
      </c>
      <c r="AA123" s="43"/>
      <c r="AB123" s="43"/>
      <c r="AC123" s="43"/>
      <c r="AD123" s="867"/>
      <c r="AE123" s="478"/>
      <c r="AF123" s="652">
        <v>100</v>
      </c>
      <c r="AG123" s="339"/>
      <c r="AH123" s="339"/>
      <c r="AI123" s="44"/>
      <c r="AJ123" s="341">
        <v>6.25</v>
      </c>
      <c r="AK123" s="340">
        <v>12.5</v>
      </c>
      <c r="AL123" s="868">
        <v>18.75</v>
      </c>
      <c r="AM123" s="868">
        <v>25</v>
      </c>
      <c r="AN123" s="674">
        <f>+AM123/Q123</f>
        <v>0.83333333333333337</v>
      </c>
      <c r="AO123" s="675">
        <f>+AM123/H123</f>
        <v>0.25</v>
      </c>
      <c r="AP123" s="1101" t="s">
        <v>505</v>
      </c>
      <c r="AQ123" s="1129" t="s">
        <v>214</v>
      </c>
      <c r="AR123" s="1129" t="s">
        <v>86</v>
      </c>
      <c r="AS123" s="1132" t="s">
        <v>87</v>
      </c>
      <c r="AT123" s="1059" t="s">
        <v>417</v>
      </c>
    </row>
    <row r="124" spans="1:50" s="31" customFormat="1" ht="35.1" customHeight="1" x14ac:dyDescent="0.25">
      <c r="A124" s="1085"/>
      <c r="B124" s="1085"/>
      <c r="C124" s="1085"/>
      <c r="D124" s="1122"/>
      <c r="E124" s="1085"/>
      <c r="F124" s="1121"/>
      <c r="G124" s="342" t="s">
        <v>123</v>
      </c>
      <c r="H124" s="97">
        <f>+L124+N124+T124+Z124+AF124</f>
        <v>179188695</v>
      </c>
      <c r="I124" s="97"/>
      <c r="J124" s="97">
        <v>0</v>
      </c>
      <c r="K124" s="869">
        <v>0</v>
      </c>
      <c r="L124" s="869">
        <v>0</v>
      </c>
      <c r="M124" s="97"/>
      <c r="N124" s="869">
        <v>39733000</v>
      </c>
      <c r="O124" s="869">
        <v>39733000</v>
      </c>
      <c r="P124" s="869">
        <v>39733000</v>
      </c>
      <c r="Q124" s="657">
        <v>49965000</v>
      </c>
      <c r="R124" s="657">
        <f>+AM124</f>
        <v>49965000</v>
      </c>
      <c r="S124" s="36"/>
      <c r="T124" s="49">
        <v>39455695</v>
      </c>
      <c r="U124" s="49"/>
      <c r="V124" s="49"/>
      <c r="W124" s="49"/>
      <c r="X124" s="49"/>
      <c r="Y124" s="49"/>
      <c r="Z124" s="49">
        <v>50000000</v>
      </c>
      <c r="AA124" s="49"/>
      <c r="AB124" s="49"/>
      <c r="AC124" s="49"/>
      <c r="AD124" s="870"/>
      <c r="AE124" s="478"/>
      <c r="AF124" s="762">
        <v>50000000</v>
      </c>
      <c r="AG124" s="69"/>
      <c r="AH124" s="69"/>
      <c r="AI124" s="36"/>
      <c r="AJ124" s="69">
        <v>0</v>
      </c>
      <c r="AK124" s="69">
        <v>33310000</v>
      </c>
      <c r="AL124" s="657">
        <v>33310000</v>
      </c>
      <c r="AM124" s="657">
        <v>49965000</v>
      </c>
      <c r="AN124" s="655">
        <f>+AM124/Q124</f>
        <v>1</v>
      </c>
      <c r="AO124" s="655">
        <f>+AM124/H124</f>
        <v>0.27884013553421994</v>
      </c>
      <c r="AP124" s="1074"/>
      <c r="AQ124" s="1130"/>
      <c r="AR124" s="1130"/>
      <c r="AS124" s="1133"/>
      <c r="AT124" s="1060"/>
    </row>
    <row r="125" spans="1:50" s="31" customFormat="1" ht="35.1" customHeight="1" x14ac:dyDescent="0.25">
      <c r="A125" s="1085"/>
      <c r="B125" s="1085"/>
      <c r="C125" s="1085"/>
      <c r="D125" s="1122"/>
      <c r="E125" s="1085"/>
      <c r="F125" s="1121"/>
      <c r="G125" s="342" t="s">
        <v>130</v>
      </c>
      <c r="H125" s="65"/>
      <c r="I125" s="65"/>
      <c r="J125" s="65"/>
      <c r="K125" s="40"/>
      <c r="L125" s="65"/>
      <c r="M125" s="65"/>
      <c r="N125" s="97"/>
      <c r="O125" s="65"/>
      <c r="P125" s="65"/>
      <c r="Q125" s="871"/>
      <c r="R125" s="661"/>
      <c r="S125" s="40"/>
      <c r="T125" s="40">
        <v>5</v>
      </c>
      <c r="U125" s="65"/>
      <c r="V125" s="65"/>
      <c r="W125" s="65"/>
      <c r="X125" s="40"/>
      <c r="Y125" s="40"/>
      <c r="Z125" s="65"/>
      <c r="AA125" s="65"/>
      <c r="AB125" s="65"/>
      <c r="AC125" s="65"/>
      <c r="AD125" s="124"/>
      <c r="AE125" s="478"/>
      <c r="AF125" s="469"/>
      <c r="AG125" s="65"/>
      <c r="AH125" s="65"/>
      <c r="AI125" s="36"/>
      <c r="AJ125" s="69"/>
      <c r="AK125" s="40"/>
      <c r="AL125" s="658"/>
      <c r="AM125" s="765"/>
      <c r="AN125" s="36"/>
      <c r="AO125" s="36"/>
      <c r="AP125" s="1074"/>
      <c r="AQ125" s="1130"/>
      <c r="AR125" s="1130"/>
      <c r="AS125" s="1133"/>
      <c r="AT125" s="1060"/>
    </row>
    <row r="126" spans="1:50" s="31" customFormat="1" ht="35.1" customHeight="1" x14ac:dyDescent="0.25">
      <c r="A126" s="1085"/>
      <c r="B126" s="1085"/>
      <c r="C126" s="1085"/>
      <c r="D126" s="1122"/>
      <c r="E126" s="1085"/>
      <c r="F126" s="1121"/>
      <c r="G126" s="342" t="s">
        <v>135</v>
      </c>
      <c r="H126" s="65"/>
      <c r="I126" s="65"/>
      <c r="J126" s="181"/>
      <c r="K126" s="40"/>
      <c r="L126" s="65"/>
      <c r="M126" s="65"/>
      <c r="N126" s="181"/>
      <c r="O126" s="65"/>
      <c r="P126" s="65"/>
      <c r="Q126" s="872"/>
      <c r="R126" s="661"/>
      <c r="S126" s="40"/>
      <c r="T126" s="49">
        <v>21762533</v>
      </c>
      <c r="U126" s="65"/>
      <c r="V126" s="65"/>
      <c r="W126" s="65"/>
      <c r="X126" s="40"/>
      <c r="Y126" s="40"/>
      <c r="Z126" s="65"/>
      <c r="AA126" s="65"/>
      <c r="AB126" s="65"/>
      <c r="AC126" s="65"/>
      <c r="AD126" s="124"/>
      <c r="AE126" s="478"/>
      <c r="AF126" s="469"/>
      <c r="AG126" s="65"/>
      <c r="AH126" s="65"/>
      <c r="AI126" s="36"/>
      <c r="AJ126" s="69"/>
      <c r="AK126" s="69"/>
      <c r="AL126" s="658"/>
      <c r="AM126" s="491"/>
      <c r="AN126" s="873"/>
      <c r="AO126" s="874"/>
      <c r="AP126" s="1074"/>
      <c r="AQ126" s="1130"/>
      <c r="AR126" s="1130"/>
      <c r="AS126" s="1133"/>
      <c r="AT126" s="1060"/>
    </row>
    <row r="127" spans="1:50" s="31" customFormat="1" ht="35.1" customHeight="1" x14ac:dyDescent="0.25">
      <c r="A127" s="1085"/>
      <c r="B127" s="1085"/>
      <c r="C127" s="1085"/>
      <c r="D127" s="1122"/>
      <c r="E127" s="1085"/>
      <c r="F127" s="1121"/>
      <c r="G127" s="342" t="s">
        <v>137</v>
      </c>
      <c r="H127" s="73">
        <v>100</v>
      </c>
      <c r="I127" s="73"/>
      <c r="J127" s="73">
        <v>0</v>
      </c>
      <c r="K127" s="40">
        <v>0</v>
      </c>
      <c r="L127" s="73">
        <v>0</v>
      </c>
      <c r="M127" s="73"/>
      <c r="N127" s="40">
        <f t="shared" ref="N127:O127" si="55">+N123</f>
        <v>25</v>
      </c>
      <c r="O127" s="40">
        <f t="shared" si="55"/>
        <v>25</v>
      </c>
      <c r="P127" s="40">
        <f>+P123</f>
        <v>25</v>
      </c>
      <c r="Q127" s="660">
        <v>30</v>
      </c>
      <c r="R127" s="661">
        <v>25</v>
      </c>
      <c r="S127" s="40"/>
      <c r="T127" s="73">
        <v>50</v>
      </c>
      <c r="U127" s="73"/>
      <c r="V127" s="73"/>
      <c r="W127" s="73"/>
      <c r="X127" s="40"/>
      <c r="Y127" s="40"/>
      <c r="Z127" s="73">
        <v>75</v>
      </c>
      <c r="AA127" s="73"/>
      <c r="AB127" s="73"/>
      <c r="AC127" s="73"/>
      <c r="AD127" s="124"/>
      <c r="AE127" s="478"/>
      <c r="AF127" s="471">
        <v>100</v>
      </c>
      <c r="AG127" s="73"/>
      <c r="AH127" s="73"/>
      <c r="AI127" s="36"/>
      <c r="AJ127" s="40">
        <v>6.25</v>
      </c>
      <c r="AK127" s="40">
        <v>12.5</v>
      </c>
      <c r="AL127" s="875">
        <v>18.75</v>
      </c>
      <c r="AM127" s="765">
        <v>25</v>
      </c>
      <c r="AN127" s="655">
        <f>+AM127/Q127</f>
        <v>0.83333333333333337</v>
      </c>
      <c r="AO127" s="655">
        <f>+AM127/H127</f>
        <v>0.25</v>
      </c>
      <c r="AP127" s="1074"/>
      <c r="AQ127" s="1130"/>
      <c r="AR127" s="1130"/>
      <c r="AS127" s="1133"/>
      <c r="AT127" s="1060"/>
    </row>
    <row r="128" spans="1:50" s="31" customFormat="1" ht="35.1" customHeight="1" thickBot="1" x14ac:dyDescent="0.3">
      <c r="A128" s="1085"/>
      <c r="B128" s="1085"/>
      <c r="C128" s="1085"/>
      <c r="D128" s="1122"/>
      <c r="E128" s="1085"/>
      <c r="F128" s="1121"/>
      <c r="G128" s="343" t="s">
        <v>143</v>
      </c>
      <c r="H128" s="344">
        <f>+H124</f>
        <v>179188695</v>
      </c>
      <c r="I128" s="344"/>
      <c r="J128" s="344">
        <f t="shared" ref="J128:Z128" si="56">+J124</f>
        <v>0</v>
      </c>
      <c r="K128" s="344">
        <f t="shared" si="56"/>
        <v>0</v>
      </c>
      <c r="L128" s="344">
        <f t="shared" si="56"/>
        <v>0</v>
      </c>
      <c r="M128" s="344"/>
      <c r="N128" s="344">
        <f t="shared" ref="N128:O128" si="57">+N124</f>
        <v>39733000</v>
      </c>
      <c r="O128" s="344">
        <f t="shared" si="57"/>
        <v>39733000</v>
      </c>
      <c r="P128" s="344">
        <f>+P124</f>
        <v>39733000</v>
      </c>
      <c r="Q128" s="664">
        <f>+Q124+Q126</f>
        <v>49965000</v>
      </c>
      <c r="R128" s="664">
        <f>+R124+R126</f>
        <v>49965000</v>
      </c>
      <c r="S128" s="517"/>
      <c r="T128" s="517">
        <f t="shared" si="56"/>
        <v>39455695</v>
      </c>
      <c r="U128" s="517"/>
      <c r="V128" s="517"/>
      <c r="W128" s="517"/>
      <c r="X128" s="517"/>
      <c r="Y128" s="517"/>
      <c r="Z128" s="517">
        <f t="shared" si="56"/>
        <v>50000000</v>
      </c>
      <c r="AA128" s="517"/>
      <c r="AB128" s="517"/>
      <c r="AC128" s="517"/>
      <c r="AD128" s="518"/>
      <c r="AE128" s="478"/>
      <c r="AF128" s="519">
        <f>+AF124</f>
        <v>50000000</v>
      </c>
      <c r="AG128" s="513"/>
      <c r="AH128" s="513"/>
      <c r="AI128" s="520"/>
      <c r="AJ128" s="517">
        <v>0</v>
      </c>
      <c r="AK128" s="517">
        <v>33310000</v>
      </c>
      <c r="AL128" s="513">
        <v>33310000</v>
      </c>
      <c r="AM128" s="664">
        <f>+AM124+AM126</f>
        <v>49965000</v>
      </c>
      <c r="AN128" s="655">
        <f>+AM128/Q128</f>
        <v>1</v>
      </c>
      <c r="AO128" s="655">
        <f>+AM128/H128</f>
        <v>0.27884013553421994</v>
      </c>
      <c r="AP128" s="1128"/>
      <c r="AQ128" s="1131"/>
      <c r="AR128" s="1131"/>
      <c r="AS128" s="1134"/>
      <c r="AT128" s="1061"/>
    </row>
    <row r="129" spans="1:50" ht="31.5" customHeight="1" thickBot="1" x14ac:dyDescent="0.3">
      <c r="A129" s="1037" t="s">
        <v>196</v>
      </c>
      <c r="B129" s="1038"/>
      <c r="C129" s="1038"/>
      <c r="D129" s="1038"/>
      <c r="E129" s="1038"/>
      <c r="F129" s="1039"/>
      <c r="G129" s="343" t="s">
        <v>123</v>
      </c>
      <c r="H129" s="83">
        <f>J129+N129+T129+Z129+AE129</f>
        <v>32843294993.788925</v>
      </c>
      <c r="I129" s="57"/>
      <c r="J129" s="135">
        <f>J124+J10+J16+J22+J28+J34+J40+J46+J52+J58+J64+J70+J76+J82+J88+J94+J100+J106+J112+J118</f>
        <v>4950635724</v>
      </c>
      <c r="K129" s="136">
        <f>K10+K16+K22+K28+K34+K40+K46+K52+K58+K64+K70+K76+K82+K88+K94+K100+K106+K112+K118</f>
        <v>4950635724</v>
      </c>
      <c r="L129" s="136">
        <f>L10+L16+L22+L28+L34+L40+L46+L52+L58+L64+L70+L76+L82+L88+L94+L100+L106+L112+L118</f>
        <v>4488457677</v>
      </c>
      <c r="M129" s="136"/>
      <c r="N129" s="83">
        <f>N124+N10+N16+N22+N28+N34+N40+N46+N52+N58+N64+N70+N76+N82+N88+N94+N100+N106+N112+N118</f>
        <v>7801846000</v>
      </c>
      <c r="O129" s="83">
        <f>O124+O10+O16+O22+O28+O34+O40+O46+O52+O58+O64+O70+O76+O82+O88+O94+O100+O106+O112+O118</f>
        <v>7801846000</v>
      </c>
      <c r="P129" s="83">
        <f>P124+P10+P16+P22+P28+P34+P40+P46+P52+P58+P64+P70+P76+P82+P88+P94+P100+P106+P112+P118</f>
        <v>7801846000</v>
      </c>
      <c r="Q129" s="699">
        <f>Q10+Q16+Q22+Q28+Q34+Q40+Q46+Q52+Q58+Q64+Q70+Q76+Q82+Q88+Q94+Q100+Q106+Q112+Q118+Q124</f>
        <v>7705009704</v>
      </c>
      <c r="R129" s="699">
        <f>R10+R16+R22+R28+R34+R40+R46+R52+R58+R64+R70+R76+R82+R88+R94+R100+R106+R112+R118+R124</f>
        <v>6829858511</v>
      </c>
      <c r="S129" s="692">
        <f t="shared" ref="S129:AI129" si="58">S10+S16+S22+S28+S34+S40+S46+S52+S58+S64+S70+S76+S82+S88+S94+S100+S106+S112+S118</f>
        <v>0</v>
      </c>
      <c r="T129" s="699">
        <f>T10+T16+T22+T28+T34+T40+T46+T52+T58+T64+T70+T76+T82+T88+T94+T100+T106+T112+T118+T124</f>
        <v>8755709000</v>
      </c>
      <c r="U129" s="424">
        <f t="shared" si="58"/>
        <v>0</v>
      </c>
      <c r="V129" s="424">
        <f t="shared" si="58"/>
        <v>0</v>
      </c>
      <c r="W129" s="424">
        <f t="shared" si="58"/>
        <v>0</v>
      </c>
      <c r="X129" s="424">
        <f t="shared" si="58"/>
        <v>0</v>
      </c>
      <c r="Y129" s="424">
        <f t="shared" si="58"/>
        <v>0</v>
      </c>
      <c r="Z129" s="424">
        <f t="shared" si="58"/>
        <v>11335104269.788923</v>
      </c>
      <c r="AA129" s="424">
        <f t="shared" si="58"/>
        <v>0</v>
      </c>
      <c r="AB129" s="424">
        <f t="shared" si="58"/>
        <v>0</v>
      </c>
      <c r="AC129" s="424">
        <f t="shared" si="58"/>
        <v>0</v>
      </c>
      <c r="AD129" s="424">
        <f t="shared" si="58"/>
        <v>0</v>
      </c>
      <c r="AE129" s="424">
        <f t="shared" si="58"/>
        <v>0</v>
      </c>
      <c r="AF129" s="424">
        <f t="shared" si="58"/>
        <v>7239999548.3465786</v>
      </c>
      <c r="AG129" s="424">
        <f t="shared" si="58"/>
        <v>0</v>
      </c>
      <c r="AH129" s="424">
        <f t="shared" si="58"/>
        <v>0</v>
      </c>
      <c r="AI129" s="424">
        <f t="shared" si="58"/>
        <v>0</v>
      </c>
      <c r="AJ129" s="83">
        <f>AJ124+AJ10+AJ16+AJ22+AJ28+AJ34+AJ40+AJ46+AJ52+AJ58+AJ64+AJ70+AJ76+AJ82+AJ88+AJ94+AJ100+AJ106+AJ112+AJ118</f>
        <v>1806031500</v>
      </c>
      <c r="AK129" s="83">
        <f>AK124+AK10+AK16+AK22+AK28+AK34+AK40+AK46+AK52+AK58+AK64+AK70+AK76+AK82+AK88+AK94+AK100+AK106+AK112+AK118</f>
        <v>4429424500</v>
      </c>
      <c r="AL129" s="83">
        <f>AL124+AL10+AL16+AL22+AL28+AL34+AL40+AL46+AL52+AL58+AL64+AL70+AL76+AL82+AL88+AL94+AL100+AL106+AL112+AL118</f>
        <v>4529401566</v>
      </c>
      <c r="AM129" s="876">
        <f>AM124+AM10+AM16+AM22+AM28+AM34+AM40+AM46+AM52+AM58+AM64+AM70+AM76+AM82+AM88+AM94+AM100+AM106+AM112+AM118</f>
        <v>6829858511</v>
      </c>
      <c r="AN129" s="877"/>
      <c r="AO129" s="878"/>
      <c r="AP129" s="879"/>
      <c r="AQ129" s="879"/>
      <c r="AR129" s="879"/>
      <c r="AS129" s="879"/>
      <c r="AT129" s="880"/>
      <c r="AU129" s="3"/>
      <c r="AV129" s="3"/>
      <c r="AW129" s="3"/>
      <c r="AX129" s="3"/>
    </row>
    <row r="130" spans="1:50" ht="28.5" customHeight="1" thickBot="1" x14ac:dyDescent="0.3">
      <c r="A130" s="1040"/>
      <c r="B130" s="1041"/>
      <c r="C130" s="1041"/>
      <c r="D130" s="1041"/>
      <c r="E130" s="1041"/>
      <c r="F130" s="1042"/>
      <c r="G130" s="343" t="s">
        <v>135</v>
      </c>
      <c r="H130" s="62"/>
      <c r="I130" s="62"/>
      <c r="J130" s="62"/>
      <c r="K130" s="62"/>
      <c r="L130" s="62"/>
      <c r="M130" s="268"/>
      <c r="N130" s="83">
        <f>+N12+N24+N30+N36+N42+N48+N54+N60+N66+N72+N78+N84+N90+N96+N102+N108+N114+N120</f>
        <v>2809659211</v>
      </c>
      <c r="O130" s="83">
        <f>+O12+O24+O30+O36+O42+O48+O54+O60+O66+O72+O78+O84+O90+O96+O102+O108+O114+O120</f>
        <v>2809059449</v>
      </c>
      <c r="P130" s="83">
        <f>+P12+P24+P30+P36+P42+P48+P54+P60+P66+P72+P78+P84+P90+P96+P102+P108+P114+P120</f>
        <v>2809059449</v>
      </c>
      <c r="Q130" s="876">
        <f>+Q12+Q24+Q30+Q36+Q42+Q48+Q54+Q60+Q66+Q72+Q78+Q84+Q90+Q96+Q102+Q108+Q114+Q120</f>
        <v>2809059449</v>
      </c>
      <c r="R130" s="876">
        <f t="shared" ref="R130:S130" si="59">+R12+R24+R30+R36+R42+R48+R54+R60+R66+R72+R78+R84+R90+R96+R102+R108+R114+R120</f>
        <v>2620187650</v>
      </c>
      <c r="S130" s="876">
        <f t="shared" si="59"/>
        <v>0</v>
      </c>
      <c r="T130" s="876">
        <f>+T12+T18+T24+T30+T36+T42+T48+T54+T60+T66+T72+T78+T84+T90+T96+T102+T108+T114+T120+T126</f>
        <v>2969610298</v>
      </c>
      <c r="U130" s="62"/>
      <c r="V130" s="62"/>
      <c r="W130" s="62"/>
      <c r="X130" s="62"/>
      <c r="Y130" s="62"/>
      <c r="Z130" s="62"/>
      <c r="AA130" s="62"/>
      <c r="AB130" s="62"/>
      <c r="AC130" s="62"/>
      <c r="AD130" s="62"/>
      <c r="AE130" s="62"/>
      <c r="AF130" s="62"/>
      <c r="AG130" s="62"/>
      <c r="AH130" s="62"/>
      <c r="AI130" s="62"/>
      <c r="AJ130" s="25">
        <f>+AJ12+AJ24+AJ30+AJ36+AJ42+AJ48+AJ54+AJ60+AJ66+AJ72+AJ78+AJ84+AJ90+AJ96+AJ102+AJ108+AJ114+AJ120</f>
        <v>1211118227</v>
      </c>
      <c r="AK130" s="25">
        <f>+AK12+AK24+AK30+AK36+AK42+AK48+AK54+AK60+AK66+AK72+AK78+AK84+AK90+AK96+AK102+AK108+AK114+AK120</f>
        <v>1498460057</v>
      </c>
      <c r="AL130" s="25">
        <f>+AL12+AL24+AL30+AL36+AL42+AL48+AL54+AL60+AL66+AL72+AL78+AL84+AL90+AL96+AL102+AL108+AL114+AL120</f>
        <v>2062779864</v>
      </c>
      <c r="AM130" s="881">
        <f>+AM12+AM24+AM30+AM36+AM42+AM48+AM54+AM60+AM66+AM72+AM78+AM84+AM90+AM96+AM102+AM108+AM114+AM120</f>
        <v>2620187650</v>
      </c>
      <c r="AN130" s="878"/>
      <c r="AO130" s="878"/>
      <c r="AP130" s="879"/>
      <c r="AQ130" s="879"/>
      <c r="AR130" s="879"/>
      <c r="AS130" s="879"/>
      <c r="AT130" s="880"/>
      <c r="AU130" s="3"/>
      <c r="AV130" s="3"/>
      <c r="AW130" s="3"/>
      <c r="AX130" s="3"/>
    </row>
    <row r="131" spans="1:50" ht="35.25" customHeight="1" thickBot="1" x14ac:dyDescent="0.3">
      <c r="A131" s="1043"/>
      <c r="B131" s="1044"/>
      <c r="C131" s="1044"/>
      <c r="D131" s="1044"/>
      <c r="E131" s="1044"/>
      <c r="F131" s="1045"/>
      <c r="G131" s="343" t="s">
        <v>196</v>
      </c>
      <c r="H131" s="83">
        <f>J131+N131+T131+Z131+AE131</f>
        <v>35652954204.788925</v>
      </c>
      <c r="I131" s="57"/>
      <c r="J131" s="137">
        <f t="shared" ref="J131:AI131" si="60">+J129</f>
        <v>4950635724</v>
      </c>
      <c r="K131" s="138">
        <f t="shared" si="60"/>
        <v>4950635724</v>
      </c>
      <c r="L131" s="138">
        <f t="shared" si="60"/>
        <v>4488457677</v>
      </c>
      <c r="M131" s="138"/>
      <c r="N131" s="137">
        <f>+N129+N130</f>
        <v>10611505211</v>
      </c>
      <c r="O131" s="137">
        <f>+O129+O130</f>
        <v>10610905449</v>
      </c>
      <c r="P131" s="137">
        <f>+P129+P130</f>
        <v>10610905449</v>
      </c>
      <c r="Q131" s="882">
        <f>+Q129+Q130</f>
        <v>10514069153</v>
      </c>
      <c r="R131" s="882">
        <f>+R129+R130</f>
        <v>9450046161</v>
      </c>
      <c r="S131" s="461"/>
      <c r="T131" s="139">
        <f t="shared" si="60"/>
        <v>8755709000</v>
      </c>
      <c r="U131" s="137">
        <f t="shared" si="60"/>
        <v>0</v>
      </c>
      <c r="V131" s="137">
        <f t="shared" si="60"/>
        <v>0</v>
      </c>
      <c r="W131" s="137">
        <f t="shared" si="60"/>
        <v>0</v>
      </c>
      <c r="X131" s="137">
        <f t="shared" si="60"/>
        <v>0</v>
      </c>
      <c r="Y131" s="137"/>
      <c r="Z131" s="137">
        <f t="shared" si="60"/>
        <v>11335104269.788923</v>
      </c>
      <c r="AA131" s="137">
        <f t="shared" si="60"/>
        <v>0</v>
      </c>
      <c r="AB131" s="137">
        <f t="shared" si="60"/>
        <v>0</v>
      </c>
      <c r="AC131" s="137">
        <f t="shared" si="60"/>
        <v>0</v>
      </c>
      <c r="AD131" s="137">
        <f t="shared" si="60"/>
        <v>0</v>
      </c>
      <c r="AE131" s="137">
        <f t="shared" si="60"/>
        <v>0</v>
      </c>
      <c r="AF131" s="137">
        <f t="shared" si="60"/>
        <v>7239999548.3465786</v>
      </c>
      <c r="AG131" s="137">
        <f t="shared" si="60"/>
        <v>0</v>
      </c>
      <c r="AH131" s="137">
        <f t="shared" si="60"/>
        <v>0</v>
      </c>
      <c r="AI131" s="137">
        <f t="shared" si="60"/>
        <v>0</v>
      </c>
      <c r="AJ131" s="137">
        <f>+AJ129+AJ130</f>
        <v>3017149727</v>
      </c>
      <c r="AK131" s="25">
        <f>+AK129+AK130</f>
        <v>5927884557</v>
      </c>
      <c r="AL131" s="25">
        <f>+AL129+AL130</f>
        <v>6592181430</v>
      </c>
      <c r="AM131" s="25">
        <f>+AM129+AM130</f>
        <v>9450046161</v>
      </c>
      <c r="AN131" s="883"/>
      <c r="AO131" s="883"/>
      <c r="AP131" s="884"/>
      <c r="AQ131" s="884"/>
      <c r="AR131" s="884"/>
      <c r="AS131" s="884"/>
      <c r="AT131" s="885"/>
      <c r="AU131" s="3"/>
      <c r="AV131" s="3"/>
      <c r="AW131" s="3"/>
      <c r="AX131" s="3"/>
    </row>
    <row r="132" spans="1:50" ht="71.25" customHeight="1" x14ac:dyDescent="0.25">
      <c r="A132" s="1083" t="s">
        <v>422</v>
      </c>
      <c r="B132" s="1083"/>
      <c r="C132" s="1083"/>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3"/>
      <c r="Z132" s="1083"/>
      <c r="AA132" s="1083"/>
      <c r="AB132" s="1083"/>
      <c r="AC132" s="1083"/>
      <c r="AD132" s="1083"/>
      <c r="AE132" s="1083"/>
      <c r="AF132" s="1083"/>
      <c r="AG132" s="1083"/>
      <c r="AH132" s="1083"/>
      <c r="AI132" s="1083"/>
      <c r="AJ132" s="1083"/>
      <c r="AK132" s="1083"/>
      <c r="AL132" s="1083"/>
      <c r="AM132" s="1083"/>
      <c r="AN132" s="1083"/>
      <c r="AO132" s="1083"/>
      <c r="AP132" s="1083"/>
      <c r="AQ132" s="1083"/>
      <c r="AR132" s="1083"/>
      <c r="AS132" s="1083"/>
      <c r="AT132" s="1083"/>
      <c r="AU132" s="3"/>
      <c r="AV132" s="3"/>
      <c r="AW132" s="3"/>
      <c r="AX132" s="3"/>
    </row>
  </sheetData>
  <mergeCells count="219">
    <mergeCell ref="AS87:AS92"/>
    <mergeCell ref="AT87:AT92"/>
    <mergeCell ref="AQ93:AQ98"/>
    <mergeCell ref="AR93:AR98"/>
    <mergeCell ref="AS93:AS98"/>
    <mergeCell ref="AT93:AT98"/>
    <mergeCell ref="AQ99:AQ104"/>
    <mergeCell ref="AR99:AR104"/>
    <mergeCell ref="AS99:AS104"/>
    <mergeCell ref="AT99:AT104"/>
    <mergeCell ref="A123:A128"/>
    <mergeCell ref="AQ105:AQ110"/>
    <mergeCell ref="AR105:AR110"/>
    <mergeCell ref="AS105:AS110"/>
    <mergeCell ref="AT105:AT110"/>
    <mergeCell ref="AS111:AS116"/>
    <mergeCell ref="AQ111:AQ116"/>
    <mergeCell ref="AR111:AR116"/>
    <mergeCell ref="AT111:AT116"/>
    <mergeCell ref="B123:B128"/>
    <mergeCell ref="C123:C128"/>
    <mergeCell ref="D123:D128"/>
    <mergeCell ref="E123:E128"/>
    <mergeCell ref="AP123:AP128"/>
    <mergeCell ref="AQ123:AQ128"/>
    <mergeCell ref="AR123:AR128"/>
    <mergeCell ref="AS123:AS128"/>
    <mergeCell ref="AT123:AT128"/>
    <mergeCell ref="AS69:AS74"/>
    <mergeCell ref="AT69:AT74"/>
    <mergeCell ref="AS75:AS80"/>
    <mergeCell ref="AT75:AT80"/>
    <mergeCell ref="AQ81:AQ86"/>
    <mergeCell ref="AR81:AR86"/>
    <mergeCell ref="AS81:AS86"/>
    <mergeCell ref="AT81:AT86"/>
    <mergeCell ref="AQ69:AQ74"/>
    <mergeCell ref="AR69:AR74"/>
    <mergeCell ref="C93:C98"/>
    <mergeCell ref="D93:D98"/>
    <mergeCell ref="E93:E98"/>
    <mergeCell ref="C39:C44"/>
    <mergeCell ref="D39:D44"/>
    <mergeCell ref="E39:E44"/>
    <mergeCell ref="E87:E92"/>
    <mergeCell ref="AQ75:AQ80"/>
    <mergeCell ref="AR75:AR80"/>
    <mergeCell ref="AQ87:AQ92"/>
    <mergeCell ref="AR87:AR92"/>
    <mergeCell ref="A69:A98"/>
    <mergeCell ref="A99:A116"/>
    <mergeCell ref="B69:B74"/>
    <mergeCell ref="C69:C74"/>
    <mergeCell ref="D69:D74"/>
    <mergeCell ref="E69:E74"/>
    <mergeCell ref="B87:B92"/>
    <mergeCell ref="B81:B86"/>
    <mergeCell ref="C81:C86"/>
    <mergeCell ref="C87:C92"/>
    <mergeCell ref="D87:D92"/>
    <mergeCell ref="B111:B116"/>
    <mergeCell ref="C111:C116"/>
    <mergeCell ref="D111:D116"/>
    <mergeCell ref="E111:E116"/>
    <mergeCell ref="B105:B110"/>
    <mergeCell ref="C105:C110"/>
    <mergeCell ref="D105:D110"/>
    <mergeCell ref="E105:E110"/>
    <mergeCell ref="B99:B104"/>
    <mergeCell ref="B75:B80"/>
    <mergeCell ref="C75:C80"/>
    <mergeCell ref="D75:D80"/>
    <mergeCell ref="E75:E80"/>
    <mergeCell ref="A27:A44"/>
    <mergeCell ref="A45:A50"/>
    <mergeCell ref="A51:A68"/>
    <mergeCell ref="B21:B26"/>
    <mergeCell ref="C21:C26"/>
    <mergeCell ref="D21:D26"/>
    <mergeCell ref="E21:E26"/>
    <mergeCell ref="B51:B56"/>
    <mergeCell ref="C51:C56"/>
    <mergeCell ref="D51:D56"/>
    <mergeCell ref="E51:E56"/>
    <mergeCell ref="C45:C50"/>
    <mergeCell ref="B45:B50"/>
    <mergeCell ref="E45:E50"/>
    <mergeCell ref="D45:D50"/>
    <mergeCell ref="B33:B38"/>
    <mergeCell ref="C33:C38"/>
    <mergeCell ref="D33:D38"/>
    <mergeCell ref="E33:E38"/>
    <mergeCell ref="A9:A26"/>
    <mergeCell ref="B9:B14"/>
    <mergeCell ref="C9:C14"/>
    <mergeCell ref="D9:D14"/>
    <mergeCell ref="E9:E14"/>
    <mergeCell ref="B27:B32"/>
    <mergeCell ref="C27:C32"/>
    <mergeCell ref="D27:D32"/>
    <mergeCell ref="E27:E32"/>
    <mergeCell ref="F9:F128"/>
    <mergeCell ref="B15:B20"/>
    <mergeCell ref="C15:C20"/>
    <mergeCell ref="D15:D20"/>
    <mergeCell ref="E15:E20"/>
    <mergeCell ref="D81:D86"/>
    <mergeCell ref="E81:E86"/>
    <mergeCell ref="B63:B68"/>
    <mergeCell ref="C63:C68"/>
    <mergeCell ref="D63:D68"/>
    <mergeCell ref="E63:E68"/>
    <mergeCell ref="B57:B62"/>
    <mergeCell ref="B39:B44"/>
    <mergeCell ref="C57:C62"/>
    <mergeCell ref="D57:D62"/>
    <mergeCell ref="E57:E62"/>
    <mergeCell ref="C99:C104"/>
    <mergeCell ref="D99:D104"/>
    <mergeCell ref="E99:E104"/>
    <mergeCell ref="B93:B98"/>
    <mergeCell ref="AT15:AT20"/>
    <mergeCell ref="AP15:AP20"/>
    <mergeCell ref="AQ15:AQ20"/>
    <mergeCell ref="AR15:AR20"/>
    <mergeCell ref="AS15:AS20"/>
    <mergeCell ref="AP63:AP68"/>
    <mergeCell ref="AT21:AT26"/>
    <mergeCell ref="AT39:AT44"/>
    <mergeCell ref="AT33:AT38"/>
    <mergeCell ref="AT27:AT32"/>
    <mergeCell ref="AQ51:AQ56"/>
    <mergeCell ref="AR51:AR56"/>
    <mergeCell ref="AS51:AS56"/>
    <mergeCell ref="AT51:AT56"/>
    <mergeCell ref="AQ57:AQ62"/>
    <mergeCell ref="AR57:AR62"/>
    <mergeCell ref="AP33:AP38"/>
    <mergeCell ref="AQ33:AQ38"/>
    <mergeCell ref="AQ45:AQ50"/>
    <mergeCell ref="AR45:AR50"/>
    <mergeCell ref="AS45:AS50"/>
    <mergeCell ref="AQ39:AQ44"/>
    <mergeCell ref="AR39:AR44"/>
    <mergeCell ref="AS39:AS44"/>
    <mergeCell ref="AP27:AP32"/>
    <mergeCell ref="AQ27:AQ32"/>
    <mergeCell ref="AR27:AR32"/>
    <mergeCell ref="AS27:AS32"/>
    <mergeCell ref="AP21:AP26"/>
    <mergeCell ref="AQ21:AQ26"/>
    <mergeCell ref="AR21:AR26"/>
    <mergeCell ref="AR33:AR38"/>
    <mergeCell ref="AS33:AS38"/>
    <mergeCell ref="A132:AT132"/>
    <mergeCell ref="AT9:AT14"/>
    <mergeCell ref="A117:A122"/>
    <mergeCell ref="B117:B122"/>
    <mergeCell ref="C117:C122"/>
    <mergeCell ref="D117:D122"/>
    <mergeCell ref="E117:E122"/>
    <mergeCell ref="AP117:AP122"/>
    <mergeCell ref="AQ117:AQ122"/>
    <mergeCell ref="AR117:AR122"/>
    <mergeCell ref="AS117:AS122"/>
    <mergeCell ref="AT117:AT122"/>
    <mergeCell ref="AP111:AP116"/>
    <mergeCell ref="AP105:AP110"/>
    <mergeCell ref="AP99:AP104"/>
    <mergeCell ref="AP93:AP98"/>
    <mergeCell ref="AT45:AT50"/>
    <mergeCell ref="AP57:AP62"/>
    <mergeCell ref="AP51:AP56"/>
    <mergeCell ref="AP87:AP92"/>
    <mergeCell ref="AP81:AP86"/>
    <mergeCell ref="AP75:AP80"/>
    <mergeCell ref="AP69:AP74"/>
    <mergeCell ref="AS57:AS62"/>
    <mergeCell ref="A129:F131"/>
    <mergeCell ref="F1:AT1"/>
    <mergeCell ref="F2:AT2"/>
    <mergeCell ref="Q3:AT3"/>
    <mergeCell ref="F3:P3"/>
    <mergeCell ref="Q4:AT4"/>
    <mergeCell ref="F4:P4"/>
    <mergeCell ref="A1:E4"/>
    <mergeCell ref="B6:D7"/>
    <mergeCell ref="AE7:AI7"/>
    <mergeCell ref="AJ7:AM7"/>
    <mergeCell ref="AJ6:AM6"/>
    <mergeCell ref="AT57:AT62"/>
    <mergeCell ref="AQ63:AQ68"/>
    <mergeCell ref="AR63:AR68"/>
    <mergeCell ref="AS63:AS68"/>
    <mergeCell ref="AT63:AT68"/>
    <mergeCell ref="AP45:AP50"/>
    <mergeCell ref="AP9:AP14"/>
    <mergeCell ref="AQ9:AQ14"/>
    <mergeCell ref="AR9:AR14"/>
    <mergeCell ref="AS9:AS14"/>
    <mergeCell ref="AS21:AS26"/>
    <mergeCell ref="AP39:AP44"/>
    <mergeCell ref="AN6:AN8"/>
    <mergeCell ref="AO6:AO8"/>
    <mergeCell ref="AP6:AP8"/>
    <mergeCell ref="AQ6:AQ8"/>
    <mergeCell ref="AR6:AR8"/>
    <mergeCell ref="AS6:AS8"/>
    <mergeCell ref="AT6:AT8"/>
    <mergeCell ref="A6:A8"/>
    <mergeCell ref="I6:AI6"/>
    <mergeCell ref="I7:L7"/>
    <mergeCell ref="M7:R7"/>
    <mergeCell ref="S7:X7"/>
    <mergeCell ref="Y7:AD7"/>
    <mergeCell ref="H6:H8"/>
    <mergeCell ref="G6:G8"/>
    <mergeCell ref="F6:F8"/>
    <mergeCell ref="E6:E8"/>
  </mergeCells>
  <printOptions horizontalCentered="1" verticalCentered="1"/>
  <pageMargins left="0" right="0" top="0" bottom="0" header="0.31496062992125984" footer="0.31496062992125984"/>
  <pageSetup scale="45" orientation="landscape" r:id="rId1"/>
  <rowBreaks count="3" manualBreakCount="3">
    <brk id="74" max="45" man="1"/>
    <brk id="98" max="45" man="1"/>
    <brk id="131" max="45" man="1"/>
  </rowBreaks>
  <ignoredErrors>
    <ignoredError sqref="R22 R93 AM92:AM93"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topLeftCell="E85" zoomScale="73" zoomScaleNormal="73" zoomScaleSheetLayoutView="70" workbookViewId="0">
      <selection activeCell="V89" sqref="V89"/>
    </sheetView>
  </sheetViews>
  <sheetFormatPr baseColWidth="10" defaultColWidth="14.7109375" defaultRowHeight="15" customHeight="1" x14ac:dyDescent="0.25"/>
  <cols>
    <col min="1" max="1" width="14.7109375" style="42" customWidth="1"/>
    <col min="2" max="2" width="39.28515625" style="425" customWidth="1"/>
    <col min="3" max="3" width="33.28515625" style="152" customWidth="1"/>
    <col min="4" max="5" width="14.7109375" style="42" customWidth="1"/>
    <col min="6" max="13" width="8.7109375" style="42" customWidth="1"/>
    <col min="14" max="14" width="8.7109375" style="151" customWidth="1"/>
    <col min="15" max="18" width="8.7109375" style="42" customWidth="1"/>
    <col min="19" max="19" width="16.42578125" style="42" customWidth="1"/>
    <col min="20" max="20" width="5.85546875" style="42" customWidth="1"/>
    <col min="21" max="21" width="7.28515625" style="42" customWidth="1"/>
    <col min="22" max="22" width="36.5703125" style="42" customWidth="1"/>
    <col min="23" max="23" width="19.140625" style="42" customWidth="1"/>
    <col min="24" max="24" width="21.140625" style="42" customWidth="1"/>
    <col min="25" max="16384" width="14.7109375" style="42"/>
  </cols>
  <sheetData>
    <row r="1" spans="1:26" ht="33" customHeight="1" x14ac:dyDescent="0.25">
      <c r="A1" s="1245"/>
      <c r="B1" s="1246"/>
      <c r="C1" s="1251" t="s">
        <v>0</v>
      </c>
      <c r="D1" s="1231"/>
      <c r="E1" s="1231"/>
      <c r="F1" s="1231"/>
      <c r="G1" s="1231"/>
      <c r="H1" s="1231"/>
      <c r="I1" s="1231"/>
      <c r="J1" s="1231"/>
      <c r="K1" s="1231"/>
      <c r="L1" s="1231"/>
      <c r="M1" s="1231"/>
      <c r="N1" s="1231"/>
      <c r="O1" s="1231"/>
      <c r="P1" s="1231"/>
      <c r="Q1" s="1231"/>
      <c r="R1" s="1231"/>
      <c r="S1" s="1231"/>
      <c r="T1" s="1231"/>
      <c r="U1" s="1231"/>
      <c r="V1" s="1252"/>
      <c r="W1" s="156"/>
      <c r="X1" s="156"/>
      <c r="Y1" s="156"/>
      <c r="Z1" s="156"/>
    </row>
    <row r="2" spans="1:26" ht="30" customHeight="1" x14ac:dyDescent="0.25">
      <c r="A2" s="1247"/>
      <c r="B2" s="1248"/>
      <c r="C2" s="1253" t="s">
        <v>1</v>
      </c>
      <c r="D2" s="1254"/>
      <c r="E2" s="1254"/>
      <c r="F2" s="1254"/>
      <c r="G2" s="1254"/>
      <c r="H2" s="1254"/>
      <c r="I2" s="1254"/>
      <c r="J2" s="1254"/>
      <c r="K2" s="1254"/>
      <c r="L2" s="1254"/>
      <c r="M2" s="1254"/>
      <c r="N2" s="1254"/>
      <c r="O2" s="1254"/>
      <c r="P2" s="1254"/>
      <c r="Q2" s="1254"/>
      <c r="R2" s="1254"/>
      <c r="S2" s="1254"/>
      <c r="T2" s="1254"/>
      <c r="U2" s="1254"/>
      <c r="V2" s="1255"/>
      <c r="W2" s="156"/>
      <c r="X2" s="156"/>
      <c r="Y2" s="156"/>
      <c r="Z2" s="156"/>
    </row>
    <row r="3" spans="1:26" ht="27.75" customHeight="1" x14ac:dyDescent="0.25">
      <c r="A3" s="1247"/>
      <c r="B3" s="1248"/>
      <c r="C3" s="180" t="s">
        <v>4</v>
      </c>
      <c r="D3" s="1256" t="s">
        <v>5</v>
      </c>
      <c r="E3" s="1254"/>
      <c r="F3" s="1254"/>
      <c r="G3" s="1254"/>
      <c r="H3" s="1254"/>
      <c r="I3" s="1254"/>
      <c r="J3" s="1254"/>
      <c r="K3" s="1254"/>
      <c r="L3" s="1254"/>
      <c r="M3" s="1254"/>
      <c r="N3" s="1254"/>
      <c r="O3" s="1254"/>
      <c r="P3" s="1254"/>
      <c r="Q3" s="1254"/>
      <c r="R3" s="1254"/>
      <c r="S3" s="1254"/>
      <c r="T3" s="1254"/>
      <c r="U3" s="1254"/>
      <c r="V3" s="1255"/>
      <c r="W3" s="156"/>
      <c r="X3" s="156"/>
      <c r="Y3" s="156"/>
      <c r="Z3" s="156"/>
    </row>
    <row r="4" spans="1:26" ht="33" customHeight="1" thickBot="1" x14ac:dyDescent="0.3">
      <c r="A4" s="1249"/>
      <c r="B4" s="1250"/>
      <c r="C4" s="179" t="s">
        <v>6</v>
      </c>
      <c r="D4" s="1257" t="s">
        <v>7</v>
      </c>
      <c r="E4" s="1258"/>
      <c r="F4" s="1258"/>
      <c r="G4" s="1258"/>
      <c r="H4" s="1258"/>
      <c r="I4" s="1258"/>
      <c r="J4" s="1258"/>
      <c r="K4" s="1258"/>
      <c r="L4" s="1258"/>
      <c r="M4" s="1258"/>
      <c r="N4" s="1258"/>
      <c r="O4" s="1258"/>
      <c r="P4" s="1258"/>
      <c r="Q4" s="1258"/>
      <c r="R4" s="1258"/>
      <c r="S4" s="1258"/>
      <c r="T4" s="1258"/>
      <c r="U4" s="1258"/>
      <c r="V4" s="1259"/>
      <c r="W4" s="156"/>
      <c r="X4" s="156"/>
      <c r="Y4" s="156"/>
      <c r="Z4" s="156"/>
    </row>
    <row r="5" spans="1:26" ht="13.5" customHeight="1" thickBot="1" x14ac:dyDescent="0.3">
      <c r="A5" s="178"/>
      <c r="B5" s="156"/>
      <c r="C5" s="157"/>
      <c r="D5" s="156"/>
      <c r="E5" s="156"/>
      <c r="F5" s="156"/>
      <c r="G5" s="156"/>
      <c r="H5" s="156"/>
      <c r="I5" s="156"/>
      <c r="J5" s="156"/>
      <c r="K5" s="156"/>
      <c r="L5" s="156"/>
      <c r="M5" s="156"/>
      <c r="N5" s="155"/>
      <c r="O5" s="154"/>
      <c r="P5" s="154"/>
      <c r="Q5" s="154"/>
      <c r="R5" s="154"/>
      <c r="S5" s="154"/>
      <c r="T5" s="154"/>
      <c r="U5" s="154"/>
      <c r="V5" s="177"/>
      <c r="W5" s="156"/>
      <c r="X5" s="156"/>
      <c r="Y5" s="156"/>
      <c r="Z5" s="156"/>
    </row>
    <row r="6" spans="1:26" ht="42.75" customHeight="1" x14ac:dyDescent="0.25">
      <c r="A6" s="176" t="s">
        <v>12</v>
      </c>
      <c r="B6" s="1159" t="s">
        <v>14</v>
      </c>
      <c r="C6" s="175" t="s">
        <v>15</v>
      </c>
      <c r="D6" s="1260" t="s">
        <v>16</v>
      </c>
      <c r="E6" s="1232"/>
      <c r="F6" s="1230" t="s">
        <v>232</v>
      </c>
      <c r="G6" s="1231"/>
      <c r="H6" s="1231"/>
      <c r="I6" s="1231"/>
      <c r="J6" s="1231"/>
      <c r="K6" s="1231"/>
      <c r="L6" s="1231"/>
      <c r="M6" s="1231"/>
      <c r="N6" s="1231"/>
      <c r="O6" s="1231"/>
      <c r="P6" s="1231"/>
      <c r="Q6" s="1231"/>
      <c r="R6" s="1231"/>
      <c r="S6" s="1232"/>
      <c r="T6" s="1230" t="s">
        <v>21</v>
      </c>
      <c r="U6" s="1232"/>
      <c r="V6" s="1157" t="s">
        <v>530</v>
      </c>
      <c r="W6" s="153"/>
      <c r="X6" s="153"/>
      <c r="Y6" s="153"/>
      <c r="Z6" s="153"/>
    </row>
    <row r="7" spans="1:26" ht="44.25" customHeight="1" thickBot="1" x14ac:dyDescent="0.3">
      <c r="A7" s="174"/>
      <c r="B7" s="1160"/>
      <c r="C7" s="165"/>
      <c r="D7" s="173" t="s">
        <v>50</v>
      </c>
      <c r="E7" s="173" t="s">
        <v>52</v>
      </c>
      <c r="F7" s="521" t="s">
        <v>53</v>
      </c>
      <c r="G7" s="171" t="s">
        <v>54</v>
      </c>
      <c r="H7" s="171" t="s">
        <v>57</v>
      </c>
      <c r="I7" s="171" t="s">
        <v>58</v>
      </c>
      <c r="J7" s="171" t="s">
        <v>59</v>
      </c>
      <c r="K7" s="171" t="s">
        <v>60</v>
      </c>
      <c r="L7" s="171" t="s">
        <v>61</v>
      </c>
      <c r="M7" s="171" t="s">
        <v>62</v>
      </c>
      <c r="N7" s="172" t="s">
        <v>63</v>
      </c>
      <c r="O7" s="171" t="s">
        <v>64</v>
      </c>
      <c r="P7" s="171" t="s">
        <v>65</v>
      </c>
      <c r="Q7" s="171" t="s">
        <v>67</v>
      </c>
      <c r="R7" s="171" t="s">
        <v>68</v>
      </c>
      <c r="S7" s="522" t="s">
        <v>69</v>
      </c>
      <c r="T7" s="170" t="s">
        <v>70</v>
      </c>
      <c r="U7" s="169" t="s">
        <v>72</v>
      </c>
      <c r="V7" s="1158"/>
      <c r="W7" s="153"/>
      <c r="X7" s="153"/>
      <c r="Y7" s="153"/>
      <c r="Z7" s="153"/>
    </row>
    <row r="8" spans="1:26" ht="34.5" customHeight="1" x14ac:dyDescent="0.25">
      <c r="A8" s="1261" t="s">
        <v>74</v>
      </c>
      <c r="B8" s="1233" t="s">
        <v>205</v>
      </c>
      <c r="C8" s="1241" t="s">
        <v>75</v>
      </c>
      <c r="D8" s="1223" t="s">
        <v>77</v>
      </c>
      <c r="E8" s="1223"/>
      <c r="F8" s="886" t="s">
        <v>82</v>
      </c>
      <c r="G8" s="887"/>
      <c r="H8" s="887"/>
      <c r="I8" s="887">
        <v>0.1</v>
      </c>
      <c r="J8" s="887"/>
      <c r="K8" s="887"/>
      <c r="L8" s="887">
        <v>0.3</v>
      </c>
      <c r="M8" s="887"/>
      <c r="N8" s="887"/>
      <c r="O8" s="887">
        <v>0.3</v>
      </c>
      <c r="P8" s="887"/>
      <c r="Q8" s="887"/>
      <c r="R8" s="887">
        <v>0.3</v>
      </c>
      <c r="S8" s="887">
        <f t="shared" ref="S8:S39" si="0">SUM(G8:R8)</f>
        <v>1</v>
      </c>
      <c r="T8" s="1182">
        <f>+U8</f>
        <v>4.1000000000000003E-3</v>
      </c>
      <c r="U8" s="1182">
        <v>4.1000000000000003E-3</v>
      </c>
      <c r="V8" s="1211" t="str">
        <f>+INVERSIÓN!AP123</f>
        <v xml:space="preserve">Se priorizaron las acciones competencia de la SEGAE para el cumplimiento del plan de acción de la Política Pública de Ecourbanismo y Construcción Sostenible - PPECS, mediante una matriz de registro, clasificación y consolidación de información, que pretende consignar la implementación de la política por medio de la generación de criterios de sostenibilidad ambiental consignados en los determinantes y/o lineamientos ambientales emitidos a 79 proyectos e instrumentos de planeamiento urbano y 7 proyectos inscritos en el programa Bogotá Construcción Sostenible (12Planes Parciales de Desarrollo, 7 Planes Parciales de Renovación Urbana, 23 Planes de Implantación, 2 Planes de Regularización y Manejo, 13 Compatibilidad de Usos de Vivienda, 22Diseños Paisajísticos de Parques y Zonas Verdes, 7 proyectos de Bogotá Construcción Sostenible); estos criterios de sostenibilidad ambiental aportan directamente al cumplimiento de las estrategias del Plan de Acción así: Movilidad Sostenible 14 proyectos, Consumo Responsable de Agua Potable 48 proyectos, Permeabilidad y Drenajes Sostenibles 26 proyectos, Calidad de Aire y Salud Ambiental 34 proyectos, Gestión de Infraestructuras Verdes y Servicios Ecosistémicos 83 proyectos, Gestión de Residuos Sólidos 41 proyectos, Residuos de la Construcción y la Demolición (RCD) 38 proyectos, Eficiencia Energética y Energía Renovable 46 proyectos, Edificaciones y Viviendas Urbanas y Rurales Sostenible 31 proyectos. Por otra parte, en revisión realizada por la SEGAE, SRHS, SCAAV, SSFFS, SER y SCASP, se evidencia que desde la SDA a través de los proyectos de Inversión del Plan de Desarrollo “Bogotá Mejor Para Todos”, da cumplimiento a 11 Metas de resultado del Plan de Acción de la PPECS.
Así mismo, como parte de la implementación de la PPECS se ajustaron las fórmulas de cálculo para los indicadores en cumplimiento de las metas del Plan de Acción - Resol 1319 de 2015(Consumo responsable de agua potable (m2), permeabilidad y drenajes sostenibles (m3), gestión de infraestructuras verdes y servicios ecosistémicos).
</v>
      </c>
      <c r="W8" s="153"/>
      <c r="X8" s="153"/>
      <c r="Y8" s="153"/>
      <c r="Z8" s="153"/>
    </row>
    <row r="9" spans="1:26" ht="33.75" customHeight="1" thickBot="1" x14ac:dyDescent="0.3">
      <c r="A9" s="1262"/>
      <c r="B9" s="1234"/>
      <c r="C9" s="1242"/>
      <c r="D9" s="1224"/>
      <c r="E9" s="1224"/>
      <c r="F9" s="888" t="s">
        <v>85</v>
      </c>
      <c r="G9" s="889"/>
      <c r="H9" s="889"/>
      <c r="I9" s="890">
        <v>6.25E-2</v>
      </c>
      <c r="J9" s="889"/>
      <c r="K9" s="889"/>
      <c r="L9" s="890">
        <v>0.33750000000000002</v>
      </c>
      <c r="M9" s="889"/>
      <c r="N9" s="889"/>
      <c r="O9" s="890">
        <v>0.3</v>
      </c>
      <c r="P9" s="889"/>
      <c r="Q9" s="889"/>
      <c r="R9" s="889">
        <v>0.13300000000000001</v>
      </c>
      <c r="S9" s="889">
        <f t="shared" si="0"/>
        <v>0.83299999999999996</v>
      </c>
      <c r="T9" s="1240"/>
      <c r="U9" s="1240"/>
      <c r="V9" s="1209"/>
      <c r="W9" s="153"/>
      <c r="X9" s="153"/>
      <c r="Y9" s="153"/>
      <c r="Z9" s="153"/>
    </row>
    <row r="10" spans="1:26" s="166" customFormat="1" ht="57" customHeight="1" x14ac:dyDescent="0.25">
      <c r="A10" s="1262"/>
      <c r="B10" s="1233" t="s">
        <v>91</v>
      </c>
      <c r="C10" s="1235" t="s">
        <v>93</v>
      </c>
      <c r="D10" s="1236" t="s">
        <v>77</v>
      </c>
      <c r="E10" s="1236"/>
      <c r="F10" s="886" t="s">
        <v>82</v>
      </c>
      <c r="G10" s="887"/>
      <c r="H10" s="887"/>
      <c r="I10" s="887">
        <v>0.25</v>
      </c>
      <c r="J10" s="887"/>
      <c r="K10" s="887"/>
      <c r="L10" s="887">
        <v>0.25</v>
      </c>
      <c r="M10" s="887"/>
      <c r="N10" s="887"/>
      <c r="O10" s="887">
        <v>0.25</v>
      </c>
      <c r="P10" s="887"/>
      <c r="Q10" s="887"/>
      <c r="R10" s="887">
        <v>0.25</v>
      </c>
      <c r="S10" s="887">
        <f t="shared" si="0"/>
        <v>1</v>
      </c>
      <c r="T10" s="1238">
        <f>+U10</f>
        <v>0.1162</v>
      </c>
      <c r="U10" s="1238">
        <v>0.1162</v>
      </c>
      <c r="V10" s="1211" t="str">
        <f>+INVERSIÓN!AP9</f>
        <v>Se incorporaron criterios de sostenibilidad ambiental a doscientos once (211) proyectos de diferentes escalas, tanto en espacio público como en privado, promoviendo la construcción sostenible y el ecourbanismo en la ciudad. Los proyectos a los cuales se les incorporó criterios de sostenibilidad corresponden a: Once (11) Planes Parciales de Desarrollo, tres (3) planes parciales de renovación urbana, un (1) plan parcial de regularización y manejo, siete (7) Planes de Implantación, doce (12) proyectos de compatibilidad de usos de vivienda en suelo restringido, un (1) proyecto de regularización de barrio, ciento treinta y dos (132) proyectos de diseño paisajístico de parques y zonas verdes, cinco (5) proyectos pre - reconocidos como ecoeficientes por el Programa Bogotá Construcción Sostenible y treinta y nueve (39) tramos de proyectos viales de la caja de vivienda popular.</v>
      </c>
    </row>
    <row r="11" spans="1:26" s="166" customFormat="1" ht="47.25" customHeight="1" thickBot="1" x14ac:dyDescent="0.3">
      <c r="A11" s="1262"/>
      <c r="B11" s="1234"/>
      <c r="C11" s="1196"/>
      <c r="D11" s="1237"/>
      <c r="E11" s="1237"/>
      <c r="F11" s="888" t="s">
        <v>85</v>
      </c>
      <c r="G11" s="889"/>
      <c r="H11" s="889"/>
      <c r="I11" s="889">
        <v>0.3</v>
      </c>
      <c r="J11" s="889"/>
      <c r="K11" s="889"/>
      <c r="L11" s="889">
        <v>0.25</v>
      </c>
      <c r="M11" s="889"/>
      <c r="N11" s="889"/>
      <c r="O11" s="889">
        <v>0.25</v>
      </c>
      <c r="P11" s="889"/>
      <c r="Q11" s="889"/>
      <c r="R11" s="889">
        <v>0.2</v>
      </c>
      <c r="S11" s="889">
        <f t="shared" si="0"/>
        <v>1</v>
      </c>
      <c r="T11" s="1239"/>
      <c r="U11" s="1239"/>
      <c r="V11" s="1212"/>
    </row>
    <row r="12" spans="1:26" ht="36" customHeight="1" x14ac:dyDescent="0.25">
      <c r="A12" s="1262"/>
      <c r="B12" s="1266" t="s">
        <v>97</v>
      </c>
      <c r="C12" s="1225" t="s">
        <v>98</v>
      </c>
      <c r="D12" s="1264" t="s">
        <v>77</v>
      </c>
      <c r="E12" s="1264"/>
      <c r="F12" s="886" t="s">
        <v>82</v>
      </c>
      <c r="G12" s="887"/>
      <c r="H12" s="887"/>
      <c r="I12" s="887">
        <v>0</v>
      </c>
      <c r="J12" s="887"/>
      <c r="K12" s="887"/>
      <c r="L12" s="887">
        <v>0.1</v>
      </c>
      <c r="M12" s="887"/>
      <c r="N12" s="887"/>
      <c r="O12" s="887">
        <v>0.3</v>
      </c>
      <c r="P12" s="887"/>
      <c r="Q12" s="887"/>
      <c r="R12" s="887">
        <v>0.6</v>
      </c>
      <c r="S12" s="887">
        <f t="shared" si="0"/>
        <v>1</v>
      </c>
      <c r="T12" s="1228">
        <f>+U12</f>
        <v>4.3200000000000002E-2</v>
      </c>
      <c r="U12" s="1228">
        <v>4.3200000000000002E-2</v>
      </c>
      <c r="V12" s="1209" t="str">
        <f>+INVERSIÓN!AP15</f>
        <v xml:space="preserve">Realizada la coordinación entre la Secretaría Distrital de Ambiente (SDA) y La Empresa de Acueducto de Bogotá (EAB ESP) y seleccionado el sitio en donde se implantará el proyecto, La EAB ESP envió viabilidad para el convenio interadministrativo de Cooperación el día 4/07/2017 bajo radicado 2017ER125902, y el primer semestre de 2017 se elaboró el DTS y los estudios previos cuyo objeto es: “Aunar recursos físicos, técnicos, financieros y humanos entre la Secretaría Distrital de Ambiente y la EAB-ESP para elaborar los diseños paisajísticos e ingeniería de detalle y primera fase de las obras para conformar un sistema urbano de drenaje sostenible en la zona de meandros del Rio Tunjuelo que supla permanentemente las necesidades hídricas del mismo”, para poder contratar los diseños del SUDS. Lo que corresponde a un 0,12% de ejecución.
Pese a lo anterior, la suscripción del convenio No. 1353 en mención fue realizado el 24/11/2017 y para la firma de acta de inicio la SDA se está a la espera de que EAB-ESP realice la apertura de la cuenta bancaria para la consignación de los recursos por parte de la SDA.
</v>
      </c>
      <c r="W12" s="153"/>
      <c r="X12" s="153"/>
      <c r="Y12" s="153"/>
      <c r="Z12" s="153"/>
    </row>
    <row r="13" spans="1:26" ht="39.75" customHeight="1" thickBot="1" x14ac:dyDescent="0.3">
      <c r="A13" s="1262"/>
      <c r="B13" s="1140"/>
      <c r="C13" s="1226"/>
      <c r="D13" s="1265"/>
      <c r="E13" s="1265"/>
      <c r="F13" s="888" t="s">
        <v>85</v>
      </c>
      <c r="G13" s="889"/>
      <c r="H13" s="889"/>
      <c r="I13" s="889">
        <v>0</v>
      </c>
      <c r="J13" s="889"/>
      <c r="K13" s="889"/>
      <c r="L13" s="889">
        <v>0.05</v>
      </c>
      <c r="M13" s="889"/>
      <c r="N13" s="889"/>
      <c r="O13" s="889">
        <v>0.3</v>
      </c>
      <c r="P13" s="889"/>
      <c r="Q13" s="889"/>
      <c r="R13" s="889">
        <v>0.15</v>
      </c>
      <c r="S13" s="889">
        <f>SUM(G13:R13)</f>
        <v>0.5</v>
      </c>
      <c r="T13" s="1228"/>
      <c r="U13" s="1228"/>
      <c r="V13" s="1209"/>
      <c r="W13" s="153"/>
      <c r="X13" s="153"/>
      <c r="Y13" s="153"/>
      <c r="Z13" s="153"/>
    </row>
    <row r="14" spans="1:26" ht="39" customHeight="1" x14ac:dyDescent="0.25">
      <c r="A14" s="1262"/>
      <c r="B14" s="1139" t="s">
        <v>99</v>
      </c>
      <c r="C14" s="1227" t="s">
        <v>100</v>
      </c>
      <c r="D14" s="891" t="s">
        <v>77</v>
      </c>
      <c r="E14" s="891"/>
      <c r="F14" s="886" t="s">
        <v>82</v>
      </c>
      <c r="G14" s="887"/>
      <c r="H14" s="887"/>
      <c r="I14" s="887">
        <v>0.25</v>
      </c>
      <c r="J14" s="887"/>
      <c r="K14" s="887"/>
      <c r="L14" s="887">
        <v>0.25</v>
      </c>
      <c r="M14" s="887"/>
      <c r="N14" s="887"/>
      <c r="O14" s="887">
        <v>0.25</v>
      </c>
      <c r="P14" s="887"/>
      <c r="Q14" s="887"/>
      <c r="R14" s="887">
        <v>0.25</v>
      </c>
      <c r="S14" s="887">
        <f t="shared" si="0"/>
        <v>1</v>
      </c>
      <c r="T14" s="1200">
        <f>+U14</f>
        <v>2.2200000000000001E-2</v>
      </c>
      <c r="U14" s="1200">
        <v>2.2200000000000001E-2</v>
      </c>
      <c r="V14" s="1211" t="str">
        <f>+INVERSIÓN!AP21</f>
        <v>Durante la vigencia 2017 se ha realizado el acompañamiento a 5002 m2 de infraestructura vegetada,  correspondientes a 3931 m2 de jardín vertical y 1071 m2 en techo verde, en proyectos existentes en espacio público y privado de las localidades de Candelaria (425 m2), Santa Fé (627.15 m2), Chapinero (888 m2), Barrios unidos (126 m2), Engativá (398 m2), Puente Aranda (102 m2), Usaquén (1100 m2), Fontibón (363 m2), Suba (445 m2) y Teusaquillo (526 m2) de la Ciudad de Bogotá.</v>
      </c>
      <c r="W14" s="153"/>
      <c r="X14" s="153"/>
      <c r="Y14" s="153"/>
      <c r="Z14" s="153"/>
    </row>
    <row r="15" spans="1:26" ht="37.5" customHeight="1" thickBot="1" x14ac:dyDescent="0.3">
      <c r="A15" s="1263"/>
      <c r="B15" s="1141"/>
      <c r="C15" s="1210"/>
      <c r="D15" s="892"/>
      <c r="E15" s="892"/>
      <c r="F15" s="888" t="s">
        <v>85</v>
      </c>
      <c r="G15" s="889"/>
      <c r="H15" s="889"/>
      <c r="I15" s="890">
        <v>0.25580000000000003</v>
      </c>
      <c r="J15" s="889"/>
      <c r="K15" s="889"/>
      <c r="L15" s="890">
        <v>0.29320000000000002</v>
      </c>
      <c r="M15" s="889"/>
      <c r="N15" s="889"/>
      <c r="O15" s="889">
        <v>0.25</v>
      </c>
      <c r="P15" s="889"/>
      <c r="Q15" s="889"/>
      <c r="R15" s="890">
        <v>0.20100000000000001</v>
      </c>
      <c r="S15" s="889">
        <f t="shared" si="0"/>
        <v>1</v>
      </c>
      <c r="T15" s="1178"/>
      <c r="U15" s="1178"/>
      <c r="V15" s="1212"/>
      <c r="W15" s="153"/>
      <c r="X15" s="153"/>
      <c r="Y15" s="153"/>
      <c r="Z15" s="153"/>
    </row>
    <row r="16" spans="1:26" ht="34.5" customHeight="1" x14ac:dyDescent="0.25">
      <c r="A16" s="1185" t="s">
        <v>104</v>
      </c>
      <c r="B16" s="1161" t="s">
        <v>108</v>
      </c>
      <c r="C16" s="1142" t="s">
        <v>109</v>
      </c>
      <c r="D16" s="893" t="s">
        <v>77</v>
      </c>
      <c r="E16" s="893"/>
      <c r="F16" s="886" t="s">
        <v>82</v>
      </c>
      <c r="G16" s="887"/>
      <c r="H16" s="887"/>
      <c r="I16" s="887">
        <v>0.1</v>
      </c>
      <c r="J16" s="887"/>
      <c r="K16" s="887"/>
      <c r="L16" s="887">
        <v>0.2</v>
      </c>
      <c r="M16" s="887"/>
      <c r="N16" s="887"/>
      <c r="O16" s="887">
        <v>0.25</v>
      </c>
      <c r="P16" s="887"/>
      <c r="Q16" s="887"/>
      <c r="R16" s="887">
        <v>0.45</v>
      </c>
      <c r="S16" s="887">
        <f t="shared" si="0"/>
        <v>1</v>
      </c>
      <c r="T16" s="1177">
        <f>+U16</f>
        <v>0.19819999999999999</v>
      </c>
      <c r="U16" s="1177">
        <v>0.19819999999999999</v>
      </c>
      <c r="V16" s="1217" t="str">
        <f>+INVERSIÓN!AP27</f>
        <v>Se realizó la evaluación de las empresas postuladas al Programa de Excelencia Ambiental Distrital - PREAD, y algunas empresas del Programa Gestión Ambiental Empresarial, de las cuales 139 obtuvieron un nivel entre muy bueno y excelente de acuerdo a la escala de validación del IDAE durante el trimestre, para un total de 150 durante todo el año. 
Adicionalmente se inició la recolección de la información de 300 empresas participantes del Programa Gestión Ambiental Empresarial durante el Ciclo del año 2017, las cuales serán medidas con el Índice durante el primer trimestre de 2018, de acuerdo a lo contemplado en el plan de trabajo; y se continuará con la validación de los indicadores de consumo de agua, energía y de generación de residuos peligrosos de este grupo de empresas.
Finalmente, se continuará desarrollando la herramienta electónica para la captura y consolidación de información, la cual será culminada durante el primer trimestre del año 2018.</v>
      </c>
      <c r="W16" s="153"/>
      <c r="X16" s="153"/>
      <c r="Y16" s="153"/>
      <c r="Z16" s="153"/>
    </row>
    <row r="17" spans="1:26" ht="39.75" customHeight="1" thickBot="1" x14ac:dyDescent="0.3">
      <c r="A17" s="1186"/>
      <c r="B17" s="1162"/>
      <c r="C17" s="1143"/>
      <c r="D17" s="894" t="s">
        <v>77</v>
      </c>
      <c r="E17" s="894"/>
      <c r="F17" s="888" t="s">
        <v>85</v>
      </c>
      <c r="G17" s="889"/>
      <c r="H17" s="889"/>
      <c r="I17" s="889">
        <v>7.0000000000000007E-2</v>
      </c>
      <c r="J17" s="889"/>
      <c r="K17" s="889"/>
      <c r="L17" s="889">
        <v>0.08</v>
      </c>
      <c r="M17" s="889"/>
      <c r="N17" s="889"/>
      <c r="O17" s="889">
        <v>0.1</v>
      </c>
      <c r="P17" s="889"/>
      <c r="Q17" s="889"/>
      <c r="R17" s="889">
        <v>0.5</v>
      </c>
      <c r="S17" s="889">
        <f t="shared" si="0"/>
        <v>0.75</v>
      </c>
      <c r="T17" s="1178"/>
      <c r="U17" s="1178"/>
      <c r="V17" s="1217"/>
      <c r="W17" s="153"/>
      <c r="X17" s="153"/>
      <c r="Y17" s="153"/>
      <c r="Z17" s="153"/>
    </row>
    <row r="18" spans="1:26" ht="24.95" customHeight="1" x14ac:dyDescent="0.25">
      <c r="A18" s="1186"/>
      <c r="B18" s="1139" t="s">
        <v>118</v>
      </c>
      <c r="C18" s="1227" t="s">
        <v>119</v>
      </c>
      <c r="D18" s="894" t="s">
        <v>77</v>
      </c>
      <c r="E18" s="894"/>
      <c r="F18" s="886" t="s">
        <v>82</v>
      </c>
      <c r="G18" s="887"/>
      <c r="H18" s="887"/>
      <c r="I18" s="887">
        <v>0.1</v>
      </c>
      <c r="J18" s="887"/>
      <c r="K18" s="887"/>
      <c r="L18" s="887">
        <v>0.2</v>
      </c>
      <c r="M18" s="887"/>
      <c r="N18" s="887"/>
      <c r="O18" s="887">
        <v>0.35</v>
      </c>
      <c r="P18" s="887"/>
      <c r="Q18" s="887"/>
      <c r="R18" s="887">
        <v>0.35</v>
      </c>
      <c r="S18" s="887">
        <f t="shared" si="0"/>
        <v>1</v>
      </c>
      <c r="T18" s="1177">
        <f>+U18</f>
        <v>5.1200000000000002E-2</v>
      </c>
      <c r="U18" s="1177">
        <v>5.1200000000000002E-2</v>
      </c>
      <c r="V18" s="1217" t="str">
        <f>+INVERSIÓN!AP33</f>
        <v>Tras recibir los comentarios a la consulta externa sobre el documento preliminar de la Política, doce (12) entidades atendieron el comunicado remitiendo las observaciones respectivas, de esta manera, se realizó una matriz que consolida la información recibida por cada componente del documento, y a su vez se desarrollo reunión de concertación entre el área la SPPI y la SEGAE el 16 de noviembre, cuyo objetivo fue definir los cambios o elementos que se mantienen en el documento. A partir de dicha reunión se establecieron  los aspectos a cambiar y mantener en el documento de Política. Por lo anterior,  se llevaron a cabo 8 de las 11 actividades establecidas en el procedimiento 126PM02-PR13 "Formulación y/o ajustes de Políticas y/o Instrumentos de planeación ambiental".</v>
      </c>
      <c r="W18" s="153"/>
      <c r="X18" s="153"/>
      <c r="Y18" s="153"/>
      <c r="Z18" s="153"/>
    </row>
    <row r="19" spans="1:26" ht="24.95" customHeight="1" thickBot="1" x14ac:dyDescent="0.3">
      <c r="A19" s="1186"/>
      <c r="B19" s="1162"/>
      <c r="C19" s="1143"/>
      <c r="D19" s="894" t="s">
        <v>77</v>
      </c>
      <c r="E19" s="894"/>
      <c r="F19" s="888" t="s">
        <v>85</v>
      </c>
      <c r="G19" s="889"/>
      <c r="H19" s="889"/>
      <c r="I19" s="889">
        <v>0.1</v>
      </c>
      <c r="J19" s="889"/>
      <c r="K19" s="889"/>
      <c r="L19" s="889">
        <v>0.2</v>
      </c>
      <c r="M19" s="889"/>
      <c r="N19" s="889"/>
      <c r="O19" s="889">
        <v>0.35</v>
      </c>
      <c r="P19" s="889"/>
      <c r="Q19" s="889"/>
      <c r="R19" s="889">
        <v>0.1</v>
      </c>
      <c r="S19" s="889">
        <f t="shared" si="0"/>
        <v>0.75</v>
      </c>
      <c r="T19" s="1178"/>
      <c r="U19" s="1178"/>
      <c r="V19" s="1217"/>
      <c r="W19" s="153"/>
      <c r="X19" s="153"/>
      <c r="Y19" s="153"/>
      <c r="Z19" s="153"/>
    </row>
    <row r="20" spans="1:26" ht="24.95" customHeight="1" x14ac:dyDescent="0.25">
      <c r="A20" s="1186"/>
      <c r="B20" s="1139" t="s">
        <v>206</v>
      </c>
      <c r="C20" s="1227" t="s">
        <v>207</v>
      </c>
      <c r="D20" s="894" t="s">
        <v>77</v>
      </c>
      <c r="E20" s="894"/>
      <c r="F20" s="886" t="s">
        <v>82</v>
      </c>
      <c r="G20" s="887"/>
      <c r="H20" s="887"/>
      <c r="I20" s="887">
        <v>0.25</v>
      </c>
      <c r="J20" s="887"/>
      <c r="K20" s="887"/>
      <c r="L20" s="887">
        <v>0.25</v>
      </c>
      <c r="M20" s="887"/>
      <c r="N20" s="887"/>
      <c r="O20" s="887">
        <v>0.25</v>
      </c>
      <c r="P20" s="887"/>
      <c r="Q20" s="887"/>
      <c r="R20" s="887">
        <v>0.1</v>
      </c>
      <c r="S20" s="887">
        <f t="shared" si="0"/>
        <v>0.85</v>
      </c>
      <c r="T20" s="1177">
        <f>+U20</f>
        <v>6.5100000000000005E-2</v>
      </c>
      <c r="U20" s="1177">
        <v>6.5100000000000005E-2</v>
      </c>
      <c r="V20" s="1220" t="s">
        <v>549</v>
      </c>
      <c r="W20" s="153"/>
      <c r="X20" s="153"/>
      <c r="Y20" s="153"/>
      <c r="Z20" s="153"/>
    </row>
    <row r="21" spans="1:26" ht="24.95" customHeight="1" thickBot="1" x14ac:dyDescent="0.3">
      <c r="A21" s="1205"/>
      <c r="B21" s="1141"/>
      <c r="C21" s="1210"/>
      <c r="D21" s="892" t="s">
        <v>77</v>
      </c>
      <c r="E21" s="892"/>
      <c r="F21" s="888" t="s">
        <v>85</v>
      </c>
      <c r="G21" s="889"/>
      <c r="H21" s="889"/>
      <c r="I21" s="889">
        <v>0.25</v>
      </c>
      <c r="J21" s="889"/>
      <c r="K21" s="889"/>
      <c r="L21" s="889">
        <v>0.25</v>
      </c>
      <c r="M21" s="889"/>
      <c r="N21" s="889"/>
      <c r="O21" s="889">
        <v>0.25</v>
      </c>
      <c r="P21" s="889"/>
      <c r="Q21" s="889"/>
      <c r="R21" s="889">
        <v>0.25</v>
      </c>
      <c r="S21" s="889">
        <f t="shared" si="0"/>
        <v>1</v>
      </c>
      <c r="T21" s="1178"/>
      <c r="U21" s="1178"/>
      <c r="V21" s="1217"/>
      <c r="W21" s="153"/>
      <c r="X21" s="153"/>
      <c r="Y21" s="153"/>
      <c r="Z21" s="153"/>
    </row>
    <row r="22" spans="1:26" ht="51" customHeight="1" x14ac:dyDescent="0.25">
      <c r="A22" s="1185" t="s">
        <v>127</v>
      </c>
      <c r="B22" s="1161" t="s">
        <v>128</v>
      </c>
      <c r="C22" s="1142" t="s">
        <v>129</v>
      </c>
      <c r="D22" s="893" t="s">
        <v>77</v>
      </c>
      <c r="E22" s="893"/>
      <c r="F22" s="886" t="s">
        <v>82</v>
      </c>
      <c r="G22" s="887"/>
      <c r="H22" s="887"/>
      <c r="I22" s="887">
        <v>0.15</v>
      </c>
      <c r="J22" s="887"/>
      <c r="K22" s="887"/>
      <c r="L22" s="887">
        <v>0.25</v>
      </c>
      <c r="M22" s="887"/>
      <c r="N22" s="887"/>
      <c r="O22" s="887">
        <v>0.25</v>
      </c>
      <c r="P22" s="887"/>
      <c r="Q22" s="887"/>
      <c r="R22" s="887">
        <v>0.35</v>
      </c>
      <c r="S22" s="887">
        <f t="shared" si="0"/>
        <v>1</v>
      </c>
      <c r="T22" s="1190">
        <f>+U22+U24+U26</f>
        <v>6.6000000000000003E-2</v>
      </c>
      <c r="U22" s="1177">
        <v>2.1999999999999999E-2</v>
      </c>
      <c r="V22" s="1216" t="s">
        <v>524</v>
      </c>
      <c r="W22" s="153"/>
      <c r="X22" s="153"/>
      <c r="Y22" s="153"/>
      <c r="Z22" s="153"/>
    </row>
    <row r="23" spans="1:26" ht="36" customHeight="1" thickBot="1" x14ac:dyDescent="0.3">
      <c r="A23" s="1186"/>
      <c r="B23" s="1140"/>
      <c r="C23" s="1143"/>
      <c r="D23" s="894" t="s">
        <v>77</v>
      </c>
      <c r="E23" s="894"/>
      <c r="F23" s="888" t="s">
        <v>85</v>
      </c>
      <c r="G23" s="889"/>
      <c r="H23" s="889"/>
      <c r="I23" s="889">
        <v>0.15</v>
      </c>
      <c r="J23" s="889"/>
      <c r="K23" s="889"/>
      <c r="L23" s="889">
        <v>0.3039</v>
      </c>
      <c r="M23" s="889"/>
      <c r="N23" s="889"/>
      <c r="O23" s="889">
        <v>0.2535</v>
      </c>
      <c r="P23" s="889"/>
      <c r="Q23" s="889"/>
      <c r="R23" s="890">
        <v>0.29260000000000003</v>
      </c>
      <c r="S23" s="890">
        <f>+R23+O23+L23+I23</f>
        <v>1</v>
      </c>
      <c r="T23" s="1172"/>
      <c r="U23" s="1178"/>
      <c r="V23" s="1215"/>
      <c r="W23" s="153"/>
      <c r="X23" s="153"/>
      <c r="Y23" s="153"/>
      <c r="Z23" s="153"/>
    </row>
    <row r="24" spans="1:26" ht="24.95" customHeight="1" x14ac:dyDescent="0.25">
      <c r="A24" s="1186"/>
      <c r="B24" s="1140"/>
      <c r="C24" s="1227" t="s">
        <v>131</v>
      </c>
      <c r="D24" s="894" t="s">
        <v>77</v>
      </c>
      <c r="E24" s="894"/>
      <c r="F24" s="886" t="s">
        <v>82</v>
      </c>
      <c r="G24" s="887"/>
      <c r="H24" s="887"/>
      <c r="I24" s="887">
        <v>0.15</v>
      </c>
      <c r="J24" s="887"/>
      <c r="K24" s="887"/>
      <c r="L24" s="887">
        <v>0.25</v>
      </c>
      <c r="M24" s="887"/>
      <c r="N24" s="887"/>
      <c r="O24" s="887">
        <v>0.25</v>
      </c>
      <c r="P24" s="887"/>
      <c r="Q24" s="887"/>
      <c r="R24" s="887">
        <v>0.35</v>
      </c>
      <c r="S24" s="887">
        <f t="shared" si="0"/>
        <v>1</v>
      </c>
      <c r="T24" s="1267"/>
      <c r="U24" s="1191">
        <v>2.1999999999999999E-2</v>
      </c>
      <c r="V24" s="1213" t="s">
        <v>525</v>
      </c>
      <c r="W24" s="153"/>
      <c r="X24" s="153"/>
      <c r="Y24" s="153"/>
      <c r="Z24" s="153"/>
    </row>
    <row r="25" spans="1:26" ht="24.95" customHeight="1" thickBot="1" x14ac:dyDescent="0.3">
      <c r="A25" s="1186"/>
      <c r="B25" s="1140"/>
      <c r="C25" s="1143"/>
      <c r="D25" s="894" t="s">
        <v>77</v>
      </c>
      <c r="E25" s="894"/>
      <c r="F25" s="888" t="s">
        <v>85</v>
      </c>
      <c r="G25" s="889"/>
      <c r="H25" s="889"/>
      <c r="I25" s="889">
        <v>0.15</v>
      </c>
      <c r="J25" s="889"/>
      <c r="K25" s="889"/>
      <c r="L25" s="889">
        <v>0.3039</v>
      </c>
      <c r="M25" s="889"/>
      <c r="N25" s="889"/>
      <c r="O25" s="889">
        <v>0.2535</v>
      </c>
      <c r="P25" s="889"/>
      <c r="Q25" s="889"/>
      <c r="R25" s="890">
        <v>0.29259999999999997</v>
      </c>
      <c r="S25" s="889">
        <f t="shared" si="0"/>
        <v>1</v>
      </c>
      <c r="T25" s="1172"/>
      <c r="U25" s="1192"/>
      <c r="V25" s="1215"/>
      <c r="W25" s="153"/>
      <c r="X25" s="153"/>
      <c r="Y25" s="153"/>
      <c r="Z25" s="153"/>
    </row>
    <row r="26" spans="1:26" ht="24.95" customHeight="1" x14ac:dyDescent="0.25">
      <c r="A26" s="1186"/>
      <c r="B26" s="1140"/>
      <c r="C26" s="1227" t="s">
        <v>132</v>
      </c>
      <c r="D26" s="894" t="s">
        <v>77</v>
      </c>
      <c r="E26" s="894"/>
      <c r="F26" s="886" t="s">
        <v>82</v>
      </c>
      <c r="G26" s="887"/>
      <c r="H26" s="887"/>
      <c r="I26" s="887">
        <v>0.2</v>
      </c>
      <c r="J26" s="887"/>
      <c r="K26" s="887"/>
      <c r="L26" s="887">
        <v>0.25</v>
      </c>
      <c r="M26" s="887"/>
      <c r="N26" s="887"/>
      <c r="O26" s="887">
        <v>0.25</v>
      </c>
      <c r="P26" s="887"/>
      <c r="Q26" s="887"/>
      <c r="R26" s="887">
        <v>0.3</v>
      </c>
      <c r="S26" s="887">
        <f t="shared" si="0"/>
        <v>1</v>
      </c>
      <c r="T26" s="1172"/>
      <c r="U26" s="1191">
        <v>2.1999999999999999E-2</v>
      </c>
      <c r="V26" s="1213" t="s">
        <v>526</v>
      </c>
      <c r="W26" s="153"/>
      <c r="X26" s="153"/>
      <c r="Y26" s="153"/>
      <c r="Z26" s="153"/>
    </row>
    <row r="27" spans="1:26" ht="24.95" customHeight="1" thickBot="1" x14ac:dyDescent="0.3">
      <c r="A27" s="1205"/>
      <c r="B27" s="1162"/>
      <c r="C27" s="1143"/>
      <c r="D27" s="894" t="s">
        <v>77</v>
      </c>
      <c r="E27" s="894"/>
      <c r="F27" s="888" t="s">
        <v>85</v>
      </c>
      <c r="G27" s="889"/>
      <c r="H27" s="889"/>
      <c r="I27" s="889">
        <v>0.2</v>
      </c>
      <c r="J27" s="889"/>
      <c r="K27" s="889"/>
      <c r="L27" s="889">
        <v>0.3039</v>
      </c>
      <c r="M27" s="889"/>
      <c r="N27" s="889"/>
      <c r="O27" s="889">
        <v>0.20300000000000001</v>
      </c>
      <c r="P27" s="889"/>
      <c r="Q27" s="889"/>
      <c r="R27" s="890">
        <v>0.29259999999999997</v>
      </c>
      <c r="S27" s="889">
        <f t="shared" si="0"/>
        <v>0.99950000000000006</v>
      </c>
      <c r="T27" s="1173"/>
      <c r="U27" s="1192"/>
      <c r="V27" s="1214"/>
      <c r="W27" s="153"/>
      <c r="X27" s="153"/>
      <c r="Y27" s="153"/>
      <c r="Z27" s="153"/>
    </row>
    <row r="28" spans="1:26" ht="40.5" customHeight="1" x14ac:dyDescent="0.25">
      <c r="A28" s="1185" t="s">
        <v>134</v>
      </c>
      <c r="B28" s="1139" t="s">
        <v>121</v>
      </c>
      <c r="C28" s="1227" t="s">
        <v>138</v>
      </c>
      <c r="D28" s="894" t="s">
        <v>77</v>
      </c>
      <c r="E28" s="894"/>
      <c r="F28" s="886" t="s">
        <v>82</v>
      </c>
      <c r="G28" s="887"/>
      <c r="H28" s="887"/>
      <c r="I28" s="887">
        <v>0.05</v>
      </c>
      <c r="J28" s="887"/>
      <c r="K28" s="887"/>
      <c r="L28" s="887">
        <v>0.2</v>
      </c>
      <c r="M28" s="887"/>
      <c r="N28" s="887"/>
      <c r="O28" s="887">
        <v>0.35</v>
      </c>
      <c r="P28" s="887"/>
      <c r="Q28" s="887"/>
      <c r="R28" s="887">
        <v>0.4</v>
      </c>
      <c r="S28" s="887">
        <f t="shared" si="0"/>
        <v>1</v>
      </c>
      <c r="T28" s="1177">
        <f>+U28+U30</f>
        <v>3.9199999999999999E-2</v>
      </c>
      <c r="U28" s="1177">
        <v>1.9599999999999999E-2</v>
      </c>
      <c r="V28" s="1187" t="s">
        <v>563</v>
      </c>
      <c r="W28" s="1155"/>
      <c r="X28" s="1156"/>
      <c r="Y28" s="153"/>
      <c r="Z28" s="153"/>
    </row>
    <row r="29" spans="1:26" ht="57.75" customHeight="1" thickBot="1" x14ac:dyDescent="0.3">
      <c r="A29" s="1186"/>
      <c r="B29" s="1140"/>
      <c r="C29" s="1210"/>
      <c r="D29" s="892" t="s">
        <v>77</v>
      </c>
      <c r="E29" s="892"/>
      <c r="F29" s="888" t="s">
        <v>85</v>
      </c>
      <c r="G29" s="889"/>
      <c r="H29" s="889"/>
      <c r="I29" s="889">
        <v>0.1643</v>
      </c>
      <c r="J29" s="889"/>
      <c r="K29" s="889"/>
      <c r="L29" s="889">
        <v>0.31840000000000002</v>
      </c>
      <c r="M29" s="889"/>
      <c r="N29" s="889"/>
      <c r="O29" s="889">
        <v>0.28389999999999999</v>
      </c>
      <c r="P29" s="889"/>
      <c r="Q29" s="889"/>
      <c r="R29" s="890">
        <f>+S29-O29-L29-I29</f>
        <v>0.23339999999999994</v>
      </c>
      <c r="S29" s="889">
        <v>1</v>
      </c>
      <c r="T29" s="1200"/>
      <c r="U29" s="1206"/>
      <c r="V29" s="1189"/>
      <c r="W29" s="1155"/>
      <c r="X29" s="1156"/>
      <c r="Y29" s="153"/>
      <c r="Z29" s="153"/>
    </row>
    <row r="30" spans="1:26" ht="66.75" customHeight="1" x14ac:dyDescent="0.25">
      <c r="A30" s="1186"/>
      <c r="B30" s="1140"/>
      <c r="C30" s="1142" t="s">
        <v>124</v>
      </c>
      <c r="D30" s="894" t="s">
        <v>77</v>
      </c>
      <c r="E30" s="894"/>
      <c r="F30" s="886" t="s">
        <v>82</v>
      </c>
      <c r="G30" s="887">
        <v>0</v>
      </c>
      <c r="H30" s="887">
        <v>0.05</v>
      </c>
      <c r="I30" s="887">
        <v>0.05</v>
      </c>
      <c r="J30" s="887">
        <v>0.4</v>
      </c>
      <c r="K30" s="887">
        <v>0.5</v>
      </c>
      <c r="L30" s="887"/>
      <c r="M30" s="887"/>
      <c r="N30" s="887"/>
      <c r="O30" s="887"/>
      <c r="P30" s="887"/>
      <c r="Q30" s="887"/>
      <c r="R30" s="887"/>
      <c r="S30" s="887">
        <f t="shared" si="0"/>
        <v>1</v>
      </c>
      <c r="T30" s="1200"/>
      <c r="U30" s="1182">
        <v>1.9599999999999999E-2</v>
      </c>
      <c r="V30" s="1199" t="s">
        <v>511</v>
      </c>
      <c r="W30" s="153"/>
      <c r="X30" s="153"/>
      <c r="Y30" s="153"/>
      <c r="Z30" s="153"/>
    </row>
    <row r="31" spans="1:26" ht="66.75" customHeight="1" thickBot="1" x14ac:dyDescent="0.3">
      <c r="A31" s="1186"/>
      <c r="B31" s="1141"/>
      <c r="C31" s="1210"/>
      <c r="D31" s="892" t="s">
        <v>77</v>
      </c>
      <c r="E31" s="892"/>
      <c r="F31" s="888" t="s">
        <v>85</v>
      </c>
      <c r="G31" s="889"/>
      <c r="H31" s="889">
        <v>0.05</v>
      </c>
      <c r="I31" s="889">
        <v>0.05</v>
      </c>
      <c r="J31" s="889">
        <v>0.2</v>
      </c>
      <c r="K31" s="889">
        <v>0.2</v>
      </c>
      <c r="L31" s="889">
        <v>0.2</v>
      </c>
      <c r="M31" s="889">
        <v>2.5000000000000001E-2</v>
      </c>
      <c r="N31" s="889">
        <v>2.5000000000000001E-2</v>
      </c>
      <c r="O31" s="889">
        <v>0.05</v>
      </c>
      <c r="P31" s="889">
        <v>7.0000000000000007E-2</v>
      </c>
      <c r="Q31" s="889">
        <v>7.0000000000000007E-2</v>
      </c>
      <c r="R31" s="889">
        <v>0.06</v>
      </c>
      <c r="S31" s="889">
        <f t="shared" si="0"/>
        <v>1.0000000000000002</v>
      </c>
      <c r="T31" s="1206"/>
      <c r="U31" s="1206"/>
      <c r="V31" s="1152"/>
      <c r="W31" s="153"/>
      <c r="X31" s="153"/>
      <c r="Y31" s="153"/>
      <c r="Z31" s="153"/>
    </row>
    <row r="32" spans="1:26" ht="46.5" customHeight="1" x14ac:dyDescent="0.25">
      <c r="A32" s="1186"/>
      <c r="B32" s="1161" t="s">
        <v>146</v>
      </c>
      <c r="C32" s="1142" t="s">
        <v>147</v>
      </c>
      <c r="D32" s="893" t="s">
        <v>77</v>
      </c>
      <c r="E32" s="893"/>
      <c r="F32" s="886" t="s">
        <v>82</v>
      </c>
      <c r="G32" s="886">
        <v>8.3299999999999999E-2</v>
      </c>
      <c r="H32" s="886">
        <v>8.3299999999999999E-2</v>
      </c>
      <c r="I32" s="886">
        <v>8.3299999999999999E-2</v>
      </c>
      <c r="J32" s="886">
        <v>8.3299999999999999E-2</v>
      </c>
      <c r="K32" s="886">
        <v>8.3299999999999999E-2</v>
      </c>
      <c r="L32" s="886">
        <v>8.3299999999999999E-2</v>
      </c>
      <c r="M32" s="886">
        <v>8.3299999999999999E-2</v>
      </c>
      <c r="N32" s="886">
        <v>8.3299999999999999E-2</v>
      </c>
      <c r="O32" s="886">
        <v>8.3299999999999999E-2</v>
      </c>
      <c r="P32" s="886">
        <v>8.3299999999999999E-2</v>
      </c>
      <c r="Q32" s="886">
        <v>8.3299999999999999E-2</v>
      </c>
      <c r="R32" s="886">
        <v>8.3299999999999999E-2</v>
      </c>
      <c r="S32" s="886">
        <f t="shared" si="0"/>
        <v>0.99960000000000016</v>
      </c>
      <c r="T32" s="1200">
        <f>+U32</f>
        <v>1.44E-2</v>
      </c>
      <c r="U32" s="1177">
        <v>1.44E-2</v>
      </c>
      <c r="V32" s="1187" t="str">
        <f>+INVERSIÓN!AP57</f>
        <v>Durante el periodo comprendido entre enero a diciembre de 2017 , se realizaron  visitas de control  a 1328 establecimientos y702 visitas de seguimiento del registro de los establecimientos, generadores y gestores de llantas usadas, ubicados en el perímetro urbano del Distrito Capital, verificando el cumplimiento de la normatividad ambiental a  establecimientos  de acopio de llantas usadas, para un total de 2030 visitas.</v>
      </c>
      <c r="W32" s="153"/>
      <c r="X32" s="153"/>
      <c r="Y32" s="153"/>
      <c r="Z32" s="153"/>
    </row>
    <row r="33" spans="1:26" ht="48" customHeight="1" thickBot="1" x14ac:dyDescent="0.3">
      <c r="A33" s="1186"/>
      <c r="B33" s="1162"/>
      <c r="C33" s="1143"/>
      <c r="D33" s="894" t="s">
        <v>77</v>
      </c>
      <c r="E33" s="894"/>
      <c r="F33" s="888" t="s">
        <v>85</v>
      </c>
      <c r="G33" s="888">
        <v>8.9499999999999996E-2</v>
      </c>
      <c r="H33" s="888">
        <v>9.9500000000000005E-2</v>
      </c>
      <c r="I33" s="888">
        <v>1.5E-3</v>
      </c>
      <c r="J33" s="888">
        <v>0.1</v>
      </c>
      <c r="K33" s="888">
        <v>0.15</v>
      </c>
      <c r="L33" s="888">
        <v>0.19</v>
      </c>
      <c r="M33" s="888">
        <v>9.3899999999999997E-2</v>
      </c>
      <c r="N33" s="888">
        <v>7.2900000000000006E-2</v>
      </c>
      <c r="O33" s="888">
        <v>7.0400000000000004E-2</v>
      </c>
      <c r="P33" s="895">
        <v>0.05</v>
      </c>
      <c r="Q33" s="895">
        <v>0.05</v>
      </c>
      <c r="R33" s="895">
        <v>3.2000000000000001E-2</v>
      </c>
      <c r="S33" s="888">
        <f t="shared" si="0"/>
        <v>0.99970000000000014</v>
      </c>
      <c r="T33" s="1222"/>
      <c r="U33" s="1206"/>
      <c r="V33" s="1152"/>
      <c r="W33" s="168"/>
      <c r="X33" s="168"/>
      <c r="Y33" s="168"/>
      <c r="Z33" s="153"/>
    </row>
    <row r="34" spans="1:26" ht="36" customHeight="1" x14ac:dyDescent="0.25">
      <c r="A34" s="1186"/>
      <c r="B34" s="1139" t="s">
        <v>148</v>
      </c>
      <c r="C34" s="1138" t="s">
        <v>231</v>
      </c>
      <c r="D34" s="896" t="s">
        <v>77</v>
      </c>
      <c r="E34" s="896"/>
      <c r="F34" s="886" t="s">
        <v>82</v>
      </c>
      <c r="G34" s="886"/>
      <c r="H34" s="886"/>
      <c r="I34" s="886">
        <v>0.05</v>
      </c>
      <c r="J34" s="886">
        <v>0.05</v>
      </c>
      <c r="K34" s="886">
        <v>0.1</v>
      </c>
      <c r="L34" s="886">
        <v>0.1</v>
      </c>
      <c r="M34" s="886">
        <v>0.1</v>
      </c>
      <c r="N34" s="886">
        <v>0.125</v>
      </c>
      <c r="O34" s="886">
        <v>0.125</v>
      </c>
      <c r="P34" s="886">
        <v>0.125</v>
      </c>
      <c r="Q34" s="886">
        <v>0.125</v>
      </c>
      <c r="R34" s="886">
        <v>0.1</v>
      </c>
      <c r="S34" s="886">
        <f t="shared" si="0"/>
        <v>1</v>
      </c>
      <c r="T34" s="1218">
        <f>+U34+U36</f>
        <v>1.4E-2</v>
      </c>
      <c r="U34" s="1221">
        <v>7.0000000000000001E-3</v>
      </c>
      <c r="V34" s="1187" t="s">
        <v>513</v>
      </c>
      <c r="W34" s="153"/>
      <c r="X34" s="153"/>
      <c r="Y34" s="153"/>
      <c r="Z34" s="153"/>
    </row>
    <row r="35" spans="1:26" ht="36" customHeight="1" thickBot="1" x14ac:dyDescent="0.3">
      <c r="A35" s="1186"/>
      <c r="B35" s="1140"/>
      <c r="C35" s="1138"/>
      <c r="D35" s="896" t="s">
        <v>77</v>
      </c>
      <c r="E35" s="896"/>
      <c r="F35" s="888" t="s">
        <v>85</v>
      </c>
      <c r="G35" s="888"/>
      <c r="H35" s="888"/>
      <c r="I35" s="888">
        <v>0</v>
      </c>
      <c r="J35" s="888">
        <v>0.05</v>
      </c>
      <c r="K35" s="888">
        <v>0.1</v>
      </c>
      <c r="L35" s="888">
        <v>0.1333</v>
      </c>
      <c r="M35" s="888">
        <v>1.7000000000000001E-2</v>
      </c>
      <c r="N35" s="888">
        <v>2.5000000000000001E-2</v>
      </c>
      <c r="O35" s="888">
        <v>2.5000000000000001E-2</v>
      </c>
      <c r="P35" s="888">
        <v>7.0000000000000007E-2</v>
      </c>
      <c r="Q35" s="888">
        <v>0.28000000000000003</v>
      </c>
      <c r="R35" s="888"/>
      <c r="S35" s="888">
        <f t="shared" si="0"/>
        <v>0.70030000000000014</v>
      </c>
      <c r="T35" s="1229"/>
      <c r="U35" s="1222"/>
      <c r="V35" s="1188"/>
      <c r="W35" s="153"/>
      <c r="X35" s="153"/>
      <c r="Y35" s="153"/>
      <c r="Z35" s="153"/>
    </row>
    <row r="36" spans="1:26" ht="36" customHeight="1" x14ac:dyDescent="0.25">
      <c r="A36" s="1186"/>
      <c r="B36" s="1140"/>
      <c r="C36" s="1138" t="s">
        <v>230</v>
      </c>
      <c r="D36" s="896"/>
      <c r="E36" s="896"/>
      <c r="F36" s="886" t="s">
        <v>82</v>
      </c>
      <c r="G36" s="886">
        <v>2.5000000000000001E-2</v>
      </c>
      <c r="H36" s="886">
        <v>0.08</v>
      </c>
      <c r="I36" s="886">
        <v>0.12</v>
      </c>
      <c r="J36" s="886">
        <v>0.125</v>
      </c>
      <c r="K36" s="886">
        <v>0.125</v>
      </c>
      <c r="L36" s="886">
        <v>0.125</v>
      </c>
      <c r="M36" s="886">
        <v>0.125</v>
      </c>
      <c r="N36" s="886">
        <v>0.125</v>
      </c>
      <c r="O36" s="886">
        <v>0.15</v>
      </c>
      <c r="P36" s="886"/>
      <c r="Q36" s="886"/>
      <c r="R36" s="886"/>
      <c r="S36" s="886">
        <f t="shared" si="0"/>
        <v>1</v>
      </c>
      <c r="T36" s="1229"/>
      <c r="U36" s="1218">
        <v>7.0000000000000001E-3</v>
      </c>
      <c r="V36" s="1179" t="s">
        <v>538</v>
      </c>
      <c r="W36" s="153"/>
      <c r="X36" s="153"/>
      <c r="Y36" s="153"/>
      <c r="Z36" s="153"/>
    </row>
    <row r="37" spans="1:26" ht="36" customHeight="1" thickBot="1" x14ac:dyDescent="0.3">
      <c r="A37" s="1205"/>
      <c r="B37" s="1141"/>
      <c r="C37" s="1138"/>
      <c r="D37" s="896"/>
      <c r="E37" s="896"/>
      <c r="F37" s="888" t="s">
        <v>85</v>
      </c>
      <c r="G37" s="888">
        <v>7.0000000000000007E-2</v>
      </c>
      <c r="H37" s="888">
        <v>0.09</v>
      </c>
      <c r="I37" s="888">
        <v>0.14000000000000001</v>
      </c>
      <c r="J37" s="888">
        <v>0.2</v>
      </c>
      <c r="K37" s="888">
        <v>0.25</v>
      </c>
      <c r="L37" s="888">
        <v>0.25</v>
      </c>
      <c r="M37" s="888">
        <v>0</v>
      </c>
      <c r="N37" s="888">
        <v>0</v>
      </c>
      <c r="O37" s="888">
        <v>0</v>
      </c>
      <c r="P37" s="888"/>
      <c r="Q37" s="888"/>
      <c r="R37" s="888"/>
      <c r="S37" s="888">
        <f t="shared" si="0"/>
        <v>1</v>
      </c>
      <c r="T37" s="1219"/>
      <c r="U37" s="1219"/>
      <c r="V37" s="1180"/>
      <c r="W37" s="153"/>
      <c r="X37" s="153"/>
      <c r="Y37" s="153"/>
      <c r="Z37" s="153"/>
    </row>
    <row r="38" spans="1:26" ht="38.25" customHeight="1" x14ac:dyDescent="0.25">
      <c r="A38" s="1185" t="s">
        <v>152</v>
      </c>
      <c r="B38" s="1161" t="s">
        <v>153</v>
      </c>
      <c r="C38" s="1138" t="s">
        <v>154</v>
      </c>
      <c r="D38" s="896" t="s">
        <v>77</v>
      </c>
      <c r="E38" s="896"/>
      <c r="F38" s="886" t="s">
        <v>82</v>
      </c>
      <c r="G38" s="886">
        <v>8.3299999999999999E-2</v>
      </c>
      <c r="H38" s="886">
        <v>8.3299999999999999E-2</v>
      </c>
      <c r="I38" s="886">
        <v>8.3299999999999999E-2</v>
      </c>
      <c r="J38" s="886">
        <v>8.3299999999999999E-2</v>
      </c>
      <c r="K38" s="886">
        <v>8.3299999999999999E-2</v>
      </c>
      <c r="L38" s="886">
        <v>8.3299999999999999E-2</v>
      </c>
      <c r="M38" s="886">
        <v>8.3299999999999999E-2</v>
      </c>
      <c r="N38" s="886">
        <v>8.3299999999999999E-2</v>
      </c>
      <c r="O38" s="886">
        <v>8.3299999999999999E-2</v>
      </c>
      <c r="P38" s="886">
        <v>8.3299999999999999E-2</v>
      </c>
      <c r="Q38" s="886">
        <v>8.3299999999999999E-2</v>
      </c>
      <c r="R38" s="886">
        <v>8.3299999999999999E-2</v>
      </c>
      <c r="S38" s="886">
        <f t="shared" si="0"/>
        <v>0.99960000000000016</v>
      </c>
      <c r="T38" s="1166">
        <f>+U38+U40+U42+U44+U46</f>
        <v>9.7500000000000003E-2</v>
      </c>
      <c r="U38" s="1200">
        <v>1.95E-2</v>
      </c>
      <c r="V38" s="1187" t="s">
        <v>514</v>
      </c>
      <c r="W38" s="153"/>
      <c r="X38" s="153"/>
      <c r="Y38" s="153"/>
      <c r="Z38" s="153"/>
    </row>
    <row r="39" spans="1:26" ht="38.25" customHeight="1" thickBot="1" x14ac:dyDescent="0.3">
      <c r="A39" s="1186"/>
      <c r="B39" s="1140"/>
      <c r="C39" s="1138"/>
      <c r="D39" s="896" t="s">
        <v>77</v>
      </c>
      <c r="E39" s="896"/>
      <c r="F39" s="888" t="s">
        <v>85</v>
      </c>
      <c r="G39" s="888">
        <v>8.3299999999999999E-2</v>
      </c>
      <c r="H39" s="888">
        <v>0.04</v>
      </c>
      <c r="I39" s="888">
        <v>5.0000000000000001E-3</v>
      </c>
      <c r="J39" s="888">
        <v>4.5100000000000001E-2</v>
      </c>
      <c r="K39" s="888">
        <v>7.0400000000000004E-2</v>
      </c>
      <c r="L39" s="888">
        <v>0.28999999999999998</v>
      </c>
      <c r="M39" s="888">
        <v>8.3299999999999999E-2</v>
      </c>
      <c r="N39" s="888">
        <v>8.3299999999999999E-2</v>
      </c>
      <c r="O39" s="888">
        <v>8.3299999999999999E-2</v>
      </c>
      <c r="P39" s="895">
        <v>8.3299999999999999E-2</v>
      </c>
      <c r="Q39" s="895">
        <v>7.2999999999999995E-2</v>
      </c>
      <c r="R39" s="888">
        <v>0.06</v>
      </c>
      <c r="S39" s="888">
        <f t="shared" si="0"/>
        <v>1.0000000000000002</v>
      </c>
      <c r="T39" s="1208"/>
      <c r="U39" s="1206"/>
      <c r="V39" s="1149"/>
      <c r="W39" s="153"/>
      <c r="X39" s="153"/>
      <c r="Y39" s="153"/>
      <c r="Z39" s="153"/>
    </row>
    <row r="40" spans="1:26" ht="24.95" customHeight="1" x14ac:dyDescent="0.25">
      <c r="A40" s="1186"/>
      <c r="B40" s="1140"/>
      <c r="C40" s="1138" t="s">
        <v>158</v>
      </c>
      <c r="D40" s="896" t="s">
        <v>77</v>
      </c>
      <c r="E40" s="896"/>
      <c r="F40" s="886" t="s">
        <v>82</v>
      </c>
      <c r="G40" s="886">
        <v>8.3299999999999999E-2</v>
      </c>
      <c r="H40" s="886">
        <v>8.3299999999999999E-2</v>
      </c>
      <c r="I40" s="886">
        <v>8.3299999999999999E-2</v>
      </c>
      <c r="J40" s="886">
        <v>8.3299999999999999E-2</v>
      </c>
      <c r="K40" s="886">
        <v>8.3299999999999999E-2</v>
      </c>
      <c r="L40" s="886">
        <v>8.3299999999999999E-2</v>
      </c>
      <c r="M40" s="886">
        <v>8.3299999999999999E-2</v>
      </c>
      <c r="N40" s="886">
        <v>8.3299999999999999E-2</v>
      </c>
      <c r="O40" s="886">
        <v>8.3299999999999999E-2</v>
      </c>
      <c r="P40" s="886">
        <v>8.3299999999999999E-2</v>
      </c>
      <c r="Q40" s="886">
        <v>8.3299999999999999E-2</v>
      </c>
      <c r="R40" s="886">
        <v>8.3299999999999999E-2</v>
      </c>
      <c r="S40" s="886">
        <f t="shared" ref="S40:S65" si="1">SUM(G40:R40)</f>
        <v>0.99960000000000016</v>
      </c>
      <c r="T40" s="1208"/>
      <c r="U40" s="1182">
        <v>1.95E-2</v>
      </c>
      <c r="V40" s="1148" t="s">
        <v>515</v>
      </c>
      <c r="W40" s="153"/>
      <c r="X40" s="153"/>
      <c r="Y40" s="153"/>
      <c r="Z40" s="153"/>
    </row>
    <row r="41" spans="1:26" ht="24.95" customHeight="1" thickBot="1" x14ac:dyDescent="0.3">
      <c r="A41" s="1186"/>
      <c r="B41" s="1140"/>
      <c r="C41" s="1138"/>
      <c r="D41" s="896" t="s">
        <v>77</v>
      </c>
      <c r="E41" s="896"/>
      <c r="F41" s="888" t="s">
        <v>85</v>
      </c>
      <c r="G41" s="888">
        <v>8.3299999999999999E-2</v>
      </c>
      <c r="H41" s="888">
        <v>8.3299999999999999E-2</v>
      </c>
      <c r="I41" s="888">
        <v>0</v>
      </c>
      <c r="J41" s="888">
        <v>8.3299999999999999E-2</v>
      </c>
      <c r="K41" s="888">
        <v>0.12</v>
      </c>
      <c r="L41" s="888">
        <v>0.15</v>
      </c>
      <c r="M41" s="888">
        <v>0.15</v>
      </c>
      <c r="N41" s="888">
        <v>0.15</v>
      </c>
      <c r="O41" s="888">
        <v>0.10879999999999999</v>
      </c>
      <c r="P41" s="888">
        <v>0</v>
      </c>
      <c r="Q41" s="888">
        <v>0</v>
      </c>
      <c r="R41" s="888">
        <v>0</v>
      </c>
      <c r="S41" s="888">
        <f t="shared" si="1"/>
        <v>0.92870000000000008</v>
      </c>
      <c r="T41" s="1208"/>
      <c r="U41" s="1206"/>
      <c r="V41" s="1149"/>
      <c r="W41" s="153"/>
      <c r="X41" s="153"/>
      <c r="Y41" s="153"/>
      <c r="Z41" s="153"/>
    </row>
    <row r="42" spans="1:26" ht="24.95" customHeight="1" x14ac:dyDescent="0.25">
      <c r="A42" s="1186"/>
      <c r="B42" s="1140"/>
      <c r="C42" s="1138" t="s">
        <v>160</v>
      </c>
      <c r="D42" s="896" t="s">
        <v>77</v>
      </c>
      <c r="E42" s="896"/>
      <c r="F42" s="886" t="s">
        <v>82</v>
      </c>
      <c r="G42" s="886">
        <v>8.3299999999999999E-2</v>
      </c>
      <c r="H42" s="886">
        <v>8.3299999999999999E-2</v>
      </c>
      <c r="I42" s="886">
        <v>8.3299999999999999E-2</v>
      </c>
      <c r="J42" s="886">
        <v>8.3299999999999999E-2</v>
      </c>
      <c r="K42" s="886">
        <v>8.3299999999999999E-2</v>
      </c>
      <c r="L42" s="886">
        <v>8.3299999999999999E-2</v>
      </c>
      <c r="M42" s="886">
        <v>8.3299999999999999E-2</v>
      </c>
      <c r="N42" s="886">
        <v>8.3299999999999999E-2</v>
      </c>
      <c r="O42" s="886">
        <v>8.3299999999999999E-2</v>
      </c>
      <c r="P42" s="886">
        <v>8.3299999999999999E-2</v>
      </c>
      <c r="Q42" s="886">
        <v>8.3299999999999999E-2</v>
      </c>
      <c r="R42" s="886">
        <v>8.3299999999999999E-2</v>
      </c>
      <c r="S42" s="886">
        <f t="shared" si="1"/>
        <v>0.99960000000000016</v>
      </c>
      <c r="T42" s="1208"/>
      <c r="U42" s="1182">
        <v>1.95E-2</v>
      </c>
      <c r="V42" s="1148" t="s">
        <v>517</v>
      </c>
      <c r="W42" s="153"/>
      <c r="X42" s="153"/>
      <c r="Y42" s="153"/>
      <c r="Z42" s="153"/>
    </row>
    <row r="43" spans="1:26" ht="24.95" customHeight="1" thickBot="1" x14ac:dyDescent="0.3">
      <c r="A43" s="1186"/>
      <c r="B43" s="1140"/>
      <c r="C43" s="1138"/>
      <c r="D43" s="896" t="s">
        <v>77</v>
      </c>
      <c r="E43" s="896"/>
      <c r="F43" s="888" t="s">
        <v>85</v>
      </c>
      <c r="G43" s="888">
        <v>8.3299999999999999E-2</v>
      </c>
      <c r="H43" s="888">
        <v>8.3299999999999999E-2</v>
      </c>
      <c r="I43" s="888">
        <v>5.0000000000000001E-3</v>
      </c>
      <c r="J43" s="888">
        <v>8.3299999999999999E-2</v>
      </c>
      <c r="K43" s="888">
        <v>0.12</v>
      </c>
      <c r="L43" s="888">
        <v>0.15</v>
      </c>
      <c r="M43" s="888">
        <v>8.3299999999999999E-2</v>
      </c>
      <c r="N43" s="888">
        <v>8.3299999999999999E-2</v>
      </c>
      <c r="O43" s="888">
        <v>8.3299999999999999E-2</v>
      </c>
      <c r="P43" s="888">
        <v>8.3299999999999999E-2</v>
      </c>
      <c r="Q43" s="888">
        <v>8.3299999999999999E-2</v>
      </c>
      <c r="R43" s="888">
        <v>5.8999999999999997E-2</v>
      </c>
      <c r="S43" s="888">
        <f t="shared" si="1"/>
        <v>1.0004000000000002</v>
      </c>
      <c r="T43" s="1208"/>
      <c r="U43" s="1206"/>
      <c r="V43" s="1149"/>
      <c r="W43" s="153"/>
      <c r="X43" s="153"/>
      <c r="Y43" s="153"/>
      <c r="Z43" s="153"/>
    </row>
    <row r="44" spans="1:26" ht="37.5" customHeight="1" x14ac:dyDescent="0.25">
      <c r="A44" s="1186"/>
      <c r="B44" s="1140"/>
      <c r="C44" s="1138" t="s">
        <v>161</v>
      </c>
      <c r="D44" s="896" t="s">
        <v>77</v>
      </c>
      <c r="E44" s="896"/>
      <c r="F44" s="886" t="s">
        <v>82</v>
      </c>
      <c r="G44" s="886">
        <v>8.3299999999999999E-2</v>
      </c>
      <c r="H44" s="886">
        <v>8.3299999999999999E-2</v>
      </c>
      <c r="I44" s="886">
        <v>8.3299999999999999E-2</v>
      </c>
      <c r="J44" s="886">
        <v>8.3299999999999999E-2</v>
      </c>
      <c r="K44" s="886">
        <v>8.3299999999999999E-2</v>
      </c>
      <c r="L44" s="886">
        <v>8.3299999999999999E-2</v>
      </c>
      <c r="M44" s="886">
        <v>8.3299999999999999E-2</v>
      </c>
      <c r="N44" s="886">
        <v>8.3299999999999999E-2</v>
      </c>
      <c r="O44" s="886">
        <v>8.3299999999999999E-2</v>
      </c>
      <c r="P44" s="886">
        <v>8.3299999999999999E-2</v>
      </c>
      <c r="Q44" s="886">
        <v>8.3299999999999999E-2</v>
      </c>
      <c r="R44" s="886">
        <v>8.3299999999999999E-2</v>
      </c>
      <c r="S44" s="886">
        <f t="shared" si="1"/>
        <v>0.99960000000000016</v>
      </c>
      <c r="T44" s="1208"/>
      <c r="U44" s="1182">
        <v>1.95E-2</v>
      </c>
      <c r="V44" s="1148" t="s">
        <v>516</v>
      </c>
      <c r="W44" s="153"/>
      <c r="X44" s="153"/>
      <c r="Y44" s="153"/>
      <c r="Z44" s="153"/>
    </row>
    <row r="45" spans="1:26" ht="37.5" customHeight="1" thickBot="1" x14ac:dyDescent="0.3">
      <c r="A45" s="1186"/>
      <c r="B45" s="1140"/>
      <c r="C45" s="1138"/>
      <c r="D45" s="896" t="s">
        <v>77</v>
      </c>
      <c r="E45" s="896"/>
      <c r="F45" s="888" t="s">
        <v>85</v>
      </c>
      <c r="G45" s="888">
        <v>8.3299999999999999E-2</v>
      </c>
      <c r="H45" s="888">
        <v>8.3299999999999999E-2</v>
      </c>
      <c r="I45" s="888">
        <v>0.01</v>
      </c>
      <c r="J45" s="888">
        <v>8.3299999999999999E-2</v>
      </c>
      <c r="K45" s="888">
        <v>0.1183</v>
      </c>
      <c r="L45" s="888">
        <v>0.13</v>
      </c>
      <c r="M45" s="888">
        <v>8.3299999999999999E-2</v>
      </c>
      <c r="N45" s="888">
        <v>8.3299999999999999E-2</v>
      </c>
      <c r="O45" s="888">
        <v>8.3299999999999999E-2</v>
      </c>
      <c r="P45" s="888">
        <v>8.3000000000000004E-2</v>
      </c>
      <c r="Q45" s="888">
        <v>8.3000000000000004E-2</v>
      </c>
      <c r="R45" s="888">
        <v>7.5999999999999998E-2</v>
      </c>
      <c r="S45" s="888">
        <f t="shared" si="1"/>
        <v>1.0001</v>
      </c>
      <c r="T45" s="1208"/>
      <c r="U45" s="1206"/>
      <c r="V45" s="1149"/>
      <c r="W45" s="153"/>
      <c r="X45" s="153"/>
      <c r="Y45" s="153"/>
      <c r="Z45" s="153"/>
    </row>
    <row r="46" spans="1:26" ht="40.5" customHeight="1" x14ac:dyDescent="0.25">
      <c r="A46" s="1186"/>
      <c r="B46" s="1140"/>
      <c r="C46" s="1138" t="s">
        <v>162</v>
      </c>
      <c r="D46" s="896" t="s">
        <v>77</v>
      </c>
      <c r="E46" s="896"/>
      <c r="F46" s="886" t="s">
        <v>82</v>
      </c>
      <c r="G46" s="886">
        <v>8.3299999999999999E-2</v>
      </c>
      <c r="H46" s="886">
        <v>8.3299999999999999E-2</v>
      </c>
      <c r="I46" s="886">
        <v>8.3299999999999999E-2</v>
      </c>
      <c r="J46" s="886">
        <v>8.3299999999999999E-2</v>
      </c>
      <c r="K46" s="886">
        <v>8.3299999999999999E-2</v>
      </c>
      <c r="L46" s="886">
        <v>8.3299999999999999E-2</v>
      </c>
      <c r="M46" s="886">
        <v>8.3299999999999999E-2</v>
      </c>
      <c r="N46" s="886">
        <v>8.3299999999999999E-2</v>
      </c>
      <c r="O46" s="886">
        <v>8.3299999999999999E-2</v>
      </c>
      <c r="P46" s="886">
        <v>8.3299999999999999E-2</v>
      </c>
      <c r="Q46" s="886">
        <v>8.3299999999999999E-2</v>
      </c>
      <c r="R46" s="886">
        <v>8.3299999999999999E-2</v>
      </c>
      <c r="S46" s="886">
        <f t="shared" si="1"/>
        <v>0.99960000000000016</v>
      </c>
      <c r="T46" s="1208"/>
      <c r="U46" s="1182">
        <v>1.95E-2</v>
      </c>
      <c r="V46" s="1179" t="s">
        <v>423</v>
      </c>
      <c r="W46" s="153"/>
      <c r="X46" s="153"/>
      <c r="Y46" s="153"/>
      <c r="Z46" s="153"/>
    </row>
    <row r="47" spans="1:26" ht="40.5" customHeight="1" thickBot="1" x14ac:dyDescent="0.3">
      <c r="A47" s="1186"/>
      <c r="B47" s="1162"/>
      <c r="C47" s="1138"/>
      <c r="D47" s="896" t="s">
        <v>77</v>
      </c>
      <c r="E47" s="896"/>
      <c r="F47" s="888" t="s">
        <v>85</v>
      </c>
      <c r="G47" s="888">
        <v>8.3299999999999999E-2</v>
      </c>
      <c r="H47" s="888">
        <v>8.3299999999999999E-2</v>
      </c>
      <c r="I47" s="888">
        <v>0</v>
      </c>
      <c r="J47" s="888">
        <v>8.3299999999999999E-2</v>
      </c>
      <c r="K47" s="888">
        <v>0.125</v>
      </c>
      <c r="L47" s="888">
        <v>0.125</v>
      </c>
      <c r="M47" s="888">
        <v>8.3299999999999999E-2</v>
      </c>
      <c r="N47" s="888">
        <v>8.3299999999999999E-2</v>
      </c>
      <c r="O47" s="888">
        <v>8.3299999999999999E-2</v>
      </c>
      <c r="P47" s="888">
        <v>8.3299999999999999E-2</v>
      </c>
      <c r="Q47" s="888">
        <v>8.3299999999999999E-2</v>
      </c>
      <c r="R47" s="888">
        <v>8.3299999999999999E-2</v>
      </c>
      <c r="S47" s="888">
        <f t="shared" si="1"/>
        <v>0.99970000000000026</v>
      </c>
      <c r="T47" s="1167"/>
      <c r="U47" s="1206"/>
      <c r="V47" s="1180"/>
      <c r="W47" s="153"/>
      <c r="X47" s="153"/>
      <c r="Y47" s="153"/>
      <c r="Z47" s="153"/>
    </row>
    <row r="48" spans="1:26" ht="34.5" customHeight="1" x14ac:dyDescent="0.25">
      <c r="A48" s="1186"/>
      <c r="B48" s="1139" t="s">
        <v>163</v>
      </c>
      <c r="C48" s="1138" t="s">
        <v>164</v>
      </c>
      <c r="D48" s="896" t="s">
        <v>77</v>
      </c>
      <c r="E48" s="896"/>
      <c r="F48" s="886" t="s">
        <v>82</v>
      </c>
      <c r="G48" s="886">
        <v>8.3299999999999999E-2</v>
      </c>
      <c r="H48" s="886">
        <v>8.3299999999999999E-2</v>
      </c>
      <c r="I48" s="886">
        <v>8.3299999999999999E-2</v>
      </c>
      <c r="J48" s="886">
        <v>8.3299999999999999E-2</v>
      </c>
      <c r="K48" s="886">
        <v>8.3299999999999999E-2</v>
      </c>
      <c r="L48" s="886">
        <v>8.3299999999999999E-2</v>
      </c>
      <c r="M48" s="886">
        <v>8.3299999999999999E-2</v>
      </c>
      <c r="N48" s="886">
        <v>8.3299999999999999E-2</v>
      </c>
      <c r="O48" s="886">
        <v>8.3299999999999999E-2</v>
      </c>
      <c r="P48" s="886">
        <v>8.3299999999999999E-2</v>
      </c>
      <c r="Q48" s="886">
        <v>8.3299999999999999E-2</v>
      </c>
      <c r="R48" s="886">
        <v>8.3299999999999999E-2</v>
      </c>
      <c r="S48" s="886">
        <f t="shared" si="1"/>
        <v>0.99960000000000016</v>
      </c>
      <c r="T48" s="1165">
        <f>+U50+U48</f>
        <v>9.7999999999999997E-3</v>
      </c>
      <c r="U48" s="1182">
        <v>4.8999999999999998E-3</v>
      </c>
      <c r="V48" s="1153" t="s">
        <v>518</v>
      </c>
      <c r="W48" s="153"/>
      <c r="X48" s="153"/>
      <c r="Y48" s="153"/>
      <c r="Z48" s="153"/>
    </row>
    <row r="49" spans="1:26" ht="34.5" customHeight="1" thickBot="1" x14ac:dyDescent="0.3">
      <c r="A49" s="1186"/>
      <c r="B49" s="1140"/>
      <c r="C49" s="1138"/>
      <c r="D49" s="896" t="s">
        <v>77</v>
      </c>
      <c r="E49" s="896"/>
      <c r="F49" s="888" t="s">
        <v>85</v>
      </c>
      <c r="G49" s="888">
        <v>8.3299999999999999E-2</v>
      </c>
      <c r="H49" s="888">
        <v>8.3299999999999999E-2</v>
      </c>
      <c r="I49" s="888">
        <v>8.3299999999999999E-2</v>
      </c>
      <c r="J49" s="888">
        <v>8.3299999999999999E-2</v>
      </c>
      <c r="K49" s="888">
        <v>8.3299999999999999E-2</v>
      </c>
      <c r="L49" s="888">
        <v>8.3299999999999999E-2</v>
      </c>
      <c r="M49" s="888">
        <v>8.3299999999999999E-2</v>
      </c>
      <c r="N49" s="888">
        <v>8.3299999999999999E-2</v>
      </c>
      <c r="O49" s="888">
        <v>8.3299999999999999E-2</v>
      </c>
      <c r="P49" s="888">
        <v>8.3299999999999999E-2</v>
      </c>
      <c r="Q49" s="888">
        <v>8.3299999999999999E-2</v>
      </c>
      <c r="R49" s="888">
        <v>8.3299999999999999E-2</v>
      </c>
      <c r="S49" s="888">
        <f t="shared" si="1"/>
        <v>0.99960000000000016</v>
      </c>
      <c r="T49" s="1166"/>
      <c r="U49" s="1178"/>
      <c r="V49" s="1154"/>
      <c r="W49" s="153"/>
      <c r="X49" s="153"/>
      <c r="Y49" s="153"/>
      <c r="Z49" s="153"/>
    </row>
    <row r="50" spans="1:26" ht="32.25" customHeight="1" x14ac:dyDescent="0.25">
      <c r="A50" s="1186"/>
      <c r="B50" s="1140"/>
      <c r="C50" s="1138" t="s">
        <v>166</v>
      </c>
      <c r="D50" s="896" t="s">
        <v>77</v>
      </c>
      <c r="E50" s="896"/>
      <c r="F50" s="886" t="s">
        <v>82</v>
      </c>
      <c r="G50" s="886">
        <v>8.3299999999999999E-2</v>
      </c>
      <c r="H50" s="886">
        <v>8.3299999999999999E-2</v>
      </c>
      <c r="I50" s="886">
        <v>8.3299999999999999E-2</v>
      </c>
      <c r="J50" s="886">
        <v>8.3299999999999999E-2</v>
      </c>
      <c r="K50" s="886">
        <v>8.3299999999999999E-2</v>
      </c>
      <c r="L50" s="886">
        <v>8.3299999999999999E-2</v>
      </c>
      <c r="M50" s="886">
        <v>8.3299999999999999E-2</v>
      </c>
      <c r="N50" s="886">
        <v>8.3299999999999999E-2</v>
      </c>
      <c r="O50" s="886">
        <v>8.3299999999999999E-2</v>
      </c>
      <c r="P50" s="886">
        <v>8.3299999999999999E-2</v>
      </c>
      <c r="Q50" s="886">
        <v>8.3299999999999999E-2</v>
      </c>
      <c r="R50" s="886">
        <v>8.3299999999999999E-2</v>
      </c>
      <c r="S50" s="886">
        <f t="shared" si="1"/>
        <v>0.99960000000000016</v>
      </c>
      <c r="T50" s="1166"/>
      <c r="U50" s="1177">
        <v>4.8999999999999998E-3</v>
      </c>
      <c r="V50" s="1148" t="s">
        <v>507</v>
      </c>
      <c r="W50" s="153"/>
      <c r="X50" s="153"/>
      <c r="Y50" s="153"/>
      <c r="Z50" s="153"/>
    </row>
    <row r="51" spans="1:26" ht="36" customHeight="1" thickBot="1" x14ac:dyDescent="0.3">
      <c r="A51" s="1186"/>
      <c r="B51" s="1162"/>
      <c r="C51" s="1138"/>
      <c r="D51" s="896" t="s">
        <v>77</v>
      </c>
      <c r="E51" s="896"/>
      <c r="F51" s="888" t="s">
        <v>85</v>
      </c>
      <c r="G51" s="888">
        <v>8.3299999999999999E-2</v>
      </c>
      <c r="H51" s="888">
        <v>8.3299999999999999E-2</v>
      </c>
      <c r="I51" s="888">
        <v>0</v>
      </c>
      <c r="J51" s="888">
        <v>0.1666</v>
      </c>
      <c r="K51" s="888">
        <v>8.3299999999999999E-2</v>
      </c>
      <c r="L51" s="888">
        <v>8.3299999999999999E-2</v>
      </c>
      <c r="M51" s="888">
        <v>8.3299999999999999E-2</v>
      </c>
      <c r="N51" s="888">
        <v>8.3299999999999999E-2</v>
      </c>
      <c r="O51" s="888">
        <v>8.3299999999999999E-2</v>
      </c>
      <c r="P51" s="888">
        <v>8.3299999999999999E-2</v>
      </c>
      <c r="Q51" s="888">
        <v>8.3299999999999999E-2</v>
      </c>
      <c r="R51" s="888">
        <v>8.3299999999999999E-2</v>
      </c>
      <c r="S51" s="888">
        <f t="shared" si="1"/>
        <v>0.99960000000000016</v>
      </c>
      <c r="T51" s="1167"/>
      <c r="U51" s="1206"/>
      <c r="V51" s="1152"/>
      <c r="W51" s="153"/>
      <c r="X51" s="153"/>
      <c r="Y51" s="153"/>
      <c r="Z51" s="153"/>
    </row>
    <row r="52" spans="1:26" ht="45.75" customHeight="1" x14ac:dyDescent="0.25">
      <c r="A52" s="1186"/>
      <c r="B52" s="1139" t="s">
        <v>167</v>
      </c>
      <c r="C52" s="1138" t="s">
        <v>168</v>
      </c>
      <c r="D52" s="896" t="s">
        <v>77</v>
      </c>
      <c r="E52" s="896"/>
      <c r="F52" s="886" t="s">
        <v>82</v>
      </c>
      <c r="G52" s="886">
        <v>8.3299999999999999E-2</v>
      </c>
      <c r="H52" s="886">
        <v>8.3299999999999999E-2</v>
      </c>
      <c r="I52" s="886">
        <v>8.3299999999999999E-2</v>
      </c>
      <c r="J52" s="886">
        <v>8.3299999999999999E-2</v>
      </c>
      <c r="K52" s="886">
        <v>8.3299999999999999E-2</v>
      </c>
      <c r="L52" s="886">
        <v>8.3299999999999999E-2</v>
      </c>
      <c r="M52" s="886">
        <v>8.3299999999999999E-2</v>
      </c>
      <c r="N52" s="886">
        <v>8.3299999999999999E-2</v>
      </c>
      <c r="O52" s="886">
        <v>8.3299999999999999E-2</v>
      </c>
      <c r="P52" s="886">
        <v>8.3299999999999999E-2</v>
      </c>
      <c r="Q52" s="886">
        <v>8.3299999999999999E-2</v>
      </c>
      <c r="R52" s="886">
        <v>8.3299999999999999E-2</v>
      </c>
      <c r="S52" s="886">
        <f t="shared" si="1"/>
        <v>0.99960000000000016</v>
      </c>
      <c r="T52" s="1165">
        <f>+U52+U54</f>
        <v>3.6999999999999998E-2</v>
      </c>
      <c r="U52" s="1168">
        <v>1.8499999999999999E-2</v>
      </c>
      <c r="V52" s="1148" t="s">
        <v>508</v>
      </c>
      <c r="W52" s="153"/>
      <c r="X52" s="153"/>
      <c r="Y52" s="153"/>
      <c r="Z52" s="153"/>
    </row>
    <row r="53" spans="1:26" ht="45.75" customHeight="1" thickBot="1" x14ac:dyDescent="0.3">
      <c r="A53" s="1186"/>
      <c r="B53" s="1140"/>
      <c r="C53" s="1138"/>
      <c r="D53" s="896" t="s">
        <v>77</v>
      </c>
      <c r="E53" s="896"/>
      <c r="F53" s="888" t="s">
        <v>85</v>
      </c>
      <c r="G53" s="888">
        <v>8.3299999999999999E-2</v>
      </c>
      <c r="H53" s="888">
        <v>8.3299999999999999E-2</v>
      </c>
      <c r="I53" s="888">
        <v>0</v>
      </c>
      <c r="J53" s="888">
        <v>8.3299999999999999E-2</v>
      </c>
      <c r="K53" s="888">
        <v>8.3299999999999999E-2</v>
      </c>
      <c r="L53" s="888">
        <v>8.3299999999999999E-2</v>
      </c>
      <c r="M53" s="888">
        <v>8.3299999999999999E-2</v>
      </c>
      <c r="N53" s="888">
        <v>8.3299999999999999E-2</v>
      </c>
      <c r="O53" s="888">
        <v>8.3299999999999999E-2</v>
      </c>
      <c r="P53" s="888">
        <v>0.12</v>
      </c>
      <c r="Q53" s="888">
        <v>0.12</v>
      </c>
      <c r="R53" s="888">
        <v>9.3299999999999994E-2</v>
      </c>
      <c r="S53" s="888">
        <f t="shared" si="1"/>
        <v>0.99970000000000003</v>
      </c>
      <c r="T53" s="1166"/>
      <c r="U53" s="1169"/>
      <c r="V53" s="1152"/>
      <c r="W53" s="153"/>
      <c r="X53" s="153"/>
      <c r="Y53" s="153"/>
      <c r="Z53" s="153"/>
    </row>
    <row r="54" spans="1:26" ht="44.25" customHeight="1" x14ac:dyDescent="0.25">
      <c r="A54" s="1186"/>
      <c r="B54" s="1140"/>
      <c r="C54" s="1138" t="s">
        <v>161</v>
      </c>
      <c r="D54" s="896" t="s">
        <v>77</v>
      </c>
      <c r="E54" s="896"/>
      <c r="F54" s="886" t="s">
        <v>82</v>
      </c>
      <c r="G54" s="886">
        <v>8.3299999999999999E-2</v>
      </c>
      <c r="H54" s="886">
        <v>8.3299999999999999E-2</v>
      </c>
      <c r="I54" s="886">
        <v>8.3299999999999999E-2</v>
      </c>
      <c r="J54" s="886">
        <v>8.3299999999999999E-2</v>
      </c>
      <c r="K54" s="886">
        <v>8.3299999999999999E-2</v>
      </c>
      <c r="L54" s="886">
        <v>8.3299999999999999E-2</v>
      </c>
      <c r="M54" s="886">
        <v>8.3299999999999999E-2</v>
      </c>
      <c r="N54" s="886">
        <v>8.3299999999999999E-2</v>
      </c>
      <c r="O54" s="886">
        <v>8.3299999999999999E-2</v>
      </c>
      <c r="P54" s="886">
        <v>8.3299999999999999E-2</v>
      </c>
      <c r="Q54" s="886">
        <v>8.3299999999999999E-2</v>
      </c>
      <c r="R54" s="886">
        <v>8.3299999999999999E-2</v>
      </c>
      <c r="S54" s="886">
        <f t="shared" si="1"/>
        <v>0.99960000000000016</v>
      </c>
      <c r="T54" s="1166"/>
      <c r="U54" s="1168">
        <v>1.8499999999999999E-2</v>
      </c>
      <c r="V54" s="1148" t="s">
        <v>546</v>
      </c>
      <c r="W54" s="153"/>
      <c r="X54" s="153"/>
      <c r="Y54" s="153"/>
      <c r="Z54" s="153"/>
    </row>
    <row r="55" spans="1:26" ht="44.25" customHeight="1" thickBot="1" x14ac:dyDescent="0.3">
      <c r="A55" s="1186"/>
      <c r="B55" s="1162"/>
      <c r="C55" s="1138"/>
      <c r="D55" s="896" t="s">
        <v>77</v>
      </c>
      <c r="E55" s="896"/>
      <c r="F55" s="888" t="s">
        <v>85</v>
      </c>
      <c r="G55" s="888">
        <v>8.3299999999999999E-2</v>
      </c>
      <c r="H55" s="888">
        <v>8.3299999999999999E-2</v>
      </c>
      <c r="I55" s="888">
        <v>0</v>
      </c>
      <c r="J55" s="888">
        <v>8.3299999999999999E-2</v>
      </c>
      <c r="K55" s="888">
        <v>8.3299999999999999E-2</v>
      </c>
      <c r="L55" s="888">
        <v>8.3299999999999999E-2</v>
      </c>
      <c r="M55" s="888">
        <v>8.3299999999999999E-2</v>
      </c>
      <c r="N55" s="888">
        <v>8.3299999999999999E-2</v>
      </c>
      <c r="O55" s="888">
        <v>8.3299999999999999E-2</v>
      </c>
      <c r="P55" s="888">
        <v>0.12</v>
      </c>
      <c r="Q55" s="888">
        <v>0.12</v>
      </c>
      <c r="R55" s="888">
        <v>9.4E-2</v>
      </c>
      <c r="S55" s="888">
        <f t="shared" si="1"/>
        <v>1.0004</v>
      </c>
      <c r="T55" s="1167"/>
      <c r="U55" s="1169"/>
      <c r="V55" s="1152"/>
      <c r="W55" s="153"/>
      <c r="X55" s="153"/>
      <c r="Y55" s="153"/>
      <c r="Z55" s="153"/>
    </row>
    <row r="56" spans="1:26" ht="66" customHeight="1" x14ac:dyDescent="0.25">
      <c r="A56" s="1186"/>
      <c r="B56" s="1139" t="s">
        <v>170</v>
      </c>
      <c r="C56" s="1138" t="s">
        <v>171</v>
      </c>
      <c r="D56" s="896" t="s">
        <v>77</v>
      </c>
      <c r="E56" s="896"/>
      <c r="F56" s="886" t="s">
        <v>82</v>
      </c>
      <c r="G56" s="886">
        <v>8.3299999999999999E-2</v>
      </c>
      <c r="H56" s="886">
        <v>8.3299999999999999E-2</v>
      </c>
      <c r="I56" s="886">
        <v>8.3299999999999999E-2</v>
      </c>
      <c r="J56" s="886">
        <v>8.3299999999999999E-2</v>
      </c>
      <c r="K56" s="886">
        <v>8.3299999999999999E-2</v>
      </c>
      <c r="L56" s="886">
        <v>8.3299999999999999E-2</v>
      </c>
      <c r="M56" s="886">
        <v>8.3299999999999999E-2</v>
      </c>
      <c r="N56" s="886">
        <v>8.3299999999999999E-2</v>
      </c>
      <c r="O56" s="886">
        <v>8.3299999999999999E-2</v>
      </c>
      <c r="P56" s="886">
        <v>8.3299999999999999E-2</v>
      </c>
      <c r="Q56" s="886">
        <v>8.3299999999999999E-2</v>
      </c>
      <c r="R56" s="886">
        <v>8.3299999999999999E-2</v>
      </c>
      <c r="S56" s="886">
        <f t="shared" si="1"/>
        <v>0.99960000000000016</v>
      </c>
      <c r="T56" s="1181">
        <f>+U56+U58+U60+U62</f>
        <v>5.6800000000000003E-2</v>
      </c>
      <c r="U56" s="1182">
        <v>1.4200000000000001E-2</v>
      </c>
      <c r="V56" s="1187" t="s">
        <v>519</v>
      </c>
      <c r="W56" s="153"/>
      <c r="X56" s="153"/>
      <c r="Y56" s="153"/>
      <c r="Z56" s="153"/>
    </row>
    <row r="57" spans="1:26" ht="94.5" customHeight="1" thickBot="1" x14ac:dyDescent="0.3">
      <c r="A57" s="1186"/>
      <c r="B57" s="1140"/>
      <c r="C57" s="1138"/>
      <c r="D57" s="896" t="s">
        <v>77</v>
      </c>
      <c r="E57" s="896"/>
      <c r="F57" s="888" t="s">
        <v>85</v>
      </c>
      <c r="G57" s="888">
        <v>0.19899999999999998</v>
      </c>
      <c r="H57" s="888">
        <v>0.19899999999999998</v>
      </c>
      <c r="I57" s="888">
        <v>0.19899999999999998</v>
      </c>
      <c r="J57" s="888">
        <v>5.7450000000000001E-2</v>
      </c>
      <c r="K57" s="888">
        <v>5.7450000000000001E-2</v>
      </c>
      <c r="L57" s="888">
        <v>5.7450000000000001E-2</v>
      </c>
      <c r="M57" s="888">
        <v>0.11310000000000001</v>
      </c>
      <c r="N57" s="888">
        <v>0.11310000000000001</v>
      </c>
      <c r="O57" s="888">
        <v>0.11310000000000001</v>
      </c>
      <c r="P57" s="888">
        <v>0</v>
      </c>
      <c r="Q57" s="888">
        <v>0</v>
      </c>
      <c r="R57" s="888">
        <v>0</v>
      </c>
      <c r="S57" s="888">
        <f t="shared" si="1"/>
        <v>1.1086499999999999</v>
      </c>
      <c r="T57" s="1172"/>
      <c r="U57" s="1178"/>
      <c r="V57" s="1149"/>
      <c r="W57" s="153"/>
      <c r="X57" s="153"/>
      <c r="Y57" s="153"/>
      <c r="Z57" s="153"/>
    </row>
    <row r="58" spans="1:26" ht="24.95" customHeight="1" x14ac:dyDescent="0.25">
      <c r="A58" s="1186"/>
      <c r="B58" s="1140"/>
      <c r="C58" s="1138" t="s">
        <v>158</v>
      </c>
      <c r="D58" s="896" t="s">
        <v>77</v>
      </c>
      <c r="E58" s="896"/>
      <c r="F58" s="886" t="s">
        <v>82</v>
      </c>
      <c r="G58" s="886">
        <v>8.3299999999999999E-2</v>
      </c>
      <c r="H58" s="886">
        <v>8.3299999999999999E-2</v>
      </c>
      <c r="I58" s="886">
        <v>8.3299999999999999E-2</v>
      </c>
      <c r="J58" s="886">
        <v>8.3299999999999999E-2</v>
      </c>
      <c r="K58" s="886">
        <v>8.3299999999999999E-2</v>
      </c>
      <c r="L58" s="886">
        <v>8.3299999999999999E-2</v>
      </c>
      <c r="M58" s="886">
        <v>8.3299999999999999E-2</v>
      </c>
      <c r="N58" s="886">
        <v>8.3299999999999999E-2</v>
      </c>
      <c r="O58" s="886">
        <v>8.3299999999999999E-2</v>
      </c>
      <c r="P58" s="886">
        <v>8.3299999999999999E-2</v>
      </c>
      <c r="Q58" s="886">
        <v>8.3299999999999999E-2</v>
      </c>
      <c r="R58" s="886">
        <v>8.3299999999999999E-2</v>
      </c>
      <c r="S58" s="886">
        <f t="shared" si="1"/>
        <v>0.99960000000000016</v>
      </c>
      <c r="T58" s="1172"/>
      <c r="U58" s="1177">
        <v>1.4200000000000001E-2</v>
      </c>
      <c r="V58" s="1148" t="s">
        <v>520</v>
      </c>
      <c r="W58" s="153"/>
      <c r="X58" s="153"/>
      <c r="Y58" s="153"/>
      <c r="Z58" s="153"/>
    </row>
    <row r="59" spans="1:26" ht="24.95" customHeight="1" thickBot="1" x14ac:dyDescent="0.3">
      <c r="A59" s="1186"/>
      <c r="B59" s="1140"/>
      <c r="C59" s="1138"/>
      <c r="D59" s="896" t="s">
        <v>77</v>
      </c>
      <c r="E59" s="896"/>
      <c r="F59" s="888" t="s">
        <v>85</v>
      </c>
      <c r="G59" s="888">
        <v>8.3299999999999999E-2</v>
      </c>
      <c r="H59" s="888">
        <v>8.3299999999999999E-2</v>
      </c>
      <c r="I59" s="888">
        <v>8.3299999999999999E-2</v>
      </c>
      <c r="J59" s="888">
        <v>8.3299999999999999E-2</v>
      </c>
      <c r="K59" s="888">
        <v>8.3299999999999999E-2</v>
      </c>
      <c r="L59" s="888">
        <v>8.3299999999999999E-2</v>
      </c>
      <c r="M59" s="888">
        <v>8.3299999999999999E-2</v>
      </c>
      <c r="N59" s="888">
        <v>8.3299999999999999E-2</v>
      </c>
      <c r="O59" s="888">
        <v>8.3299999999999999E-2</v>
      </c>
      <c r="P59" s="888">
        <v>8.3299999999999999E-2</v>
      </c>
      <c r="Q59" s="888">
        <v>8.3299999999999999E-2</v>
      </c>
      <c r="R59" s="888">
        <v>8.3299999999999999E-2</v>
      </c>
      <c r="S59" s="888">
        <f t="shared" si="1"/>
        <v>0.99960000000000016</v>
      </c>
      <c r="T59" s="1172"/>
      <c r="U59" s="1178"/>
      <c r="V59" s="1149"/>
      <c r="W59" s="153"/>
      <c r="X59" s="153"/>
      <c r="Y59" s="153"/>
      <c r="Z59" s="153"/>
    </row>
    <row r="60" spans="1:26" ht="36.75" customHeight="1" x14ac:dyDescent="0.25">
      <c r="A60" s="1186"/>
      <c r="B60" s="1140"/>
      <c r="C60" s="1138" t="s">
        <v>161</v>
      </c>
      <c r="D60" s="896"/>
      <c r="E60" s="896"/>
      <c r="F60" s="886" t="s">
        <v>82</v>
      </c>
      <c r="G60" s="886">
        <v>8.3299999999999999E-2</v>
      </c>
      <c r="H60" s="886">
        <v>8.3299999999999999E-2</v>
      </c>
      <c r="I60" s="886">
        <v>8.3299999999999999E-2</v>
      </c>
      <c r="J60" s="886">
        <v>8.3299999999999999E-2</v>
      </c>
      <c r="K60" s="886">
        <v>8.3299999999999999E-2</v>
      </c>
      <c r="L60" s="886">
        <v>8.3299999999999999E-2</v>
      </c>
      <c r="M60" s="886">
        <v>8.3299999999999999E-2</v>
      </c>
      <c r="N60" s="886">
        <v>8.3299999999999999E-2</v>
      </c>
      <c r="O60" s="886">
        <v>8.3299999999999999E-2</v>
      </c>
      <c r="P60" s="886">
        <v>8.3299999999999999E-2</v>
      </c>
      <c r="Q60" s="886">
        <v>8.3299999999999999E-2</v>
      </c>
      <c r="R60" s="886">
        <v>8.3299999999999999E-2</v>
      </c>
      <c r="S60" s="886">
        <f t="shared" si="1"/>
        <v>0.99960000000000016</v>
      </c>
      <c r="T60" s="1172"/>
      <c r="U60" s="1177">
        <v>1.4200000000000001E-2</v>
      </c>
      <c r="V60" s="1148" t="s">
        <v>521</v>
      </c>
      <c r="W60" s="153"/>
      <c r="X60" s="153"/>
      <c r="Y60" s="153"/>
      <c r="Z60" s="153"/>
    </row>
    <row r="61" spans="1:26" ht="36.75" customHeight="1" thickBot="1" x14ac:dyDescent="0.3">
      <c r="A61" s="1186"/>
      <c r="B61" s="1140"/>
      <c r="C61" s="1138"/>
      <c r="D61" s="896"/>
      <c r="E61" s="896"/>
      <c r="F61" s="888" t="s">
        <v>85</v>
      </c>
      <c r="G61" s="888">
        <v>8.3299999999999999E-2</v>
      </c>
      <c r="H61" s="888">
        <v>8.3299999999999999E-2</v>
      </c>
      <c r="I61" s="888">
        <v>0</v>
      </c>
      <c r="J61" s="888">
        <v>8.3299999999999999E-2</v>
      </c>
      <c r="K61" s="888">
        <v>0.1183</v>
      </c>
      <c r="L61" s="888">
        <v>0.13</v>
      </c>
      <c r="M61" s="888">
        <v>8.3299999999999999E-2</v>
      </c>
      <c r="N61" s="888">
        <v>8.3299999999999999E-2</v>
      </c>
      <c r="O61" s="888">
        <v>8.3299999999999999E-2</v>
      </c>
      <c r="P61" s="888">
        <v>8.5500000000000007E-2</v>
      </c>
      <c r="Q61" s="888">
        <v>8.3299999999999999E-2</v>
      </c>
      <c r="R61" s="888">
        <v>8.3299999999999999E-2</v>
      </c>
      <c r="S61" s="888">
        <f t="shared" si="1"/>
        <v>1.0002000000000002</v>
      </c>
      <c r="T61" s="1172"/>
      <c r="U61" s="1178"/>
      <c r="V61" s="1149"/>
      <c r="W61" s="153"/>
      <c r="X61" s="153"/>
      <c r="Y61" s="153"/>
      <c r="Z61" s="153"/>
    </row>
    <row r="62" spans="1:26" ht="41.25" customHeight="1" x14ac:dyDescent="0.25">
      <c r="A62" s="1186"/>
      <c r="B62" s="1140"/>
      <c r="C62" s="1138" t="s">
        <v>162</v>
      </c>
      <c r="D62" s="896"/>
      <c r="E62" s="896"/>
      <c r="F62" s="886" t="s">
        <v>82</v>
      </c>
      <c r="G62" s="886">
        <v>8.3299999999999999E-2</v>
      </c>
      <c r="H62" s="886">
        <v>8.3299999999999999E-2</v>
      </c>
      <c r="I62" s="886">
        <v>8.3299999999999999E-2</v>
      </c>
      <c r="J62" s="886">
        <v>8.3299999999999999E-2</v>
      </c>
      <c r="K62" s="886">
        <v>8.3299999999999999E-2</v>
      </c>
      <c r="L62" s="886">
        <v>8.3299999999999999E-2</v>
      </c>
      <c r="M62" s="886">
        <v>8.3299999999999999E-2</v>
      </c>
      <c r="N62" s="886">
        <v>8.3299999999999999E-2</v>
      </c>
      <c r="O62" s="886">
        <v>8.3299999999999999E-2</v>
      </c>
      <c r="P62" s="886">
        <v>8.3299999999999999E-2</v>
      </c>
      <c r="Q62" s="886">
        <v>8.3299999999999999E-2</v>
      </c>
      <c r="R62" s="886">
        <v>8.3299999999999999E-2</v>
      </c>
      <c r="S62" s="886">
        <f t="shared" si="1"/>
        <v>0.99960000000000016</v>
      </c>
      <c r="T62" s="1172"/>
      <c r="U62" s="1177">
        <v>1.4200000000000001E-2</v>
      </c>
      <c r="V62" s="1179" t="s">
        <v>522</v>
      </c>
      <c r="W62" s="153"/>
      <c r="X62" s="153"/>
      <c r="Y62" s="153"/>
      <c r="Z62" s="153"/>
    </row>
    <row r="63" spans="1:26" ht="41.25" customHeight="1" thickBot="1" x14ac:dyDescent="0.3">
      <c r="A63" s="1186"/>
      <c r="B63" s="1162"/>
      <c r="C63" s="1138"/>
      <c r="D63" s="896"/>
      <c r="E63" s="896"/>
      <c r="F63" s="888" t="s">
        <v>85</v>
      </c>
      <c r="G63" s="888">
        <v>8.3299999999999999E-2</v>
      </c>
      <c r="H63" s="888">
        <v>8.3299999999999999E-2</v>
      </c>
      <c r="I63" s="888">
        <v>0</v>
      </c>
      <c r="J63" s="888">
        <v>8.3299999999999999E-2</v>
      </c>
      <c r="K63" s="888">
        <v>0.125</v>
      </c>
      <c r="L63" s="888">
        <v>0.125</v>
      </c>
      <c r="M63" s="888">
        <v>8.3299999999999999E-2</v>
      </c>
      <c r="N63" s="888">
        <v>8.3299999999999999E-2</v>
      </c>
      <c r="O63" s="888">
        <v>8.3299999999999999E-2</v>
      </c>
      <c r="P63" s="888">
        <v>8.3299999999999999E-2</v>
      </c>
      <c r="Q63" s="888">
        <v>8.3299999999999999E-2</v>
      </c>
      <c r="R63" s="888">
        <v>8.3299999999999999E-2</v>
      </c>
      <c r="S63" s="888">
        <f t="shared" si="1"/>
        <v>0.99970000000000026</v>
      </c>
      <c r="T63" s="1172"/>
      <c r="U63" s="1200"/>
      <c r="V63" s="1180"/>
      <c r="W63" s="153"/>
      <c r="X63" s="153"/>
      <c r="Y63" s="153"/>
      <c r="Z63" s="153"/>
    </row>
    <row r="64" spans="1:26" ht="63" customHeight="1" x14ac:dyDescent="0.25">
      <c r="A64" s="1186"/>
      <c r="B64" s="1137" t="s">
        <v>172</v>
      </c>
      <c r="C64" s="1138" t="s">
        <v>229</v>
      </c>
      <c r="D64" s="896"/>
      <c r="E64" s="896"/>
      <c r="F64" s="886" t="s">
        <v>82</v>
      </c>
      <c r="G64" s="886">
        <v>2.5000000000000001E-2</v>
      </c>
      <c r="H64" s="886">
        <v>0.08</v>
      </c>
      <c r="I64" s="886">
        <v>0.12</v>
      </c>
      <c r="J64" s="886">
        <v>0.125</v>
      </c>
      <c r="K64" s="886">
        <v>0.125</v>
      </c>
      <c r="L64" s="886">
        <v>0.125</v>
      </c>
      <c r="M64" s="886">
        <v>0.125</v>
      </c>
      <c r="N64" s="886">
        <v>0.125</v>
      </c>
      <c r="O64" s="886">
        <v>0.15</v>
      </c>
      <c r="P64" s="886"/>
      <c r="Q64" s="886"/>
      <c r="R64" s="886"/>
      <c r="S64" s="886">
        <f t="shared" si="1"/>
        <v>1</v>
      </c>
      <c r="T64" s="1174">
        <f>+U64+U66</f>
        <v>2.4400000000000002E-2</v>
      </c>
      <c r="U64" s="1207">
        <v>1.2200000000000001E-2</v>
      </c>
      <c r="V64" s="1163" t="s">
        <v>553</v>
      </c>
      <c r="W64" s="153"/>
      <c r="X64" s="153"/>
      <c r="Y64" s="153"/>
      <c r="Z64" s="153"/>
    </row>
    <row r="65" spans="1:26" ht="69.75" customHeight="1" thickBot="1" x14ac:dyDescent="0.3">
      <c r="A65" s="1186"/>
      <c r="B65" s="1137"/>
      <c r="C65" s="1138"/>
      <c r="D65" s="896"/>
      <c r="E65" s="896"/>
      <c r="F65" s="888" t="s">
        <v>85</v>
      </c>
      <c r="G65" s="888">
        <v>7.0000000000000007E-2</v>
      </c>
      <c r="H65" s="888">
        <v>0.09</v>
      </c>
      <c r="I65" s="888">
        <v>0.14000000000000001</v>
      </c>
      <c r="J65" s="888">
        <v>0.2</v>
      </c>
      <c r="K65" s="888">
        <v>0.25</v>
      </c>
      <c r="L65" s="888">
        <v>0.25</v>
      </c>
      <c r="M65" s="888">
        <v>0</v>
      </c>
      <c r="N65" s="888">
        <v>0</v>
      </c>
      <c r="O65" s="888">
        <v>0</v>
      </c>
      <c r="P65" s="888"/>
      <c r="Q65" s="888"/>
      <c r="R65" s="888"/>
      <c r="S65" s="888">
        <f t="shared" si="1"/>
        <v>1</v>
      </c>
      <c r="T65" s="1175"/>
      <c r="U65" s="1200"/>
      <c r="V65" s="1164"/>
      <c r="W65" s="153"/>
      <c r="X65" s="153"/>
      <c r="Y65" s="153"/>
      <c r="Z65" s="153"/>
    </row>
    <row r="66" spans="1:26" ht="81.75" customHeight="1" x14ac:dyDescent="0.25">
      <c r="A66" s="1186"/>
      <c r="B66" s="1137"/>
      <c r="C66" s="1138" t="s">
        <v>228</v>
      </c>
      <c r="D66" s="896" t="s">
        <v>77</v>
      </c>
      <c r="E66" s="896"/>
      <c r="F66" s="886" t="s">
        <v>82</v>
      </c>
      <c r="G66" s="886"/>
      <c r="H66" s="886"/>
      <c r="I66" s="886">
        <v>0.05</v>
      </c>
      <c r="J66" s="886">
        <v>0.05</v>
      </c>
      <c r="K66" s="886">
        <v>0.1</v>
      </c>
      <c r="L66" s="886">
        <v>0.1</v>
      </c>
      <c r="M66" s="886">
        <v>0.1</v>
      </c>
      <c r="N66" s="886">
        <v>0.125</v>
      </c>
      <c r="O66" s="886">
        <v>0.125</v>
      </c>
      <c r="P66" s="886">
        <v>0.125</v>
      </c>
      <c r="Q66" s="886">
        <v>0.125</v>
      </c>
      <c r="R66" s="886">
        <v>0.1</v>
      </c>
      <c r="S66" s="886">
        <f t="shared" ref="S66:S87" si="2">SUM(G66:R66)</f>
        <v>1</v>
      </c>
      <c r="T66" s="1175"/>
      <c r="U66" s="1150">
        <v>1.2200000000000001E-2</v>
      </c>
      <c r="V66" s="1148" t="s">
        <v>543</v>
      </c>
      <c r="W66" s="153"/>
      <c r="X66" s="153"/>
      <c r="Y66" s="153"/>
      <c r="Z66" s="153"/>
    </row>
    <row r="67" spans="1:26" ht="81.75" customHeight="1" thickBot="1" x14ac:dyDescent="0.3">
      <c r="A67" s="1205"/>
      <c r="B67" s="1137"/>
      <c r="C67" s="1138"/>
      <c r="D67" s="896" t="s">
        <v>77</v>
      </c>
      <c r="E67" s="896"/>
      <c r="F67" s="888" t="s">
        <v>85</v>
      </c>
      <c r="G67" s="888"/>
      <c r="H67" s="888"/>
      <c r="I67" s="888">
        <v>0</v>
      </c>
      <c r="J67" s="888">
        <v>0</v>
      </c>
      <c r="K67" s="888">
        <v>0</v>
      </c>
      <c r="L67" s="888">
        <v>7.4999999999999997E-2</v>
      </c>
      <c r="M67" s="888">
        <v>0.1</v>
      </c>
      <c r="N67" s="888">
        <v>0.05</v>
      </c>
      <c r="O67" s="888">
        <v>0.1</v>
      </c>
      <c r="P67" s="888">
        <v>0.02</v>
      </c>
      <c r="Q67" s="888">
        <v>0.01</v>
      </c>
      <c r="R67" s="888"/>
      <c r="S67" s="888">
        <f t="shared" si="2"/>
        <v>0.35499999999999998</v>
      </c>
      <c r="T67" s="1176"/>
      <c r="U67" s="1151"/>
      <c r="V67" s="1152"/>
      <c r="W67" s="153"/>
      <c r="X67" s="153"/>
      <c r="Y67" s="153"/>
      <c r="Z67" s="153"/>
    </row>
    <row r="68" spans="1:26" ht="55.5" customHeight="1" x14ac:dyDescent="0.25">
      <c r="A68" s="1185" t="s">
        <v>173</v>
      </c>
      <c r="B68" s="1137" t="s">
        <v>174</v>
      </c>
      <c r="C68" s="1138" t="s">
        <v>140</v>
      </c>
      <c r="D68" s="896" t="s">
        <v>227</v>
      </c>
      <c r="E68" s="896"/>
      <c r="F68" s="886" t="s">
        <v>82</v>
      </c>
      <c r="G68" s="886">
        <v>0</v>
      </c>
      <c r="H68" s="886">
        <v>0.05</v>
      </c>
      <c r="I68" s="886">
        <v>0.05</v>
      </c>
      <c r="J68" s="886">
        <v>0.4</v>
      </c>
      <c r="K68" s="886">
        <v>0.5</v>
      </c>
      <c r="L68" s="886">
        <v>0</v>
      </c>
      <c r="M68" s="886">
        <v>0</v>
      </c>
      <c r="N68" s="886">
        <v>0</v>
      </c>
      <c r="O68" s="886">
        <v>0</v>
      </c>
      <c r="P68" s="886">
        <v>0</v>
      </c>
      <c r="Q68" s="886">
        <v>0</v>
      </c>
      <c r="R68" s="886">
        <v>0</v>
      </c>
      <c r="S68" s="886">
        <f t="shared" si="2"/>
        <v>1</v>
      </c>
      <c r="T68" s="1172">
        <f>+U68+U70+U72+U74+U76</f>
        <v>4.3499999999999997E-2</v>
      </c>
      <c r="U68" s="1146">
        <v>8.6999999999999994E-3</v>
      </c>
      <c r="V68" s="1170" t="s">
        <v>554</v>
      </c>
      <c r="W68" s="153"/>
      <c r="X68" s="153"/>
      <c r="Y68" s="153"/>
      <c r="Z68" s="153"/>
    </row>
    <row r="69" spans="1:26" ht="50.25" customHeight="1" thickBot="1" x14ac:dyDescent="0.3">
      <c r="A69" s="1186"/>
      <c r="B69" s="1137"/>
      <c r="C69" s="1138"/>
      <c r="D69" s="896" t="s">
        <v>227</v>
      </c>
      <c r="E69" s="896"/>
      <c r="F69" s="888" t="s">
        <v>85</v>
      </c>
      <c r="G69" s="888">
        <v>0</v>
      </c>
      <c r="H69" s="888">
        <v>0.05</v>
      </c>
      <c r="I69" s="888">
        <v>0.05</v>
      </c>
      <c r="J69" s="888">
        <v>0.1</v>
      </c>
      <c r="K69" s="888">
        <v>0.3</v>
      </c>
      <c r="L69" s="888">
        <v>0.3</v>
      </c>
      <c r="M69" s="888">
        <v>2.5000000000000001E-2</v>
      </c>
      <c r="N69" s="888">
        <v>2.5000000000000001E-2</v>
      </c>
      <c r="O69" s="888">
        <v>0.05</v>
      </c>
      <c r="P69" s="888">
        <v>0.05</v>
      </c>
      <c r="Q69" s="888">
        <v>0.05</v>
      </c>
      <c r="R69" s="888"/>
      <c r="S69" s="888">
        <f t="shared" si="2"/>
        <v>1.0000000000000002</v>
      </c>
      <c r="T69" s="1172"/>
      <c r="U69" s="1147"/>
      <c r="V69" s="1171"/>
      <c r="W69" s="153"/>
      <c r="X69" s="153"/>
      <c r="Y69" s="153"/>
      <c r="Z69" s="153"/>
    </row>
    <row r="70" spans="1:26" ht="42" customHeight="1" x14ac:dyDescent="0.25">
      <c r="A70" s="1186"/>
      <c r="B70" s="1137"/>
      <c r="C70" s="1138" t="s">
        <v>175</v>
      </c>
      <c r="D70" s="896" t="s">
        <v>77</v>
      </c>
      <c r="E70" s="896"/>
      <c r="F70" s="886" t="s">
        <v>82</v>
      </c>
      <c r="G70" s="886">
        <v>0.06</v>
      </c>
      <c r="H70" s="886">
        <v>0.06</v>
      </c>
      <c r="I70" s="886">
        <v>0.04</v>
      </c>
      <c r="J70" s="886">
        <v>8.3299999999999999E-2</v>
      </c>
      <c r="K70" s="886">
        <v>8.3299999999999999E-2</v>
      </c>
      <c r="L70" s="886">
        <v>8.3299999999999999E-2</v>
      </c>
      <c r="M70" s="886">
        <v>0.09</v>
      </c>
      <c r="N70" s="886">
        <v>0.1</v>
      </c>
      <c r="O70" s="886">
        <v>0.1</v>
      </c>
      <c r="P70" s="886">
        <v>8.3299999999999999E-2</v>
      </c>
      <c r="Q70" s="886">
        <v>8.3299999999999999E-2</v>
      </c>
      <c r="R70" s="886">
        <v>8.3299999999999999E-2</v>
      </c>
      <c r="S70" s="886">
        <f t="shared" si="2"/>
        <v>0.94980000000000009</v>
      </c>
      <c r="T70" s="1172"/>
      <c r="U70" s="1146">
        <v>8.6999999999999994E-3</v>
      </c>
      <c r="V70" s="1202" t="s">
        <v>555</v>
      </c>
      <c r="W70" s="153"/>
      <c r="X70" s="153"/>
      <c r="Y70" s="153"/>
      <c r="Z70" s="153"/>
    </row>
    <row r="71" spans="1:26" ht="39" customHeight="1" thickBot="1" x14ac:dyDescent="0.3">
      <c r="A71" s="1186"/>
      <c r="B71" s="1137"/>
      <c r="C71" s="1138"/>
      <c r="D71" s="896" t="s">
        <v>77</v>
      </c>
      <c r="E71" s="896"/>
      <c r="F71" s="888" t="s">
        <v>85</v>
      </c>
      <c r="G71" s="888">
        <v>0.06</v>
      </c>
      <c r="H71" s="888">
        <v>0.06</v>
      </c>
      <c r="I71" s="888">
        <v>0.04</v>
      </c>
      <c r="J71" s="888">
        <v>0.04</v>
      </c>
      <c r="K71" s="888">
        <v>0.16</v>
      </c>
      <c r="L71" s="888">
        <v>0.16569999999999999</v>
      </c>
      <c r="M71" s="888">
        <v>0.09</v>
      </c>
      <c r="N71" s="888">
        <v>0.1</v>
      </c>
      <c r="O71" s="888">
        <v>0.1</v>
      </c>
      <c r="P71" s="888">
        <v>6.2E-2</v>
      </c>
      <c r="Q71" s="888">
        <v>6.0999999999999999E-2</v>
      </c>
      <c r="R71" s="888">
        <v>6.0999999999999999E-2</v>
      </c>
      <c r="S71" s="888">
        <f t="shared" si="2"/>
        <v>0.99969999999999981</v>
      </c>
      <c r="T71" s="1172"/>
      <c r="U71" s="1147"/>
      <c r="V71" s="1203"/>
      <c r="W71" s="153"/>
      <c r="X71" s="153"/>
      <c r="Y71" s="153"/>
      <c r="Z71" s="153"/>
    </row>
    <row r="72" spans="1:26" ht="74.25" customHeight="1" x14ac:dyDescent="0.25">
      <c r="A72" s="1186"/>
      <c r="B72" s="1137"/>
      <c r="C72" s="1138" t="s">
        <v>176</v>
      </c>
      <c r="D72" s="896" t="s">
        <v>77</v>
      </c>
      <c r="E72" s="896"/>
      <c r="F72" s="886" t="s">
        <v>82</v>
      </c>
      <c r="G72" s="886">
        <v>8.3299999999999999E-2</v>
      </c>
      <c r="H72" s="886">
        <v>8.3299999999999999E-2</v>
      </c>
      <c r="I72" s="886">
        <v>8.3299999999999999E-2</v>
      </c>
      <c r="J72" s="886">
        <v>8.3299999999999999E-2</v>
      </c>
      <c r="K72" s="886">
        <v>8.3299999999999999E-2</v>
      </c>
      <c r="L72" s="886">
        <v>8.3299999999999999E-2</v>
      </c>
      <c r="M72" s="886">
        <v>8.3299999999999999E-2</v>
      </c>
      <c r="N72" s="886">
        <v>8.3299999999999999E-2</v>
      </c>
      <c r="O72" s="886">
        <v>8.3299999999999999E-2</v>
      </c>
      <c r="P72" s="886">
        <v>8.3299999999999999E-2</v>
      </c>
      <c r="Q72" s="886">
        <v>8.3299999999999999E-2</v>
      </c>
      <c r="R72" s="886">
        <v>8.3299999999999999E-2</v>
      </c>
      <c r="S72" s="886">
        <f t="shared" si="2"/>
        <v>0.99960000000000016</v>
      </c>
      <c r="T72" s="1172"/>
      <c r="U72" s="1146">
        <v>8.6999999999999994E-3</v>
      </c>
      <c r="V72" s="1148" t="s">
        <v>249</v>
      </c>
      <c r="W72" s="153"/>
      <c r="X72" s="153"/>
      <c r="Y72" s="153"/>
      <c r="Z72" s="153"/>
    </row>
    <row r="73" spans="1:26" ht="67.5" customHeight="1" thickBot="1" x14ac:dyDescent="0.3">
      <c r="A73" s="1186"/>
      <c r="B73" s="1137"/>
      <c r="C73" s="1138"/>
      <c r="D73" s="896" t="s">
        <v>77</v>
      </c>
      <c r="E73" s="896"/>
      <c r="F73" s="888" t="s">
        <v>85</v>
      </c>
      <c r="G73" s="888">
        <v>8.3299999999999999E-2</v>
      </c>
      <c r="H73" s="888">
        <v>8.3299999999999999E-2</v>
      </c>
      <c r="I73" s="888">
        <v>8.3299999999999999E-2</v>
      </c>
      <c r="J73" s="888">
        <v>8.3299999999999999E-2</v>
      </c>
      <c r="K73" s="888">
        <v>8.3299999999999999E-2</v>
      </c>
      <c r="L73" s="888">
        <v>8.3299999999999999E-2</v>
      </c>
      <c r="M73" s="888">
        <v>8.3299999999999999E-2</v>
      </c>
      <c r="N73" s="888">
        <v>8.3299999999999999E-2</v>
      </c>
      <c r="O73" s="888">
        <v>8.3299999999999999E-2</v>
      </c>
      <c r="P73" s="888">
        <v>8.3299999999999999E-2</v>
      </c>
      <c r="Q73" s="888">
        <v>8.3299999999999999E-2</v>
      </c>
      <c r="R73" s="888">
        <v>8.3299999999999999E-2</v>
      </c>
      <c r="S73" s="888">
        <f t="shared" si="2"/>
        <v>0.99960000000000016</v>
      </c>
      <c r="T73" s="1172"/>
      <c r="U73" s="1147"/>
      <c r="V73" s="1149"/>
      <c r="W73" s="153"/>
      <c r="X73" s="153"/>
      <c r="Y73" s="153"/>
      <c r="Z73" s="153"/>
    </row>
    <row r="74" spans="1:26" ht="63" customHeight="1" x14ac:dyDescent="0.25">
      <c r="A74" s="1186"/>
      <c r="B74" s="1137"/>
      <c r="C74" s="1138" t="s">
        <v>160</v>
      </c>
      <c r="D74" s="896" t="s">
        <v>77</v>
      </c>
      <c r="E74" s="896"/>
      <c r="F74" s="886" t="s">
        <v>82</v>
      </c>
      <c r="G74" s="886">
        <v>8.3299999999999999E-2</v>
      </c>
      <c r="H74" s="886">
        <v>8.3299999999999999E-2</v>
      </c>
      <c r="I74" s="886">
        <v>8.3299999999999999E-2</v>
      </c>
      <c r="J74" s="886">
        <v>8.3299999999999999E-2</v>
      </c>
      <c r="K74" s="886">
        <v>8.3299999999999999E-2</v>
      </c>
      <c r="L74" s="886">
        <v>8.3299999999999999E-2</v>
      </c>
      <c r="M74" s="886">
        <v>8.3299999999999999E-2</v>
      </c>
      <c r="N74" s="886">
        <v>8.3299999999999999E-2</v>
      </c>
      <c r="O74" s="886">
        <v>8.3299999999999999E-2</v>
      </c>
      <c r="P74" s="886">
        <v>8.3299999999999999E-2</v>
      </c>
      <c r="Q74" s="886">
        <v>8.3299999999999999E-2</v>
      </c>
      <c r="R74" s="886">
        <v>8.3299999999999999E-2</v>
      </c>
      <c r="S74" s="886">
        <f t="shared" si="2"/>
        <v>0.99960000000000016</v>
      </c>
      <c r="T74" s="1172"/>
      <c r="U74" s="1146">
        <v>8.6999999999999994E-3</v>
      </c>
      <c r="V74" s="1148" t="s">
        <v>556</v>
      </c>
      <c r="W74" s="153"/>
      <c r="X74" s="153"/>
      <c r="Y74" s="153"/>
      <c r="Z74" s="153"/>
    </row>
    <row r="75" spans="1:26" ht="63" customHeight="1" thickBot="1" x14ac:dyDescent="0.3">
      <c r="A75" s="1186"/>
      <c r="B75" s="1137"/>
      <c r="C75" s="1138"/>
      <c r="D75" s="896" t="s">
        <v>77</v>
      </c>
      <c r="E75" s="896"/>
      <c r="F75" s="888" t="s">
        <v>85</v>
      </c>
      <c r="G75" s="888">
        <v>8.3299999999999999E-2</v>
      </c>
      <c r="H75" s="888">
        <v>8.3299999999999999E-2</v>
      </c>
      <c r="I75" s="888">
        <v>8.3299999999999999E-2</v>
      </c>
      <c r="J75" s="888">
        <v>8.3299999999999999E-2</v>
      </c>
      <c r="K75" s="888">
        <v>8.3299999999999999E-2</v>
      </c>
      <c r="L75" s="888">
        <v>8.3299999999999999E-2</v>
      </c>
      <c r="M75" s="888">
        <v>8.3299999999999999E-2</v>
      </c>
      <c r="N75" s="888">
        <v>8.3299999999999999E-2</v>
      </c>
      <c r="O75" s="888">
        <v>8.3299999999999999E-2</v>
      </c>
      <c r="P75" s="888">
        <v>8.3299999999999999E-2</v>
      </c>
      <c r="Q75" s="888">
        <v>8.3299999999999999E-2</v>
      </c>
      <c r="R75" s="888">
        <v>8.3299999999999999E-2</v>
      </c>
      <c r="S75" s="888">
        <f t="shared" si="2"/>
        <v>0.99960000000000016</v>
      </c>
      <c r="T75" s="1172"/>
      <c r="U75" s="1147"/>
      <c r="V75" s="1149"/>
      <c r="W75" s="153"/>
      <c r="X75" s="153"/>
      <c r="Y75" s="153"/>
      <c r="Z75" s="153"/>
    </row>
    <row r="76" spans="1:26" ht="34.5" customHeight="1" x14ac:dyDescent="0.25">
      <c r="A76" s="1186"/>
      <c r="B76" s="1137"/>
      <c r="C76" s="1138" t="s">
        <v>177</v>
      </c>
      <c r="D76" s="896" t="s">
        <v>77</v>
      </c>
      <c r="E76" s="896"/>
      <c r="F76" s="886" t="s">
        <v>82</v>
      </c>
      <c r="G76" s="886">
        <v>7.0000000000000007E-2</v>
      </c>
      <c r="H76" s="886">
        <v>0.09</v>
      </c>
      <c r="I76" s="886">
        <v>0.05</v>
      </c>
      <c r="J76" s="886">
        <v>0.05</v>
      </c>
      <c r="K76" s="886">
        <v>9.5000000000000001E-2</v>
      </c>
      <c r="L76" s="886">
        <v>9.5000000000000001E-2</v>
      </c>
      <c r="M76" s="886">
        <v>9.5000000000000001E-2</v>
      </c>
      <c r="N76" s="886">
        <v>9.5000000000000001E-2</v>
      </c>
      <c r="O76" s="886">
        <v>9.5000000000000001E-2</v>
      </c>
      <c r="P76" s="886">
        <v>0.09</v>
      </c>
      <c r="Q76" s="886">
        <v>0.09</v>
      </c>
      <c r="R76" s="886">
        <v>8.5000000000000006E-2</v>
      </c>
      <c r="S76" s="886">
        <f t="shared" si="2"/>
        <v>0.99999999999999978</v>
      </c>
      <c r="T76" s="1172"/>
      <c r="U76" s="1146">
        <v>8.6999999999999994E-3</v>
      </c>
      <c r="V76" s="1144" t="s">
        <v>557</v>
      </c>
      <c r="W76" s="153"/>
      <c r="X76" s="153"/>
      <c r="Y76" s="153"/>
      <c r="Z76" s="153"/>
    </row>
    <row r="77" spans="1:26" ht="34.5" customHeight="1" thickBot="1" x14ac:dyDescent="0.3">
      <c r="A77" s="1186"/>
      <c r="B77" s="1137"/>
      <c r="C77" s="1138"/>
      <c r="D77" s="896" t="s">
        <v>77</v>
      </c>
      <c r="E77" s="896"/>
      <c r="F77" s="888" t="s">
        <v>85</v>
      </c>
      <c r="G77" s="888">
        <v>7.0000000000000007E-2</v>
      </c>
      <c r="H77" s="888">
        <v>0.09</v>
      </c>
      <c r="I77" s="888">
        <v>0.05</v>
      </c>
      <c r="J77" s="888">
        <v>0.05</v>
      </c>
      <c r="K77" s="888">
        <v>9.5000000000000001E-2</v>
      </c>
      <c r="L77" s="888">
        <v>9.5000000000000001E-2</v>
      </c>
      <c r="M77" s="888">
        <v>9.5000000000000001E-2</v>
      </c>
      <c r="N77" s="888">
        <v>9.5000000000000001E-2</v>
      </c>
      <c r="O77" s="888">
        <v>9.5000000000000001E-2</v>
      </c>
      <c r="P77" s="888">
        <v>0.09</v>
      </c>
      <c r="Q77" s="888">
        <v>0.09</v>
      </c>
      <c r="R77" s="888">
        <v>8.5000000000000006E-2</v>
      </c>
      <c r="S77" s="888">
        <f t="shared" si="2"/>
        <v>0.99999999999999978</v>
      </c>
      <c r="T77" s="1173"/>
      <c r="U77" s="1147"/>
      <c r="V77" s="1145"/>
      <c r="W77" s="153"/>
      <c r="X77" s="153"/>
      <c r="Y77" s="153"/>
      <c r="Z77" s="153"/>
    </row>
    <row r="78" spans="1:26" ht="39.75" customHeight="1" x14ac:dyDescent="0.25">
      <c r="A78" s="1186"/>
      <c r="B78" s="1137" t="s">
        <v>178</v>
      </c>
      <c r="C78" s="1138" t="s">
        <v>226</v>
      </c>
      <c r="D78" s="896" t="s">
        <v>77</v>
      </c>
      <c r="E78" s="896"/>
      <c r="F78" s="886" t="s">
        <v>82</v>
      </c>
      <c r="G78" s="886"/>
      <c r="H78" s="886"/>
      <c r="I78" s="886">
        <v>0.05</v>
      </c>
      <c r="J78" s="886">
        <v>0.05</v>
      </c>
      <c r="K78" s="886">
        <v>0.1</v>
      </c>
      <c r="L78" s="886">
        <v>0.1</v>
      </c>
      <c r="M78" s="886">
        <v>0.1</v>
      </c>
      <c r="N78" s="886">
        <v>0.125</v>
      </c>
      <c r="O78" s="886">
        <v>0.125</v>
      </c>
      <c r="P78" s="886">
        <v>0.125</v>
      </c>
      <c r="Q78" s="886">
        <v>0.125</v>
      </c>
      <c r="R78" s="886">
        <v>0.1</v>
      </c>
      <c r="S78" s="886">
        <f t="shared" si="2"/>
        <v>1</v>
      </c>
      <c r="T78" s="1193">
        <f>+U78+U80</f>
        <v>3.1800000000000002E-2</v>
      </c>
      <c r="U78" s="1182">
        <v>1.5900000000000001E-2</v>
      </c>
      <c r="V78" s="1187" t="s">
        <v>559</v>
      </c>
      <c r="W78" s="153"/>
      <c r="X78" s="153"/>
      <c r="Y78" s="153"/>
      <c r="Z78" s="153"/>
    </row>
    <row r="79" spans="1:26" ht="40.5" customHeight="1" thickBot="1" x14ac:dyDescent="0.3">
      <c r="A79" s="1186"/>
      <c r="B79" s="1137"/>
      <c r="C79" s="1138"/>
      <c r="D79" s="896" t="s">
        <v>77</v>
      </c>
      <c r="E79" s="896"/>
      <c r="F79" s="888" t="s">
        <v>85</v>
      </c>
      <c r="G79" s="888"/>
      <c r="H79" s="888"/>
      <c r="I79" s="888">
        <v>0.04</v>
      </c>
      <c r="J79" s="888">
        <v>0.02</v>
      </c>
      <c r="K79" s="888">
        <v>0.02</v>
      </c>
      <c r="L79" s="888">
        <v>0.02</v>
      </c>
      <c r="M79" s="888">
        <v>0.05</v>
      </c>
      <c r="N79" s="888">
        <v>0.05</v>
      </c>
      <c r="O79" s="888">
        <v>0.05</v>
      </c>
      <c r="P79" s="888">
        <v>0.05</v>
      </c>
      <c r="Q79" s="888">
        <v>0.05</v>
      </c>
      <c r="R79" s="888">
        <v>0.05</v>
      </c>
      <c r="S79" s="888">
        <f t="shared" si="2"/>
        <v>0.39999999999999997</v>
      </c>
      <c r="T79" s="1194"/>
      <c r="U79" s="1178"/>
      <c r="V79" s="1188"/>
      <c r="W79" s="153"/>
      <c r="X79" s="153"/>
      <c r="Y79" s="153"/>
      <c r="Z79" s="153"/>
    </row>
    <row r="80" spans="1:26" ht="38.25" customHeight="1" x14ac:dyDescent="0.25">
      <c r="A80" s="1186"/>
      <c r="B80" s="1137"/>
      <c r="C80" s="1138" t="s">
        <v>225</v>
      </c>
      <c r="D80" s="896" t="s">
        <v>77</v>
      </c>
      <c r="E80" s="896"/>
      <c r="F80" s="886" t="s">
        <v>82</v>
      </c>
      <c r="G80" s="886">
        <v>2.5000000000000001E-2</v>
      </c>
      <c r="H80" s="886">
        <v>0.08</v>
      </c>
      <c r="I80" s="886">
        <v>0.12</v>
      </c>
      <c r="J80" s="886">
        <v>0.125</v>
      </c>
      <c r="K80" s="886">
        <v>0.125</v>
      </c>
      <c r="L80" s="886">
        <v>0.125</v>
      </c>
      <c r="M80" s="886">
        <v>0.125</v>
      </c>
      <c r="N80" s="886">
        <v>0.125</v>
      </c>
      <c r="O80" s="886">
        <v>0.15</v>
      </c>
      <c r="P80" s="886"/>
      <c r="Q80" s="886"/>
      <c r="R80" s="886"/>
      <c r="S80" s="886">
        <f t="shared" si="2"/>
        <v>1</v>
      </c>
      <c r="T80" s="1194"/>
      <c r="U80" s="1191">
        <v>1.5900000000000001E-2</v>
      </c>
      <c r="V80" s="1179" t="s">
        <v>560</v>
      </c>
      <c r="W80" s="153"/>
      <c r="X80" s="153"/>
      <c r="Y80" s="153"/>
      <c r="Z80" s="153"/>
    </row>
    <row r="81" spans="1:26" ht="58.5" customHeight="1" thickBot="1" x14ac:dyDescent="0.3">
      <c r="A81" s="1186"/>
      <c r="B81" s="1137"/>
      <c r="C81" s="1138"/>
      <c r="D81" s="896" t="s">
        <v>77</v>
      </c>
      <c r="E81" s="896"/>
      <c r="F81" s="888" t="s">
        <v>85</v>
      </c>
      <c r="G81" s="888">
        <v>0</v>
      </c>
      <c r="H81" s="888">
        <v>0.02</v>
      </c>
      <c r="I81" s="888">
        <v>2.5000000000000001E-2</v>
      </c>
      <c r="J81" s="888">
        <v>0.1016</v>
      </c>
      <c r="K81" s="888">
        <v>0.1017</v>
      </c>
      <c r="L81" s="888">
        <v>0.1017</v>
      </c>
      <c r="M81" s="888">
        <v>0.05</v>
      </c>
      <c r="N81" s="888">
        <v>0.05</v>
      </c>
      <c r="O81" s="888">
        <v>0.05</v>
      </c>
      <c r="P81" s="888">
        <v>0.03</v>
      </c>
      <c r="Q81" s="888">
        <v>0.03</v>
      </c>
      <c r="R81" s="888">
        <v>3.1600000000000003E-2</v>
      </c>
      <c r="S81" s="895">
        <f t="shared" si="2"/>
        <v>0.59160000000000001</v>
      </c>
      <c r="T81" s="1195"/>
      <c r="U81" s="1192"/>
      <c r="V81" s="1180"/>
      <c r="W81" s="153"/>
      <c r="X81" s="153"/>
      <c r="Y81" s="153"/>
      <c r="Z81" s="153"/>
    </row>
    <row r="82" spans="1:26" ht="114.75" customHeight="1" x14ac:dyDescent="0.25">
      <c r="A82" s="1186"/>
      <c r="B82" s="1137" t="s">
        <v>179</v>
      </c>
      <c r="C82" s="1138" t="s">
        <v>180</v>
      </c>
      <c r="D82" s="896" t="s">
        <v>77</v>
      </c>
      <c r="E82" s="896"/>
      <c r="F82" s="886" t="s">
        <v>82</v>
      </c>
      <c r="G82" s="886">
        <v>8.3299999999999999E-2</v>
      </c>
      <c r="H82" s="886">
        <v>8.3299999999999999E-2</v>
      </c>
      <c r="I82" s="886">
        <v>0.04</v>
      </c>
      <c r="J82" s="886">
        <v>8.3299999999999999E-2</v>
      </c>
      <c r="K82" s="886">
        <v>0.1</v>
      </c>
      <c r="L82" s="886">
        <v>0.1</v>
      </c>
      <c r="M82" s="886">
        <v>9.4E-2</v>
      </c>
      <c r="N82" s="886">
        <v>8.3299999999999999E-2</v>
      </c>
      <c r="O82" s="886">
        <v>8.3299999999999999E-2</v>
      </c>
      <c r="P82" s="886">
        <v>8.3299999999999999E-2</v>
      </c>
      <c r="Q82" s="886">
        <v>8.3299999999999999E-2</v>
      </c>
      <c r="R82" s="886">
        <v>8.3299999999999999E-2</v>
      </c>
      <c r="S82" s="886">
        <f t="shared" si="2"/>
        <v>1.0004000000000002</v>
      </c>
      <c r="T82" s="1190">
        <f>+U82+U84</f>
        <v>2.4400000000000002E-2</v>
      </c>
      <c r="U82" s="1177">
        <v>1.2200000000000001E-2</v>
      </c>
      <c r="V82" s="1187" t="s">
        <v>562</v>
      </c>
      <c r="W82" s="153"/>
      <c r="X82" s="153"/>
      <c r="Y82" s="153"/>
      <c r="Z82" s="153"/>
    </row>
    <row r="83" spans="1:26" ht="125.25" customHeight="1" thickBot="1" x14ac:dyDescent="0.3">
      <c r="A83" s="1186"/>
      <c r="B83" s="1137"/>
      <c r="C83" s="1138"/>
      <c r="D83" s="896" t="s">
        <v>77</v>
      </c>
      <c r="E83" s="896"/>
      <c r="F83" s="888" t="s">
        <v>85</v>
      </c>
      <c r="G83" s="888">
        <v>0</v>
      </c>
      <c r="H83" s="888">
        <v>0</v>
      </c>
      <c r="I83" s="888">
        <v>0</v>
      </c>
      <c r="J83" s="888">
        <v>0</v>
      </c>
      <c r="K83" s="888">
        <v>0.17199999999999999</v>
      </c>
      <c r="L83" s="888">
        <v>0.17199999999999999</v>
      </c>
      <c r="M83" s="888">
        <v>0.1351</v>
      </c>
      <c r="N83" s="888">
        <v>0.15640000000000001</v>
      </c>
      <c r="O83" s="888">
        <v>0.1875</v>
      </c>
      <c r="P83" s="888">
        <v>0.17699999999999999</v>
      </c>
      <c r="Q83" s="888"/>
      <c r="R83" s="888"/>
      <c r="S83" s="888">
        <f t="shared" si="2"/>
        <v>1</v>
      </c>
      <c r="T83" s="1172"/>
      <c r="U83" s="1178"/>
      <c r="V83" s="1189"/>
      <c r="W83" s="153"/>
      <c r="X83" s="153"/>
      <c r="Y83" s="153"/>
      <c r="Z83" s="153"/>
    </row>
    <row r="84" spans="1:26" ht="50.25" customHeight="1" x14ac:dyDescent="0.25">
      <c r="A84" s="1186"/>
      <c r="B84" s="1137"/>
      <c r="C84" s="1138" t="s">
        <v>183</v>
      </c>
      <c r="D84" s="896" t="s">
        <v>77</v>
      </c>
      <c r="E84" s="896"/>
      <c r="F84" s="886" t="s">
        <v>82</v>
      </c>
      <c r="G84" s="886">
        <v>8.3299999999999999E-2</v>
      </c>
      <c r="H84" s="886">
        <v>8.3299999999999999E-2</v>
      </c>
      <c r="I84" s="886">
        <v>8.3299999999999999E-2</v>
      </c>
      <c r="J84" s="886">
        <v>8.3299999999999999E-2</v>
      </c>
      <c r="K84" s="886">
        <v>8.3299999999999999E-2</v>
      </c>
      <c r="L84" s="886">
        <v>8.3299999999999999E-2</v>
      </c>
      <c r="M84" s="886">
        <v>8.3299999999999999E-2</v>
      </c>
      <c r="N84" s="886">
        <v>8.3299999999999999E-2</v>
      </c>
      <c r="O84" s="886">
        <v>8.3299999999999999E-2</v>
      </c>
      <c r="P84" s="886">
        <v>8.3299999999999999E-2</v>
      </c>
      <c r="Q84" s="886">
        <v>8.3299999999999999E-2</v>
      </c>
      <c r="R84" s="886">
        <v>8.3299999999999999E-2</v>
      </c>
      <c r="S84" s="886">
        <f t="shared" si="2"/>
        <v>0.99960000000000016</v>
      </c>
      <c r="T84" s="1172"/>
      <c r="U84" s="1177">
        <v>1.2200000000000001E-2</v>
      </c>
      <c r="V84" s="1199" t="s">
        <v>523</v>
      </c>
      <c r="W84" s="153"/>
      <c r="X84" s="153"/>
      <c r="Y84" s="153"/>
      <c r="Z84" s="153"/>
    </row>
    <row r="85" spans="1:26" ht="51" customHeight="1" thickBot="1" x14ac:dyDescent="0.3">
      <c r="A85" s="1186"/>
      <c r="B85" s="1197"/>
      <c r="C85" s="1198"/>
      <c r="D85" s="897" t="s">
        <v>77</v>
      </c>
      <c r="E85" s="897"/>
      <c r="F85" s="888" t="s">
        <v>85</v>
      </c>
      <c r="G85" s="888">
        <v>8.3299999999999999E-2</v>
      </c>
      <c r="H85" s="888">
        <v>8.3299999999999999E-2</v>
      </c>
      <c r="I85" s="888">
        <v>8.3299999999999999E-2</v>
      </c>
      <c r="J85" s="888">
        <v>8.3299999999999999E-2</v>
      </c>
      <c r="K85" s="888">
        <v>0.1133</v>
      </c>
      <c r="L85" s="888">
        <v>8.3299999999999999E-2</v>
      </c>
      <c r="M85" s="888">
        <v>8.3299999999999999E-2</v>
      </c>
      <c r="N85" s="888">
        <v>8.3299999999999999E-2</v>
      </c>
      <c r="O85" s="888">
        <v>8.3299999999999999E-2</v>
      </c>
      <c r="P85" s="888">
        <v>0.12</v>
      </c>
      <c r="Q85" s="888">
        <v>0.05</v>
      </c>
      <c r="R85" s="888">
        <v>0.05</v>
      </c>
      <c r="S85" s="888">
        <f t="shared" si="2"/>
        <v>0.99970000000000026</v>
      </c>
      <c r="T85" s="1172"/>
      <c r="U85" s="1200"/>
      <c r="V85" s="1152"/>
      <c r="W85" s="153"/>
      <c r="X85" s="153"/>
      <c r="Y85" s="153"/>
      <c r="Z85" s="153"/>
    </row>
    <row r="86" spans="1:26" s="166" customFormat="1" ht="53.25" customHeight="1" x14ac:dyDescent="0.25">
      <c r="A86" s="1183" t="s">
        <v>184</v>
      </c>
      <c r="B86" s="1184" t="s">
        <v>185</v>
      </c>
      <c r="C86" s="1183" t="s">
        <v>224</v>
      </c>
      <c r="D86" s="167" t="s">
        <v>77</v>
      </c>
      <c r="E86" s="167"/>
      <c r="F86" s="886" t="s">
        <v>82</v>
      </c>
      <c r="G86" s="886">
        <v>0.01</v>
      </c>
      <c r="H86" s="886">
        <v>0.02</v>
      </c>
      <c r="I86" s="886">
        <v>0.02</v>
      </c>
      <c r="J86" s="886">
        <v>0.05</v>
      </c>
      <c r="K86" s="886">
        <v>0.05</v>
      </c>
      <c r="L86" s="886">
        <v>0.05</v>
      </c>
      <c r="M86" s="886">
        <v>0.1</v>
      </c>
      <c r="N86" s="886">
        <v>0.1</v>
      </c>
      <c r="O86" s="886">
        <v>0.1</v>
      </c>
      <c r="P86" s="886">
        <v>0.15</v>
      </c>
      <c r="Q86" s="886">
        <v>0.15</v>
      </c>
      <c r="R86" s="886">
        <v>0.2</v>
      </c>
      <c r="S86" s="886">
        <f t="shared" si="2"/>
        <v>1</v>
      </c>
      <c r="T86" s="1201">
        <f>+U86</f>
        <v>4.1000000000000002E-2</v>
      </c>
      <c r="U86" s="1204">
        <v>4.1000000000000002E-2</v>
      </c>
      <c r="V86" s="1196" t="s">
        <v>529</v>
      </c>
    </row>
    <row r="87" spans="1:26" s="166" customFormat="1" ht="52.5" customHeight="1" x14ac:dyDescent="0.25">
      <c r="A87" s="1183"/>
      <c r="B87" s="1184"/>
      <c r="C87" s="1183"/>
      <c r="D87" s="167" t="s">
        <v>77</v>
      </c>
      <c r="E87" s="167"/>
      <c r="F87" s="888" t="s">
        <v>85</v>
      </c>
      <c r="G87" s="888">
        <v>0.01</v>
      </c>
      <c r="H87" s="888">
        <v>0.02</v>
      </c>
      <c r="I87" s="888">
        <v>0.02</v>
      </c>
      <c r="J87" s="888">
        <v>0.05</v>
      </c>
      <c r="K87" s="888">
        <v>0.05</v>
      </c>
      <c r="L87" s="888">
        <v>0.05</v>
      </c>
      <c r="M87" s="888">
        <v>0.1</v>
      </c>
      <c r="N87" s="888">
        <v>0.1</v>
      </c>
      <c r="O87" s="888">
        <v>0.1</v>
      </c>
      <c r="P87" s="888">
        <v>0.15</v>
      </c>
      <c r="Q87" s="888">
        <v>0.15</v>
      </c>
      <c r="R87" s="888">
        <v>0.2</v>
      </c>
      <c r="S87" s="888">
        <f t="shared" si="2"/>
        <v>1</v>
      </c>
      <c r="T87" s="1201"/>
      <c r="U87" s="1204"/>
      <c r="V87" s="1196"/>
    </row>
    <row r="88" spans="1:26" ht="30.75" customHeight="1" thickBot="1" x14ac:dyDescent="0.3">
      <c r="A88" s="1243" t="s">
        <v>186</v>
      </c>
      <c r="B88" s="1244"/>
      <c r="C88" s="898"/>
      <c r="D88" s="899"/>
      <c r="E88" s="899"/>
      <c r="F88" s="899"/>
      <c r="G88" s="899"/>
      <c r="H88" s="899"/>
      <c r="I88" s="899"/>
      <c r="J88" s="899"/>
      <c r="K88" s="899"/>
      <c r="L88" s="899"/>
      <c r="M88" s="899"/>
      <c r="N88" s="900"/>
      <c r="O88" s="899"/>
      <c r="P88" s="899"/>
      <c r="Q88" s="899"/>
      <c r="R88" s="899"/>
      <c r="S88" s="899"/>
      <c r="T88" s="901">
        <f>SUM(T8:T87)</f>
        <v>1</v>
      </c>
      <c r="U88" s="901">
        <f>SUM(U8:U87)</f>
        <v>1</v>
      </c>
      <c r="V88" s="902"/>
      <c r="W88" s="158"/>
      <c r="X88" s="158"/>
      <c r="Y88" s="158"/>
      <c r="Z88" s="158"/>
    </row>
    <row r="89" spans="1:26" ht="30.75" customHeight="1" x14ac:dyDescent="0.25">
      <c r="A89" s="163"/>
      <c r="B89" s="161"/>
      <c r="C89" s="164"/>
      <c r="D89" s="163"/>
      <c r="E89" s="163"/>
      <c r="F89" s="163"/>
      <c r="G89" s="161"/>
      <c r="H89" s="161"/>
      <c r="I89" s="161"/>
      <c r="J89" s="161"/>
      <c r="K89" s="161"/>
      <c r="L89" s="161"/>
      <c r="M89" s="161"/>
      <c r="N89" s="162"/>
      <c r="O89" s="161"/>
      <c r="P89" s="161"/>
      <c r="Q89" s="161"/>
      <c r="R89" s="161"/>
      <c r="S89" s="161"/>
      <c r="T89" s="160"/>
      <c r="U89" s="160"/>
      <c r="V89" s="159" t="s">
        <v>422</v>
      </c>
      <c r="W89" s="158"/>
      <c r="X89" s="158"/>
      <c r="Y89" s="158"/>
      <c r="Z89" s="158"/>
    </row>
  </sheetData>
  <mergeCells count="185">
    <mergeCell ref="A88:B88"/>
    <mergeCell ref="A1:B4"/>
    <mergeCell ref="C1:V1"/>
    <mergeCell ref="C2:V2"/>
    <mergeCell ref="D3:V3"/>
    <mergeCell ref="D4:V4"/>
    <mergeCell ref="D6:E6"/>
    <mergeCell ref="B18:B19"/>
    <mergeCell ref="B20:B21"/>
    <mergeCell ref="B22:B27"/>
    <mergeCell ref="C18:C19"/>
    <mergeCell ref="C20:C21"/>
    <mergeCell ref="A8:A15"/>
    <mergeCell ref="E12:E13"/>
    <mergeCell ref="A22:A27"/>
    <mergeCell ref="B12:B13"/>
    <mergeCell ref="A16:A21"/>
    <mergeCell ref="B14:B15"/>
    <mergeCell ref="B16:B17"/>
    <mergeCell ref="B8:B9"/>
    <mergeCell ref="C14:C15"/>
    <mergeCell ref="T14:T15"/>
    <mergeCell ref="T22:T27"/>
    <mergeCell ref="D12:D13"/>
    <mergeCell ref="F6:S6"/>
    <mergeCell ref="T6:U6"/>
    <mergeCell ref="B10:B11"/>
    <mergeCell ref="C10:C11"/>
    <mergeCell ref="D10:D11"/>
    <mergeCell ref="E10:E11"/>
    <mergeCell ref="T10:T11"/>
    <mergeCell ref="U10:U11"/>
    <mergeCell ref="T8:T9"/>
    <mergeCell ref="U8:U9"/>
    <mergeCell ref="C8:C9"/>
    <mergeCell ref="C12:C13"/>
    <mergeCell ref="C22:C23"/>
    <mergeCell ref="C24:C25"/>
    <mergeCell ref="C26:C27"/>
    <mergeCell ref="T12:T13"/>
    <mergeCell ref="U12:U13"/>
    <mergeCell ref="T16:T17"/>
    <mergeCell ref="A28:A37"/>
    <mergeCell ref="V28:V29"/>
    <mergeCell ref="U16:U17"/>
    <mergeCell ref="T20:T21"/>
    <mergeCell ref="T18:T19"/>
    <mergeCell ref="T34:T37"/>
    <mergeCell ref="C16:C17"/>
    <mergeCell ref="C36:C37"/>
    <mergeCell ref="C34:C35"/>
    <mergeCell ref="C28:C29"/>
    <mergeCell ref="B28:B31"/>
    <mergeCell ref="T32:T33"/>
    <mergeCell ref="T28:T31"/>
    <mergeCell ref="U14:U15"/>
    <mergeCell ref="U20:U21"/>
    <mergeCell ref="U22:U23"/>
    <mergeCell ref="U24:U25"/>
    <mergeCell ref="U30:U31"/>
    <mergeCell ref="V52:V53"/>
    <mergeCell ref="V8:V9"/>
    <mergeCell ref="D8:D9"/>
    <mergeCell ref="E8:E9"/>
    <mergeCell ref="V30:V31"/>
    <mergeCell ref="V34:V35"/>
    <mergeCell ref="U32:U33"/>
    <mergeCell ref="V36:V37"/>
    <mergeCell ref="U36:U37"/>
    <mergeCell ref="U26:U27"/>
    <mergeCell ref="V18:V19"/>
    <mergeCell ref="V20:V21"/>
    <mergeCell ref="U34:U35"/>
    <mergeCell ref="V32:V33"/>
    <mergeCell ref="U28:U29"/>
    <mergeCell ref="U18:U19"/>
    <mergeCell ref="A38:A67"/>
    <mergeCell ref="U42:U43"/>
    <mergeCell ref="U44:U45"/>
    <mergeCell ref="U46:U47"/>
    <mergeCell ref="U50:U51"/>
    <mergeCell ref="U62:U63"/>
    <mergeCell ref="U68:U69"/>
    <mergeCell ref="U38:U39"/>
    <mergeCell ref="U64:U65"/>
    <mergeCell ref="U40:U41"/>
    <mergeCell ref="B38:B47"/>
    <mergeCell ref="B48:B51"/>
    <mergeCell ref="C64:C65"/>
    <mergeCell ref="B52:B55"/>
    <mergeCell ref="U58:U59"/>
    <mergeCell ref="T48:T51"/>
    <mergeCell ref="T38:T47"/>
    <mergeCell ref="U48:U49"/>
    <mergeCell ref="B56:B63"/>
    <mergeCell ref="C62:C63"/>
    <mergeCell ref="C38:C39"/>
    <mergeCell ref="C48:C49"/>
    <mergeCell ref="C42:C43"/>
    <mergeCell ref="C44:C45"/>
    <mergeCell ref="A86:A87"/>
    <mergeCell ref="B86:B87"/>
    <mergeCell ref="C86:C87"/>
    <mergeCell ref="V80:V81"/>
    <mergeCell ref="A68:A85"/>
    <mergeCell ref="U78:U79"/>
    <mergeCell ref="V78:V79"/>
    <mergeCell ref="V82:V83"/>
    <mergeCell ref="U82:U83"/>
    <mergeCell ref="T82:T85"/>
    <mergeCell ref="U80:U81"/>
    <mergeCell ref="T78:T81"/>
    <mergeCell ref="B78:B81"/>
    <mergeCell ref="V86:V87"/>
    <mergeCell ref="B82:B85"/>
    <mergeCell ref="C84:C85"/>
    <mergeCell ref="C82:C83"/>
    <mergeCell ref="V84:V85"/>
    <mergeCell ref="U84:U85"/>
    <mergeCell ref="T86:T87"/>
    <mergeCell ref="V74:V75"/>
    <mergeCell ref="U74:U75"/>
    <mergeCell ref="V70:V71"/>
    <mergeCell ref="U86:U87"/>
    <mergeCell ref="C80:C81"/>
    <mergeCell ref="C74:C75"/>
    <mergeCell ref="C76:C77"/>
    <mergeCell ref="V68:V69"/>
    <mergeCell ref="T68:T77"/>
    <mergeCell ref="T64:T67"/>
    <mergeCell ref="U60:U61"/>
    <mergeCell ref="V62:V63"/>
    <mergeCell ref="T56:T63"/>
    <mergeCell ref="U56:U57"/>
    <mergeCell ref="C78:C79"/>
    <mergeCell ref="C72:C73"/>
    <mergeCell ref="U70:U71"/>
    <mergeCell ref="V56:V57"/>
    <mergeCell ref="V60:V61"/>
    <mergeCell ref="W28:X29"/>
    <mergeCell ref="V6:V7"/>
    <mergeCell ref="B6:B7"/>
    <mergeCell ref="B32:B33"/>
    <mergeCell ref="C56:C57"/>
    <mergeCell ref="C58:C59"/>
    <mergeCell ref="V64:V65"/>
    <mergeCell ref="C52:C53"/>
    <mergeCell ref="T52:T55"/>
    <mergeCell ref="U52:U53"/>
    <mergeCell ref="C54:C55"/>
    <mergeCell ref="U54:U55"/>
    <mergeCell ref="V54:V55"/>
    <mergeCell ref="V44:V45"/>
    <mergeCell ref="V40:V41"/>
    <mergeCell ref="V38:V39"/>
    <mergeCell ref="V12:V13"/>
    <mergeCell ref="C30:C31"/>
    <mergeCell ref="V10:V11"/>
    <mergeCell ref="V14:V15"/>
    <mergeCell ref="V26:V27"/>
    <mergeCell ref="V24:V25"/>
    <mergeCell ref="V22:V23"/>
    <mergeCell ref="V16:V17"/>
    <mergeCell ref="B68:B77"/>
    <mergeCell ref="C68:C69"/>
    <mergeCell ref="C70:C71"/>
    <mergeCell ref="B64:B67"/>
    <mergeCell ref="C66:C67"/>
    <mergeCell ref="B34:B37"/>
    <mergeCell ref="C32:C33"/>
    <mergeCell ref="V76:V77"/>
    <mergeCell ref="U72:U73"/>
    <mergeCell ref="V58:V59"/>
    <mergeCell ref="U76:U77"/>
    <mergeCell ref="U66:U67"/>
    <mergeCell ref="V66:V67"/>
    <mergeCell ref="V72:V73"/>
    <mergeCell ref="V42:V43"/>
    <mergeCell ref="V50:V51"/>
    <mergeCell ref="V48:V49"/>
    <mergeCell ref="C40:C41"/>
    <mergeCell ref="C46:C47"/>
    <mergeCell ref="C60:C61"/>
    <mergeCell ref="C50:C51"/>
    <mergeCell ref="V46:V47"/>
  </mergeCells>
  <printOptions horizontalCentered="1" verticalCentered="1"/>
  <pageMargins left="0" right="0" top="0.15748031496062992" bottom="0" header="0.31496062992125984" footer="0.31496062992125984"/>
  <pageSetup scale="5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1166"/>
  <sheetViews>
    <sheetView topLeftCell="A711" workbookViewId="0">
      <selection activeCell="J726" sqref="J726"/>
    </sheetView>
  </sheetViews>
  <sheetFormatPr baseColWidth="10" defaultColWidth="12.5703125" defaultRowHeight="15" x14ac:dyDescent="0.25"/>
  <cols>
    <col min="1" max="1" width="6.42578125" style="910" customWidth="1"/>
    <col min="2" max="2" width="14" style="910" customWidth="1"/>
    <col min="3" max="3" width="22.5703125" style="910" customWidth="1"/>
    <col min="4" max="4" width="16.140625" style="910" customWidth="1"/>
    <col min="5" max="5" width="18.85546875" style="910" customWidth="1"/>
    <col min="6" max="7" width="12.28515625" style="910" hidden="1" customWidth="1"/>
    <col min="8" max="8" width="14.85546875" style="910" customWidth="1"/>
    <col min="9" max="9" width="12.5703125" style="910" hidden="1" customWidth="1"/>
    <col min="10" max="10" width="16.42578125" style="203" bestFit="1" customWidth="1"/>
    <col min="11" max="11" width="15.85546875" style="910" customWidth="1"/>
    <col min="12" max="12" width="22.42578125" style="203" customWidth="1"/>
    <col min="13" max="13" width="16" style="910" customWidth="1"/>
    <col min="14" max="14" width="15.85546875" style="203" customWidth="1"/>
    <col min="15" max="15" width="15.5703125" style="910" customWidth="1"/>
    <col min="16" max="16" width="11.140625" style="910" customWidth="1"/>
    <col min="17" max="17" width="20.42578125" style="910" customWidth="1"/>
    <col min="18" max="18" width="10.85546875" style="910" customWidth="1"/>
    <col min="19" max="19" width="9.42578125" style="910" customWidth="1"/>
    <col min="20" max="21" width="12.5703125" style="910" customWidth="1"/>
    <col min="22" max="22" width="14.42578125" style="910" customWidth="1"/>
    <col min="23" max="23" width="12.5703125" style="910" customWidth="1"/>
    <col min="24" max="24" width="24.42578125" style="910" customWidth="1"/>
    <col min="25" max="25" width="17" style="910" customWidth="1"/>
    <col min="26" max="26" width="13.42578125" style="910" customWidth="1"/>
    <col min="27" max="27" width="22.7109375" style="910" customWidth="1"/>
    <col min="28" max="28" width="3.7109375" style="910" customWidth="1"/>
    <col min="29" max="29" width="5.85546875" style="910" hidden="1" customWidth="1"/>
    <col min="30" max="30" width="10.85546875" style="910" hidden="1" customWidth="1"/>
    <col min="31" max="31" width="1.28515625" style="910" hidden="1" customWidth="1"/>
    <col min="32" max="32" width="10.85546875" style="910" hidden="1" customWidth="1"/>
    <col min="33" max="33" width="1.28515625" style="910" hidden="1" customWidth="1"/>
    <col min="34" max="34" width="12.85546875" style="910" hidden="1" customWidth="1"/>
    <col min="35" max="36" width="1.28515625" style="910" hidden="1" customWidth="1"/>
    <col min="37" max="37" width="10.85546875" style="910" hidden="1" customWidth="1"/>
    <col min="38" max="47" width="8.7109375" style="910" customWidth="1"/>
    <col min="48" max="256" width="12.5703125" style="910"/>
    <col min="257" max="257" width="6.42578125" style="910" customWidth="1"/>
    <col min="258" max="258" width="14" style="910" customWidth="1"/>
    <col min="259" max="259" width="22.5703125" style="910" customWidth="1"/>
    <col min="260" max="260" width="16.140625" style="910" customWidth="1"/>
    <col min="261" max="265" width="0" style="910" hidden="1" customWidth="1"/>
    <col min="266" max="266" width="16.42578125" style="910" bestFit="1" customWidth="1"/>
    <col min="267" max="268" width="0" style="910" hidden="1" customWidth="1"/>
    <col min="269" max="269" width="16" style="910" customWidth="1"/>
    <col min="270" max="270" width="15.85546875" style="910" customWidth="1"/>
    <col min="271" max="271" width="15.5703125" style="910" customWidth="1"/>
    <col min="272" max="272" width="11.140625" style="910" customWidth="1"/>
    <col min="273" max="273" width="20.42578125" style="910" customWidth="1"/>
    <col min="274" max="274" width="10.85546875" style="910" customWidth="1"/>
    <col min="275" max="275" width="9.42578125" style="910" customWidth="1"/>
    <col min="276" max="277" width="12.5703125" style="910" customWidth="1"/>
    <col min="278" max="278" width="14.42578125" style="910" customWidth="1"/>
    <col min="279" max="279" width="12.5703125" style="910" customWidth="1"/>
    <col min="280" max="280" width="24.42578125" style="910" customWidth="1"/>
    <col min="281" max="281" width="17" style="910" customWidth="1"/>
    <col min="282" max="282" width="13.42578125" style="910" customWidth="1"/>
    <col min="283" max="283" width="22.7109375" style="910" customWidth="1"/>
    <col min="284" max="284" width="3.7109375" style="910" customWidth="1"/>
    <col min="285" max="293" width="0" style="910" hidden="1" customWidth="1"/>
    <col min="294" max="303" width="8.7109375" style="910" customWidth="1"/>
    <col min="304" max="512" width="12.5703125" style="910"/>
    <col min="513" max="513" width="6.42578125" style="910" customWidth="1"/>
    <col min="514" max="514" width="14" style="910" customWidth="1"/>
    <col min="515" max="515" width="22.5703125" style="910" customWidth="1"/>
    <col min="516" max="516" width="16.140625" style="910" customWidth="1"/>
    <col min="517" max="521" width="0" style="910" hidden="1" customWidth="1"/>
    <col min="522" max="522" width="16.42578125" style="910" bestFit="1" customWidth="1"/>
    <col min="523" max="524" width="0" style="910" hidden="1" customWidth="1"/>
    <col min="525" max="525" width="16" style="910" customWidth="1"/>
    <col min="526" max="526" width="15.85546875" style="910" customWidth="1"/>
    <col min="527" max="527" width="15.5703125" style="910" customWidth="1"/>
    <col min="528" max="528" width="11.140625" style="910" customWidth="1"/>
    <col min="529" max="529" width="20.42578125" style="910" customWidth="1"/>
    <col min="530" max="530" width="10.85546875" style="910" customWidth="1"/>
    <col min="531" max="531" width="9.42578125" style="910" customWidth="1"/>
    <col min="532" max="533" width="12.5703125" style="910" customWidth="1"/>
    <col min="534" max="534" width="14.42578125" style="910" customWidth="1"/>
    <col min="535" max="535" width="12.5703125" style="910" customWidth="1"/>
    <col min="536" max="536" width="24.42578125" style="910" customWidth="1"/>
    <col min="537" max="537" width="17" style="910" customWidth="1"/>
    <col min="538" max="538" width="13.42578125" style="910" customWidth="1"/>
    <col min="539" max="539" width="22.7109375" style="910" customWidth="1"/>
    <col min="540" max="540" width="3.7109375" style="910" customWidth="1"/>
    <col min="541" max="549" width="0" style="910" hidden="1" customWidth="1"/>
    <col min="550" max="559" width="8.7109375" style="910" customWidth="1"/>
    <col min="560" max="768" width="12.5703125" style="910"/>
    <col min="769" max="769" width="6.42578125" style="910" customWidth="1"/>
    <col min="770" max="770" width="14" style="910" customWidth="1"/>
    <col min="771" max="771" width="22.5703125" style="910" customWidth="1"/>
    <col min="772" max="772" width="16.140625" style="910" customWidth="1"/>
    <col min="773" max="777" width="0" style="910" hidden="1" customWidth="1"/>
    <col min="778" max="778" width="16.42578125" style="910" bestFit="1" customWidth="1"/>
    <col min="779" max="780" width="0" style="910" hidden="1" customWidth="1"/>
    <col min="781" max="781" width="16" style="910" customWidth="1"/>
    <col min="782" max="782" width="15.85546875" style="910" customWidth="1"/>
    <col min="783" max="783" width="15.5703125" style="910" customWidth="1"/>
    <col min="784" max="784" width="11.140625" style="910" customWidth="1"/>
    <col min="785" max="785" width="20.42578125" style="910" customWidth="1"/>
    <col min="786" max="786" width="10.85546875" style="910" customWidth="1"/>
    <col min="787" max="787" width="9.42578125" style="910" customWidth="1"/>
    <col min="788" max="789" width="12.5703125" style="910" customWidth="1"/>
    <col min="790" max="790" width="14.42578125" style="910" customWidth="1"/>
    <col min="791" max="791" width="12.5703125" style="910" customWidth="1"/>
    <col min="792" max="792" width="24.42578125" style="910" customWidth="1"/>
    <col min="793" max="793" width="17" style="910" customWidth="1"/>
    <col min="794" max="794" width="13.42578125" style="910" customWidth="1"/>
    <col min="795" max="795" width="22.7109375" style="910" customWidth="1"/>
    <col min="796" max="796" width="3.7109375" style="910" customWidth="1"/>
    <col min="797" max="805" width="0" style="910" hidden="1" customWidth="1"/>
    <col min="806" max="815" width="8.7109375" style="910" customWidth="1"/>
    <col min="816" max="1024" width="12.5703125" style="910"/>
    <col min="1025" max="1025" width="6.42578125" style="910" customWidth="1"/>
    <col min="1026" max="1026" width="14" style="910" customWidth="1"/>
    <col min="1027" max="1027" width="22.5703125" style="910" customWidth="1"/>
    <col min="1028" max="1028" width="16.140625" style="910" customWidth="1"/>
    <col min="1029" max="1033" width="0" style="910" hidden="1" customWidth="1"/>
    <col min="1034" max="1034" width="16.42578125" style="910" bestFit="1" customWidth="1"/>
    <col min="1035" max="1036" width="0" style="910" hidden="1" customWidth="1"/>
    <col min="1037" max="1037" width="16" style="910" customWidth="1"/>
    <col min="1038" max="1038" width="15.85546875" style="910" customWidth="1"/>
    <col min="1039" max="1039" width="15.5703125" style="910" customWidth="1"/>
    <col min="1040" max="1040" width="11.140625" style="910" customWidth="1"/>
    <col min="1041" max="1041" width="20.42578125" style="910" customWidth="1"/>
    <col min="1042" max="1042" width="10.85546875" style="910" customWidth="1"/>
    <col min="1043" max="1043" width="9.42578125" style="910" customWidth="1"/>
    <col min="1044" max="1045" width="12.5703125" style="910" customWidth="1"/>
    <col min="1046" max="1046" width="14.42578125" style="910" customWidth="1"/>
    <col min="1047" max="1047" width="12.5703125" style="910" customWidth="1"/>
    <col min="1048" max="1048" width="24.42578125" style="910" customWidth="1"/>
    <col min="1049" max="1049" width="17" style="910" customWidth="1"/>
    <col min="1050" max="1050" width="13.42578125" style="910" customWidth="1"/>
    <col min="1051" max="1051" width="22.7109375" style="910" customWidth="1"/>
    <col min="1052" max="1052" width="3.7109375" style="910" customWidth="1"/>
    <col min="1053" max="1061" width="0" style="910" hidden="1" customWidth="1"/>
    <col min="1062" max="1071" width="8.7109375" style="910" customWidth="1"/>
    <col min="1072" max="1280" width="12.5703125" style="910"/>
    <col min="1281" max="1281" width="6.42578125" style="910" customWidth="1"/>
    <col min="1282" max="1282" width="14" style="910" customWidth="1"/>
    <col min="1283" max="1283" width="22.5703125" style="910" customWidth="1"/>
    <col min="1284" max="1284" width="16.140625" style="910" customWidth="1"/>
    <col min="1285" max="1289" width="0" style="910" hidden="1" customWidth="1"/>
    <col min="1290" max="1290" width="16.42578125" style="910" bestFit="1" customWidth="1"/>
    <col min="1291" max="1292" width="0" style="910" hidden="1" customWidth="1"/>
    <col min="1293" max="1293" width="16" style="910" customWidth="1"/>
    <col min="1294" max="1294" width="15.85546875" style="910" customWidth="1"/>
    <col min="1295" max="1295" width="15.5703125" style="910" customWidth="1"/>
    <col min="1296" max="1296" width="11.140625" style="910" customWidth="1"/>
    <col min="1297" max="1297" width="20.42578125" style="910" customWidth="1"/>
    <col min="1298" max="1298" width="10.85546875" style="910" customWidth="1"/>
    <col min="1299" max="1299" width="9.42578125" style="910" customWidth="1"/>
    <col min="1300" max="1301" width="12.5703125" style="910" customWidth="1"/>
    <col min="1302" max="1302" width="14.42578125" style="910" customWidth="1"/>
    <col min="1303" max="1303" width="12.5703125" style="910" customWidth="1"/>
    <col min="1304" max="1304" width="24.42578125" style="910" customWidth="1"/>
    <col min="1305" max="1305" width="17" style="910" customWidth="1"/>
    <col min="1306" max="1306" width="13.42578125" style="910" customWidth="1"/>
    <col min="1307" max="1307" width="22.7109375" style="910" customWidth="1"/>
    <col min="1308" max="1308" width="3.7109375" style="910" customWidth="1"/>
    <col min="1309" max="1317" width="0" style="910" hidden="1" customWidth="1"/>
    <col min="1318" max="1327" width="8.7109375" style="910" customWidth="1"/>
    <col min="1328" max="1536" width="12.5703125" style="910"/>
    <col min="1537" max="1537" width="6.42578125" style="910" customWidth="1"/>
    <col min="1538" max="1538" width="14" style="910" customWidth="1"/>
    <col min="1539" max="1539" width="22.5703125" style="910" customWidth="1"/>
    <col min="1540" max="1540" width="16.140625" style="910" customWidth="1"/>
    <col min="1541" max="1545" width="0" style="910" hidden="1" customWidth="1"/>
    <col min="1546" max="1546" width="16.42578125" style="910" bestFit="1" customWidth="1"/>
    <col min="1547" max="1548" width="0" style="910" hidden="1" customWidth="1"/>
    <col min="1549" max="1549" width="16" style="910" customWidth="1"/>
    <col min="1550" max="1550" width="15.85546875" style="910" customWidth="1"/>
    <col min="1551" max="1551" width="15.5703125" style="910" customWidth="1"/>
    <col min="1552" max="1552" width="11.140625" style="910" customWidth="1"/>
    <col min="1553" max="1553" width="20.42578125" style="910" customWidth="1"/>
    <col min="1554" max="1554" width="10.85546875" style="910" customWidth="1"/>
    <col min="1555" max="1555" width="9.42578125" style="910" customWidth="1"/>
    <col min="1556" max="1557" width="12.5703125" style="910" customWidth="1"/>
    <col min="1558" max="1558" width="14.42578125" style="910" customWidth="1"/>
    <col min="1559" max="1559" width="12.5703125" style="910" customWidth="1"/>
    <col min="1560" max="1560" width="24.42578125" style="910" customWidth="1"/>
    <col min="1561" max="1561" width="17" style="910" customWidth="1"/>
    <col min="1562" max="1562" width="13.42578125" style="910" customWidth="1"/>
    <col min="1563" max="1563" width="22.7109375" style="910" customWidth="1"/>
    <col min="1564" max="1564" width="3.7109375" style="910" customWidth="1"/>
    <col min="1565" max="1573" width="0" style="910" hidden="1" customWidth="1"/>
    <col min="1574" max="1583" width="8.7109375" style="910" customWidth="1"/>
    <col min="1584" max="1792" width="12.5703125" style="910"/>
    <col min="1793" max="1793" width="6.42578125" style="910" customWidth="1"/>
    <col min="1794" max="1794" width="14" style="910" customWidth="1"/>
    <col min="1795" max="1795" width="22.5703125" style="910" customWidth="1"/>
    <col min="1796" max="1796" width="16.140625" style="910" customWidth="1"/>
    <col min="1797" max="1801" width="0" style="910" hidden="1" customWidth="1"/>
    <col min="1802" max="1802" width="16.42578125" style="910" bestFit="1" customWidth="1"/>
    <col min="1803" max="1804" width="0" style="910" hidden="1" customWidth="1"/>
    <col min="1805" max="1805" width="16" style="910" customWidth="1"/>
    <col min="1806" max="1806" width="15.85546875" style="910" customWidth="1"/>
    <col min="1807" max="1807" width="15.5703125" style="910" customWidth="1"/>
    <col min="1808" max="1808" width="11.140625" style="910" customWidth="1"/>
    <col min="1809" max="1809" width="20.42578125" style="910" customWidth="1"/>
    <col min="1810" max="1810" width="10.85546875" style="910" customWidth="1"/>
    <col min="1811" max="1811" width="9.42578125" style="910" customWidth="1"/>
    <col min="1812" max="1813" width="12.5703125" style="910" customWidth="1"/>
    <col min="1814" max="1814" width="14.42578125" style="910" customWidth="1"/>
    <col min="1815" max="1815" width="12.5703125" style="910" customWidth="1"/>
    <col min="1816" max="1816" width="24.42578125" style="910" customWidth="1"/>
    <col min="1817" max="1817" width="17" style="910" customWidth="1"/>
    <col min="1818" max="1818" width="13.42578125" style="910" customWidth="1"/>
    <col min="1819" max="1819" width="22.7109375" style="910" customWidth="1"/>
    <col min="1820" max="1820" width="3.7109375" style="910" customWidth="1"/>
    <col min="1821" max="1829" width="0" style="910" hidden="1" customWidth="1"/>
    <col min="1830" max="1839" width="8.7109375" style="910" customWidth="1"/>
    <col min="1840" max="2048" width="12.5703125" style="910"/>
    <col min="2049" max="2049" width="6.42578125" style="910" customWidth="1"/>
    <col min="2050" max="2050" width="14" style="910" customWidth="1"/>
    <col min="2051" max="2051" width="22.5703125" style="910" customWidth="1"/>
    <col min="2052" max="2052" width="16.140625" style="910" customWidth="1"/>
    <col min="2053" max="2057" width="0" style="910" hidden="1" customWidth="1"/>
    <col min="2058" max="2058" width="16.42578125" style="910" bestFit="1" customWidth="1"/>
    <col min="2059" max="2060" width="0" style="910" hidden="1" customWidth="1"/>
    <col min="2061" max="2061" width="16" style="910" customWidth="1"/>
    <col min="2062" max="2062" width="15.85546875" style="910" customWidth="1"/>
    <col min="2063" max="2063" width="15.5703125" style="910" customWidth="1"/>
    <col min="2064" max="2064" width="11.140625" style="910" customWidth="1"/>
    <col min="2065" max="2065" width="20.42578125" style="910" customWidth="1"/>
    <col min="2066" max="2066" width="10.85546875" style="910" customWidth="1"/>
    <col min="2067" max="2067" width="9.42578125" style="910" customWidth="1"/>
    <col min="2068" max="2069" width="12.5703125" style="910" customWidth="1"/>
    <col min="2070" max="2070" width="14.42578125" style="910" customWidth="1"/>
    <col min="2071" max="2071" width="12.5703125" style="910" customWidth="1"/>
    <col min="2072" max="2072" width="24.42578125" style="910" customWidth="1"/>
    <col min="2073" max="2073" width="17" style="910" customWidth="1"/>
    <col min="2074" max="2074" width="13.42578125" style="910" customWidth="1"/>
    <col min="2075" max="2075" width="22.7109375" style="910" customWidth="1"/>
    <col min="2076" max="2076" width="3.7109375" style="910" customWidth="1"/>
    <col min="2077" max="2085" width="0" style="910" hidden="1" customWidth="1"/>
    <col min="2086" max="2095" width="8.7109375" style="910" customWidth="1"/>
    <col min="2096" max="2304" width="12.5703125" style="910"/>
    <col min="2305" max="2305" width="6.42578125" style="910" customWidth="1"/>
    <col min="2306" max="2306" width="14" style="910" customWidth="1"/>
    <col min="2307" max="2307" width="22.5703125" style="910" customWidth="1"/>
    <col min="2308" max="2308" width="16.140625" style="910" customWidth="1"/>
    <col min="2309" max="2313" width="0" style="910" hidden="1" customWidth="1"/>
    <col min="2314" max="2314" width="16.42578125" style="910" bestFit="1" customWidth="1"/>
    <col min="2315" max="2316" width="0" style="910" hidden="1" customWidth="1"/>
    <col min="2317" max="2317" width="16" style="910" customWidth="1"/>
    <col min="2318" max="2318" width="15.85546875" style="910" customWidth="1"/>
    <col min="2319" max="2319" width="15.5703125" style="910" customWidth="1"/>
    <col min="2320" max="2320" width="11.140625" style="910" customWidth="1"/>
    <col min="2321" max="2321" width="20.42578125" style="910" customWidth="1"/>
    <col min="2322" max="2322" width="10.85546875" style="910" customWidth="1"/>
    <col min="2323" max="2323" width="9.42578125" style="910" customWidth="1"/>
    <col min="2324" max="2325" width="12.5703125" style="910" customWidth="1"/>
    <col min="2326" max="2326" width="14.42578125" style="910" customWidth="1"/>
    <col min="2327" max="2327" width="12.5703125" style="910" customWidth="1"/>
    <col min="2328" max="2328" width="24.42578125" style="910" customWidth="1"/>
    <col min="2329" max="2329" width="17" style="910" customWidth="1"/>
    <col min="2330" max="2330" width="13.42578125" style="910" customWidth="1"/>
    <col min="2331" max="2331" width="22.7109375" style="910" customWidth="1"/>
    <col min="2332" max="2332" width="3.7109375" style="910" customWidth="1"/>
    <col min="2333" max="2341" width="0" style="910" hidden="1" customWidth="1"/>
    <col min="2342" max="2351" width="8.7109375" style="910" customWidth="1"/>
    <col min="2352" max="2560" width="12.5703125" style="910"/>
    <col min="2561" max="2561" width="6.42578125" style="910" customWidth="1"/>
    <col min="2562" max="2562" width="14" style="910" customWidth="1"/>
    <col min="2563" max="2563" width="22.5703125" style="910" customWidth="1"/>
    <col min="2564" max="2564" width="16.140625" style="910" customWidth="1"/>
    <col min="2565" max="2569" width="0" style="910" hidden="1" customWidth="1"/>
    <col min="2570" max="2570" width="16.42578125" style="910" bestFit="1" customWidth="1"/>
    <col min="2571" max="2572" width="0" style="910" hidden="1" customWidth="1"/>
    <col min="2573" max="2573" width="16" style="910" customWidth="1"/>
    <col min="2574" max="2574" width="15.85546875" style="910" customWidth="1"/>
    <col min="2575" max="2575" width="15.5703125" style="910" customWidth="1"/>
    <col min="2576" max="2576" width="11.140625" style="910" customWidth="1"/>
    <col min="2577" max="2577" width="20.42578125" style="910" customWidth="1"/>
    <col min="2578" max="2578" width="10.85546875" style="910" customWidth="1"/>
    <col min="2579" max="2579" width="9.42578125" style="910" customWidth="1"/>
    <col min="2580" max="2581" width="12.5703125" style="910" customWidth="1"/>
    <col min="2582" max="2582" width="14.42578125" style="910" customWidth="1"/>
    <col min="2583" max="2583" width="12.5703125" style="910" customWidth="1"/>
    <col min="2584" max="2584" width="24.42578125" style="910" customWidth="1"/>
    <col min="2585" max="2585" width="17" style="910" customWidth="1"/>
    <col min="2586" max="2586" width="13.42578125" style="910" customWidth="1"/>
    <col min="2587" max="2587" width="22.7109375" style="910" customWidth="1"/>
    <col min="2588" max="2588" width="3.7109375" style="910" customWidth="1"/>
    <col min="2589" max="2597" width="0" style="910" hidden="1" customWidth="1"/>
    <col min="2598" max="2607" width="8.7109375" style="910" customWidth="1"/>
    <col min="2608" max="2816" width="12.5703125" style="910"/>
    <col min="2817" max="2817" width="6.42578125" style="910" customWidth="1"/>
    <col min="2818" max="2818" width="14" style="910" customWidth="1"/>
    <col min="2819" max="2819" width="22.5703125" style="910" customWidth="1"/>
    <col min="2820" max="2820" width="16.140625" style="910" customWidth="1"/>
    <col min="2821" max="2825" width="0" style="910" hidden="1" customWidth="1"/>
    <col min="2826" max="2826" width="16.42578125" style="910" bestFit="1" customWidth="1"/>
    <col min="2827" max="2828" width="0" style="910" hidden="1" customWidth="1"/>
    <col min="2829" max="2829" width="16" style="910" customWidth="1"/>
    <col min="2830" max="2830" width="15.85546875" style="910" customWidth="1"/>
    <col min="2831" max="2831" width="15.5703125" style="910" customWidth="1"/>
    <col min="2832" max="2832" width="11.140625" style="910" customWidth="1"/>
    <col min="2833" max="2833" width="20.42578125" style="910" customWidth="1"/>
    <col min="2834" max="2834" width="10.85546875" style="910" customWidth="1"/>
    <col min="2835" max="2835" width="9.42578125" style="910" customWidth="1"/>
    <col min="2836" max="2837" width="12.5703125" style="910" customWidth="1"/>
    <col min="2838" max="2838" width="14.42578125" style="910" customWidth="1"/>
    <col min="2839" max="2839" width="12.5703125" style="910" customWidth="1"/>
    <col min="2840" max="2840" width="24.42578125" style="910" customWidth="1"/>
    <col min="2841" max="2841" width="17" style="910" customWidth="1"/>
    <col min="2842" max="2842" width="13.42578125" style="910" customWidth="1"/>
    <col min="2843" max="2843" width="22.7109375" style="910" customWidth="1"/>
    <col min="2844" max="2844" width="3.7109375" style="910" customWidth="1"/>
    <col min="2845" max="2853" width="0" style="910" hidden="1" customWidth="1"/>
    <col min="2854" max="2863" width="8.7109375" style="910" customWidth="1"/>
    <col min="2864" max="3072" width="12.5703125" style="910"/>
    <col min="3073" max="3073" width="6.42578125" style="910" customWidth="1"/>
    <col min="3074" max="3074" width="14" style="910" customWidth="1"/>
    <col min="3075" max="3075" width="22.5703125" style="910" customWidth="1"/>
    <col min="3076" max="3076" width="16.140625" style="910" customWidth="1"/>
    <col min="3077" max="3081" width="0" style="910" hidden="1" customWidth="1"/>
    <col min="3082" max="3082" width="16.42578125" style="910" bestFit="1" customWidth="1"/>
    <col min="3083" max="3084" width="0" style="910" hidden="1" customWidth="1"/>
    <col min="3085" max="3085" width="16" style="910" customWidth="1"/>
    <col min="3086" max="3086" width="15.85546875" style="910" customWidth="1"/>
    <col min="3087" max="3087" width="15.5703125" style="910" customWidth="1"/>
    <col min="3088" max="3088" width="11.140625" style="910" customWidth="1"/>
    <col min="3089" max="3089" width="20.42578125" style="910" customWidth="1"/>
    <col min="3090" max="3090" width="10.85546875" style="910" customWidth="1"/>
    <col min="3091" max="3091" width="9.42578125" style="910" customWidth="1"/>
    <col min="3092" max="3093" width="12.5703125" style="910" customWidth="1"/>
    <col min="3094" max="3094" width="14.42578125" style="910" customWidth="1"/>
    <col min="3095" max="3095" width="12.5703125" style="910" customWidth="1"/>
    <col min="3096" max="3096" width="24.42578125" style="910" customWidth="1"/>
    <col min="3097" max="3097" width="17" style="910" customWidth="1"/>
    <col min="3098" max="3098" width="13.42578125" style="910" customWidth="1"/>
    <col min="3099" max="3099" width="22.7109375" style="910" customWidth="1"/>
    <col min="3100" max="3100" width="3.7109375" style="910" customWidth="1"/>
    <col min="3101" max="3109" width="0" style="910" hidden="1" customWidth="1"/>
    <col min="3110" max="3119" width="8.7109375" style="910" customWidth="1"/>
    <col min="3120" max="3328" width="12.5703125" style="910"/>
    <col min="3329" max="3329" width="6.42578125" style="910" customWidth="1"/>
    <col min="3330" max="3330" width="14" style="910" customWidth="1"/>
    <col min="3331" max="3331" width="22.5703125" style="910" customWidth="1"/>
    <col min="3332" max="3332" width="16.140625" style="910" customWidth="1"/>
    <col min="3333" max="3337" width="0" style="910" hidden="1" customWidth="1"/>
    <col min="3338" max="3338" width="16.42578125" style="910" bestFit="1" customWidth="1"/>
    <col min="3339" max="3340" width="0" style="910" hidden="1" customWidth="1"/>
    <col min="3341" max="3341" width="16" style="910" customWidth="1"/>
    <col min="3342" max="3342" width="15.85546875" style="910" customWidth="1"/>
    <col min="3343" max="3343" width="15.5703125" style="910" customWidth="1"/>
    <col min="3344" max="3344" width="11.140625" style="910" customWidth="1"/>
    <col min="3345" max="3345" width="20.42578125" style="910" customWidth="1"/>
    <col min="3346" max="3346" width="10.85546875" style="910" customWidth="1"/>
    <col min="3347" max="3347" width="9.42578125" style="910" customWidth="1"/>
    <col min="3348" max="3349" width="12.5703125" style="910" customWidth="1"/>
    <col min="3350" max="3350" width="14.42578125" style="910" customWidth="1"/>
    <col min="3351" max="3351" width="12.5703125" style="910" customWidth="1"/>
    <col min="3352" max="3352" width="24.42578125" style="910" customWidth="1"/>
    <col min="3353" max="3353" width="17" style="910" customWidth="1"/>
    <col min="3354" max="3354" width="13.42578125" style="910" customWidth="1"/>
    <col min="3355" max="3355" width="22.7109375" style="910" customWidth="1"/>
    <col min="3356" max="3356" width="3.7109375" style="910" customWidth="1"/>
    <col min="3357" max="3365" width="0" style="910" hidden="1" customWidth="1"/>
    <col min="3366" max="3375" width="8.7109375" style="910" customWidth="1"/>
    <col min="3376" max="3584" width="12.5703125" style="910"/>
    <col min="3585" max="3585" width="6.42578125" style="910" customWidth="1"/>
    <col min="3586" max="3586" width="14" style="910" customWidth="1"/>
    <col min="3587" max="3587" width="22.5703125" style="910" customWidth="1"/>
    <col min="3588" max="3588" width="16.140625" style="910" customWidth="1"/>
    <col min="3589" max="3593" width="0" style="910" hidden="1" customWidth="1"/>
    <col min="3594" max="3594" width="16.42578125" style="910" bestFit="1" customWidth="1"/>
    <col min="3595" max="3596" width="0" style="910" hidden="1" customWidth="1"/>
    <col min="3597" max="3597" width="16" style="910" customWidth="1"/>
    <col min="3598" max="3598" width="15.85546875" style="910" customWidth="1"/>
    <col min="3599" max="3599" width="15.5703125" style="910" customWidth="1"/>
    <col min="3600" max="3600" width="11.140625" style="910" customWidth="1"/>
    <col min="3601" max="3601" width="20.42578125" style="910" customWidth="1"/>
    <col min="3602" max="3602" width="10.85546875" style="910" customWidth="1"/>
    <col min="3603" max="3603" width="9.42578125" style="910" customWidth="1"/>
    <col min="3604" max="3605" width="12.5703125" style="910" customWidth="1"/>
    <col min="3606" max="3606" width="14.42578125" style="910" customWidth="1"/>
    <col min="3607" max="3607" width="12.5703125" style="910" customWidth="1"/>
    <col min="3608" max="3608" width="24.42578125" style="910" customWidth="1"/>
    <col min="3609" max="3609" width="17" style="910" customWidth="1"/>
    <col min="3610" max="3610" width="13.42578125" style="910" customWidth="1"/>
    <col min="3611" max="3611" width="22.7109375" style="910" customWidth="1"/>
    <col min="3612" max="3612" width="3.7109375" style="910" customWidth="1"/>
    <col min="3613" max="3621" width="0" style="910" hidden="1" customWidth="1"/>
    <col min="3622" max="3631" width="8.7109375" style="910" customWidth="1"/>
    <col min="3632" max="3840" width="12.5703125" style="910"/>
    <col min="3841" max="3841" width="6.42578125" style="910" customWidth="1"/>
    <col min="3842" max="3842" width="14" style="910" customWidth="1"/>
    <col min="3843" max="3843" width="22.5703125" style="910" customWidth="1"/>
    <col min="3844" max="3844" width="16.140625" style="910" customWidth="1"/>
    <col min="3845" max="3849" width="0" style="910" hidden="1" customWidth="1"/>
    <col min="3850" max="3850" width="16.42578125" style="910" bestFit="1" customWidth="1"/>
    <col min="3851" max="3852" width="0" style="910" hidden="1" customWidth="1"/>
    <col min="3853" max="3853" width="16" style="910" customWidth="1"/>
    <col min="3854" max="3854" width="15.85546875" style="910" customWidth="1"/>
    <col min="3855" max="3855" width="15.5703125" style="910" customWidth="1"/>
    <col min="3856" max="3856" width="11.140625" style="910" customWidth="1"/>
    <col min="3857" max="3857" width="20.42578125" style="910" customWidth="1"/>
    <col min="3858" max="3858" width="10.85546875" style="910" customWidth="1"/>
    <col min="3859" max="3859" width="9.42578125" style="910" customWidth="1"/>
    <col min="3860" max="3861" width="12.5703125" style="910" customWidth="1"/>
    <col min="3862" max="3862" width="14.42578125" style="910" customWidth="1"/>
    <col min="3863" max="3863" width="12.5703125" style="910" customWidth="1"/>
    <col min="3864" max="3864" width="24.42578125" style="910" customWidth="1"/>
    <col min="3865" max="3865" width="17" style="910" customWidth="1"/>
    <col min="3866" max="3866" width="13.42578125" style="910" customWidth="1"/>
    <col min="3867" max="3867" width="22.7109375" style="910" customWidth="1"/>
    <col min="3868" max="3868" width="3.7109375" style="910" customWidth="1"/>
    <col min="3869" max="3877" width="0" style="910" hidden="1" customWidth="1"/>
    <col min="3878" max="3887" width="8.7109375" style="910" customWidth="1"/>
    <col min="3888" max="4096" width="12.5703125" style="910"/>
    <col min="4097" max="4097" width="6.42578125" style="910" customWidth="1"/>
    <col min="4098" max="4098" width="14" style="910" customWidth="1"/>
    <col min="4099" max="4099" width="22.5703125" style="910" customWidth="1"/>
    <col min="4100" max="4100" width="16.140625" style="910" customWidth="1"/>
    <col min="4101" max="4105" width="0" style="910" hidden="1" customWidth="1"/>
    <col min="4106" max="4106" width="16.42578125" style="910" bestFit="1" customWidth="1"/>
    <col min="4107" max="4108" width="0" style="910" hidden="1" customWidth="1"/>
    <col min="4109" max="4109" width="16" style="910" customWidth="1"/>
    <col min="4110" max="4110" width="15.85546875" style="910" customWidth="1"/>
    <col min="4111" max="4111" width="15.5703125" style="910" customWidth="1"/>
    <col min="4112" max="4112" width="11.140625" style="910" customWidth="1"/>
    <col min="4113" max="4113" width="20.42578125" style="910" customWidth="1"/>
    <col min="4114" max="4114" width="10.85546875" style="910" customWidth="1"/>
    <col min="4115" max="4115" width="9.42578125" style="910" customWidth="1"/>
    <col min="4116" max="4117" width="12.5703125" style="910" customWidth="1"/>
    <col min="4118" max="4118" width="14.42578125" style="910" customWidth="1"/>
    <col min="4119" max="4119" width="12.5703125" style="910" customWidth="1"/>
    <col min="4120" max="4120" width="24.42578125" style="910" customWidth="1"/>
    <col min="4121" max="4121" width="17" style="910" customWidth="1"/>
    <col min="4122" max="4122" width="13.42578125" style="910" customWidth="1"/>
    <col min="4123" max="4123" width="22.7109375" style="910" customWidth="1"/>
    <col min="4124" max="4124" width="3.7109375" style="910" customWidth="1"/>
    <col min="4125" max="4133" width="0" style="910" hidden="1" customWidth="1"/>
    <col min="4134" max="4143" width="8.7109375" style="910" customWidth="1"/>
    <col min="4144" max="4352" width="12.5703125" style="910"/>
    <col min="4353" max="4353" width="6.42578125" style="910" customWidth="1"/>
    <col min="4354" max="4354" width="14" style="910" customWidth="1"/>
    <col min="4355" max="4355" width="22.5703125" style="910" customWidth="1"/>
    <col min="4356" max="4356" width="16.140625" style="910" customWidth="1"/>
    <col min="4357" max="4361" width="0" style="910" hidden="1" customWidth="1"/>
    <col min="4362" max="4362" width="16.42578125" style="910" bestFit="1" customWidth="1"/>
    <col min="4363" max="4364" width="0" style="910" hidden="1" customWidth="1"/>
    <col min="4365" max="4365" width="16" style="910" customWidth="1"/>
    <col min="4366" max="4366" width="15.85546875" style="910" customWidth="1"/>
    <col min="4367" max="4367" width="15.5703125" style="910" customWidth="1"/>
    <col min="4368" max="4368" width="11.140625" style="910" customWidth="1"/>
    <col min="4369" max="4369" width="20.42578125" style="910" customWidth="1"/>
    <col min="4370" max="4370" width="10.85546875" style="910" customWidth="1"/>
    <col min="4371" max="4371" width="9.42578125" style="910" customWidth="1"/>
    <col min="4372" max="4373" width="12.5703125" style="910" customWidth="1"/>
    <col min="4374" max="4374" width="14.42578125" style="910" customWidth="1"/>
    <col min="4375" max="4375" width="12.5703125" style="910" customWidth="1"/>
    <col min="4376" max="4376" width="24.42578125" style="910" customWidth="1"/>
    <col min="4377" max="4377" width="17" style="910" customWidth="1"/>
    <col min="4378" max="4378" width="13.42578125" style="910" customWidth="1"/>
    <col min="4379" max="4379" width="22.7109375" style="910" customWidth="1"/>
    <col min="4380" max="4380" width="3.7109375" style="910" customWidth="1"/>
    <col min="4381" max="4389" width="0" style="910" hidden="1" customWidth="1"/>
    <col min="4390" max="4399" width="8.7109375" style="910" customWidth="1"/>
    <col min="4400" max="4608" width="12.5703125" style="910"/>
    <col min="4609" max="4609" width="6.42578125" style="910" customWidth="1"/>
    <col min="4610" max="4610" width="14" style="910" customWidth="1"/>
    <col min="4611" max="4611" width="22.5703125" style="910" customWidth="1"/>
    <col min="4612" max="4612" width="16.140625" style="910" customWidth="1"/>
    <col min="4613" max="4617" width="0" style="910" hidden="1" customWidth="1"/>
    <col min="4618" max="4618" width="16.42578125" style="910" bestFit="1" customWidth="1"/>
    <col min="4619" max="4620" width="0" style="910" hidden="1" customWidth="1"/>
    <col min="4621" max="4621" width="16" style="910" customWidth="1"/>
    <col min="4622" max="4622" width="15.85546875" style="910" customWidth="1"/>
    <col min="4623" max="4623" width="15.5703125" style="910" customWidth="1"/>
    <col min="4624" max="4624" width="11.140625" style="910" customWidth="1"/>
    <col min="4625" max="4625" width="20.42578125" style="910" customWidth="1"/>
    <col min="4626" max="4626" width="10.85546875" style="910" customWidth="1"/>
    <col min="4627" max="4627" width="9.42578125" style="910" customWidth="1"/>
    <col min="4628" max="4629" width="12.5703125" style="910" customWidth="1"/>
    <col min="4630" max="4630" width="14.42578125" style="910" customWidth="1"/>
    <col min="4631" max="4631" width="12.5703125" style="910" customWidth="1"/>
    <col min="4632" max="4632" width="24.42578125" style="910" customWidth="1"/>
    <col min="4633" max="4633" width="17" style="910" customWidth="1"/>
    <col min="4634" max="4634" width="13.42578125" style="910" customWidth="1"/>
    <col min="4635" max="4635" width="22.7109375" style="910" customWidth="1"/>
    <col min="4636" max="4636" width="3.7109375" style="910" customWidth="1"/>
    <col min="4637" max="4645" width="0" style="910" hidden="1" customWidth="1"/>
    <col min="4646" max="4655" width="8.7109375" style="910" customWidth="1"/>
    <col min="4656" max="4864" width="12.5703125" style="910"/>
    <col min="4865" max="4865" width="6.42578125" style="910" customWidth="1"/>
    <col min="4866" max="4866" width="14" style="910" customWidth="1"/>
    <col min="4867" max="4867" width="22.5703125" style="910" customWidth="1"/>
    <col min="4868" max="4868" width="16.140625" style="910" customWidth="1"/>
    <col min="4869" max="4873" width="0" style="910" hidden="1" customWidth="1"/>
    <col min="4874" max="4874" width="16.42578125" style="910" bestFit="1" customWidth="1"/>
    <col min="4875" max="4876" width="0" style="910" hidden="1" customWidth="1"/>
    <col min="4877" max="4877" width="16" style="910" customWidth="1"/>
    <col min="4878" max="4878" width="15.85546875" style="910" customWidth="1"/>
    <col min="4879" max="4879" width="15.5703125" style="910" customWidth="1"/>
    <col min="4880" max="4880" width="11.140625" style="910" customWidth="1"/>
    <col min="4881" max="4881" width="20.42578125" style="910" customWidth="1"/>
    <col min="4882" max="4882" width="10.85546875" style="910" customWidth="1"/>
    <col min="4883" max="4883" width="9.42578125" style="910" customWidth="1"/>
    <col min="4884" max="4885" width="12.5703125" style="910" customWidth="1"/>
    <col min="4886" max="4886" width="14.42578125" style="910" customWidth="1"/>
    <col min="4887" max="4887" width="12.5703125" style="910" customWidth="1"/>
    <col min="4888" max="4888" width="24.42578125" style="910" customWidth="1"/>
    <col min="4889" max="4889" width="17" style="910" customWidth="1"/>
    <col min="4890" max="4890" width="13.42578125" style="910" customWidth="1"/>
    <col min="4891" max="4891" width="22.7109375" style="910" customWidth="1"/>
    <col min="4892" max="4892" width="3.7109375" style="910" customWidth="1"/>
    <col min="4893" max="4901" width="0" style="910" hidden="1" customWidth="1"/>
    <col min="4902" max="4911" width="8.7109375" style="910" customWidth="1"/>
    <col min="4912" max="5120" width="12.5703125" style="910"/>
    <col min="5121" max="5121" width="6.42578125" style="910" customWidth="1"/>
    <col min="5122" max="5122" width="14" style="910" customWidth="1"/>
    <col min="5123" max="5123" width="22.5703125" style="910" customWidth="1"/>
    <col min="5124" max="5124" width="16.140625" style="910" customWidth="1"/>
    <col min="5125" max="5129" width="0" style="910" hidden="1" customWidth="1"/>
    <col min="5130" max="5130" width="16.42578125" style="910" bestFit="1" customWidth="1"/>
    <col min="5131" max="5132" width="0" style="910" hidden="1" customWidth="1"/>
    <col min="5133" max="5133" width="16" style="910" customWidth="1"/>
    <col min="5134" max="5134" width="15.85546875" style="910" customWidth="1"/>
    <col min="5135" max="5135" width="15.5703125" style="910" customWidth="1"/>
    <col min="5136" max="5136" width="11.140625" style="910" customWidth="1"/>
    <col min="5137" max="5137" width="20.42578125" style="910" customWidth="1"/>
    <col min="5138" max="5138" width="10.85546875" style="910" customWidth="1"/>
    <col min="5139" max="5139" width="9.42578125" style="910" customWidth="1"/>
    <col min="5140" max="5141" width="12.5703125" style="910" customWidth="1"/>
    <col min="5142" max="5142" width="14.42578125" style="910" customWidth="1"/>
    <col min="5143" max="5143" width="12.5703125" style="910" customWidth="1"/>
    <col min="5144" max="5144" width="24.42578125" style="910" customWidth="1"/>
    <col min="5145" max="5145" width="17" style="910" customWidth="1"/>
    <col min="5146" max="5146" width="13.42578125" style="910" customWidth="1"/>
    <col min="5147" max="5147" width="22.7109375" style="910" customWidth="1"/>
    <col min="5148" max="5148" width="3.7109375" style="910" customWidth="1"/>
    <col min="5149" max="5157" width="0" style="910" hidden="1" customWidth="1"/>
    <col min="5158" max="5167" width="8.7109375" style="910" customWidth="1"/>
    <col min="5168" max="5376" width="12.5703125" style="910"/>
    <col min="5377" max="5377" width="6.42578125" style="910" customWidth="1"/>
    <col min="5378" max="5378" width="14" style="910" customWidth="1"/>
    <col min="5379" max="5379" width="22.5703125" style="910" customWidth="1"/>
    <col min="5380" max="5380" width="16.140625" style="910" customWidth="1"/>
    <col min="5381" max="5385" width="0" style="910" hidden="1" customWidth="1"/>
    <col min="5386" max="5386" width="16.42578125" style="910" bestFit="1" customWidth="1"/>
    <col min="5387" max="5388" width="0" style="910" hidden="1" customWidth="1"/>
    <col min="5389" max="5389" width="16" style="910" customWidth="1"/>
    <col min="5390" max="5390" width="15.85546875" style="910" customWidth="1"/>
    <col min="5391" max="5391" width="15.5703125" style="910" customWidth="1"/>
    <col min="5392" max="5392" width="11.140625" style="910" customWidth="1"/>
    <col min="5393" max="5393" width="20.42578125" style="910" customWidth="1"/>
    <col min="5394" max="5394" width="10.85546875" style="910" customWidth="1"/>
    <col min="5395" max="5395" width="9.42578125" style="910" customWidth="1"/>
    <col min="5396" max="5397" width="12.5703125" style="910" customWidth="1"/>
    <col min="5398" max="5398" width="14.42578125" style="910" customWidth="1"/>
    <col min="5399" max="5399" width="12.5703125" style="910" customWidth="1"/>
    <col min="5400" max="5400" width="24.42578125" style="910" customWidth="1"/>
    <col min="5401" max="5401" width="17" style="910" customWidth="1"/>
    <col min="5402" max="5402" width="13.42578125" style="910" customWidth="1"/>
    <col min="5403" max="5403" width="22.7109375" style="910" customWidth="1"/>
    <col min="5404" max="5404" width="3.7109375" style="910" customWidth="1"/>
    <col min="5405" max="5413" width="0" style="910" hidden="1" customWidth="1"/>
    <col min="5414" max="5423" width="8.7109375" style="910" customWidth="1"/>
    <col min="5424" max="5632" width="12.5703125" style="910"/>
    <col min="5633" max="5633" width="6.42578125" style="910" customWidth="1"/>
    <col min="5634" max="5634" width="14" style="910" customWidth="1"/>
    <col min="5635" max="5635" width="22.5703125" style="910" customWidth="1"/>
    <col min="5636" max="5636" width="16.140625" style="910" customWidth="1"/>
    <col min="5637" max="5641" width="0" style="910" hidden="1" customWidth="1"/>
    <col min="5642" max="5642" width="16.42578125" style="910" bestFit="1" customWidth="1"/>
    <col min="5643" max="5644" width="0" style="910" hidden="1" customWidth="1"/>
    <col min="5645" max="5645" width="16" style="910" customWidth="1"/>
    <col min="5646" max="5646" width="15.85546875" style="910" customWidth="1"/>
    <col min="5647" max="5647" width="15.5703125" style="910" customWidth="1"/>
    <col min="5648" max="5648" width="11.140625" style="910" customWidth="1"/>
    <col min="5649" max="5649" width="20.42578125" style="910" customWidth="1"/>
    <col min="5650" max="5650" width="10.85546875" style="910" customWidth="1"/>
    <col min="5651" max="5651" width="9.42578125" style="910" customWidth="1"/>
    <col min="5652" max="5653" width="12.5703125" style="910" customWidth="1"/>
    <col min="5654" max="5654" width="14.42578125" style="910" customWidth="1"/>
    <col min="5655" max="5655" width="12.5703125" style="910" customWidth="1"/>
    <col min="5656" max="5656" width="24.42578125" style="910" customWidth="1"/>
    <col min="5657" max="5657" width="17" style="910" customWidth="1"/>
    <col min="5658" max="5658" width="13.42578125" style="910" customWidth="1"/>
    <col min="5659" max="5659" width="22.7109375" style="910" customWidth="1"/>
    <col min="5660" max="5660" width="3.7109375" style="910" customWidth="1"/>
    <col min="5661" max="5669" width="0" style="910" hidden="1" customWidth="1"/>
    <col min="5670" max="5679" width="8.7109375" style="910" customWidth="1"/>
    <col min="5680" max="5888" width="12.5703125" style="910"/>
    <col min="5889" max="5889" width="6.42578125" style="910" customWidth="1"/>
    <col min="5890" max="5890" width="14" style="910" customWidth="1"/>
    <col min="5891" max="5891" width="22.5703125" style="910" customWidth="1"/>
    <col min="5892" max="5892" width="16.140625" style="910" customWidth="1"/>
    <col min="5893" max="5897" width="0" style="910" hidden="1" customWidth="1"/>
    <col min="5898" max="5898" width="16.42578125" style="910" bestFit="1" customWidth="1"/>
    <col min="5899" max="5900" width="0" style="910" hidden="1" customWidth="1"/>
    <col min="5901" max="5901" width="16" style="910" customWidth="1"/>
    <col min="5902" max="5902" width="15.85546875" style="910" customWidth="1"/>
    <col min="5903" max="5903" width="15.5703125" style="910" customWidth="1"/>
    <col min="5904" max="5904" width="11.140625" style="910" customWidth="1"/>
    <col min="5905" max="5905" width="20.42578125" style="910" customWidth="1"/>
    <col min="5906" max="5906" width="10.85546875" style="910" customWidth="1"/>
    <col min="5907" max="5907" width="9.42578125" style="910" customWidth="1"/>
    <col min="5908" max="5909" width="12.5703125" style="910" customWidth="1"/>
    <col min="5910" max="5910" width="14.42578125" style="910" customWidth="1"/>
    <col min="5911" max="5911" width="12.5703125" style="910" customWidth="1"/>
    <col min="5912" max="5912" width="24.42578125" style="910" customWidth="1"/>
    <col min="5913" max="5913" width="17" style="910" customWidth="1"/>
    <col min="5914" max="5914" width="13.42578125" style="910" customWidth="1"/>
    <col min="5915" max="5915" width="22.7109375" style="910" customWidth="1"/>
    <col min="5916" max="5916" width="3.7109375" style="910" customWidth="1"/>
    <col min="5917" max="5925" width="0" style="910" hidden="1" customWidth="1"/>
    <col min="5926" max="5935" width="8.7109375" style="910" customWidth="1"/>
    <col min="5936" max="6144" width="12.5703125" style="910"/>
    <col min="6145" max="6145" width="6.42578125" style="910" customWidth="1"/>
    <col min="6146" max="6146" width="14" style="910" customWidth="1"/>
    <col min="6147" max="6147" width="22.5703125" style="910" customWidth="1"/>
    <col min="6148" max="6148" width="16.140625" style="910" customWidth="1"/>
    <col min="6149" max="6153" width="0" style="910" hidden="1" customWidth="1"/>
    <col min="6154" max="6154" width="16.42578125" style="910" bestFit="1" customWidth="1"/>
    <col min="6155" max="6156" width="0" style="910" hidden="1" customWidth="1"/>
    <col min="6157" max="6157" width="16" style="910" customWidth="1"/>
    <col min="6158" max="6158" width="15.85546875" style="910" customWidth="1"/>
    <col min="6159" max="6159" width="15.5703125" style="910" customWidth="1"/>
    <col min="6160" max="6160" width="11.140625" style="910" customWidth="1"/>
    <col min="6161" max="6161" width="20.42578125" style="910" customWidth="1"/>
    <col min="6162" max="6162" width="10.85546875" style="910" customWidth="1"/>
    <col min="6163" max="6163" width="9.42578125" style="910" customWidth="1"/>
    <col min="6164" max="6165" width="12.5703125" style="910" customWidth="1"/>
    <col min="6166" max="6166" width="14.42578125" style="910" customWidth="1"/>
    <col min="6167" max="6167" width="12.5703125" style="910" customWidth="1"/>
    <col min="6168" max="6168" width="24.42578125" style="910" customWidth="1"/>
    <col min="6169" max="6169" width="17" style="910" customWidth="1"/>
    <col min="6170" max="6170" width="13.42578125" style="910" customWidth="1"/>
    <col min="6171" max="6171" width="22.7109375" style="910" customWidth="1"/>
    <col min="6172" max="6172" width="3.7109375" style="910" customWidth="1"/>
    <col min="6173" max="6181" width="0" style="910" hidden="1" customWidth="1"/>
    <col min="6182" max="6191" width="8.7109375" style="910" customWidth="1"/>
    <col min="6192" max="6400" width="12.5703125" style="910"/>
    <col min="6401" max="6401" width="6.42578125" style="910" customWidth="1"/>
    <col min="6402" max="6402" width="14" style="910" customWidth="1"/>
    <col min="6403" max="6403" width="22.5703125" style="910" customWidth="1"/>
    <col min="6404" max="6404" width="16.140625" style="910" customWidth="1"/>
    <col min="6405" max="6409" width="0" style="910" hidden="1" customWidth="1"/>
    <col min="6410" max="6410" width="16.42578125" style="910" bestFit="1" customWidth="1"/>
    <col min="6411" max="6412" width="0" style="910" hidden="1" customWidth="1"/>
    <col min="6413" max="6413" width="16" style="910" customWidth="1"/>
    <col min="6414" max="6414" width="15.85546875" style="910" customWidth="1"/>
    <col min="6415" max="6415" width="15.5703125" style="910" customWidth="1"/>
    <col min="6416" max="6416" width="11.140625" style="910" customWidth="1"/>
    <col min="6417" max="6417" width="20.42578125" style="910" customWidth="1"/>
    <col min="6418" max="6418" width="10.85546875" style="910" customWidth="1"/>
    <col min="6419" max="6419" width="9.42578125" style="910" customWidth="1"/>
    <col min="6420" max="6421" width="12.5703125" style="910" customWidth="1"/>
    <col min="6422" max="6422" width="14.42578125" style="910" customWidth="1"/>
    <col min="6423" max="6423" width="12.5703125" style="910" customWidth="1"/>
    <col min="6424" max="6424" width="24.42578125" style="910" customWidth="1"/>
    <col min="6425" max="6425" width="17" style="910" customWidth="1"/>
    <col min="6426" max="6426" width="13.42578125" style="910" customWidth="1"/>
    <col min="6427" max="6427" width="22.7109375" style="910" customWidth="1"/>
    <col min="6428" max="6428" width="3.7109375" style="910" customWidth="1"/>
    <col min="6429" max="6437" width="0" style="910" hidden="1" customWidth="1"/>
    <col min="6438" max="6447" width="8.7109375" style="910" customWidth="1"/>
    <col min="6448" max="6656" width="12.5703125" style="910"/>
    <col min="6657" max="6657" width="6.42578125" style="910" customWidth="1"/>
    <col min="6658" max="6658" width="14" style="910" customWidth="1"/>
    <col min="6659" max="6659" width="22.5703125" style="910" customWidth="1"/>
    <col min="6660" max="6660" width="16.140625" style="910" customWidth="1"/>
    <col min="6661" max="6665" width="0" style="910" hidden="1" customWidth="1"/>
    <col min="6666" max="6666" width="16.42578125" style="910" bestFit="1" customWidth="1"/>
    <col min="6667" max="6668" width="0" style="910" hidden="1" customWidth="1"/>
    <col min="6669" max="6669" width="16" style="910" customWidth="1"/>
    <col min="6670" max="6670" width="15.85546875" style="910" customWidth="1"/>
    <col min="6671" max="6671" width="15.5703125" style="910" customWidth="1"/>
    <col min="6672" max="6672" width="11.140625" style="910" customWidth="1"/>
    <col min="6673" max="6673" width="20.42578125" style="910" customWidth="1"/>
    <col min="6674" max="6674" width="10.85546875" style="910" customWidth="1"/>
    <col min="6675" max="6675" width="9.42578125" style="910" customWidth="1"/>
    <col min="6676" max="6677" width="12.5703125" style="910" customWidth="1"/>
    <col min="6678" max="6678" width="14.42578125" style="910" customWidth="1"/>
    <col min="6679" max="6679" width="12.5703125" style="910" customWidth="1"/>
    <col min="6680" max="6680" width="24.42578125" style="910" customWidth="1"/>
    <col min="6681" max="6681" width="17" style="910" customWidth="1"/>
    <col min="6682" max="6682" width="13.42578125" style="910" customWidth="1"/>
    <col min="6683" max="6683" width="22.7109375" style="910" customWidth="1"/>
    <col min="6684" max="6684" width="3.7109375" style="910" customWidth="1"/>
    <col min="6685" max="6693" width="0" style="910" hidden="1" customWidth="1"/>
    <col min="6694" max="6703" width="8.7109375" style="910" customWidth="1"/>
    <col min="6704" max="6912" width="12.5703125" style="910"/>
    <col min="6913" max="6913" width="6.42578125" style="910" customWidth="1"/>
    <col min="6914" max="6914" width="14" style="910" customWidth="1"/>
    <col min="6915" max="6915" width="22.5703125" style="910" customWidth="1"/>
    <col min="6916" max="6916" width="16.140625" style="910" customWidth="1"/>
    <col min="6917" max="6921" width="0" style="910" hidden="1" customWidth="1"/>
    <col min="6922" max="6922" width="16.42578125" style="910" bestFit="1" customWidth="1"/>
    <col min="6923" max="6924" width="0" style="910" hidden="1" customWidth="1"/>
    <col min="6925" max="6925" width="16" style="910" customWidth="1"/>
    <col min="6926" max="6926" width="15.85546875" style="910" customWidth="1"/>
    <col min="6927" max="6927" width="15.5703125" style="910" customWidth="1"/>
    <col min="6928" max="6928" width="11.140625" style="910" customWidth="1"/>
    <col min="6929" max="6929" width="20.42578125" style="910" customWidth="1"/>
    <col min="6930" max="6930" width="10.85546875" style="910" customWidth="1"/>
    <col min="6931" max="6931" width="9.42578125" style="910" customWidth="1"/>
    <col min="6932" max="6933" width="12.5703125" style="910" customWidth="1"/>
    <col min="6934" max="6934" width="14.42578125" style="910" customWidth="1"/>
    <col min="6935" max="6935" width="12.5703125" style="910" customWidth="1"/>
    <col min="6936" max="6936" width="24.42578125" style="910" customWidth="1"/>
    <col min="6937" max="6937" width="17" style="910" customWidth="1"/>
    <col min="6938" max="6938" width="13.42578125" style="910" customWidth="1"/>
    <col min="6939" max="6939" width="22.7109375" style="910" customWidth="1"/>
    <col min="6940" max="6940" width="3.7109375" style="910" customWidth="1"/>
    <col min="6941" max="6949" width="0" style="910" hidden="1" customWidth="1"/>
    <col min="6950" max="6959" width="8.7109375" style="910" customWidth="1"/>
    <col min="6960" max="7168" width="12.5703125" style="910"/>
    <col min="7169" max="7169" width="6.42578125" style="910" customWidth="1"/>
    <col min="7170" max="7170" width="14" style="910" customWidth="1"/>
    <col min="7171" max="7171" width="22.5703125" style="910" customWidth="1"/>
    <col min="7172" max="7172" width="16.140625" style="910" customWidth="1"/>
    <col min="7173" max="7177" width="0" style="910" hidden="1" customWidth="1"/>
    <col min="7178" max="7178" width="16.42578125" style="910" bestFit="1" customWidth="1"/>
    <col min="7179" max="7180" width="0" style="910" hidden="1" customWidth="1"/>
    <col min="7181" max="7181" width="16" style="910" customWidth="1"/>
    <col min="7182" max="7182" width="15.85546875" style="910" customWidth="1"/>
    <col min="7183" max="7183" width="15.5703125" style="910" customWidth="1"/>
    <col min="7184" max="7184" width="11.140625" style="910" customWidth="1"/>
    <col min="7185" max="7185" width="20.42578125" style="910" customWidth="1"/>
    <col min="7186" max="7186" width="10.85546875" style="910" customWidth="1"/>
    <col min="7187" max="7187" width="9.42578125" style="910" customWidth="1"/>
    <col min="7188" max="7189" width="12.5703125" style="910" customWidth="1"/>
    <col min="7190" max="7190" width="14.42578125" style="910" customWidth="1"/>
    <col min="7191" max="7191" width="12.5703125" style="910" customWidth="1"/>
    <col min="7192" max="7192" width="24.42578125" style="910" customWidth="1"/>
    <col min="7193" max="7193" width="17" style="910" customWidth="1"/>
    <col min="7194" max="7194" width="13.42578125" style="910" customWidth="1"/>
    <col min="7195" max="7195" width="22.7109375" style="910" customWidth="1"/>
    <col min="7196" max="7196" width="3.7109375" style="910" customWidth="1"/>
    <col min="7197" max="7205" width="0" style="910" hidden="1" customWidth="1"/>
    <col min="7206" max="7215" width="8.7109375" style="910" customWidth="1"/>
    <col min="7216" max="7424" width="12.5703125" style="910"/>
    <col min="7425" max="7425" width="6.42578125" style="910" customWidth="1"/>
    <col min="7426" max="7426" width="14" style="910" customWidth="1"/>
    <col min="7427" max="7427" width="22.5703125" style="910" customWidth="1"/>
    <col min="7428" max="7428" width="16.140625" style="910" customWidth="1"/>
    <col min="7429" max="7433" width="0" style="910" hidden="1" customWidth="1"/>
    <col min="7434" max="7434" width="16.42578125" style="910" bestFit="1" customWidth="1"/>
    <col min="7435" max="7436" width="0" style="910" hidden="1" customWidth="1"/>
    <col min="7437" max="7437" width="16" style="910" customWidth="1"/>
    <col min="7438" max="7438" width="15.85546875" style="910" customWidth="1"/>
    <col min="7439" max="7439" width="15.5703125" style="910" customWidth="1"/>
    <col min="7440" max="7440" width="11.140625" style="910" customWidth="1"/>
    <col min="7441" max="7441" width="20.42578125" style="910" customWidth="1"/>
    <col min="7442" max="7442" width="10.85546875" style="910" customWidth="1"/>
    <col min="7443" max="7443" width="9.42578125" style="910" customWidth="1"/>
    <col min="7444" max="7445" width="12.5703125" style="910" customWidth="1"/>
    <col min="7446" max="7446" width="14.42578125" style="910" customWidth="1"/>
    <col min="7447" max="7447" width="12.5703125" style="910" customWidth="1"/>
    <col min="7448" max="7448" width="24.42578125" style="910" customWidth="1"/>
    <col min="7449" max="7449" width="17" style="910" customWidth="1"/>
    <col min="7450" max="7450" width="13.42578125" style="910" customWidth="1"/>
    <col min="7451" max="7451" width="22.7109375" style="910" customWidth="1"/>
    <col min="7452" max="7452" width="3.7109375" style="910" customWidth="1"/>
    <col min="7453" max="7461" width="0" style="910" hidden="1" customWidth="1"/>
    <col min="7462" max="7471" width="8.7109375" style="910" customWidth="1"/>
    <col min="7472" max="7680" width="12.5703125" style="910"/>
    <col min="7681" max="7681" width="6.42578125" style="910" customWidth="1"/>
    <col min="7682" max="7682" width="14" style="910" customWidth="1"/>
    <col min="7683" max="7683" width="22.5703125" style="910" customWidth="1"/>
    <col min="7684" max="7684" width="16.140625" style="910" customWidth="1"/>
    <col min="7685" max="7689" width="0" style="910" hidden="1" customWidth="1"/>
    <col min="7690" max="7690" width="16.42578125" style="910" bestFit="1" customWidth="1"/>
    <col min="7691" max="7692" width="0" style="910" hidden="1" customWidth="1"/>
    <col min="7693" max="7693" width="16" style="910" customWidth="1"/>
    <col min="7694" max="7694" width="15.85546875" style="910" customWidth="1"/>
    <col min="7695" max="7695" width="15.5703125" style="910" customWidth="1"/>
    <col min="7696" max="7696" width="11.140625" style="910" customWidth="1"/>
    <col min="7697" max="7697" width="20.42578125" style="910" customWidth="1"/>
    <col min="7698" max="7698" width="10.85546875" style="910" customWidth="1"/>
    <col min="7699" max="7699" width="9.42578125" style="910" customWidth="1"/>
    <col min="7700" max="7701" width="12.5703125" style="910" customWidth="1"/>
    <col min="7702" max="7702" width="14.42578125" style="910" customWidth="1"/>
    <col min="7703" max="7703" width="12.5703125" style="910" customWidth="1"/>
    <col min="7704" max="7704" width="24.42578125" style="910" customWidth="1"/>
    <col min="7705" max="7705" width="17" style="910" customWidth="1"/>
    <col min="7706" max="7706" width="13.42578125" style="910" customWidth="1"/>
    <col min="7707" max="7707" width="22.7109375" style="910" customWidth="1"/>
    <col min="7708" max="7708" width="3.7109375" style="910" customWidth="1"/>
    <col min="7709" max="7717" width="0" style="910" hidden="1" customWidth="1"/>
    <col min="7718" max="7727" width="8.7109375" style="910" customWidth="1"/>
    <col min="7728" max="7936" width="12.5703125" style="910"/>
    <col min="7937" max="7937" width="6.42578125" style="910" customWidth="1"/>
    <col min="7938" max="7938" width="14" style="910" customWidth="1"/>
    <col min="7939" max="7939" width="22.5703125" style="910" customWidth="1"/>
    <col min="7940" max="7940" width="16.140625" style="910" customWidth="1"/>
    <col min="7941" max="7945" width="0" style="910" hidden="1" customWidth="1"/>
    <col min="7946" max="7946" width="16.42578125" style="910" bestFit="1" customWidth="1"/>
    <col min="7947" max="7948" width="0" style="910" hidden="1" customWidth="1"/>
    <col min="7949" max="7949" width="16" style="910" customWidth="1"/>
    <col min="7950" max="7950" width="15.85546875" style="910" customWidth="1"/>
    <col min="7951" max="7951" width="15.5703125" style="910" customWidth="1"/>
    <col min="7952" max="7952" width="11.140625" style="910" customWidth="1"/>
    <col min="7953" max="7953" width="20.42578125" style="910" customWidth="1"/>
    <col min="7954" max="7954" width="10.85546875" style="910" customWidth="1"/>
    <col min="7955" max="7955" width="9.42578125" style="910" customWidth="1"/>
    <col min="7956" max="7957" width="12.5703125" style="910" customWidth="1"/>
    <col min="7958" max="7958" width="14.42578125" style="910" customWidth="1"/>
    <col min="7959" max="7959" width="12.5703125" style="910" customWidth="1"/>
    <col min="7960" max="7960" width="24.42578125" style="910" customWidth="1"/>
    <col min="7961" max="7961" width="17" style="910" customWidth="1"/>
    <col min="7962" max="7962" width="13.42578125" style="910" customWidth="1"/>
    <col min="7963" max="7963" width="22.7109375" style="910" customWidth="1"/>
    <col min="7964" max="7964" width="3.7109375" style="910" customWidth="1"/>
    <col min="7965" max="7973" width="0" style="910" hidden="1" customWidth="1"/>
    <col min="7974" max="7983" width="8.7109375" style="910" customWidth="1"/>
    <col min="7984" max="8192" width="12.5703125" style="910"/>
    <col min="8193" max="8193" width="6.42578125" style="910" customWidth="1"/>
    <col min="8194" max="8194" width="14" style="910" customWidth="1"/>
    <col min="8195" max="8195" width="22.5703125" style="910" customWidth="1"/>
    <col min="8196" max="8196" width="16.140625" style="910" customWidth="1"/>
    <col min="8197" max="8201" width="0" style="910" hidden="1" customWidth="1"/>
    <col min="8202" max="8202" width="16.42578125" style="910" bestFit="1" customWidth="1"/>
    <col min="8203" max="8204" width="0" style="910" hidden="1" customWidth="1"/>
    <col min="8205" max="8205" width="16" style="910" customWidth="1"/>
    <col min="8206" max="8206" width="15.85546875" style="910" customWidth="1"/>
    <col min="8207" max="8207" width="15.5703125" style="910" customWidth="1"/>
    <col min="8208" max="8208" width="11.140625" style="910" customWidth="1"/>
    <col min="8209" max="8209" width="20.42578125" style="910" customWidth="1"/>
    <col min="8210" max="8210" width="10.85546875" style="910" customWidth="1"/>
    <col min="8211" max="8211" width="9.42578125" style="910" customWidth="1"/>
    <col min="8212" max="8213" width="12.5703125" style="910" customWidth="1"/>
    <col min="8214" max="8214" width="14.42578125" style="910" customWidth="1"/>
    <col min="8215" max="8215" width="12.5703125" style="910" customWidth="1"/>
    <col min="8216" max="8216" width="24.42578125" style="910" customWidth="1"/>
    <col min="8217" max="8217" width="17" style="910" customWidth="1"/>
    <col min="8218" max="8218" width="13.42578125" style="910" customWidth="1"/>
    <col min="8219" max="8219" width="22.7109375" style="910" customWidth="1"/>
    <col min="8220" max="8220" width="3.7109375" style="910" customWidth="1"/>
    <col min="8221" max="8229" width="0" style="910" hidden="1" customWidth="1"/>
    <col min="8230" max="8239" width="8.7109375" style="910" customWidth="1"/>
    <col min="8240" max="8448" width="12.5703125" style="910"/>
    <col min="8449" max="8449" width="6.42578125" style="910" customWidth="1"/>
    <col min="8450" max="8450" width="14" style="910" customWidth="1"/>
    <col min="8451" max="8451" width="22.5703125" style="910" customWidth="1"/>
    <col min="8452" max="8452" width="16.140625" style="910" customWidth="1"/>
    <col min="8453" max="8457" width="0" style="910" hidden="1" customWidth="1"/>
    <col min="8458" max="8458" width="16.42578125" style="910" bestFit="1" customWidth="1"/>
    <col min="8459" max="8460" width="0" style="910" hidden="1" customWidth="1"/>
    <col min="8461" max="8461" width="16" style="910" customWidth="1"/>
    <col min="8462" max="8462" width="15.85546875" style="910" customWidth="1"/>
    <col min="8463" max="8463" width="15.5703125" style="910" customWidth="1"/>
    <col min="8464" max="8464" width="11.140625" style="910" customWidth="1"/>
    <col min="8465" max="8465" width="20.42578125" style="910" customWidth="1"/>
    <col min="8466" max="8466" width="10.85546875" style="910" customWidth="1"/>
    <col min="8467" max="8467" width="9.42578125" style="910" customWidth="1"/>
    <col min="8468" max="8469" width="12.5703125" style="910" customWidth="1"/>
    <col min="8470" max="8470" width="14.42578125" style="910" customWidth="1"/>
    <col min="8471" max="8471" width="12.5703125" style="910" customWidth="1"/>
    <col min="8472" max="8472" width="24.42578125" style="910" customWidth="1"/>
    <col min="8473" max="8473" width="17" style="910" customWidth="1"/>
    <col min="8474" max="8474" width="13.42578125" style="910" customWidth="1"/>
    <col min="8475" max="8475" width="22.7109375" style="910" customWidth="1"/>
    <col min="8476" max="8476" width="3.7109375" style="910" customWidth="1"/>
    <col min="8477" max="8485" width="0" style="910" hidden="1" customWidth="1"/>
    <col min="8486" max="8495" width="8.7109375" style="910" customWidth="1"/>
    <col min="8496" max="8704" width="12.5703125" style="910"/>
    <col min="8705" max="8705" width="6.42578125" style="910" customWidth="1"/>
    <col min="8706" max="8706" width="14" style="910" customWidth="1"/>
    <col min="8707" max="8707" width="22.5703125" style="910" customWidth="1"/>
    <col min="8708" max="8708" width="16.140625" style="910" customWidth="1"/>
    <col min="8709" max="8713" width="0" style="910" hidden="1" customWidth="1"/>
    <col min="8714" max="8714" width="16.42578125" style="910" bestFit="1" customWidth="1"/>
    <col min="8715" max="8716" width="0" style="910" hidden="1" customWidth="1"/>
    <col min="8717" max="8717" width="16" style="910" customWidth="1"/>
    <col min="8718" max="8718" width="15.85546875" style="910" customWidth="1"/>
    <col min="8719" max="8719" width="15.5703125" style="910" customWidth="1"/>
    <col min="8720" max="8720" width="11.140625" style="910" customWidth="1"/>
    <col min="8721" max="8721" width="20.42578125" style="910" customWidth="1"/>
    <col min="8722" max="8722" width="10.85546875" style="910" customWidth="1"/>
    <col min="8723" max="8723" width="9.42578125" style="910" customWidth="1"/>
    <col min="8724" max="8725" width="12.5703125" style="910" customWidth="1"/>
    <col min="8726" max="8726" width="14.42578125" style="910" customWidth="1"/>
    <col min="8727" max="8727" width="12.5703125" style="910" customWidth="1"/>
    <col min="8728" max="8728" width="24.42578125" style="910" customWidth="1"/>
    <col min="8729" max="8729" width="17" style="910" customWidth="1"/>
    <col min="8730" max="8730" width="13.42578125" style="910" customWidth="1"/>
    <col min="8731" max="8731" width="22.7109375" style="910" customWidth="1"/>
    <col min="8732" max="8732" width="3.7109375" style="910" customWidth="1"/>
    <col min="8733" max="8741" width="0" style="910" hidden="1" customWidth="1"/>
    <col min="8742" max="8751" width="8.7109375" style="910" customWidth="1"/>
    <col min="8752" max="8960" width="12.5703125" style="910"/>
    <col min="8961" max="8961" width="6.42578125" style="910" customWidth="1"/>
    <col min="8962" max="8962" width="14" style="910" customWidth="1"/>
    <col min="8963" max="8963" width="22.5703125" style="910" customWidth="1"/>
    <col min="8964" max="8964" width="16.140625" style="910" customWidth="1"/>
    <col min="8965" max="8969" width="0" style="910" hidden="1" customWidth="1"/>
    <col min="8970" max="8970" width="16.42578125" style="910" bestFit="1" customWidth="1"/>
    <col min="8971" max="8972" width="0" style="910" hidden="1" customWidth="1"/>
    <col min="8973" max="8973" width="16" style="910" customWidth="1"/>
    <col min="8974" max="8974" width="15.85546875" style="910" customWidth="1"/>
    <col min="8975" max="8975" width="15.5703125" style="910" customWidth="1"/>
    <col min="8976" max="8976" width="11.140625" style="910" customWidth="1"/>
    <col min="8977" max="8977" width="20.42578125" style="910" customWidth="1"/>
    <col min="8978" max="8978" width="10.85546875" style="910" customWidth="1"/>
    <col min="8979" max="8979" width="9.42578125" style="910" customWidth="1"/>
    <col min="8980" max="8981" width="12.5703125" style="910" customWidth="1"/>
    <col min="8982" max="8982" width="14.42578125" style="910" customWidth="1"/>
    <col min="8983" max="8983" width="12.5703125" style="910" customWidth="1"/>
    <col min="8984" max="8984" width="24.42578125" style="910" customWidth="1"/>
    <col min="8985" max="8985" width="17" style="910" customWidth="1"/>
    <col min="8986" max="8986" width="13.42578125" style="910" customWidth="1"/>
    <col min="8987" max="8987" width="22.7109375" style="910" customWidth="1"/>
    <col min="8988" max="8988" width="3.7109375" style="910" customWidth="1"/>
    <col min="8989" max="8997" width="0" style="910" hidden="1" customWidth="1"/>
    <col min="8998" max="9007" width="8.7109375" style="910" customWidth="1"/>
    <col min="9008" max="9216" width="12.5703125" style="910"/>
    <col min="9217" max="9217" width="6.42578125" style="910" customWidth="1"/>
    <col min="9218" max="9218" width="14" style="910" customWidth="1"/>
    <col min="9219" max="9219" width="22.5703125" style="910" customWidth="1"/>
    <col min="9220" max="9220" width="16.140625" style="910" customWidth="1"/>
    <col min="9221" max="9225" width="0" style="910" hidden="1" customWidth="1"/>
    <col min="9226" max="9226" width="16.42578125" style="910" bestFit="1" customWidth="1"/>
    <col min="9227" max="9228" width="0" style="910" hidden="1" customWidth="1"/>
    <col min="9229" max="9229" width="16" style="910" customWidth="1"/>
    <col min="9230" max="9230" width="15.85546875" style="910" customWidth="1"/>
    <col min="9231" max="9231" width="15.5703125" style="910" customWidth="1"/>
    <col min="9232" max="9232" width="11.140625" style="910" customWidth="1"/>
    <col min="9233" max="9233" width="20.42578125" style="910" customWidth="1"/>
    <col min="9234" max="9234" width="10.85546875" style="910" customWidth="1"/>
    <col min="9235" max="9235" width="9.42578125" style="910" customWidth="1"/>
    <col min="9236" max="9237" width="12.5703125" style="910" customWidth="1"/>
    <col min="9238" max="9238" width="14.42578125" style="910" customWidth="1"/>
    <col min="9239" max="9239" width="12.5703125" style="910" customWidth="1"/>
    <col min="9240" max="9240" width="24.42578125" style="910" customWidth="1"/>
    <col min="9241" max="9241" width="17" style="910" customWidth="1"/>
    <col min="9242" max="9242" width="13.42578125" style="910" customWidth="1"/>
    <col min="9243" max="9243" width="22.7109375" style="910" customWidth="1"/>
    <col min="9244" max="9244" width="3.7109375" style="910" customWidth="1"/>
    <col min="9245" max="9253" width="0" style="910" hidden="1" customWidth="1"/>
    <col min="9254" max="9263" width="8.7109375" style="910" customWidth="1"/>
    <col min="9264" max="9472" width="12.5703125" style="910"/>
    <col min="9473" max="9473" width="6.42578125" style="910" customWidth="1"/>
    <col min="9474" max="9474" width="14" style="910" customWidth="1"/>
    <col min="9475" max="9475" width="22.5703125" style="910" customWidth="1"/>
    <col min="9476" max="9476" width="16.140625" style="910" customWidth="1"/>
    <col min="9477" max="9481" width="0" style="910" hidden="1" customWidth="1"/>
    <col min="9482" max="9482" width="16.42578125" style="910" bestFit="1" customWidth="1"/>
    <col min="9483" max="9484" width="0" style="910" hidden="1" customWidth="1"/>
    <col min="9485" max="9485" width="16" style="910" customWidth="1"/>
    <col min="9486" max="9486" width="15.85546875" style="910" customWidth="1"/>
    <col min="9487" max="9487" width="15.5703125" style="910" customWidth="1"/>
    <col min="9488" max="9488" width="11.140625" style="910" customWidth="1"/>
    <col min="9489" max="9489" width="20.42578125" style="910" customWidth="1"/>
    <col min="9490" max="9490" width="10.85546875" style="910" customWidth="1"/>
    <col min="9491" max="9491" width="9.42578125" style="910" customWidth="1"/>
    <col min="9492" max="9493" width="12.5703125" style="910" customWidth="1"/>
    <col min="9494" max="9494" width="14.42578125" style="910" customWidth="1"/>
    <col min="9495" max="9495" width="12.5703125" style="910" customWidth="1"/>
    <col min="9496" max="9496" width="24.42578125" style="910" customWidth="1"/>
    <col min="9497" max="9497" width="17" style="910" customWidth="1"/>
    <col min="9498" max="9498" width="13.42578125" style="910" customWidth="1"/>
    <col min="9499" max="9499" width="22.7109375" style="910" customWidth="1"/>
    <col min="9500" max="9500" width="3.7109375" style="910" customWidth="1"/>
    <col min="9501" max="9509" width="0" style="910" hidden="1" customWidth="1"/>
    <col min="9510" max="9519" width="8.7109375" style="910" customWidth="1"/>
    <col min="9520" max="9728" width="12.5703125" style="910"/>
    <col min="9729" max="9729" width="6.42578125" style="910" customWidth="1"/>
    <col min="9730" max="9730" width="14" style="910" customWidth="1"/>
    <col min="9731" max="9731" width="22.5703125" style="910" customWidth="1"/>
    <col min="9732" max="9732" width="16.140625" style="910" customWidth="1"/>
    <col min="9733" max="9737" width="0" style="910" hidden="1" customWidth="1"/>
    <col min="9738" max="9738" width="16.42578125" style="910" bestFit="1" customWidth="1"/>
    <col min="9739" max="9740" width="0" style="910" hidden="1" customWidth="1"/>
    <col min="9741" max="9741" width="16" style="910" customWidth="1"/>
    <col min="9742" max="9742" width="15.85546875" style="910" customWidth="1"/>
    <col min="9743" max="9743" width="15.5703125" style="910" customWidth="1"/>
    <col min="9744" max="9744" width="11.140625" style="910" customWidth="1"/>
    <col min="9745" max="9745" width="20.42578125" style="910" customWidth="1"/>
    <col min="9746" max="9746" width="10.85546875" style="910" customWidth="1"/>
    <col min="9747" max="9747" width="9.42578125" style="910" customWidth="1"/>
    <col min="9748" max="9749" width="12.5703125" style="910" customWidth="1"/>
    <col min="9750" max="9750" width="14.42578125" style="910" customWidth="1"/>
    <col min="9751" max="9751" width="12.5703125" style="910" customWidth="1"/>
    <col min="9752" max="9752" width="24.42578125" style="910" customWidth="1"/>
    <col min="9753" max="9753" width="17" style="910" customWidth="1"/>
    <col min="9754" max="9754" width="13.42578125" style="910" customWidth="1"/>
    <col min="9755" max="9755" width="22.7109375" style="910" customWidth="1"/>
    <col min="9756" max="9756" width="3.7109375" style="910" customWidth="1"/>
    <col min="9757" max="9765" width="0" style="910" hidden="1" customWidth="1"/>
    <col min="9766" max="9775" width="8.7109375" style="910" customWidth="1"/>
    <col min="9776" max="9984" width="12.5703125" style="910"/>
    <col min="9985" max="9985" width="6.42578125" style="910" customWidth="1"/>
    <col min="9986" max="9986" width="14" style="910" customWidth="1"/>
    <col min="9987" max="9987" width="22.5703125" style="910" customWidth="1"/>
    <col min="9988" max="9988" width="16.140625" style="910" customWidth="1"/>
    <col min="9989" max="9993" width="0" style="910" hidden="1" customWidth="1"/>
    <col min="9994" max="9994" width="16.42578125" style="910" bestFit="1" customWidth="1"/>
    <col min="9995" max="9996" width="0" style="910" hidden="1" customWidth="1"/>
    <col min="9997" max="9997" width="16" style="910" customWidth="1"/>
    <col min="9998" max="9998" width="15.85546875" style="910" customWidth="1"/>
    <col min="9999" max="9999" width="15.5703125" style="910" customWidth="1"/>
    <col min="10000" max="10000" width="11.140625" style="910" customWidth="1"/>
    <col min="10001" max="10001" width="20.42578125" style="910" customWidth="1"/>
    <col min="10002" max="10002" width="10.85546875" style="910" customWidth="1"/>
    <col min="10003" max="10003" width="9.42578125" style="910" customWidth="1"/>
    <col min="10004" max="10005" width="12.5703125" style="910" customWidth="1"/>
    <col min="10006" max="10006" width="14.42578125" style="910" customWidth="1"/>
    <col min="10007" max="10007" width="12.5703125" style="910" customWidth="1"/>
    <col min="10008" max="10008" width="24.42578125" style="910" customWidth="1"/>
    <col min="10009" max="10009" width="17" style="910" customWidth="1"/>
    <col min="10010" max="10010" width="13.42578125" style="910" customWidth="1"/>
    <col min="10011" max="10011" width="22.7109375" style="910" customWidth="1"/>
    <col min="10012" max="10012" width="3.7109375" style="910" customWidth="1"/>
    <col min="10013" max="10021" width="0" style="910" hidden="1" customWidth="1"/>
    <col min="10022" max="10031" width="8.7109375" style="910" customWidth="1"/>
    <col min="10032" max="10240" width="12.5703125" style="910"/>
    <col min="10241" max="10241" width="6.42578125" style="910" customWidth="1"/>
    <col min="10242" max="10242" width="14" style="910" customWidth="1"/>
    <col min="10243" max="10243" width="22.5703125" style="910" customWidth="1"/>
    <col min="10244" max="10244" width="16.140625" style="910" customWidth="1"/>
    <col min="10245" max="10249" width="0" style="910" hidden="1" customWidth="1"/>
    <col min="10250" max="10250" width="16.42578125" style="910" bestFit="1" customWidth="1"/>
    <col min="10251" max="10252" width="0" style="910" hidden="1" customWidth="1"/>
    <col min="10253" max="10253" width="16" style="910" customWidth="1"/>
    <col min="10254" max="10254" width="15.85546875" style="910" customWidth="1"/>
    <col min="10255" max="10255" width="15.5703125" style="910" customWidth="1"/>
    <col min="10256" max="10256" width="11.140625" style="910" customWidth="1"/>
    <col min="10257" max="10257" width="20.42578125" style="910" customWidth="1"/>
    <col min="10258" max="10258" width="10.85546875" style="910" customWidth="1"/>
    <col min="10259" max="10259" width="9.42578125" style="910" customWidth="1"/>
    <col min="10260" max="10261" width="12.5703125" style="910" customWidth="1"/>
    <col min="10262" max="10262" width="14.42578125" style="910" customWidth="1"/>
    <col min="10263" max="10263" width="12.5703125" style="910" customWidth="1"/>
    <col min="10264" max="10264" width="24.42578125" style="910" customWidth="1"/>
    <col min="10265" max="10265" width="17" style="910" customWidth="1"/>
    <col min="10266" max="10266" width="13.42578125" style="910" customWidth="1"/>
    <col min="10267" max="10267" width="22.7109375" style="910" customWidth="1"/>
    <col min="10268" max="10268" width="3.7109375" style="910" customWidth="1"/>
    <col min="10269" max="10277" width="0" style="910" hidden="1" customWidth="1"/>
    <col min="10278" max="10287" width="8.7109375" style="910" customWidth="1"/>
    <col min="10288" max="10496" width="12.5703125" style="910"/>
    <col min="10497" max="10497" width="6.42578125" style="910" customWidth="1"/>
    <col min="10498" max="10498" width="14" style="910" customWidth="1"/>
    <col min="10499" max="10499" width="22.5703125" style="910" customWidth="1"/>
    <col min="10500" max="10500" width="16.140625" style="910" customWidth="1"/>
    <col min="10501" max="10505" width="0" style="910" hidden="1" customWidth="1"/>
    <col min="10506" max="10506" width="16.42578125" style="910" bestFit="1" customWidth="1"/>
    <col min="10507" max="10508" width="0" style="910" hidden="1" customWidth="1"/>
    <col min="10509" max="10509" width="16" style="910" customWidth="1"/>
    <col min="10510" max="10510" width="15.85546875" style="910" customWidth="1"/>
    <col min="10511" max="10511" width="15.5703125" style="910" customWidth="1"/>
    <col min="10512" max="10512" width="11.140625" style="910" customWidth="1"/>
    <col min="10513" max="10513" width="20.42578125" style="910" customWidth="1"/>
    <col min="10514" max="10514" width="10.85546875" style="910" customWidth="1"/>
    <col min="10515" max="10515" width="9.42578125" style="910" customWidth="1"/>
    <col min="10516" max="10517" width="12.5703125" style="910" customWidth="1"/>
    <col min="10518" max="10518" width="14.42578125" style="910" customWidth="1"/>
    <col min="10519" max="10519" width="12.5703125" style="910" customWidth="1"/>
    <col min="10520" max="10520" width="24.42578125" style="910" customWidth="1"/>
    <col min="10521" max="10521" width="17" style="910" customWidth="1"/>
    <col min="10522" max="10522" width="13.42578125" style="910" customWidth="1"/>
    <col min="10523" max="10523" width="22.7109375" style="910" customWidth="1"/>
    <col min="10524" max="10524" width="3.7109375" style="910" customWidth="1"/>
    <col min="10525" max="10533" width="0" style="910" hidden="1" customWidth="1"/>
    <col min="10534" max="10543" width="8.7109375" style="910" customWidth="1"/>
    <col min="10544" max="10752" width="12.5703125" style="910"/>
    <col min="10753" max="10753" width="6.42578125" style="910" customWidth="1"/>
    <col min="10754" max="10754" width="14" style="910" customWidth="1"/>
    <col min="10755" max="10755" width="22.5703125" style="910" customWidth="1"/>
    <col min="10756" max="10756" width="16.140625" style="910" customWidth="1"/>
    <col min="10757" max="10761" width="0" style="910" hidden="1" customWidth="1"/>
    <col min="10762" max="10762" width="16.42578125" style="910" bestFit="1" customWidth="1"/>
    <col min="10763" max="10764" width="0" style="910" hidden="1" customWidth="1"/>
    <col min="10765" max="10765" width="16" style="910" customWidth="1"/>
    <col min="10766" max="10766" width="15.85546875" style="910" customWidth="1"/>
    <col min="10767" max="10767" width="15.5703125" style="910" customWidth="1"/>
    <col min="10768" max="10768" width="11.140625" style="910" customWidth="1"/>
    <col min="10769" max="10769" width="20.42578125" style="910" customWidth="1"/>
    <col min="10770" max="10770" width="10.85546875" style="910" customWidth="1"/>
    <col min="10771" max="10771" width="9.42578125" style="910" customWidth="1"/>
    <col min="10772" max="10773" width="12.5703125" style="910" customWidth="1"/>
    <col min="10774" max="10774" width="14.42578125" style="910" customWidth="1"/>
    <col min="10775" max="10775" width="12.5703125" style="910" customWidth="1"/>
    <col min="10776" max="10776" width="24.42578125" style="910" customWidth="1"/>
    <col min="10777" max="10777" width="17" style="910" customWidth="1"/>
    <col min="10778" max="10778" width="13.42578125" style="910" customWidth="1"/>
    <col min="10779" max="10779" width="22.7109375" style="910" customWidth="1"/>
    <col min="10780" max="10780" width="3.7109375" style="910" customWidth="1"/>
    <col min="10781" max="10789" width="0" style="910" hidden="1" customWidth="1"/>
    <col min="10790" max="10799" width="8.7109375" style="910" customWidth="1"/>
    <col min="10800" max="11008" width="12.5703125" style="910"/>
    <col min="11009" max="11009" width="6.42578125" style="910" customWidth="1"/>
    <col min="11010" max="11010" width="14" style="910" customWidth="1"/>
    <col min="11011" max="11011" width="22.5703125" style="910" customWidth="1"/>
    <col min="11012" max="11012" width="16.140625" style="910" customWidth="1"/>
    <col min="11013" max="11017" width="0" style="910" hidden="1" customWidth="1"/>
    <col min="11018" max="11018" width="16.42578125" style="910" bestFit="1" customWidth="1"/>
    <col min="11019" max="11020" width="0" style="910" hidden="1" customWidth="1"/>
    <col min="11021" max="11021" width="16" style="910" customWidth="1"/>
    <col min="11022" max="11022" width="15.85546875" style="910" customWidth="1"/>
    <col min="11023" max="11023" width="15.5703125" style="910" customWidth="1"/>
    <col min="11024" max="11024" width="11.140625" style="910" customWidth="1"/>
    <col min="11025" max="11025" width="20.42578125" style="910" customWidth="1"/>
    <col min="11026" max="11026" width="10.85546875" style="910" customWidth="1"/>
    <col min="11027" max="11027" width="9.42578125" style="910" customWidth="1"/>
    <col min="11028" max="11029" width="12.5703125" style="910" customWidth="1"/>
    <col min="11030" max="11030" width="14.42578125" style="910" customWidth="1"/>
    <col min="11031" max="11031" width="12.5703125" style="910" customWidth="1"/>
    <col min="11032" max="11032" width="24.42578125" style="910" customWidth="1"/>
    <col min="11033" max="11033" width="17" style="910" customWidth="1"/>
    <col min="11034" max="11034" width="13.42578125" style="910" customWidth="1"/>
    <col min="11035" max="11035" width="22.7109375" style="910" customWidth="1"/>
    <col min="11036" max="11036" width="3.7109375" style="910" customWidth="1"/>
    <col min="11037" max="11045" width="0" style="910" hidden="1" customWidth="1"/>
    <col min="11046" max="11055" width="8.7109375" style="910" customWidth="1"/>
    <col min="11056" max="11264" width="12.5703125" style="910"/>
    <col min="11265" max="11265" width="6.42578125" style="910" customWidth="1"/>
    <col min="11266" max="11266" width="14" style="910" customWidth="1"/>
    <col min="11267" max="11267" width="22.5703125" style="910" customWidth="1"/>
    <col min="11268" max="11268" width="16.140625" style="910" customWidth="1"/>
    <col min="11269" max="11273" width="0" style="910" hidden="1" customWidth="1"/>
    <col min="11274" max="11274" width="16.42578125" style="910" bestFit="1" customWidth="1"/>
    <col min="11275" max="11276" width="0" style="910" hidden="1" customWidth="1"/>
    <col min="11277" max="11277" width="16" style="910" customWidth="1"/>
    <col min="11278" max="11278" width="15.85546875" style="910" customWidth="1"/>
    <col min="11279" max="11279" width="15.5703125" style="910" customWidth="1"/>
    <col min="11280" max="11280" width="11.140625" style="910" customWidth="1"/>
    <col min="11281" max="11281" width="20.42578125" style="910" customWidth="1"/>
    <col min="11282" max="11282" width="10.85546875" style="910" customWidth="1"/>
    <col min="11283" max="11283" width="9.42578125" style="910" customWidth="1"/>
    <col min="11284" max="11285" width="12.5703125" style="910" customWidth="1"/>
    <col min="11286" max="11286" width="14.42578125" style="910" customWidth="1"/>
    <col min="11287" max="11287" width="12.5703125" style="910" customWidth="1"/>
    <col min="11288" max="11288" width="24.42578125" style="910" customWidth="1"/>
    <col min="11289" max="11289" width="17" style="910" customWidth="1"/>
    <col min="11290" max="11290" width="13.42578125" style="910" customWidth="1"/>
    <col min="11291" max="11291" width="22.7109375" style="910" customWidth="1"/>
    <col min="11292" max="11292" width="3.7109375" style="910" customWidth="1"/>
    <col min="11293" max="11301" width="0" style="910" hidden="1" customWidth="1"/>
    <col min="11302" max="11311" width="8.7109375" style="910" customWidth="1"/>
    <col min="11312" max="11520" width="12.5703125" style="910"/>
    <col min="11521" max="11521" width="6.42578125" style="910" customWidth="1"/>
    <col min="11522" max="11522" width="14" style="910" customWidth="1"/>
    <col min="11523" max="11523" width="22.5703125" style="910" customWidth="1"/>
    <col min="11524" max="11524" width="16.140625" style="910" customWidth="1"/>
    <col min="11525" max="11529" width="0" style="910" hidden="1" customWidth="1"/>
    <col min="11530" max="11530" width="16.42578125" style="910" bestFit="1" customWidth="1"/>
    <col min="11531" max="11532" width="0" style="910" hidden="1" customWidth="1"/>
    <col min="11533" max="11533" width="16" style="910" customWidth="1"/>
    <col min="11534" max="11534" width="15.85546875" style="910" customWidth="1"/>
    <col min="11535" max="11535" width="15.5703125" style="910" customWidth="1"/>
    <col min="11536" max="11536" width="11.140625" style="910" customWidth="1"/>
    <col min="11537" max="11537" width="20.42578125" style="910" customWidth="1"/>
    <col min="11538" max="11538" width="10.85546875" style="910" customWidth="1"/>
    <col min="11539" max="11539" width="9.42578125" style="910" customWidth="1"/>
    <col min="11540" max="11541" width="12.5703125" style="910" customWidth="1"/>
    <col min="11542" max="11542" width="14.42578125" style="910" customWidth="1"/>
    <col min="11543" max="11543" width="12.5703125" style="910" customWidth="1"/>
    <col min="11544" max="11544" width="24.42578125" style="910" customWidth="1"/>
    <col min="11545" max="11545" width="17" style="910" customWidth="1"/>
    <col min="11546" max="11546" width="13.42578125" style="910" customWidth="1"/>
    <col min="11547" max="11547" width="22.7109375" style="910" customWidth="1"/>
    <col min="11548" max="11548" width="3.7109375" style="910" customWidth="1"/>
    <col min="11549" max="11557" width="0" style="910" hidden="1" customWidth="1"/>
    <col min="11558" max="11567" width="8.7109375" style="910" customWidth="1"/>
    <col min="11568" max="11776" width="12.5703125" style="910"/>
    <col min="11777" max="11777" width="6.42578125" style="910" customWidth="1"/>
    <col min="11778" max="11778" width="14" style="910" customWidth="1"/>
    <col min="11779" max="11779" width="22.5703125" style="910" customWidth="1"/>
    <col min="11780" max="11780" width="16.140625" style="910" customWidth="1"/>
    <col min="11781" max="11785" width="0" style="910" hidden="1" customWidth="1"/>
    <col min="11786" max="11786" width="16.42578125" style="910" bestFit="1" customWidth="1"/>
    <col min="11787" max="11788" width="0" style="910" hidden="1" customWidth="1"/>
    <col min="11789" max="11789" width="16" style="910" customWidth="1"/>
    <col min="11790" max="11790" width="15.85546875" style="910" customWidth="1"/>
    <col min="11791" max="11791" width="15.5703125" style="910" customWidth="1"/>
    <col min="11792" max="11792" width="11.140625" style="910" customWidth="1"/>
    <col min="11793" max="11793" width="20.42578125" style="910" customWidth="1"/>
    <col min="11794" max="11794" width="10.85546875" style="910" customWidth="1"/>
    <col min="11795" max="11795" width="9.42578125" style="910" customWidth="1"/>
    <col min="11796" max="11797" width="12.5703125" style="910" customWidth="1"/>
    <col min="11798" max="11798" width="14.42578125" style="910" customWidth="1"/>
    <col min="11799" max="11799" width="12.5703125" style="910" customWidth="1"/>
    <col min="11800" max="11800" width="24.42578125" style="910" customWidth="1"/>
    <col min="11801" max="11801" width="17" style="910" customWidth="1"/>
    <col min="11802" max="11802" width="13.42578125" style="910" customWidth="1"/>
    <col min="11803" max="11803" width="22.7109375" style="910" customWidth="1"/>
    <col min="11804" max="11804" width="3.7109375" style="910" customWidth="1"/>
    <col min="11805" max="11813" width="0" style="910" hidden="1" customWidth="1"/>
    <col min="11814" max="11823" width="8.7109375" style="910" customWidth="1"/>
    <col min="11824" max="12032" width="12.5703125" style="910"/>
    <col min="12033" max="12033" width="6.42578125" style="910" customWidth="1"/>
    <col min="12034" max="12034" width="14" style="910" customWidth="1"/>
    <col min="12035" max="12035" width="22.5703125" style="910" customWidth="1"/>
    <col min="12036" max="12036" width="16.140625" style="910" customWidth="1"/>
    <col min="12037" max="12041" width="0" style="910" hidden="1" customWidth="1"/>
    <col min="12042" max="12042" width="16.42578125" style="910" bestFit="1" customWidth="1"/>
    <col min="12043" max="12044" width="0" style="910" hidden="1" customWidth="1"/>
    <col min="12045" max="12045" width="16" style="910" customWidth="1"/>
    <col min="12046" max="12046" width="15.85546875" style="910" customWidth="1"/>
    <col min="12047" max="12047" width="15.5703125" style="910" customWidth="1"/>
    <col min="12048" max="12048" width="11.140625" style="910" customWidth="1"/>
    <col min="12049" max="12049" width="20.42578125" style="910" customWidth="1"/>
    <col min="12050" max="12050" width="10.85546875" style="910" customWidth="1"/>
    <col min="12051" max="12051" width="9.42578125" style="910" customWidth="1"/>
    <col min="12052" max="12053" width="12.5703125" style="910" customWidth="1"/>
    <col min="12054" max="12054" width="14.42578125" style="910" customWidth="1"/>
    <col min="12055" max="12055" width="12.5703125" style="910" customWidth="1"/>
    <col min="12056" max="12056" width="24.42578125" style="910" customWidth="1"/>
    <col min="12057" max="12057" width="17" style="910" customWidth="1"/>
    <col min="12058" max="12058" width="13.42578125" style="910" customWidth="1"/>
    <col min="12059" max="12059" width="22.7109375" style="910" customWidth="1"/>
    <col min="12060" max="12060" width="3.7109375" style="910" customWidth="1"/>
    <col min="12061" max="12069" width="0" style="910" hidden="1" customWidth="1"/>
    <col min="12070" max="12079" width="8.7109375" style="910" customWidth="1"/>
    <col min="12080" max="12288" width="12.5703125" style="910"/>
    <col min="12289" max="12289" width="6.42578125" style="910" customWidth="1"/>
    <col min="12290" max="12290" width="14" style="910" customWidth="1"/>
    <col min="12291" max="12291" width="22.5703125" style="910" customWidth="1"/>
    <col min="12292" max="12292" width="16.140625" style="910" customWidth="1"/>
    <col min="12293" max="12297" width="0" style="910" hidden="1" customWidth="1"/>
    <col min="12298" max="12298" width="16.42578125" style="910" bestFit="1" customWidth="1"/>
    <col min="12299" max="12300" width="0" style="910" hidden="1" customWidth="1"/>
    <col min="12301" max="12301" width="16" style="910" customWidth="1"/>
    <col min="12302" max="12302" width="15.85546875" style="910" customWidth="1"/>
    <col min="12303" max="12303" width="15.5703125" style="910" customWidth="1"/>
    <col min="12304" max="12304" width="11.140625" style="910" customWidth="1"/>
    <col min="12305" max="12305" width="20.42578125" style="910" customWidth="1"/>
    <col min="12306" max="12306" width="10.85546875" style="910" customWidth="1"/>
    <col min="12307" max="12307" width="9.42578125" style="910" customWidth="1"/>
    <col min="12308" max="12309" width="12.5703125" style="910" customWidth="1"/>
    <col min="12310" max="12310" width="14.42578125" style="910" customWidth="1"/>
    <col min="12311" max="12311" width="12.5703125" style="910" customWidth="1"/>
    <col min="12312" max="12312" width="24.42578125" style="910" customWidth="1"/>
    <col min="12313" max="12313" width="17" style="910" customWidth="1"/>
    <col min="12314" max="12314" width="13.42578125" style="910" customWidth="1"/>
    <col min="12315" max="12315" width="22.7109375" style="910" customWidth="1"/>
    <col min="12316" max="12316" width="3.7109375" style="910" customWidth="1"/>
    <col min="12317" max="12325" width="0" style="910" hidden="1" customWidth="1"/>
    <col min="12326" max="12335" width="8.7109375" style="910" customWidth="1"/>
    <col min="12336" max="12544" width="12.5703125" style="910"/>
    <col min="12545" max="12545" width="6.42578125" style="910" customWidth="1"/>
    <col min="12546" max="12546" width="14" style="910" customWidth="1"/>
    <col min="12547" max="12547" width="22.5703125" style="910" customWidth="1"/>
    <col min="12548" max="12548" width="16.140625" style="910" customWidth="1"/>
    <col min="12549" max="12553" width="0" style="910" hidden="1" customWidth="1"/>
    <col min="12554" max="12554" width="16.42578125" style="910" bestFit="1" customWidth="1"/>
    <col min="12555" max="12556" width="0" style="910" hidden="1" customWidth="1"/>
    <col min="12557" max="12557" width="16" style="910" customWidth="1"/>
    <col min="12558" max="12558" width="15.85546875" style="910" customWidth="1"/>
    <col min="12559" max="12559" width="15.5703125" style="910" customWidth="1"/>
    <col min="12560" max="12560" width="11.140625" style="910" customWidth="1"/>
    <col min="12561" max="12561" width="20.42578125" style="910" customWidth="1"/>
    <col min="12562" max="12562" width="10.85546875" style="910" customWidth="1"/>
    <col min="12563" max="12563" width="9.42578125" style="910" customWidth="1"/>
    <col min="12564" max="12565" width="12.5703125" style="910" customWidth="1"/>
    <col min="12566" max="12566" width="14.42578125" style="910" customWidth="1"/>
    <col min="12567" max="12567" width="12.5703125" style="910" customWidth="1"/>
    <col min="12568" max="12568" width="24.42578125" style="910" customWidth="1"/>
    <col min="12569" max="12569" width="17" style="910" customWidth="1"/>
    <col min="12570" max="12570" width="13.42578125" style="910" customWidth="1"/>
    <col min="12571" max="12571" width="22.7109375" style="910" customWidth="1"/>
    <col min="12572" max="12572" width="3.7109375" style="910" customWidth="1"/>
    <col min="12573" max="12581" width="0" style="910" hidden="1" customWidth="1"/>
    <col min="12582" max="12591" width="8.7109375" style="910" customWidth="1"/>
    <col min="12592" max="12800" width="12.5703125" style="910"/>
    <col min="12801" max="12801" width="6.42578125" style="910" customWidth="1"/>
    <col min="12802" max="12802" width="14" style="910" customWidth="1"/>
    <col min="12803" max="12803" width="22.5703125" style="910" customWidth="1"/>
    <col min="12804" max="12804" width="16.140625" style="910" customWidth="1"/>
    <col min="12805" max="12809" width="0" style="910" hidden="1" customWidth="1"/>
    <col min="12810" max="12810" width="16.42578125" style="910" bestFit="1" customWidth="1"/>
    <col min="12811" max="12812" width="0" style="910" hidden="1" customWidth="1"/>
    <col min="12813" max="12813" width="16" style="910" customWidth="1"/>
    <col min="12814" max="12814" width="15.85546875" style="910" customWidth="1"/>
    <col min="12815" max="12815" width="15.5703125" style="910" customWidth="1"/>
    <col min="12816" max="12816" width="11.140625" style="910" customWidth="1"/>
    <col min="12817" max="12817" width="20.42578125" style="910" customWidth="1"/>
    <col min="12818" max="12818" width="10.85546875" style="910" customWidth="1"/>
    <col min="12819" max="12819" width="9.42578125" style="910" customWidth="1"/>
    <col min="12820" max="12821" width="12.5703125" style="910" customWidth="1"/>
    <col min="12822" max="12822" width="14.42578125" style="910" customWidth="1"/>
    <col min="12823" max="12823" width="12.5703125" style="910" customWidth="1"/>
    <col min="12824" max="12824" width="24.42578125" style="910" customWidth="1"/>
    <col min="12825" max="12825" width="17" style="910" customWidth="1"/>
    <col min="12826" max="12826" width="13.42578125" style="910" customWidth="1"/>
    <col min="12827" max="12827" width="22.7109375" style="910" customWidth="1"/>
    <col min="12828" max="12828" width="3.7109375" style="910" customWidth="1"/>
    <col min="12829" max="12837" width="0" style="910" hidden="1" customWidth="1"/>
    <col min="12838" max="12847" width="8.7109375" style="910" customWidth="1"/>
    <col min="12848" max="13056" width="12.5703125" style="910"/>
    <col min="13057" max="13057" width="6.42578125" style="910" customWidth="1"/>
    <col min="13058" max="13058" width="14" style="910" customWidth="1"/>
    <col min="13059" max="13059" width="22.5703125" style="910" customWidth="1"/>
    <col min="13060" max="13060" width="16.140625" style="910" customWidth="1"/>
    <col min="13061" max="13065" width="0" style="910" hidden="1" customWidth="1"/>
    <col min="13066" max="13066" width="16.42578125" style="910" bestFit="1" customWidth="1"/>
    <col min="13067" max="13068" width="0" style="910" hidden="1" customWidth="1"/>
    <col min="13069" max="13069" width="16" style="910" customWidth="1"/>
    <col min="13070" max="13070" width="15.85546875" style="910" customWidth="1"/>
    <col min="13071" max="13071" width="15.5703125" style="910" customWidth="1"/>
    <col min="13072" max="13072" width="11.140625" style="910" customWidth="1"/>
    <col min="13073" max="13073" width="20.42578125" style="910" customWidth="1"/>
    <col min="13074" max="13074" width="10.85546875" style="910" customWidth="1"/>
    <col min="13075" max="13075" width="9.42578125" style="910" customWidth="1"/>
    <col min="13076" max="13077" width="12.5703125" style="910" customWidth="1"/>
    <col min="13078" max="13078" width="14.42578125" style="910" customWidth="1"/>
    <col min="13079" max="13079" width="12.5703125" style="910" customWidth="1"/>
    <col min="13080" max="13080" width="24.42578125" style="910" customWidth="1"/>
    <col min="13081" max="13081" width="17" style="910" customWidth="1"/>
    <col min="13082" max="13082" width="13.42578125" style="910" customWidth="1"/>
    <col min="13083" max="13083" width="22.7109375" style="910" customWidth="1"/>
    <col min="13084" max="13084" width="3.7109375" style="910" customWidth="1"/>
    <col min="13085" max="13093" width="0" style="910" hidden="1" customWidth="1"/>
    <col min="13094" max="13103" width="8.7109375" style="910" customWidth="1"/>
    <col min="13104" max="13312" width="12.5703125" style="910"/>
    <col min="13313" max="13313" width="6.42578125" style="910" customWidth="1"/>
    <col min="13314" max="13314" width="14" style="910" customWidth="1"/>
    <col min="13315" max="13315" width="22.5703125" style="910" customWidth="1"/>
    <col min="13316" max="13316" width="16.140625" style="910" customWidth="1"/>
    <col min="13317" max="13321" width="0" style="910" hidden="1" customWidth="1"/>
    <col min="13322" max="13322" width="16.42578125" style="910" bestFit="1" customWidth="1"/>
    <col min="13323" max="13324" width="0" style="910" hidden="1" customWidth="1"/>
    <col min="13325" max="13325" width="16" style="910" customWidth="1"/>
    <col min="13326" max="13326" width="15.85546875" style="910" customWidth="1"/>
    <col min="13327" max="13327" width="15.5703125" style="910" customWidth="1"/>
    <col min="13328" max="13328" width="11.140625" style="910" customWidth="1"/>
    <col min="13329" max="13329" width="20.42578125" style="910" customWidth="1"/>
    <col min="13330" max="13330" width="10.85546875" style="910" customWidth="1"/>
    <col min="13331" max="13331" width="9.42578125" style="910" customWidth="1"/>
    <col min="13332" max="13333" width="12.5703125" style="910" customWidth="1"/>
    <col min="13334" max="13334" width="14.42578125" style="910" customWidth="1"/>
    <col min="13335" max="13335" width="12.5703125" style="910" customWidth="1"/>
    <col min="13336" max="13336" width="24.42578125" style="910" customWidth="1"/>
    <col min="13337" max="13337" width="17" style="910" customWidth="1"/>
    <col min="13338" max="13338" width="13.42578125" style="910" customWidth="1"/>
    <col min="13339" max="13339" width="22.7109375" style="910" customWidth="1"/>
    <col min="13340" max="13340" width="3.7109375" style="910" customWidth="1"/>
    <col min="13341" max="13349" width="0" style="910" hidden="1" customWidth="1"/>
    <col min="13350" max="13359" width="8.7109375" style="910" customWidth="1"/>
    <col min="13360" max="13568" width="12.5703125" style="910"/>
    <col min="13569" max="13569" width="6.42578125" style="910" customWidth="1"/>
    <col min="13570" max="13570" width="14" style="910" customWidth="1"/>
    <col min="13571" max="13571" width="22.5703125" style="910" customWidth="1"/>
    <col min="13572" max="13572" width="16.140625" style="910" customWidth="1"/>
    <col min="13573" max="13577" width="0" style="910" hidden="1" customWidth="1"/>
    <col min="13578" max="13578" width="16.42578125" style="910" bestFit="1" customWidth="1"/>
    <col min="13579" max="13580" width="0" style="910" hidden="1" customWidth="1"/>
    <col min="13581" max="13581" width="16" style="910" customWidth="1"/>
    <col min="13582" max="13582" width="15.85546875" style="910" customWidth="1"/>
    <col min="13583" max="13583" width="15.5703125" style="910" customWidth="1"/>
    <col min="13584" max="13584" width="11.140625" style="910" customWidth="1"/>
    <col min="13585" max="13585" width="20.42578125" style="910" customWidth="1"/>
    <col min="13586" max="13586" width="10.85546875" style="910" customWidth="1"/>
    <col min="13587" max="13587" width="9.42578125" style="910" customWidth="1"/>
    <col min="13588" max="13589" width="12.5703125" style="910" customWidth="1"/>
    <col min="13590" max="13590" width="14.42578125" style="910" customWidth="1"/>
    <col min="13591" max="13591" width="12.5703125" style="910" customWidth="1"/>
    <col min="13592" max="13592" width="24.42578125" style="910" customWidth="1"/>
    <col min="13593" max="13593" width="17" style="910" customWidth="1"/>
    <col min="13594" max="13594" width="13.42578125" style="910" customWidth="1"/>
    <col min="13595" max="13595" width="22.7109375" style="910" customWidth="1"/>
    <col min="13596" max="13596" width="3.7109375" style="910" customWidth="1"/>
    <col min="13597" max="13605" width="0" style="910" hidden="1" customWidth="1"/>
    <col min="13606" max="13615" width="8.7109375" style="910" customWidth="1"/>
    <col min="13616" max="13824" width="12.5703125" style="910"/>
    <col min="13825" max="13825" width="6.42578125" style="910" customWidth="1"/>
    <col min="13826" max="13826" width="14" style="910" customWidth="1"/>
    <col min="13827" max="13827" width="22.5703125" style="910" customWidth="1"/>
    <col min="13828" max="13828" width="16.140625" style="910" customWidth="1"/>
    <col min="13829" max="13833" width="0" style="910" hidden="1" customWidth="1"/>
    <col min="13834" max="13834" width="16.42578125" style="910" bestFit="1" customWidth="1"/>
    <col min="13835" max="13836" width="0" style="910" hidden="1" customWidth="1"/>
    <col min="13837" max="13837" width="16" style="910" customWidth="1"/>
    <col min="13838" max="13838" width="15.85546875" style="910" customWidth="1"/>
    <col min="13839" max="13839" width="15.5703125" style="910" customWidth="1"/>
    <col min="13840" max="13840" width="11.140625" style="910" customWidth="1"/>
    <col min="13841" max="13841" width="20.42578125" style="910" customWidth="1"/>
    <col min="13842" max="13842" width="10.85546875" style="910" customWidth="1"/>
    <col min="13843" max="13843" width="9.42578125" style="910" customWidth="1"/>
    <col min="13844" max="13845" width="12.5703125" style="910" customWidth="1"/>
    <col min="13846" max="13846" width="14.42578125" style="910" customWidth="1"/>
    <col min="13847" max="13847" width="12.5703125" style="910" customWidth="1"/>
    <col min="13848" max="13848" width="24.42578125" style="910" customWidth="1"/>
    <col min="13849" max="13849" width="17" style="910" customWidth="1"/>
    <col min="13850" max="13850" width="13.42578125" style="910" customWidth="1"/>
    <col min="13851" max="13851" width="22.7109375" style="910" customWidth="1"/>
    <col min="13852" max="13852" width="3.7109375" style="910" customWidth="1"/>
    <col min="13853" max="13861" width="0" style="910" hidden="1" customWidth="1"/>
    <col min="13862" max="13871" width="8.7109375" style="910" customWidth="1"/>
    <col min="13872" max="14080" width="12.5703125" style="910"/>
    <col min="14081" max="14081" width="6.42578125" style="910" customWidth="1"/>
    <col min="14082" max="14082" width="14" style="910" customWidth="1"/>
    <col min="14083" max="14083" width="22.5703125" style="910" customWidth="1"/>
    <col min="14084" max="14084" width="16.140625" style="910" customWidth="1"/>
    <col min="14085" max="14089" width="0" style="910" hidden="1" customWidth="1"/>
    <col min="14090" max="14090" width="16.42578125" style="910" bestFit="1" customWidth="1"/>
    <col min="14091" max="14092" width="0" style="910" hidden="1" customWidth="1"/>
    <col min="14093" max="14093" width="16" style="910" customWidth="1"/>
    <col min="14094" max="14094" width="15.85546875" style="910" customWidth="1"/>
    <col min="14095" max="14095" width="15.5703125" style="910" customWidth="1"/>
    <col min="14096" max="14096" width="11.140625" style="910" customWidth="1"/>
    <col min="14097" max="14097" width="20.42578125" style="910" customWidth="1"/>
    <col min="14098" max="14098" width="10.85546875" style="910" customWidth="1"/>
    <col min="14099" max="14099" width="9.42578125" style="910" customWidth="1"/>
    <col min="14100" max="14101" width="12.5703125" style="910" customWidth="1"/>
    <col min="14102" max="14102" width="14.42578125" style="910" customWidth="1"/>
    <col min="14103" max="14103" width="12.5703125" style="910" customWidth="1"/>
    <col min="14104" max="14104" width="24.42578125" style="910" customWidth="1"/>
    <col min="14105" max="14105" width="17" style="910" customWidth="1"/>
    <col min="14106" max="14106" width="13.42578125" style="910" customWidth="1"/>
    <col min="14107" max="14107" width="22.7109375" style="910" customWidth="1"/>
    <col min="14108" max="14108" width="3.7109375" style="910" customWidth="1"/>
    <col min="14109" max="14117" width="0" style="910" hidden="1" customWidth="1"/>
    <col min="14118" max="14127" width="8.7109375" style="910" customWidth="1"/>
    <col min="14128" max="14336" width="12.5703125" style="910"/>
    <col min="14337" max="14337" width="6.42578125" style="910" customWidth="1"/>
    <col min="14338" max="14338" width="14" style="910" customWidth="1"/>
    <col min="14339" max="14339" width="22.5703125" style="910" customWidth="1"/>
    <col min="14340" max="14340" width="16.140625" style="910" customWidth="1"/>
    <col min="14341" max="14345" width="0" style="910" hidden="1" customWidth="1"/>
    <col min="14346" max="14346" width="16.42578125" style="910" bestFit="1" customWidth="1"/>
    <col min="14347" max="14348" width="0" style="910" hidden="1" customWidth="1"/>
    <col min="14349" max="14349" width="16" style="910" customWidth="1"/>
    <col min="14350" max="14350" width="15.85546875" style="910" customWidth="1"/>
    <col min="14351" max="14351" width="15.5703125" style="910" customWidth="1"/>
    <col min="14352" max="14352" width="11.140625" style="910" customWidth="1"/>
    <col min="14353" max="14353" width="20.42578125" style="910" customWidth="1"/>
    <col min="14354" max="14354" width="10.85546875" style="910" customWidth="1"/>
    <col min="14355" max="14355" width="9.42578125" style="910" customWidth="1"/>
    <col min="14356" max="14357" width="12.5703125" style="910" customWidth="1"/>
    <col min="14358" max="14358" width="14.42578125" style="910" customWidth="1"/>
    <col min="14359" max="14359" width="12.5703125" style="910" customWidth="1"/>
    <col min="14360" max="14360" width="24.42578125" style="910" customWidth="1"/>
    <col min="14361" max="14361" width="17" style="910" customWidth="1"/>
    <col min="14362" max="14362" width="13.42578125" style="910" customWidth="1"/>
    <col min="14363" max="14363" width="22.7109375" style="910" customWidth="1"/>
    <col min="14364" max="14364" width="3.7109375" style="910" customWidth="1"/>
    <col min="14365" max="14373" width="0" style="910" hidden="1" customWidth="1"/>
    <col min="14374" max="14383" width="8.7109375" style="910" customWidth="1"/>
    <col min="14384" max="14592" width="12.5703125" style="910"/>
    <col min="14593" max="14593" width="6.42578125" style="910" customWidth="1"/>
    <col min="14594" max="14594" width="14" style="910" customWidth="1"/>
    <col min="14595" max="14595" width="22.5703125" style="910" customWidth="1"/>
    <col min="14596" max="14596" width="16.140625" style="910" customWidth="1"/>
    <col min="14597" max="14601" width="0" style="910" hidden="1" customWidth="1"/>
    <col min="14602" max="14602" width="16.42578125" style="910" bestFit="1" customWidth="1"/>
    <col min="14603" max="14604" width="0" style="910" hidden="1" customWidth="1"/>
    <col min="14605" max="14605" width="16" style="910" customWidth="1"/>
    <col min="14606" max="14606" width="15.85546875" style="910" customWidth="1"/>
    <col min="14607" max="14607" width="15.5703125" style="910" customWidth="1"/>
    <col min="14608" max="14608" width="11.140625" style="910" customWidth="1"/>
    <col min="14609" max="14609" width="20.42578125" style="910" customWidth="1"/>
    <col min="14610" max="14610" width="10.85546875" style="910" customWidth="1"/>
    <col min="14611" max="14611" width="9.42578125" style="910" customWidth="1"/>
    <col min="14612" max="14613" width="12.5703125" style="910" customWidth="1"/>
    <col min="14614" max="14614" width="14.42578125" style="910" customWidth="1"/>
    <col min="14615" max="14615" width="12.5703125" style="910" customWidth="1"/>
    <col min="14616" max="14616" width="24.42578125" style="910" customWidth="1"/>
    <col min="14617" max="14617" width="17" style="910" customWidth="1"/>
    <col min="14618" max="14618" width="13.42578125" style="910" customWidth="1"/>
    <col min="14619" max="14619" width="22.7109375" style="910" customWidth="1"/>
    <col min="14620" max="14620" width="3.7109375" style="910" customWidth="1"/>
    <col min="14621" max="14629" width="0" style="910" hidden="1" customWidth="1"/>
    <col min="14630" max="14639" width="8.7109375" style="910" customWidth="1"/>
    <col min="14640" max="14848" width="12.5703125" style="910"/>
    <col min="14849" max="14849" width="6.42578125" style="910" customWidth="1"/>
    <col min="14850" max="14850" width="14" style="910" customWidth="1"/>
    <col min="14851" max="14851" width="22.5703125" style="910" customWidth="1"/>
    <col min="14852" max="14852" width="16.140625" style="910" customWidth="1"/>
    <col min="14853" max="14857" width="0" style="910" hidden="1" customWidth="1"/>
    <col min="14858" max="14858" width="16.42578125" style="910" bestFit="1" customWidth="1"/>
    <col min="14859" max="14860" width="0" style="910" hidden="1" customWidth="1"/>
    <col min="14861" max="14861" width="16" style="910" customWidth="1"/>
    <col min="14862" max="14862" width="15.85546875" style="910" customWidth="1"/>
    <col min="14863" max="14863" width="15.5703125" style="910" customWidth="1"/>
    <col min="14864" max="14864" width="11.140625" style="910" customWidth="1"/>
    <col min="14865" max="14865" width="20.42578125" style="910" customWidth="1"/>
    <col min="14866" max="14866" width="10.85546875" style="910" customWidth="1"/>
    <col min="14867" max="14867" width="9.42578125" style="910" customWidth="1"/>
    <col min="14868" max="14869" width="12.5703125" style="910" customWidth="1"/>
    <col min="14870" max="14870" width="14.42578125" style="910" customWidth="1"/>
    <col min="14871" max="14871" width="12.5703125" style="910" customWidth="1"/>
    <col min="14872" max="14872" width="24.42578125" style="910" customWidth="1"/>
    <col min="14873" max="14873" width="17" style="910" customWidth="1"/>
    <col min="14874" max="14874" width="13.42578125" style="910" customWidth="1"/>
    <col min="14875" max="14875" width="22.7109375" style="910" customWidth="1"/>
    <col min="14876" max="14876" width="3.7109375" style="910" customWidth="1"/>
    <col min="14877" max="14885" width="0" style="910" hidden="1" customWidth="1"/>
    <col min="14886" max="14895" width="8.7109375" style="910" customWidth="1"/>
    <col min="14896" max="15104" width="12.5703125" style="910"/>
    <col min="15105" max="15105" width="6.42578125" style="910" customWidth="1"/>
    <col min="15106" max="15106" width="14" style="910" customWidth="1"/>
    <col min="15107" max="15107" width="22.5703125" style="910" customWidth="1"/>
    <col min="15108" max="15108" width="16.140625" style="910" customWidth="1"/>
    <col min="15109" max="15113" width="0" style="910" hidden="1" customWidth="1"/>
    <col min="15114" max="15114" width="16.42578125" style="910" bestFit="1" customWidth="1"/>
    <col min="15115" max="15116" width="0" style="910" hidden="1" customWidth="1"/>
    <col min="15117" max="15117" width="16" style="910" customWidth="1"/>
    <col min="15118" max="15118" width="15.85546875" style="910" customWidth="1"/>
    <col min="15119" max="15119" width="15.5703125" style="910" customWidth="1"/>
    <col min="15120" max="15120" width="11.140625" style="910" customWidth="1"/>
    <col min="15121" max="15121" width="20.42578125" style="910" customWidth="1"/>
    <col min="15122" max="15122" width="10.85546875" style="910" customWidth="1"/>
    <col min="15123" max="15123" width="9.42578125" style="910" customWidth="1"/>
    <col min="15124" max="15125" width="12.5703125" style="910" customWidth="1"/>
    <col min="15126" max="15126" width="14.42578125" style="910" customWidth="1"/>
    <col min="15127" max="15127" width="12.5703125" style="910" customWidth="1"/>
    <col min="15128" max="15128" width="24.42578125" style="910" customWidth="1"/>
    <col min="15129" max="15129" width="17" style="910" customWidth="1"/>
    <col min="15130" max="15130" width="13.42578125" style="910" customWidth="1"/>
    <col min="15131" max="15131" width="22.7109375" style="910" customWidth="1"/>
    <col min="15132" max="15132" width="3.7109375" style="910" customWidth="1"/>
    <col min="15133" max="15141" width="0" style="910" hidden="1" customWidth="1"/>
    <col min="15142" max="15151" width="8.7109375" style="910" customWidth="1"/>
    <col min="15152" max="15360" width="12.5703125" style="910"/>
    <col min="15361" max="15361" width="6.42578125" style="910" customWidth="1"/>
    <col min="15362" max="15362" width="14" style="910" customWidth="1"/>
    <col min="15363" max="15363" width="22.5703125" style="910" customWidth="1"/>
    <col min="15364" max="15364" width="16.140625" style="910" customWidth="1"/>
    <col min="15365" max="15369" width="0" style="910" hidden="1" customWidth="1"/>
    <col min="15370" max="15370" width="16.42578125" style="910" bestFit="1" customWidth="1"/>
    <col min="15371" max="15372" width="0" style="910" hidden="1" customWidth="1"/>
    <col min="15373" max="15373" width="16" style="910" customWidth="1"/>
    <col min="15374" max="15374" width="15.85546875" style="910" customWidth="1"/>
    <col min="15375" max="15375" width="15.5703125" style="910" customWidth="1"/>
    <col min="15376" max="15376" width="11.140625" style="910" customWidth="1"/>
    <col min="15377" max="15377" width="20.42578125" style="910" customWidth="1"/>
    <col min="15378" max="15378" width="10.85546875" style="910" customWidth="1"/>
    <col min="15379" max="15379" width="9.42578125" style="910" customWidth="1"/>
    <col min="15380" max="15381" width="12.5703125" style="910" customWidth="1"/>
    <col min="15382" max="15382" width="14.42578125" style="910" customWidth="1"/>
    <col min="15383" max="15383" width="12.5703125" style="910" customWidth="1"/>
    <col min="15384" max="15384" width="24.42578125" style="910" customWidth="1"/>
    <col min="15385" max="15385" width="17" style="910" customWidth="1"/>
    <col min="15386" max="15386" width="13.42578125" style="910" customWidth="1"/>
    <col min="15387" max="15387" width="22.7109375" style="910" customWidth="1"/>
    <col min="15388" max="15388" width="3.7109375" style="910" customWidth="1"/>
    <col min="15389" max="15397" width="0" style="910" hidden="1" customWidth="1"/>
    <col min="15398" max="15407" width="8.7109375" style="910" customWidth="1"/>
    <col min="15408" max="15616" width="12.5703125" style="910"/>
    <col min="15617" max="15617" width="6.42578125" style="910" customWidth="1"/>
    <col min="15618" max="15618" width="14" style="910" customWidth="1"/>
    <col min="15619" max="15619" width="22.5703125" style="910" customWidth="1"/>
    <col min="15620" max="15620" width="16.140625" style="910" customWidth="1"/>
    <col min="15621" max="15625" width="0" style="910" hidden="1" customWidth="1"/>
    <col min="15626" max="15626" width="16.42578125" style="910" bestFit="1" customWidth="1"/>
    <col min="15627" max="15628" width="0" style="910" hidden="1" customWidth="1"/>
    <col min="15629" max="15629" width="16" style="910" customWidth="1"/>
    <col min="15630" max="15630" width="15.85546875" style="910" customWidth="1"/>
    <col min="15631" max="15631" width="15.5703125" style="910" customWidth="1"/>
    <col min="15632" max="15632" width="11.140625" style="910" customWidth="1"/>
    <col min="15633" max="15633" width="20.42578125" style="910" customWidth="1"/>
    <col min="15634" max="15634" width="10.85546875" style="910" customWidth="1"/>
    <col min="15635" max="15635" width="9.42578125" style="910" customWidth="1"/>
    <col min="15636" max="15637" width="12.5703125" style="910" customWidth="1"/>
    <col min="15638" max="15638" width="14.42578125" style="910" customWidth="1"/>
    <col min="15639" max="15639" width="12.5703125" style="910" customWidth="1"/>
    <col min="15640" max="15640" width="24.42578125" style="910" customWidth="1"/>
    <col min="15641" max="15641" width="17" style="910" customWidth="1"/>
    <col min="15642" max="15642" width="13.42578125" style="910" customWidth="1"/>
    <col min="15643" max="15643" width="22.7109375" style="910" customWidth="1"/>
    <col min="15644" max="15644" width="3.7109375" style="910" customWidth="1"/>
    <col min="15645" max="15653" width="0" style="910" hidden="1" customWidth="1"/>
    <col min="15654" max="15663" width="8.7109375" style="910" customWidth="1"/>
    <col min="15664" max="15872" width="12.5703125" style="910"/>
    <col min="15873" max="15873" width="6.42578125" style="910" customWidth="1"/>
    <col min="15874" max="15874" width="14" style="910" customWidth="1"/>
    <col min="15875" max="15875" width="22.5703125" style="910" customWidth="1"/>
    <col min="15876" max="15876" width="16.140625" style="910" customWidth="1"/>
    <col min="15877" max="15881" width="0" style="910" hidden="1" customWidth="1"/>
    <col min="15882" max="15882" width="16.42578125" style="910" bestFit="1" customWidth="1"/>
    <col min="15883" max="15884" width="0" style="910" hidden="1" customWidth="1"/>
    <col min="15885" max="15885" width="16" style="910" customWidth="1"/>
    <col min="15886" max="15886" width="15.85546875" style="910" customWidth="1"/>
    <col min="15887" max="15887" width="15.5703125" style="910" customWidth="1"/>
    <col min="15888" max="15888" width="11.140625" style="910" customWidth="1"/>
    <col min="15889" max="15889" width="20.42578125" style="910" customWidth="1"/>
    <col min="15890" max="15890" width="10.85546875" style="910" customWidth="1"/>
    <col min="15891" max="15891" width="9.42578125" style="910" customWidth="1"/>
    <col min="15892" max="15893" width="12.5703125" style="910" customWidth="1"/>
    <col min="15894" max="15894" width="14.42578125" style="910" customWidth="1"/>
    <col min="15895" max="15895" width="12.5703125" style="910" customWidth="1"/>
    <col min="15896" max="15896" width="24.42578125" style="910" customWidth="1"/>
    <col min="15897" max="15897" width="17" style="910" customWidth="1"/>
    <col min="15898" max="15898" width="13.42578125" style="910" customWidth="1"/>
    <col min="15899" max="15899" width="22.7109375" style="910" customWidth="1"/>
    <col min="15900" max="15900" width="3.7109375" style="910" customWidth="1"/>
    <col min="15901" max="15909" width="0" style="910" hidden="1" customWidth="1"/>
    <col min="15910" max="15919" width="8.7109375" style="910" customWidth="1"/>
    <col min="15920" max="16128" width="12.5703125" style="910"/>
    <col min="16129" max="16129" width="6.42578125" style="910" customWidth="1"/>
    <col min="16130" max="16130" width="14" style="910" customWidth="1"/>
    <col min="16131" max="16131" width="22.5703125" style="910" customWidth="1"/>
    <col min="16132" max="16132" width="16.140625" style="910" customWidth="1"/>
    <col min="16133" max="16137" width="0" style="910" hidden="1" customWidth="1"/>
    <col min="16138" max="16138" width="16.42578125" style="910" bestFit="1" customWidth="1"/>
    <col min="16139" max="16140" width="0" style="910" hidden="1" customWidth="1"/>
    <col min="16141" max="16141" width="16" style="910" customWidth="1"/>
    <col min="16142" max="16142" width="15.85546875" style="910" customWidth="1"/>
    <col min="16143" max="16143" width="15.5703125" style="910" customWidth="1"/>
    <col min="16144" max="16144" width="11.140625" style="910" customWidth="1"/>
    <col min="16145" max="16145" width="20.42578125" style="910" customWidth="1"/>
    <col min="16146" max="16146" width="10.85546875" style="910" customWidth="1"/>
    <col min="16147" max="16147" width="9.42578125" style="910" customWidth="1"/>
    <col min="16148" max="16149" width="12.5703125" style="910" customWidth="1"/>
    <col min="16150" max="16150" width="14.42578125" style="910" customWidth="1"/>
    <col min="16151" max="16151" width="12.5703125" style="910" customWidth="1"/>
    <col min="16152" max="16152" width="24.42578125" style="910" customWidth="1"/>
    <col min="16153" max="16153" width="17" style="910" customWidth="1"/>
    <col min="16154" max="16154" width="13.42578125" style="910" customWidth="1"/>
    <col min="16155" max="16155" width="22.7109375" style="910" customWidth="1"/>
    <col min="16156" max="16156" width="3.7109375" style="910" customWidth="1"/>
    <col min="16157" max="16165" width="0" style="910" hidden="1" customWidth="1"/>
    <col min="16166" max="16175" width="8.7109375" style="910" customWidth="1"/>
    <col min="16176" max="16384" width="12.5703125" style="910"/>
  </cols>
  <sheetData>
    <row r="1" spans="1:47" x14ac:dyDescent="0.25">
      <c r="A1" s="1463"/>
      <c r="B1" s="1004"/>
      <c r="C1" s="1004"/>
      <c r="D1" s="1005"/>
      <c r="E1" s="1465" t="s">
        <v>0</v>
      </c>
      <c r="F1" s="969"/>
      <c r="G1" s="969"/>
      <c r="H1" s="969"/>
      <c r="I1" s="969"/>
      <c r="J1" s="969"/>
      <c r="K1" s="969"/>
      <c r="L1" s="969"/>
      <c r="M1" s="969"/>
      <c r="N1" s="969"/>
      <c r="O1" s="969"/>
      <c r="P1" s="969"/>
      <c r="Q1" s="969"/>
      <c r="R1" s="969"/>
      <c r="S1" s="969"/>
      <c r="T1" s="969"/>
      <c r="U1" s="969"/>
      <c r="V1" s="969"/>
      <c r="W1" s="969"/>
      <c r="X1" s="969"/>
      <c r="Y1" s="969"/>
      <c r="Z1" s="1020"/>
      <c r="AA1" s="8"/>
      <c r="AB1" s="8"/>
      <c r="AC1" s="184"/>
      <c r="AD1" s="184"/>
      <c r="AE1" s="184"/>
      <c r="AF1" s="184"/>
      <c r="AG1" s="184"/>
      <c r="AH1" s="184"/>
      <c r="AI1" s="184"/>
      <c r="AJ1" s="184"/>
      <c r="AK1" s="184"/>
      <c r="AL1" s="185"/>
      <c r="AM1" s="185"/>
      <c r="AN1" s="185"/>
      <c r="AO1" s="8"/>
      <c r="AP1" s="8"/>
      <c r="AQ1" s="8"/>
      <c r="AR1" s="8"/>
      <c r="AS1" s="8"/>
      <c r="AT1" s="8"/>
      <c r="AU1" s="8"/>
    </row>
    <row r="2" spans="1:47" x14ac:dyDescent="0.25">
      <c r="A2" s="1006"/>
      <c r="B2" s="1464"/>
      <c r="C2" s="1464"/>
      <c r="D2" s="1009"/>
      <c r="E2" s="1466" t="s">
        <v>250</v>
      </c>
      <c r="F2" s="994"/>
      <c r="G2" s="994"/>
      <c r="H2" s="994"/>
      <c r="I2" s="994"/>
      <c r="J2" s="994"/>
      <c r="K2" s="994"/>
      <c r="L2" s="994"/>
      <c r="M2" s="994"/>
      <c r="N2" s="994"/>
      <c r="O2" s="994"/>
      <c r="P2" s="994"/>
      <c r="Q2" s="994"/>
      <c r="R2" s="994"/>
      <c r="S2" s="994"/>
      <c r="T2" s="994"/>
      <c r="U2" s="994"/>
      <c r="V2" s="994"/>
      <c r="W2" s="994"/>
      <c r="X2" s="994"/>
      <c r="Y2" s="994"/>
      <c r="Z2" s="1021"/>
      <c r="AA2" s="8"/>
      <c r="AB2" s="8"/>
      <c r="AC2" s="184"/>
      <c r="AD2" s="184"/>
      <c r="AE2" s="184"/>
      <c r="AF2" s="184"/>
      <c r="AG2" s="184"/>
      <c r="AH2" s="184"/>
      <c r="AI2" s="184"/>
      <c r="AJ2" s="184"/>
      <c r="AK2" s="184"/>
      <c r="AL2" s="185"/>
      <c r="AM2" s="185"/>
      <c r="AN2" s="185"/>
      <c r="AO2" s="8"/>
      <c r="AP2" s="8"/>
      <c r="AQ2" s="8"/>
      <c r="AR2" s="8"/>
      <c r="AS2" s="8"/>
      <c r="AT2" s="8"/>
      <c r="AU2" s="8"/>
    </row>
    <row r="3" spans="1:47" x14ac:dyDescent="0.25">
      <c r="A3" s="1006"/>
      <c r="B3" s="1464"/>
      <c r="C3" s="1464"/>
      <c r="D3" s="1009"/>
      <c r="E3" s="1466" t="s">
        <v>251</v>
      </c>
      <c r="F3" s="995"/>
      <c r="G3" s="1466" t="s">
        <v>9</v>
      </c>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1021"/>
      <c r="AK3" s="184"/>
      <c r="AL3" s="185"/>
      <c r="AM3" s="185"/>
      <c r="AN3" s="185"/>
      <c r="AO3" s="8"/>
      <c r="AP3" s="8"/>
      <c r="AQ3" s="8"/>
      <c r="AR3" s="8"/>
      <c r="AS3" s="8"/>
      <c r="AT3" s="8"/>
      <c r="AU3" s="8"/>
    </row>
    <row r="4" spans="1:47" ht="15.75" thickBot="1" x14ac:dyDescent="0.3">
      <c r="A4" s="1006"/>
      <c r="B4" s="1464"/>
      <c r="C4" s="1464"/>
      <c r="D4" s="1009"/>
      <c r="E4" s="1467" t="s">
        <v>252</v>
      </c>
      <c r="F4" s="1468"/>
      <c r="G4" s="1467" t="s">
        <v>499</v>
      </c>
      <c r="H4" s="1469"/>
      <c r="I4" s="1469"/>
      <c r="J4" s="1469"/>
      <c r="K4" s="1469"/>
      <c r="L4" s="1469"/>
      <c r="M4" s="1469"/>
      <c r="N4" s="1469"/>
      <c r="O4" s="1469"/>
      <c r="P4" s="1469"/>
      <c r="Q4" s="1469"/>
      <c r="R4" s="1469"/>
      <c r="S4" s="1469"/>
      <c r="T4" s="1469"/>
      <c r="U4" s="1469"/>
      <c r="V4" s="1469"/>
      <c r="W4" s="1469"/>
      <c r="X4" s="1469"/>
      <c r="Y4" s="1469"/>
      <c r="Z4" s="1468"/>
      <c r="AA4" s="8"/>
      <c r="AB4" s="8"/>
      <c r="AC4" s="184"/>
      <c r="AD4" s="184"/>
      <c r="AE4" s="184"/>
      <c r="AF4" s="184"/>
      <c r="AG4" s="184"/>
      <c r="AH4" s="184"/>
      <c r="AI4" s="184"/>
      <c r="AJ4" s="184"/>
      <c r="AK4" s="184"/>
      <c r="AL4" s="185"/>
      <c r="AM4" s="185"/>
      <c r="AN4" s="185"/>
      <c r="AO4" s="8"/>
      <c r="AP4" s="8"/>
      <c r="AQ4" s="8"/>
      <c r="AR4" s="8"/>
      <c r="AS4" s="8"/>
      <c r="AT4" s="8"/>
      <c r="AU4" s="8"/>
    </row>
    <row r="5" spans="1:47" ht="9.75" customHeight="1" thickBot="1" x14ac:dyDescent="0.3">
      <c r="A5" s="1454" t="s">
        <v>253</v>
      </c>
      <c r="B5" s="1456" t="s">
        <v>254</v>
      </c>
      <c r="C5" s="1458" t="s">
        <v>255</v>
      </c>
      <c r="D5" s="1460" t="s">
        <v>256</v>
      </c>
      <c r="E5" s="1461" t="s">
        <v>257</v>
      </c>
      <c r="F5" s="1447" t="s">
        <v>258</v>
      </c>
      <c r="G5" s="1448"/>
      <c r="H5" s="1448"/>
      <c r="I5" s="1448"/>
      <c r="J5" s="1449"/>
      <c r="K5" s="1447" t="s">
        <v>259</v>
      </c>
      <c r="L5" s="1448"/>
      <c r="M5" s="1448"/>
      <c r="N5" s="1449"/>
      <c r="O5" s="1450" t="s">
        <v>260</v>
      </c>
      <c r="P5" s="1451"/>
      <c r="Q5" s="1451"/>
      <c r="R5" s="1451"/>
      <c r="S5" s="1452"/>
      <c r="T5" s="1450" t="s">
        <v>261</v>
      </c>
      <c r="U5" s="1451"/>
      <c r="V5" s="1451"/>
      <c r="W5" s="1451"/>
      <c r="X5" s="1451"/>
      <c r="Y5" s="1451"/>
      <c r="Z5" s="1453"/>
      <c r="AA5" s="8"/>
      <c r="AB5" s="8"/>
      <c r="AC5" s="184"/>
      <c r="AD5" s="184"/>
      <c r="AE5" s="184"/>
      <c r="AF5" s="184"/>
      <c r="AG5" s="184"/>
      <c r="AH5" s="184"/>
      <c r="AI5" s="184"/>
      <c r="AJ5" s="184"/>
      <c r="AK5" s="184"/>
      <c r="AL5" s="185"/>
      <c r="AM5" s="185"/>
      <c r="AN5" s="185"/>
      <c r="AO5" s="8"/>
      <c r="AP5" s="8"/>
      <c r="AQ5" s="8"/>
      <c r="AR5" s="8"/>
      <c r="AS5" s="8"/>
      <c r="AT5" s="8"/>
      <c r="AU5" s="8"/>
    </row>
    <row r="6" spans="1:47" ht="21" customHeight="1" thickBot="1" x14ac:dyDescent="0.3">
      <c r="A6" s="1455"/>
      <c r="B6" s="1457"/>
      <c r="C6" s="1459"/>
      <c r="D6" s="1006"/>
      <c r="E6" s="1462"/>
      <c r="F6" s="186" t="s">
        <v>262</v>
      </c>
      <c r="G6" s="186" t="s">
        <v>263</v>
      </c>
      <c r="H6" s="186" t="s">
        <v>264</v>
      </c>
      <c r="I6" s="186" t="s">
        <v>498</v>
      </c>
      <c r="J6" s="186" t="s">
        <v>265</v>
      </c>
      <c r="K6" s="186" t="s">
        <v>266</v>
      </c>
      <c r="L6" s="186" t="s">
        <v>267</v>
      </c>
      <c r="M6" s="186" t="s">
        <v>268</v>
      </c>
      <c r="N6" s="186" t="s">
        <v>269</v>
      </c>
      <c r="O6" s="187" t="s">
        <v>270</v>
      </c>
      <c r="P6" s="188" t="s">
        <v>271</v>
      </c>
      <c r="Q6" s="188" t="s">
        <v>272</v>
      </c>
      <c r="R6" s="188" t="s">
        <v>273</v>
      </c>
      <c r="S6" s="188" t="s">
        <v>274</v>
      </c>
      <c r="T6" s="186" t="s">
        <v>275</v>
      </c>
      <c r="U6" s="186" t="s">
        <v>276</v>
      </c>
      <c r="V6" s="327" t="s">
        <v>497</v>
      </c>
      <c r="W6" s="187" t="s">
        <v>277</v>
      </c>
      <c r="X6" s="187" t="s">
        <v>278</v>
      </c>
      <c r="Y6" s="189" t="s">
        <v>279</v>
      </c>
      <c r="Z6" s="190" t="s">
        <v>280</v>
      </c>
      <c r="AA6" s="8"/>
      <c r="AB6" s="8"/>
      <c r="AC6" s="191" t="s">
        <v>281</v>
      </c>
      <c r="AD6" s="191" t="s">
        <v>282</v>
      </c>
      <c r="AE6" s="192"/>
      <c r="AF6" s="191" t="s">
        <v>283</v>
      </c>
      <c r="AG6" s="192"/>
      <c r="AH6" s="191" t="s">
        <v>284</v>
      </c>
      <c r="AI6" s="184"/>
      <c r="AJ6" s="184"/>
      <c r="AK6" s="193" t="s">
        <v>285</v>
      </c>
      <c r="AL6" s="185"/>
      <c r="AM6" s="185"/>
      <c r="AN6" s="185"/>
      <c r="AO6" s="8"/>
      <c r="AP6" s="8"/>
      <c r="AQ6" s="8"/>
      <c r="AR6" s="8"/>
      <c r="AS6" s="8"/>
      <c r="AT6" s="8"/>
      <c r="AU6" s="8"/>
    </row>
    <row r="7" spans="1:47" ht="13.5" customHeight="1" x14ac:dyDescent="0.25">
      <c r="A7" s="1405">
        <v>20</v>
      </c>
      <c r="B7" s="1322" t="s">
        <v>286</v>
      </c>
      <c r="C7" s="1322" t="s">
        <v>287</v>
      </c>
      <c r="D7" s="292" t="s">
        <v>288</v>
      </c>
      <c r="E7" s="942">
        <v>25</v>
      </c>
      <c r="F7" s="931"/>
      <c r="G7" s="931"/>
      <c r="H7" s="931">
        <v>25</v>
      </c>
      <c r="I7" s="931"/>
      <c r="J7" s="943">
        <f>+[2]INVERSIÓN!Q123</f>
        <v>30</v>
      </c>
      <c r="K7" s="931">
        <v>6</v>
      </c>
      <c r="L7" s="944">
        <v>12.5</v>
      </c>
      <c r="M7" s="945">
        <v>18.75</v>
      </c>
      <c r="N7" s="943">
        <v>25</v>
      </c>
      <c r="O7" s="1322" t="s">
        <v>289</v>
      </c>
      <c r="P7" s="1322" t="s">
        <v>86</v>
      </c>
      <c r="Q7" s="1320" t="s">
        <v>86</v>
      </c>
      <c r="R7" s="1322" t="s">
        <v>86</v>
      </c>
      <c r="S7" s="1320" t="s">
        <v>290</v>
      </c>
      <c r="T7" s="1320">
        <v>7878783</v>
      </c>
      <c r="U7" s="1323"/>
      <c r="V7" s="1445"/>
      <c r="W7" s="1445" t="s">
        <v>291</v>
      </c>
      <c r="X7" s="1320" t="s">
        <v>292</v>
      </c>
      <c r="Y7" s="1320" t="s">
        <v>293</v>
      </c>
      <c r="Z7" s="1321">
        <v>7878783</v>
      </c>
      <c r="AA7" s="195"/>
      <c r="AB7" s="195"/>
      <c r="AC7" s="196">
        <v>12</v>
      </c>
      <c r="AD7" s="196" t="s">
        <v>294</v>
      </c>
      <c r="AE7" s="196"/>
      <c r="AF7" s="196"/>
      <c r="AG7" s="196"/>
      <c r="AH7" s="196" t="s">
        <v>295</v>
      </c>
      <c r="AI7" s="196"/>
      <c r="AJ7" s="196"/>
      <c r="AK7" s="196"/>
      <c r="AL7" s="197"/>
      <c r="AM7" s="197"/>
      <c r="AN7" s="197"/>
      <c r="AO7" s="195"/>
      <c r="AP7" s="195"/>
      <c r="AQ7" s="195"/>
      <c r="AR7" s="195"/>
      <c r="AS7" s="195"/>
      <c r="AT7" s="195"/>
      <c r="AU7" s="195"/>
    </row>
    <row r="8" spans="1:47" ht="13.5" customHeight="1" x14ac:dyDescent="0.25">
      <c r="A8" s="1406"/>
      <c r="B8" s="1311"/>
      <c r="C8" s="1311"/>
      <c r="D8" s="922" t="s">
        <v>296</v>
      </c>
      <c r="E8" s="920">
        <v>39733000</v>
      </c>
      <c r="F8" s="289"/>
      <c r="G8" s="289"/>
      <c r="H8" s="289">
        <v>39733000</v>
      </c>
      <c r="I8" s="289"/>
      <c r="J8" s="289">
        <f>+[2]INVERSIÓN!Q124</f>
        <v>49965000</v>
      </c>
      <c r="K8" s="289">
        <f>+[3]INVERSIÓN!AF10</f>
        <v>0</v>
      </c>
      <c r="L8" s="289">
        <v>33310000</v>
      </c>
      <c r="M8" s="919">
        <v>33310000</v>
      </c>
      <c r="N8" s="306">
        <v>49965000</v>
      </c>
      <c r="O8" s="1311"/>
      <c r="P8" s="1311"/>
      <c r="Q8" s="1311"/>
      <c r="R8" s="1311"/>
      <c r="S8" s="1311"/>
      <c r="T8" s="1311"/>
      <c r="U8" s="1311"/>
      <c r="V8" s="1433"/>
      <c r="W8" s="1433"/>
      <c r="X8" s="1311"/>
      <c r="Y8" s="1311"/>
      <c r="Z8" s="1394"/>
      <c r="AA8" s="195"/>
      <c r="AB8" s="195"/>
      <c r="AC8" s="196">
        <v>13</v>
      </c>
      <c r="AD8" s="196" t="s">
        <v>297</v>
      </c>
      <c r="AE8" s="196"/>
      <c r="AF8" s="196"/>
      <c r="AG8" s="196"/>
      <c r="AH8" s="196" t="s">
        <v>298</v>
      </c>
      <c r="AI8" s="196"/>
      <c r="AJ8" s="196"/>
      <c r="AK8" s="196"/>
      <c r="AL8" s="197"/>
      <c r="AM8" s="197"/>
      <c r="AN8" s="197"/>
      <c r="AO8" s="195"/>
      <c r="AP8" s="195"/>
      <c r="AQ8" s="195"/>
      <c r="AR8" s="195"/>
      <c r="AS8" s="195"/>
      <c r="AT8" s="195"/>
      <c r="AU8" s="195"/>
    </row>
    <row r="9" spans="1:47" ht="14.25" customHeight="1" x14ac:dyDescent="0.25">
      <c r="A9" s="1406"/>
      <c r="B9" s="1311"/>
      <c r="C9" s="1311"/>
      <c r="D9" s="922" t="s">
        <v>299</v>
      </c>
      <c r="E9" s="919"/>
      <c r="F9" s="919"/>
      <c r="G9" s="919"/>
      <c r="H9" s="919"/>
      <c r="I9" s="919"/>
      <c r="J9" s="919"/>
      <c r="K9" s="919"/>
      <c r="L9" s="919"/>
      <c r="M9" s="919"/>
      <c r="N9" s="918">
        <v>0</v>
      </c>
      <c r="O9" s="1311"/>
      <c r="P9" s="1311"/>
      <c r="Q9" s="1311"/>
      <c r="R9" s="1311"/>
      <c r="S9" s="1311"/>
      <c r="T9" s="1311"/>
      <c r="U9" s="1311"/>
      <c r="V9" s="1433"/>
      <c r="W9" s="1433"/>
      <c r="X9" s="1311"/>
      <c r="Y9" s="1311"/>
      <c r="Z9" s="1394"/>
      <c r="AA9" s="195"/>
      <c r="AB9" s="195"/>
      <c r="AC9" s="196">
        <v>14</v>
      </c>
      <c r="AD9" s="196" t="s">
        <v>300</v>
      </c>
      <c r="AE9" s="196"/>
      <c r="AF9" s="196"/>
      <c r="AG9" s="196"/>
      <c r="AH9" s="196" t="s">
        <v>301</v>
      </c>
      <c r="AI9" s="196"/>
      <c r="AJ9" s="196"/>
      <c r="AK9" s="196"/>
      <c r="AL9" s="197"/>
      <c r="AM9" s="197"/>
      <c r="AN9" s="197"/>
      <c r="AO9" s="195"/>
      <c r="AP9" s="195"/>
      <c r="AQ9" s="195"/>
      <c r="AR9" s="195"/>
      <c r="AS9" s="195"/>
      <c r="AT9" s="195"/>
      <c r="AU9" s="195"/>
    </row>
    <row r="10" spans="1:47" ht="11.25" customHeight="1" x14ac:dyDescent="0.25">
      <c r="A10" s="1406"/>
      <c r="B10" s="1311"/>
      <c r="C10" s="1311"/>
      <c r="D10" s="1396" t="s">
        <v>302</v>
      </c>
      <c r="E10" s="1317"/>
      <c r="F10" s="919"/>
      <c r="G10" s="919"/>
      <c r="H10" s="919"/>
      <c r="I10" s="919"/>
      <c r="J10" s="919"/>
      <c r="K10" s="1421"/>
      <c r="L10" s="1421"/>
      <c r="M10" s="1421">
        <v>0</v>
      </c>
      <c r="N10" s="1421">
        <v>0</v>
      </c>
      <c r="O10" s="1311"/>
      <c r="P10" s="1311"/>
      <c r="Q10" s="1311"/>
      <c r="R10" s="1311"/>
      <c r="S10" s="1311"/>
      <c r="T10" s="1311"/>
      <c r="U10" s="1311"/>
      <c r="V10" s="1433"/>
      <c r="W10" s="1433"/>
      <c r="X10" s="1311"/>
      <c r="Y10" s="1311"/>
      <c r="Z10" s="1394"/>
      <c r="AA10" s="195"/>
      <c r="AB10" s="195"/>
      <c r="AC10" s="196"/>
      <c r="AD10" s="196"/>
      <c r="AE10" s="196"/>
      <c r="AF10" s="196"/>
      <c r="AG10" s="196"/>
      <c r="AH10" s="196"/>
      <c r="AI10" s="196"/>
      <c r="AJ10" s="196"/>
      <c r="AK10" s="196"/>
      <c r="AL10" s="197"/>
      <c r="AM10" s="197"/>
      <c r="AN10" s="197"/>
      <c r="AO10" s="195"/>
      <c r="AP10" s="195"/>
      <c r="AQ10" s="195"/>
      <c r="AR10" s="195"/>
      <c r="AS10" s="195"/>
      <c r="AT10" s="195"/>
      <c r="AU10" s="195"/>
    </row>
    <row r="11" spans="1:47" ht="9.75" customHeight="1" x14ac:dyDescent="0.25">
      <c r="A11" s="1406"/>
      <c r="B11" s="1311"/>
      <c r="C11" s="1311"/>
      <c r="D11" s="1311"/>
      <c r="E11" s="1317"/>
      <c r="F11" s="919"/>
      <c r="G11" s="919"/>
      <c r="H11" s="919"/>
      <c r="I11" s="919"/>
      <c r="J11" s="919"/>
      <c r="K11" s="1311"/>
      <c r="L11" s="1311"/>
      <c r="M11" s="1311"/>
      <c r="N11" s="1311"/>
      <c r="O11" s="1311"/>
      <c r="P11" s="1311"/>
      <c r="Q11" s="1311"/>
      <c r="R11" s="1311"/>
      <c r="S11" s="1311"/>
      <c r="T11" s="1311"/>
      <c r="U11" s="1311"/>
      <c r="V11" s="1433"/>
      <c r="W11" s="1433"/>
      <c r="X11" s="1311"/>
      <c r="Y11" s="1311"/>
      <c r="Z11" s="1394"/>
      <c r="AA11" s="195"/>
      <c r="AB11" s="195"/>
      <c r="AC11" s="196"/>
      <c r="AD11" s="196"/>
      <c r="AE11" s="196"/>
      <c r="AF11" s="196"/>
      <c r="AG11" s="196"/>
      <c r="AH11" s="196"/>
      <c r="AI11" s="196"/>
      <c r="AJ11" s="196"/>
      <c r="AK11" s="196"/>
      <c r="AL11" s="197"/>
      <c r="AM11" s="197"/>
      <c r="AN11" s="197"/>
      <c r="AO11" s="195"/>
      <c r="AP11" s="195"/>
      <c r="AQ11" s="195"/>
      <c r="AR11" s="195"/>
      <c r="AS11" s="195"/>
      <c r="AT11" s="195"/>
      <c r="AU11" s="195"/>
    </row>
    <row r="12" spans="1:47" ht="6.75" customHeight="1" x14ac:dyDescent="0.25">
      <c r="A12" s="1406"/>
      <c r="B12" s="1311"/>
      <c r="C12" s="1311"/>
      <c r="D12" s="1311"/>
      <c r="E12" s="1317"/>
      <c r="F12" s="919"/>
      <c r="G12" s="919"/>
      <c r="H12" s="919"/>
      <c r="I12" s="919"/>
      <c r="J12" s="919"/>
      <c r="K12" s="1311"/>
      <c r="L12" s="1311"/>
      <c r="M12" s="1311"/>
      <c r="N12" s="1311"/>
      <c r="O12" s="1311"/>
      <c r="P12" s="1311"/>
      <c r="Q12" s="1311"/>
      <c r="R12" s="1311"/>
      <c r="S12" s="1311"/>
      <c r="T12" s="1311"/>
      <c r="U12" s="1311"/>
      <c r="V12" s="1433"/>
      <c r="W12" s="1433"/>
      <c r="X12" s="1311"/>
      <c r="Y12" s="1311"/>
      <c r="Z12" s="1394"/>
      <c r="AA12" s="195"/>
      <c r="AB12" s="195"/>
      <c r="AC12" s="196"/>
      <c r="AD12" s="196"/>
      <c r="AE12" s="196"/>
      <c r="AF12" s="196"/>
      <c r="AG12" s="196"/>
      <c r="AH12" s="196"/>
      <c r="AI12" s="196"/>
      <c r="AJ12" s="196"/>
      <c r="AK12" s="196"/>
      <c r="AL12" s="197"/>
      <c r="AM12" s="197"/>
      <c r="AN12" s="197"/>
      <c r="AO12" s="195"/>
      <c r="AP12" s="195"/>
      <c r="AQ12" s="195"/>
      <c r="AR12" s="195"/>
      <c r="AS12" s="195"/>
      <c r="AT12" s="195"/>
      <c r="AU12" s="195"/>
    </row>
    <row r="13" spans="1:47" ht="6.75" customHeight="1" thickBot="1" x14ac:dyDescent="0.3">
      <c r="A13" s="1407"/>
      <c r="B13" s="1389"/>
      <c r="C13" s="1389"/>
      <c r="D13" s="1389"/>
      <c r="E13" s="1390"/>
      <c r="F13" s="917"/>
      <c r="G13" s="917"/>
      <c r="H13" s="917"/>
      <c r="I13" s="917"/>
      <c r="J13" s="917"/>
      <c r="K13" s="1389"/>
      <c r="L13" s="1389"/>
      <c r="M13" s="1389"/>
      <c r="N13" s="1389"/>
      <c r="O13" s="1389"/>
      <c r="P13" s="1389"/>
      <c r="Q13" s="1389"/>
      <c r="R13" s="1389"/>
      <c r="S13" s="1389"/>
      <c r="T13" s="1389"/>
      <c r="U13" s="1389"/>
      <c r="V13" s="1446"/>
      <c r="W13" s="1446"/>
      <c r="X13" s="1389"/>
      <c r="Y13" s="1389"/>
      <c r="Z13" s="1395"/>
      <c r="AA13" s="195"/>
      <c r="AB13" s="195"/>
      <c r="AC13" s="196"/>
      <c r="AD13" s="196"/>
      <c r="AE13" s="196"/>
      <c r="AF13" s="196"/>
      <c r="AG13" s="196"/>
      <c r="AH13" s="196"/>
      <c r="AI13" s="196"/>
      <c r="AJ13" s="196"/>
      <c r="AK13" s="196"/>
      <c r="AL13" s="197"/>
      <c r="AM13" s="197"/>
      <c r="AN13" s="197"/>
      <c r="AO13" s="195"/>
      <c r="AP13" s="195"/>
      <c r="AQ13" s="195"/>
      <c r="AR13" s="195"/>
      <c r="AS13" s="195"/>
      <c r="AT13" s="195"/>
      <c r="AU13" s="195"/>
    </row>
    <row r="14" spans="1:47" ht="10.5" customHeight="1" x14ac:dyDescent="0.25">
      <c r="A14" s="1415">
        <v>1</v>
      </c>
      <c r="B14" s="1418" t="s">
        <v>91</v>
      </c>
      <c r="C14" s="1322" t="s">
        <v>303</v>
      </c>
      <c r="D14" s="292" t="s">
        <v>288</v>
      </c>
      <c r="E14" s="931">
        <v>6</v>
      </c>
      <c r="F14" s="931"/>
      <c r="G14" s="931"/>
      <c r="H14" s="931">
        <v>3</v>
      </c>
      <c r="I14" s="931"/>
      <c r="J14" s="931">
        <v>6</v>
      </c>
      <c r="K14" s="931">
        <v>3</v>
      </c>
      <c r="L14" s="931">
        <v>3</v>
      </c>
      <c r="M14" s="931">
        <v>3</v>
      </c>
      <c r="N14" s="931">
        <v>6</v>
      </c>
      <c r="O14" s="1322" t="s">
        <v>303</v>
      </c>
      <c r="P14" s="1443" t="s">
        <v>304</v>
      </c>
      <c r="Q14" s="1444" t="s">
        <v>496</v>
      </c>
      <c r="R14" s="1322" t="s">
        <v>305</v>
      </c>
      <c r="S14" s="1320" t="s">
        <v>290</v>
      </c>
      <c r="T14" s="1327">
        <v>356324</v>
      </c>
      <c r="U14" s="1327">
        <v>374723</v>
      </c>
      <c r="V14" s="1320"/>
      <c r="W14" s="1320" t="s">
        <v>291</v>
      </c>
      <c r="X14" s="1320" t="s">
        <v>292</v>
      </c>
      <c r="Y14" s="1320" t="s">
        <v>293</v>
      </c>
      <c r="Z14" s="1424">
        <f>SUM(U14+T14)</f>
        <v>731047</v>
      </c>
      <c r="AA14" s="8"/>
      <c r="AB14" s="8"/>
      <c r="AC14" s="184">
        <v>12</v>
      </c>
      <c r="AD14" s="184" t="s">
        <v>294</v>
      </c>
      <c r="AE14" s="184"/>
      <c r="AF14" s="184"/>
      <c r="AG14" s="184"/>
      <c r="AH14" s="184" t="s">
        <v>295</v>
      </c>
      <c r="AI14" s="184"/>
      <c r="AJ14" s="184"/>
      <c r="AK14" s="184"/>
      <c r="AL14" s="185"/>
      <c r="AM14" s="185"/>
      <c r="AN14" s="185"/>
      <c r="AO14" s="8"/>
      <c r="AP14" s="8"/>
      <c r="AQ14" s="8"/>
      <c r="AR14" s="8"/>
      <c r="AS14" s="8"/>
      <c r="AT14" s="8"/>
      <c r="AU14" s="8"/>
    </row>
    <row r="15" spans="1:47" ht="10.5" customHeight="1" x14ac:dyDescent="0.25">
      <c r="A15" s="1416"/>
      <c r="B15" s="1419"/>
      <c r="C15" s="1311"/>
      <c r="D15" s="922" t="s">
        <v>296</v>
      </c>
      <c r="E15" s="325">
        <v>35923221.428571403</v>
      </c>
      <c r="F15" s="289"/>
      <c r="G15" s="289"/>
      <c r="H15" s="306">
        <v>11250720</v>
      </c>
      <c r="I15" s="306"/>
      <c r="J15" s="932">
        <v>17052342.059999999</v>
      </c>
      <c r="K15" s="325">
        <v>10162071.428571399</v>
      </c>
      <c r="L15" s="325">
        <v>10162071</v>
      </c>
      <c r="M15" s="306">
        <v>7313290.7852760702</v>
      </c>
      <c r="N15" s="932">
        <v>14617435.990521301</v>
      </c>
      <c r="O15" s="1311"/>
      <c r="P15" s="1311"/>
      <c r="Q15" s="1311"/>
      <c r="R15" s="1311"/>
      <c r="S15" s="1311"/>
      <c r="T15" s="1311"/>
      <c r="U15" s="1311"/>
      <c r="V15" s="1311"/>
      <c r="W15" s="1311"/>
      <c r="X15" s="1311"/>
      <c r="Y15" s="1311"/>
      <c r="Z15" s="1394"/>
      <c r="AA15" s="8"/>
      <c r="AB15" s="8"/>
      <c r="AC15" s="184">
        <v>13</v>
      </c>
      <c r="AD15" s="184" t="s">
        <v>297</v>
      </c>
      <c r="AE15" s="184"/>
      <c r="AF15" s="184"/>
      <c r="AG15" s="184"/>
      <c r="AH15" s="184" t="s">
        <v>298</v>
      </c>
      <c r="AI15" s="184"/>
      <c r="AJ15" s="184"/>
      <c r="AK15" s="184"/>
      <c r="AL15" s="185"/>
      <c r="AM15" s="185"/>
      <c r="AN15" s="185"/>
      <c r="AO15" s="8"/>
      <c r="AP15" s="8"/>
      <c r="AQ15" s="8"/>
      <c r="AR15" s="8"/>
      <c r="AS15" s="8"/>
      <c r="AT15" s="8"/>
      <c r="AU15" s="8"/>
    </row>
    <row r="16" spans="1:47" ht="14.25" customHeight="1" x14ac:dyDescent="0.25">
      <c r="A16" s="1416"/>
      <c r="B16" s="1419"/>
      <c r="C16" s="1311"/>
      <c r="D16" s="922" t="s">
        <v>299</v>
      </c>
      <c r="E16" s="919"/>
      <c r="F16" s="919"/>
      <c r="G16" s="919"/>
      <c r="H16" s="919"/>
      <c r="I16" s="919"/>
      <c r="J16" s="919"/>
      <c r="K16" s="919"/>
      <c r="L16" s="919"/>
      <c r="M16" s="919"/>
      <c r="N16" s="919"/>
      <c r="O16" s="1311"/>
      <c r="P16" s="1311"/>
      <c r="Q16" s="1311"/>
      <c r="R16" s="1311"/>
      <c r="S16" s="1311"/>
      <c r="T16" s="1311"/>
      <c r="U16" s="1311"/>
      <c r="V16" s="1311"/>
      <c r="W16" s="1311"/>
      <c r="X16" s="1311"/>
      <c r="Y16" s="1311"/>
      <c r="Z16" s="1394"/>
      <c r="AA16" s="8"/>
      <c r="AB16" s="8"/>
      <c r="AC16" s="184">
        <v>14</v>
      </c>
      <c r="AD16" s="184" t="s">
        <v>300</v>
      </c>
      <c r="AE16" s="184"/>
      <c r="AF16" s="184"/>
      <c r="AG16" s="184"/>
      <c r="AH16" s="184" t="s">
        <v>301</v>
      </c>
      <c r="AI16" s="184"/>
      <c r="AJ16" s="184"/>
      <c r="AK16" s="184"/>
      <c r="AL16" s="185"/>
      <c r="AM16" s="185"/>
      <c r="AN16" s="185"/>
      <c r="AO16" s="8"/>
      <c r="AP16" s="8"/>
      <c r="AQ16" s="8"/>
      <c r="AR16" s="8"/>
      <c r="AS16" s="8"/>
      <c r="AT16" s="8"/>
      <c r="AU16" s="8"/>
    </row>
    <row r="17" spans="1:47" ht="11.25" customHeight="1" x14ac:dyDescent="0.25">
      <c r="A17" s="1416"/>
      <c r="B17" s="1419"/>
      <c r="C17" s="1311"/>
      <c r="D17" s="1396" t="s">
        <v>302</v>
      </c>
      <c r="E17" s="1317"/>
      <c r="F17" s="1317"/>
      <c r="G17" s="1317"/>
      <c r="H17" s="1317"/>
      <c r="I17" s="919"/>
      <c r="J17" s="1317"/>
      <c r="K17" s="1317"/>
      <c r="L17" s="1421"/>
      <c r="M17" s="1421"/>
      <c r="N17" s="1421"/>
      <c r="O17" s="1311"/>
      <c r="P17" s="1311"/>
      <c r="Q17" s="1311"/>
      <c r="R17" s="1311"/>
      <c r="S17" s="1311"/>
      <c r="T17" s="1311"/>
      <c r="U17" s="1311"/>
      <c r="V17" s="1311"/>
      <c r="W17" s="1311"/>
      <c r="X17" s="1311"/>
      <c r="Y17" s="1311"/>
      <c r="Z17" s="1394"/>
      <c r="AA17" s="8"/>
      <c r="AB17" s="8"/>
      <c r="AC17" s="184"/>
      <c r="AD17" s="184"/>
      <c r="AE17" s="184"/>
      <c r="AF17" s="184"/>
      <c r="AG17" s="184"/>
      <c r="AH17" s="184"/>
      <c r="AI17" s="184"/>
      <c r="AJ17" s="184"/>
      <c r="AK17" s="184"/>
      <c r="AL17" s="185"/>
      <c r="AM17" s="185"/>
      <c r="AN17" s="185"/>
      <c r="AO17" s="8"/>
      <c r="AP17" s="8"/>
      <c r="AQ17" s="8"/>
      <c r="AR17" s="8"/>
      <c r="AS17" s="8"/>
      <c r="AT17" s="8"/>
      <c r="AU17" s="8"/>
    </row>
    <row r="18" spans="1:47" ht="9.75" customHeight="1" x14ac:dyDescent="0.25">
      <c r="A18" s="1416"/>
      <c r="B18" s="1419"/>
      <c r="C18" s="1311"/>
      <c r="D18" s="1311"/>
      <c r="E18" s="1317"/>
      <c r="F18" s="1311"/>
      <c r="G18" s="1311"/>
      <c r="H18" s="1311"/>
      <c r="I18" s="906"/>
      <c r="J18" s="1311"/>
      <c r="K18" s="1311"/>
      <c r="L18" s="1421"/>
      <c r="M18" s="1311"/>
      <c r="N18" s="1311"/>
      <c r="O18" s="1311"/>
      <c r="P18" s="1311"/>
      <c r="Q18" s="1311"/>
      <c r="R18" s="1311"/>
      <c r="S18" s="1311"/>
      <c r="T18" s="1311"/>
      <c r="U18" s="1311"/>
      <c r="V18" s="1311"/>
      <c r="W18" s="1311"/>
      <c r="X18" s="1311"/>
      <c r="Y18" s="1311"/>
      <c r="Z18" s="1394"/>
      <c r="AA18" s="8"/>
      <c r="AB18" s="8"/>
      <c r="AC18" s="184"/>
      <c r="AD18" s="184"/>
      <c r="AE18" s="184"/>
      <c r="AF18" s="184"/>
      <c r="AG18" s="184"/>
      <c r="AH18" s="184"/>
      <c r="AI18" s="184"/>
      <c r="AJ18" s="184"/>
      <c r="AK18" s="184"/>
      <c r="AL18" s="185"/>
      <c r="AM18" s="185"/>
      <c r="AN18" s="185"/>
      <c r="AO18" s="8"/>
      <c r="AP18" s="8"/>
      <c r="AQ18" s="8"/>
      <c r="AR18" s="8"/>
      <c r="AS18" s="8"/>
      <c r="AT18" s="8"/>
      <c r="AU18" s="8"/>
    </row>
    <row r="19" spans="1:47" ht="6.75" customHeight="1" x14ac:dyDescent="0.25">
      <c r="A19" s="1416"/>
      <c r="B19" s="1419"/>
      <c r="C19" s="1311"/>
      <c r="D19" s="1311"/>
      <c r="E19" s="1317"/>
      <c r="F19" s="1311"/>
      <c r="G19" s="1311"/>
      <c r="H19" s="1311"/>
      <c r="I19" s="906"/>
      <c r="J19" s="1311"/>
      <c r="K19" s="1311"/>
      <c r="L19" s="1421"/>
      <c r="M19" s="1311"/>
      <c r="N19" s="1311"/>
      <c r="O19" s="1311"/>
      <c r="P19" s="1311"/>
      <c r="Q19" s="1311"/>
      <c r="R19" s="1311"/>
      <c r="S19" s="1311"/>
      <c r="T19" s="1311"/>
      <c r="U19" s="1311"/>
      <c r="V19" s="1311"/>
      <c r="W19" s="1311"/>
      <c r="X19" s="1311"/>
      <c r="Y19" s="1311"/>
      <c r="Z19" s="1394"/>
      <c r="AA19" s="8"/>
      <c r="AB19" s="8"/>
      <c r="AC19" s="184"/>
      <c r="AD19" s="184"/>
      <c r="AE19" s="184"/>
      <c r="AF19" s="184"/>
      <c r="AG19" s="184"/>
      <c r="AH19" s="184"/>
      <c r="AI19" s="184"/>
      <c r="AJ19" s="184"/>
      <c r="AK19" s="184"/>
      <c r="AL19" s="185"/>
      <c r="AM19" s="185"/>
      <c r="AN19" s="185"/>
      <c r="AO19" s="8"/>
      <c r="AP19" s="8"/>
      <c r="AQ19" s="8"/>
      <c r="AR19" s="8"/>
      <c r="AS19" s="8"/>
      <c r="AT19" s="8"/>
      <c r="AU19" s="8"/>
    </row>
    <row r="20" spans="1:47" ht="6.75" customHeight="1" x14ac:dyDescent="0.25">
      <c r="A20" s="1416"/>
      <c r="B20" s="1419"/>
      <c r="C20" s="1311"/>
      <c r="D20" s="1311"/>
      <c r="E20" s="1317"/>
      <c r="F20" s="1311"/>
      <c r="G20" s="1311"/>
      <c r="H20" s="1311"/>
      <c r="I20" s="906"/>
      <c r="J20" s="1311"/>
      <c r="K20" s="1311"/>
      <c r="L20" s="1421"/>
      <c r="M20" s="1311"/>
      <c r="N20" s="1311"/>
      <c r="O20" s="1311"/>
      <c r="P20" s="1311"/>
      <c r="Q20" s="1311"/>
      <c r="R20" s="1311"/>
      <c r="S20" s="1311"/>
      <c r="T20" s="1311"/>
      <c r="U20" s="1311"/>
      <c r="V20" s="1311"/>
      <c r="W20" s="1311"/>
      <c r="X20" s="1311"/>
      <c r="Y20" s="1311"/>
      <c r="Z20" s="1394"/>
      <c r="AA20" s="8"/>
      <c r="AB20" s="8"/>
      <c r="AC20" s="184"/>
      <c r="AD20" s="184"/>
      <c r="AE20" s="184"/>
      <c r="AF20" s="184"/>
      <c r="AG20" s="184"/>
      <c r="AH20" s="184"/>
      <c r="AI20" s="184"/>
      <c r="AJ20" s="184"/>
      <c r="AK20" s="184"/>
      <c r="AL20" s="185"/>
      <c r="AM20" s="185"/>
      <c r="AN20" s="185"/>
      <c r="AO20" s="8"/>
      <c r="AP20" s="8"/>
      <c r="AQ20" s="8"/>
      <c r="AR20" s="8"/>
      <c r="AS20" s="8"/>
      <c r="AT20" s="8"/>
      <c r="AU20" s="8"/>
    </row>
    <row r="21" spans="1:47" ht="16.5" customHeight="1" x14ac:dyDescent="0.25">
      <c r="A21" s="1416"/>
      <c r="B21" s="1419"/>
      <c r="C21" s="1318" t="s">
        <v>495</v>
      </c>
      <c r="D21" s="290" t="s">
        <v>288</v>
      </c>
      <c r="E21" s="919">
        <v>4</v>
      </c>
      <c r="F21" s="919"/>
      <c r="G21" s="919"/>
      <c r="H21" s="919">
        <v>8</v>
      </c>
      <c r="I21" s="919"/>
      <c r="J21" s="919">
        <v>15</v>
      </c>
      <c r="K21" s="919">
        <v>2</v>
      </c>
      <c r="L21" s="919">
        <v>2</v>
      </c>
      <c r="M21" s="919">
        <v>8</v>
      </c>
      <c r="N21" s="919">
        <v>15</v>
      </c>
      <c r="O21" s="1318" t="s">
        <v>306</v>
      </c>
      <c r="P21" s="1422" t="s">
        <v>494</v>
      </c>
      <c r="Q21" s="1423" t="s">
        <v>493</v>
      </c>
      <c r="R21" s="1318" t="s">
        <v>305</v>
      </c>
      <c r="S21" s="1310" t="s">
        <v>290</v>
      </c>
      <c r="T21" s="1317">
        <v>220260</v>
      </c>
      <c r="U21" s="1317">
        <v>253926</v>
      </c>
      <c r="V21" s="1310"/>
      <c r="W21" s="1310" t="s">
        <v>291</v>
      </c>
      <c r="X21" s="1310" t="s">
        <v>292</v>
      </c>
      <c r="Y21" s="1310" t="s">
        <v>293</v>
      </c>
      <c r="Z21" s="1413">
        <f>U21+T21</f>
        <v>474186</v>
      </c>
      <c r="AA21" s="8"/>
      <c r="AB21" s="8"/>
      <c r="AC21" s="184">
        <v>12</v>
      </c>
      <c r="AD21" s="184" t="s">
        <v>294</v>
      </c>
      <c r="AE21" s="184"/>
      <c r="AF21" s="184"/>
      <c r="AG21" s="184"/>
      <c r="AH21" s="184" t="s">
        <v>295</v>
      </c>
      <c r="AI21" s="184"/>
      <c r="AJ21" s="184"/>
      <c r="AK21" s="184"/>
      <c r="AL21" s="185"/>
      <c r="AM21" s="185"/>
      <c r="AN21" s="185"/>
      <c r="AO21" s="8"/>
      <c r="AP21" s="8"/>
      <c r="AQ21" s="8"/>
      <c r="AR21" s="8"/>
      <c r="AS21" s="8"/>
      <c r="AT21" s="8"/>
      <c r="AU21" s="8"/>
    </row>
    <row r="22" spans="1:47" ht="16.5" customHeight="1" x14ac:dyDescent="0.25">
      <c r="A22" s="1416"/>
      <c r="B22" s="1419"/>
      <c r="C22" s="1311"/>
      <c r="D22" s="922" t="s">
        <v>296</v>
      </c>
      <c r="E22" s="325">
        <v>23948814.285714298</v>
      </c>
      <c r="F22" s="289"/>
      <c r="G22" s="289"/>
      <c r="H22" s="306">
        <v>30001920</v>
      </c>
      <c r="I22" s="306"/>
      <c r="J22" s="932">
        <v>42630855.149999999</v>
      </c>
      <c r="K22" s="325">
        <v>6774714.2857142901</v>
      </c>
      <c r="L22" s="325">
        <v>6774714</v>
      </c>
      <c r="M22" s="306">
        <v>19502108.760736201</v>
      </c>
      <c r="N22" s="932">
        <v>36543589.976303302</v>
      </c>
      <c r="O22" s="1311"/>
      <c r="P22" s="1311"/>
      <c r="Q22" s="1311"/>
      <c r="R22" s="1311"/>
      <c r="S22" s="1311"/>
      <c r="T22" s="1311"/>
      <c r="U22" s="1311"/>
      <c r="V22" s="1311"/>
      <c r="W22" s="1311"/>
      <c r="X22" s="1311"/>
      <c r="Y22" s="1311"/>
      <c r="Z22" s="1394"/>
      <c r="AA22" s="8"/>
      <c r="AB22" s="8"/>
      <c r="AC22" s="184">
        <v>13</v>
      </c>
      <c r="AD22" s="184" t="s">
        <v>297</v>
      </c>
      <c r="AE22" s="184"/>
      <c r="AF22" s="184"/>
      <c r="AG22" s="184"/>
      <c r="AH22" s="184" t="s">
        <v>298</v>
      </c>
      <c r="AI22" s="184"/>
      <c r="AJ22" s="184"/>
      <c r="AK22" s="184"/>
      <c r="AL22" s="185"/>
      <c r="AM22" s="185"/>
      <c r="AN22" s="185"/>
      <c r="AO22" s="8"/>
      <c r="AP22" s="8"/>
      <c r="AQ22" s="8"/>
      <c r="AR22" s="8"/>
      <c r="AS22" s="8"/>
      <c r="AT22" s="8"/>
      <c r="AU22" s="8"/>
    </row>
    <row r="23" spans="1:47" ht="16.5" customHeight="1" x14ac:dyDescent="0.25">
      <c r="A23" s="1416"/>
      <c r="B23" s="1419"/>
      <c r="C23" s="1311"/>
      <c r="D23" s="922" t="s">
        <v>299</v>
      </c>
      <c r="E23" s="919"/>
      <c r="F23" s="919"/>
      <c r="G23" s="919"/>
      <c r="H23" s="919"/>
      <c r="I23" s="919"/>
      <c r="J23" s="919"/>
      <c r="K23" s="919"/>
      <c r="L23" s="919"/>
      <c r="M23" s="919"/>
      <c r="N23" s="919"/>
      <c r="O23" s="1311"/>
      <c r="P23" s="1311"/>
      <c r="Q23" s="1311"/>
      <c r="R23" s="1311"/>
      <c r="S23" s="1311"/>
      <c r="T23" s="1311"/>
      <c r="U23" s="1311"/>
      <c r="V23" s="1311"/>
      <c r="W23" s="1311"/>
      <c r="X23" s="1311"/>
      <c r="Y23" s="1311"/>
      <c r="Z23" s="1394"/>
      <c r="AA23" s="8"/>
      <c r="AB23" s="8"/>
      <c r="AC23" s="184">
        <v>14</v>
      </c>
      <c r="AD23" s="184" t="s">
        <v>300</v>
      </c>
      <c r="AE23" s="184"/>
      <c r="AF23" s="184"/>
      <c r="AG23" s="184"/>
      <c r="AH23" s="184" t="s">
        <v>301</v>
      </c>
      <c r="AI23" s="184"/>
      <c r="AJ23" s="184"/>
      <c r="AK23" s="184"/>
      <c r="AL23" s="185"/>
      <c r="AM23" s="185"/>
      <c r="AN23" s="185"/>
      <c r="AO23" s="8"/>
      <c r="AP23" s="8"/>
      <c r="AQ23" s="8"/>
      <c r="AR23" s="8"/>
      <c r="AS23" s="8"/>
      <c r="AT23" s="8"/>
      <c r="AU23" s="8"/>
    </row>
    <row r="24" spans="1:47" ht="16.5" customHeight="1" x14ac:dyDescent="0.25">
      <c r="A24" s="1416"/>
      <c r="B24" s="1419"/>
      <c r="C24" s="1311"/>
      <c r="D24" s="1396" t="s">
        <v>302</v>
      </c>
      <c r="E24" s="1317"/>
      <c r="F24" s="1317"/>
      <c r="G24" s="1317"/>
      <c r="H24" s="1317"/>
      <c r="I24" s="919"/>
      <c r="J24" s="1317"/>
      <c r="K24" s="1317"/>
      <c r="L24" s="1421"/>
      <c r="M24" s="1421"/>
      <c r="N24" s="1421"/>
      <c r="O24" s="1311"/>
      <c r="P24" s="1311"/>
      <c r="Q24" s="1311"/>
      <c r="R24" s="1311"/>
      <c r="S24" s="1311"/>
      <c r="T24" s="1311"/>
      <c r="U24" s="1311"/>
      <c r="V24" s="1311"/>
      <c r="W24" s="1311"/>
      <c r="X24" s="1311"/>
      <c r="Y24" s="1311"/>
      <c r="Z24" s="1394"/>
      <c r="AA24" s="8"/>
      <c r="AB24" s="8"/>
      <c r="AC24" s="184"/>
      <c r="AD24" s="184"/>
      <c r="AE24" s="184"/>
      <c r="AF24" s="184"/>
      <c r="AG24" s="184"/>
      <c r="AH24" s="184"/>
      <c r="AI24" s="184"/>
      <c r="AJ24" s="184"/>
      <c r="AK24" s="184"/>
      <c r="AL24" s="185"/>
      <c r="AM24" s="185"/>
      <c r="AN24" s="185"/>
      <c r="AO24" s="8"/>
      <c r="AP24" s="8"/>
      <c r="AQ24" s="8"/>
      <c r="AR24" s="8"/>
      <c r="AS24" s="8"/>
      <c r="AT24" s="8"/>
      <c r="AU24" s="8"/>
    </row>
    <row r="25" spans="1:47" ht="16.5" customHeight="1" x14ac:dyDescent="0.25">
      <c r="A25" s="1416"/>
      <c r="B25" s="1419"/>
      <c r="C25" s="1311"/>
      <c r="D25" s="1311"/>
      <c r="E25" s="1317"/>
      <c r="F25" s="1311"/>
      <c r="G25" s="1311"/>
      <c r="H25" s="1311"/>
      <c r="I25" s="906"/>
      <c r="J25" s="1311"/>
      <c r="K25" s="1311"/>
      <c r="L25" s="1421"/>
      <c r="M25" s="1311"/>
      <c r="N25" s="1311"/>
      <c r="O25" s="1311"/>
      <c r="P25" s="1311"/>
      <c r="Q25" s="1311"/>
      <c r="R25" s="1311"/>
      <c r="S25" s="1311"/>
      <c r="T25" s="1311"/>
      <c r="U25" s="1311"/>
      <c r="V25" s="1311"/>
      <c r="W25" s="1311"/>
      <c r="X25" s="1311"/>
      <c r="Y25" s="1311"/>
      <c r="Z25" s="1394"/>
      <c r="AA25" s="8"/>
      <c r="AB25" s="8"/>
      <c r="AC25" s="184"/>
      <c r="AD25" s="184"/>
      <c r="AE25" s="184"/>
      <c r="AF25" s="184"/>
      <c r="AG25" s="184"/>
      <c r="AH25" s="184"/>
      <c r="AI25" s="184"/>
      <c r="AJ25" s="184"/>
      <c r="AK25" s="184"/>
      <c r="AL25" s="185"/>
      <c r="AM25" s="185"/>
      <c r="AN25" s="185"/>
      <c r="AO25" s="8"/>
      <c r="AP25" s="8"/>
      <c r="AQ25" s="8"/>
      <c r="AR25" s="8"/>
      <c r="AS25" s="8"/>
      <c r="AT25" s="8"/>
      <c r="AU25" s="8"/>
    </row>
    <row r="26" spans="1:47" ht="6.75" customHeight="1" x14ac:dyDescent="0.25">
      <c r="A26" s="1416"/>
      <c r="B26" s="1419"/>
      <c r="C26" s="1311"/>
      <c r="D26" s="1311"/>
      <c r="E26" s="1317"/>
      <c r="F26" s="1311"/>
      <c r="G26" s="1311"/>
      <c r="H26" s="1311"/>
      <c r="I26" s="906"/>
      <c r="J26" s="1311"/>
      <c r="K26" s="1311"/>
      <c r="L26" s="1421"/>
      <c r="M26" s="1311"/>
      <c r="N26" s="1311"/>
      <c r="O26" s="1311"/>
      <c r="P26" s="1311"/>
      <c r="Q26" s="1311"/>
      <c r="R26" s="1311"/>
      <c r="S26" s="1311"/>
      <c r="T26" s="1311"/>
      <c r="U26" s="1311"/>
      <c r="V26" s="1311"/>
      <c r="W26" s="1311"/>
      <c r="X26" s="1311"/>
      <c r="Y26" s="1311"/>
      <c r="Z26" s="1394"/>
      <c r="AA26" s="8"/>
      <c r="AB26" s="8"/>
      <c r="AC26" s="184"/>
      <c r="AD26" s="184"/>
      <c r="AE26" s="184"/>
      <c r="AF26" s="184"/>
      <c r="AG26" s="184"/>
      <c r="AH26" s="184"/>
      <c r="AI26" s="184"/>
      <c r="AJ26" s="184"/>
      <c r="AK26" s="184"/>
      <c r="AL26" s="185"/>
      <c r="AM26" s="185"/>
      <c r="AN26" s="185"/>
      <c r="AO26" s="8"/>
      <c r="AP26" s="8"/>
      <c r="AQ26" s="8"/>
      <c r="AR26" s="8"/>
      <c r="AS26" s="8"/>
      <c r="AT26" s="8"/>
      <c r="AU26" s="8"/>
    </row>
    <row r="27" spans="1:47" ht="6.75" customHeight="1" x14ac:dyDescent="0.25">
      <c r="A27" s="1416"/>
      <c r="B27" s="1419"/>
      <c r="C27" s="1311"/>
      <c r="D27" s="1311"/>
      <c r="E27" s="1317"/>
      <c r="F27" s="1311"/>
      <c r="G27" s="1311"/>
      <c r="H27" s="1311"/>
      <c r="I27" s="906"/>
      <c r="J27" s="1311"/>
      <c r="K27" s="1311"/>
      <c r="L27" s="1421"/>
      <c r="M27" s="1311"/>
      <c r="N27" s="1311"/>
      <c r="O27" s="1311"/>
      <c r="P27" s="1311"/>
      <c r="Q27" s="1311"/>
      <c r="R27" s="1311"/>
      <c r="S27" s="1311"/>
      <c r="T27" s="1311"/>
      <c r="U27" s="1311"/>
      <c r="V27" s="1311"/>
      <c r="W27" s="1311"/>
      <c r="X27" s="1311"/>
      <c r="Y27" s="1311"/>
      <c r="Z27" s="1394"/>
      <c r="AA27" s="8"/>
      <c r="AB27" s="8"/>
      <c r="AC27" s="184"/>
      <c r="AD27" s="184"/>
      <c r="AE27" s="184"/>
      <c r="AF27" s="184"/>
      <c r="AG27" s="184"/>
      <c r="AH27" s="184"/>
      <c r="AI27" s="184"/>
      <c r="AJ27" s="184"/>
      <c r="AK27" s="184"/>
      <c r="AL27" s="185"/>
      <c r="AM27" s="185"/>
      <c r="AN27" s="185"/>
      <c r="AO27" s="8"/>
      <c r="AP27" s="8"/>
      <c r="AQ27" s="8"/>
      <c r="AR27" s="8"/>
      <c r="AS27" s="8"/>
      <c r="AT27" s="8"/>
      <c r="AU27" s="8"/>
    </row>
    <row r="28" spans="1:47" ht="9.75" customHeight="1" x14ac:dyDescent="0.25">
      <c r="A28" s="1416"/>
      <c r="B28" s="1419"/>
      <c r="C28" s="1318" t="s">
        <v>307</v>
      </c>
      <c r="D28" s="290" t="s">
        <v>288</v>
      </c>
      <c r="E28" s="919">
        <v>1</v>
      </c>
      <c r="F28" s="919"/>
      <c r="G28" s="919"/>
      <c r="H28" s="919">
        <v>2</v>
      </c>
      <c r="I28" s="919"/>
      <c r="J28" s="919">
        <v>2</v>
      </c>
      <c r="K28" s="919">
        <v>1</v>
      </c>
      <c r="L28" s="919">
        <v>1</v>
      </c>
      <c r="M28" s="919">
        <v>2</v>
      </c>
      <c r="N28" s="919">
        <v>2</v>
      </c>
      <c r="O28" s="1318" t="s">
        <v>307</v>
      </c>
      <c r="P28" s="1422" t="s">
        <v>492</v>
      </c>
      <c r="Q28" s="1423" t="s">
        <v>491</v>
      </c>
      <c r="R28" s="1318" t="s">
        <v>305</v>
      </c>
      <c r="S28" s="1310" t="s">
        <v>290</v>
      </c>
      <c r="T28" s="1317">
        <v>171622</v>
      </c>
      <c r="U28" s="1317">
        <v>179322</v>
      </c>
      <c r="V28" s="1310"/>
      <c r="W28" s="1310" t="s">
        <v>291</v>
      </c>
      <c r="X28" s="1310" t="s">
        <v>292</v>
      </c>
      <c r="Y28" s="1310" t="s">
        <v>293</v>
      </c>
      <c r="Z28" s="1413">
        <f>SUM(U28+T28)</f>
        <v>350944</v>
      </c>
      <c r="AA28" s="8"/>
      <c r="AB28" s="8"/>
      <c r="AC28" s="184"/>
      <c r="AD28" s="184"/>
      <c r="AE28" s="184"/>
      <c r="AF28" s="184"/>
      <c r="AG28" s="184"/>
      <c r="AH28" s="184"/>
      <c r="AI28" s="184"/>
      <c r="AJ28" s="184"/>
      <c r="AK28" s="184"/>
      <c r="AL28" s="185"/>
      <c r="AM28" s="185"/>
      <c r="AN28" s="185"/>
      <c r="AO28" s="8"/>
      <c r="AP28" s="8"/>
      <c r="AQ28" s="8"/>
      <c r="AR28" s="8"/>
      <c r="AS28" s="8"/>
      <c r="AT28" s="8"/>
      <c r="AU28" s="8"/>
    </row>
    <row r="29" spans="1:47" ht="11.25" customHeight="1" x14ac:dyDescent="0.25">
      <c r="A29" s="1416"/>
      <c r="B29" s="1419"/>
      <c r="C29" s="1311"/>
      <c r="D29" s="922" t="s">
        <v>296</v>
      </c>
      <c r="E29" s="325">
        <v>3387357.1428571399</v>
      </c>
      <c r="F29" s="289"/>
      <c r="G29" s="289"/>
      <c r="H29" s="306">
        <v>7500480</v>
      </c>
      <c r="I29" s="306"/>
      <c r="J29" s="932">
        <v>5684114.0199999996</v>
      </c>
      <c r="K29" s="325">
        <f>+K28*$K$151/$K$150</f>
        <v>3387357.1428571427</v>
      </c>
      <c r="L29" s="325">
        <v>3387357</v>
      </c>
      <c r="M29" s="306">
        <v>4875527.1901840502</v>
      </c>
      <c r="N29" s="932">
        <v>4872478.6635071104</v>
      </c>
      <c r="O29" s="1311"/>
      <c r="P29" s="1311"/>
      <c r="Q29" s="1311"/>
      <c r="R29" s="1311"/>
      <c r="S29" s="1311"/>
      <c r="T29" s="1311"/>
      <c r="U29" s="1311"/>
      <c r="V29" s="1311"/>
      <c r="W29" s="1311"/>
      <c r="X29" s="1311"/>
      <c r="Y29" s="1311"/>
      <c r="Z29" s="1394"/>
      <c r="AA29" s="8"/>
      <c r="AB29" s="8"/>
      <c r="AC29" s="184"/>
      <c r="AD29" s="184"/>
      <c r="AE29" s="184"/>
      <c r="AF29" s="184"/>
      <c r="AG29" s="184"/>
      <c r="AH29" s="184"/>
      <c r="AI29" s="184"/>
      <c r="AJ29" s="184"/>
      <c r="AK29" s="184"/>
      <c r="AL29" s="185"/>
      <c r="AM29" s="185"/>
      <c r="AN29" s="185"/>
      <c r="AO29" s="8"/>
      <c r="AP29" s="8"/>
      <c r="AQ29" s="8"/>
      <c r="AR29" s="8"/>
      <c r="AS29" s="8"/>
      <c r="AT29" s="8"/>
      <c r="AU29" s="8"/>
    </row>
    <row r="30" spans="1:47" ht="12.75" customHeight="1" x14ac:dyDescent="0.25">
      <c r="A30" s="1416"/>
      <c r="B30" s="1419"/>
      <c r="C30" s="1311"/>
      <c r="D30" s="922" t="s">
        <v>299</v>
      </c>
      <c r="E30" s="919"/>
      <c r="F30" s="919"/>
      <c r="G30" s="919"/>
      <c r="H30" s="919"/>
      <c r="I30" s="919"/>
      <c r="J30" s="919"/>
      <c r="K30" s="919"/>
      <c r="L30" s="919"/>
      <c r="M30" s="919"/>
      <c r="N30" s="919"/>
      <c r="O30" s="1311"/>
      <c r="P30" s="1311"/>
      <c r="Q30" s="1311"/>
      <c r="R30" s="1311"/>
      <c r="S30" s="1311"/>
      <c r="T30" s="1311"/>
      <c r="U30" s="1311"/>
      <c r="V30" s="1311"/>
      <c r="W30" s="1311"/>
      <c r="X30" s="1311"/>
      <c r="Y30" s="1311"/>
      <c r="Z30" s="1394"/>
      <c r="AA30" s="8"/>
      <c r="AB30" s="8"/>
      <c r="AC30" s="184"/>
      <c r="AD30" s="184"/>
      <c r="AE30" s="184"/>
      <c r="AF30" s="184"/>
      <c r="AG30" s="184"/>
      <c r="AH30" s="184"/>
      <c r="AI30" s="184"/>
      <c r="AJ30" s="184"/>
      <c r="AK30" s="184"/>
      <c r="AL30" s="185"/>
      <c r="AM30" s="185"/>
      <c r="AN30" s="185"/>
      <c r="AO30" s="8"/>
      <c r="AP30" s="8"/>
      <c r="AQ30" s="8"/>
      <c r="AR30" s="8"/>
      <c r="AS30" s="8"/>
      <c r="AT30" s="8"/>
      <c r="AU30" s="8"/>
    </row>
    <row r="31" spans="1:47" ht="6.75" customHeight="1" x14ac:dyDescent="0.25">
      <c r="A31" s="1416"/>
      <c r="B31" s="1419"/>
      <c r="C31" s="1311"/>
      <c r="D31" s="1396" t="s">
        <v>302</v>
      </c>
      <c r="E31" s="1317"/>
      <c r="F31" s="1317"/>
      <c r="G31" s="1317"/>
      <c r="H31" s="1317"/>
      <c r="I31" s="919"/>
      <c r="J31" s="1317"/>
      <c r="K31" s="1317"/>
      <c r="L31" s="1421"/>
      <c r="M31" s="1421"/>
      <c r="N31" s="1421"/>
      <c r="O31" s="1311"/>
      <c r="P31" s="1311"/>
      <c r="Q31" s="1311"/>
      <c r="R31" s="1311"/>
      <c r="S31" s="1311"/>
      <c r="T31" s="1311"/>
      <c r="U31" s="1311"/>
      <c r="V31" s="1311"/>
      <c r="W31" s="1311"/>
      <c r="X31" s="1311"/>
      <c r="Y31" s="1311"/>
      <c r="Z31" s="1394"/>
      <c r="AA31" s="8"/>
      <c r="AB31" s="8"/>
      <c r="AC31" s="184"/>
      <c r="AD31" s="184"/>
      <c r="AE31" s="184"/>
      <c r="AF31" s="184"/>
      <c r="AG31" s="184"/>
      <c r="AH31" s="184"/>
      <c r="AI31" s="184"/>
      <c r="AJ31" s="184"/>
      <c r="AK31" s="184"/>
      <c r="AL31" s="185"/>
      <c r="AM31" s="185"/>
      <c r="AN31" s="185"/>
      <c r="AO31" s="8"/>
      <c r="AP31" s="8"/>
      <c r="AQ31" s="8"/>
      <c r="AR31" s="8"/>
      <c r="AS31" s="8"/>
      <c r="AT31" s="8"/>
      <c r="AU31" s="8"/>
    </row>
    <row r="32" spans="1:47" ht="6.75" customHeight="1" x14ac:dyDescent="0.25">
      <c r="A32" s="1416"/>
      <c r="B32" s="1419"/>
      <c r="C32" s="1311"/>
      <c r="D32" s="1311"/>
      <c r="E32" s="1317"/>
      <c r="F32" s="1311"/>
      <c r="G32" s="1311"/>
      <c r="H32" s="1311"/>
      <c r="I32" s="906"/>
      <c r="J32" s="1311"/>
      <c r="K32" s="1311"/>
      <c r="L32" s="1421"/>
      <c r="M32" s="1311"/>
      <c r="N32" s="1311"/>
      <c r="O32" s="1311"/>
      <c r="P32" s="1311"/>
      <c r="Q32" s="1311"/>
      <c r="R32" s="1311"/>
      <c r="S32" s="1311"/>
      <c r="T32" s="1311"/>
      <c r="U32" s="1311"/>
      <c r="V32" s="1311"/>
      <c r="W32" s="1311"/>
      <c r="X32" s="1311"/>
      <c r="Y32" s="1311"/>
      <c r="Z32" s="1394"/>
      <c r="AA32" s="8"/>
      <c r="AB32" s="8"/>
      <c r="AC32" s="184"/>
      <c r="AD32" s="184"/>
      <c r="AE32" s="184"/>
      <c r="AF32" s="184"/>
      <c r="AG32" s="184"/>
      <c r="AH32" s="184"/>
      <c r="AI32" s="184"/>
      <c r="AJ32" s="184"/>
      <c r="AK32" s="184"/>
      <c r="AL32" s="185"/>
      <c r="AM32" s="185"/>
      <c r="AN32" s="185"/>
      <c r="AO32" s="8"/>
      <c r="AP32" s="8"/>
      <c r="AQ32" s="8"/>
      <c r="AR32" s="8"/>
      <c r="AS32" s="8"/>
      <c r="AT32" s="8"/>
      <c r="AU32" s="8"/>
    </row>
    <row r="33" spans="1:47" ht="6.75" customHeight="1" x14ac:dyDescent="0.25">
      <c r="A33" s="1416"/>
      <c r="B33" s="1419"/>
      <c r="C33" s="1311"/>
      <c r="D33" s="1311"/>
      <c r="E33" s="1317"/>
      <c r="F33" s="1311"/>
      <c r="G33" s="1311"/>
      <c r="H33" s="1311"/>
      <c r="I33" s="906"/>
      <c r="J33" s="1311"/>
      <c r="K33" s="1311"/>
      <c r="L33" s="1421"/>
      <c r="M33" s="1311"/>
      <c r="N33" s="1311"/>
      <c r="O33" s="1311"/>
      <c r="P33" s="1311"/>
      <c r="Q33" s="1311"/>
      <c r="R33" s="1311"/>
      <c r="S33" s="1311"/>
      <c r="T33" s="1311"/>
      <c r="U33" s="1311"/>
      <c r="V33" s="1311"/>
      <c r="W33" s="1311"/>
      <c r="X33" s="1311"/>
      <c r="Y33" s="1311"/>
      <c r="Z33" s="1394"/>
      <c r="AA33" s="8"/>
      <c r="AB33" s="8"/>
      <c r="AC33" s="184"/>
      <c r="AD33" s="184"/>
      <c r="AE33" s="184"/>
      <c r="AF33" s="184"/>
      <c r="AG33" s="184"/>
      <c r="AH33" s="184"/>
      <c r="AI33" s="184"/>
      <c r="AJ33" s="184"/>
      <c r="AK33" s="184"/>
      <c r="AL33" s="185"/>
      <c r="AM33" s="185"/>
      <c r="AN33" s="185"/>
      <c r="AO33" s="8"/>
      <c r="AP33" s="8"/>
      <c r="AQ33" s="8"/>
      <c r="AR33" s="8"/>
      <c r="AS33" s="8"/>
      <c r="AT33" s="8"/>
      <c r="AU33" s="8"/>
    </row>
    <row r="34" spans="1:47" ht="6.75" customHeight="1" x14ac:dyDescent="0.25">
      <c r="A34" s="1416"/>
      <c r="B34" s="1419"/>
      <c r="C34" s="1311"/>
      <c r="D34" s="1311"/>
      <c r="E34" s="1317"/>
      <c r="F34" s="1311"/>
      <c r="G34" s="1311"/>
      <c r="H34" s="1311"/>
      <c r="I34" s="906"/>
      <c r="J34" s="1311"/>
      <c r="K34" s="1311"/>
      <c r="L34" s="1421"/>
      <c r="M34" s="1311"/>
      <c r="N34" s="1311"/>
      <c r="O34" s="1311"/>
      <c r="P34" s="1311"/>
      <c r="Q34" s="1311"/>
      <c r="R34" s="1311"/>
      <c r="S34" s="1311"/>
      <c r="T34" s="1311"/>
      <c r="U34" s="1311"/>
      <c r="V34" s="1311"/>
      <c r="W34" s="1311"/>
      <c r="X34" s="1311"/>
      <c r="Y34" s="1311"/>
      <c r="Z34" s="1394"/>
      <c r="AA34" s="8"/>
      <c r="AB34" s="8"/>
      <c r="AC34" s="184"/>
      <c r="AD34" s="184"/>
      <c r="AE34" s="184"/>
      <c r="AF34" s="184"/>
      <c r="AG34" s="184"/>
      <c r="AH34" s="184"/>
      <c r="AI34" s="184"/>
      <c r="AJ34" s="184"/>
      <c r="AK34" s="184"/>
      <c r="AL34" s="185"/>
      <c r="AM34" s="185"/>
      <c r="AN34" s="185"/>
      <c r="AO34" s="8"/>
      <c r="AP34" s="8"/>
      <c r="AQ34" s="8"/>
      <c r="AR34" s="8"/>
      <c r="AS34" s="8"/>
      <c r="AT34" s="8"/>
      <c r="AU34" s="8"/>
    </row>
    <row r="35" spans="1:47" ht="9.75" customHeight="1" x14ac:dyDescent="0.25">
      <c r="A35" s="1416"/>
      <c r="B35" s="1419"/>
      <c r="C35" s="1318" t="s">
        <v>308</v>
      </c>
      <c r="D35" s="290" t="s">
        <v>288</v>
      </c>
      <c r="E35" s="919">
        <v>39</v>
      </c>
      <c r="F35" s="919"/>
      <c r="G35" s="919"/>
      <c r="H35" s="919">
        <v>39</v>
      </c>
      <c r="I35" s="919"/>
      <c r="J35" s="919">
        <v>41</v>
      </c>
      <c r="K35" s="919">
        <v>39</v>
      </c>
      <c r="L35" s="919">
        <v>39</v>
      </c>
      <c r="M35" s="919">
        <v>39</v>
      </c>
      <c r="N35" s="919">
        <v>41</v>
      </c>
      <c r="O35" s="1318" t="s">
        <v>308</v>
      </c>
      <c r="P35" s="1422" t="s">
        <v>490</v>
      </c>
      <c r="Q35" s="1423" t="s">
        <v>489</v>
      </c>
      <c r="R35" s="1318" t="s">
        <v>305</v>
      </c>
      <c r="S35" s="1310" t="s">
        <v>290</v>
      </c>
      <c r="T35" s="1317">
        <v>48066</v>
      </c>
      <c r="U35" s="1317">
        <v>47135</v>
      </c>
      <c r="V35" s="1310"/>
      <c r="W35" s="1310" t="s">
        <v>291</v>
      </c>
      <c r="X35" s="1310" t="s">
        <v>292</v>
      </c>
      <c r="Y35" s="1310" t="s">
        <v>293</v>
      </c>
      <c r="Z35" s="1413">
        <f>SUM(U35+T35)</f>
        <v>95201</v>
      </c>
      <c r="AA35" s="8"/>
      <c r="AB35" s="8"/>
      <c r="AC35" s="184"/>
      <c r="AD35" s="184"/>
      <c r="AE35" s="184"/>
      <c r="AF35" s="184"/>
      <c r="AG35" s="184"/>
      <c r="AH35" s="184"/>
      <c r="AI35" s="184"/>
      <c r="AJ35" s="184"/>
      <c r="AK35" s="184"/>
      <c r="AL35" s="185"/>
      <c r="AM35" s="185"/>
      <c r="AN35" s="185"/>
      <c r="AO35" s="8"/>
      <c r="AP35" s="8"/>
      <c r="AQ35" s="8"/>
      <c r="AR35" s="8"/>
      <c r="AS35" s="8"/>
      <c r="AT35" s="8"/>
      <c r="AU35" s="8"/>
    </row>
    <row r="36" spans="1:47" ht="11.25" customHeight="1" x14ac:dyDescent="0.25">
      <c r="A36" s="1416"/>
      <c r="B36" s="1419"/>
      <c r="C36" s="1311"/>
      <c r="D36" s="922" t="s">
        <v>296</v>
      </c>
      <c r="E36" s="325">
        <v>132106928.571429</v>
      </c>
      <c r="F36" s="289"/>
      <c r="G36" s="289"/>
      <c r="H36" s="306">
        <v>146259360</v>
      </c>
      <c r="I36" s="306"/>
      <c r="J36" s="932">
        <v>116524337.41</v>
      </c>
      <c r="K36" s="325">
        <f>+K35*$K$151/$K$150</f>
        <v>132106928.57142857</v>
      </c>
      <c r="L36" s="325">
        <v>132106928</v>
      </c>
      <c r="M36" s="306">
        <v>95072780.208589002</v>
      </c>
      <c r="N36" s="932">
        <v>99885812.601895705</v>
      </c>
      <c r="O36" s="1311"/>
      <c r="P36" s="1311"/>
      <c r="Q36" s="1311"/>
      <c r="R36" s="1311"/>
      <c r="S36" s="1311"/>
      <c r="T36" s="1311"/>
      <c r="U36" s="1311"/>
      <c r="V36" s="1311"/>
      <c r="W36" s="1311"/>
      <c r="X36" s="1311"/>
      <c r="Y36" s="1311"/>
      <c r="Z36" s="1394"/>
      <c r="AA36" s="8"/>
      <c r="AB36" s="8"/>
      <c r="AC36" s="184"/>
      <c r="AD36" s="184"/>
      <c r="AE36" s="184"/>
      <c r="AF36" s="184"/>
      <c r="AG36" s="184"/>
      <c r="AH36" s="184"/>
      <c r="AI36" s="184"/>
      <c r="AJ36" s="184"/>
      <c r="AK36" s="184"/>
      <c r="AL36" s="185"/>
      <c r="AM36" s="185"/>
      <c r="AN36" s="185"/>
      <c r="AO36" s="8"/>
      <c r="AP36" s="8"/>
      <c r="AQ36" s="8"/>
      <c r="AR36" s="8"/>
      <c r="AS36" s="8"/>
      <c r="AT36" s="8"/>
      <c r="AU36" s="8"/>
    </row>
    <row r="37" spans="1:47" ht="12" customHeight="1" x14ac:dyDescent="0.25">
      <c r="A37" s="1416"/>
      <c r="B37" s="1419"/>
      <c r="C37" s="1311"/>
      <c r="D37" s="922" t="s">
        <v>299</v>
      </c>
      <c r="E37" s="919"/>
      <c r="F37" s="919"/>
      <c r="G37" s="919"/>
      <c r="H37" s="919"/>
      <c r="I37" s="919"/>
      <c r="J37" s="919"/>
      <c r="K37" s="919"/>
      <c r="L37" s="919"/>
      <c r="M37" s="919"/>
      <c r="N37" s="919"/>
      <c r="O37" s="1311"/>
      <c r="P37" s="1311"/>
      <c r="Q37" s="1311"/>
      <c r="R37" s="1311"/>
      <c r="S37" s="1311"/>
      <c r="T37" s="1311"/>
      <c r="U37" s="1311"/>
      <c r="V37" s="1311"/>
      <c r="W37" s="1311"/>
      <c r="X37" s="1311"/>
      <c r="Y37" s="1311"/>
      <c r="Z37" s="1394"/>
      <c r="AA37" s="8"/>
      <c r="AB37" s="8"/>
      <c r="AC37" s="184"/>
      <c r="AD37" s="184"/>
      <c r="AE37" s="184"/>
      <c r="AF37" s="184"/>
      <c r="AG37" s="184"/>
      <c r="AH37" s="184"/>
      <c r="AI37" s="184"/>
      <c r="AJ37" s="184"/>
      <c r="AK37" s="184"/>
      <c r="AL37" s="185"/>
      <c r="AM37" s="185"/>
      <c r="AN37" s="185"/>
      <c r="AO37" s="8"/>
      <c r="AP37" s="8"/>
      <c r="AQ37" s="8"/>
      <c r="AR37" s="8"/>
      <c r="AS37" s="8"/>
      <c r="AT37" s="8"/>
      <c r="AU37" s="8"/>
    </row>
    <row r="38" spans="1:47" ht="6.75" customHeight="1" x14ac:dyDescent="0.25">
      <c r="A38" s="1416"/>
      <c r="B38" s="1419"/>
      <c r="C38" s="1311"/>
      <c r="D38" s="1396" t="s">
        <v>302</v>
      </c>
      <c r="E38" s="1317"/>
      <c r="F38" s="1317"/>
      <c r="G38" s="1317"/>
      <c r="H38" s="1317"/>
      <c r="I38" s="919"/>
      <c r="J38" s="1317"/>
      <c r="K38" s="1317"/>
      <c r="L38" s="1421"/>
      <c r="M38" s="1421"/>
      <c r="N38" s="1421"/>
      <c r="O38" s="1311"/>
      <c r="P38" s="1311"/>
      <c r="Q38" s="1311"/>
      <c r="R38" s="1311"/>
      <c r="S38" s="1311"/>
      <c r="T38" s="1311"/>
      <c r="U38" s="1311"/>
      <c r="V38" s="1311"/>
      <c r="W38" s="1311"/>
      <c r="X38" s="1311"/>
      <c r="Y38" s="1311"/>
      <c r="Z38" s="1394"/>
      <c r="AA38" s="8"/>
      <c r="AB38" s="8"/>
      <c r="AC38" s="184"/>
      <c r="AD38" s="184"/>
      <c r="AE38" s="184"/>
      <c r="AF38" s="184"/>
      <c r="AG38" s="184"/>
      <c r="AH38" s="184"/>
      <c r="AI38" s="184"/>
      <c r="AJ38" s="184"/>
      <c r="AK38" s="184"/>
      <c r="AL38" s="185"/>
      <c r="AM38" s="185"/>
      <c r="AN38" s="185"/>
      <c r="AO38" s="8"/>
      <c r="AP38" s="8"/>
      <c r="AQ38" s="8"/>
      <c r="AR38" s="8"/>
      <c r="AS38" s="8"/>
      <c r="AT38" s="8"/>
      <c r="AU38" s="8"/>
    </row>
    <row r="39" spans="1:47" ht="6.75" customHeight="1" x14ac:dyDescent="0.25">
      <c r="A39" s="1416"/>
      <c r="B39" s="1419"/>
      <c r="C39" s="1311"/>
      <c r="D39" s="1311"/>
      <c r="E39" s="1317"/>
      <c r="F39" s="1311"/>
      <c r="G39" s="1311"/>
      <c r="H39" s="1311"/>
      <c r="I39" s="906"/>
      <c r="J39" s="1311"/>
      <c r="K39" s="1311"/>
      <c r="L39" s="1421"/>
      <c r="M39" s="1311"/>
      <c r="N39" s="1311"/>
      <c r="O39" s="1311"/>
      <c r="P39" s="1311"/>
      <c r="Q39" s="1311"/>
      <c r="R39" s="1311"/>
      <c r="S39" s="1311"/>
      <c r="T39" s="1311"/>
      <c r="U39" s="1311"/>
      <c r="V39" s="1311"/>
      <c r="W39" s="1311"/>
      <c r="X39" s="1311"/>
      <c r="Y39" s="1311"/>
      <c r="Z39" s="1394"/>
      <c r="AA39" s="8"/>
      <c r="AB39" s="8"/>
      <c r="AC39" s="184"/>
      <c r="AD39" s="184"/>
      <c r="AE39" s="184"/>
      <c r="AF39" s="184"/>
      <c r="AG39" s="184"/>
      <c r="AH39" s="184"/>
      <c r="AI39" s="184"/>
      <c r="AJ39" s="184"/>
      <c r="AK39" s="184"/>
      <c r="AL39" s="185"/>
      <c r="AM39" s="185"/>
      <c r="AN39" s="185"/>
      <c r="AO39" s="8"/>
      <c r="AP39" s="8"/>
      <c r="AQ39" s="8"/>
      <c r="AR39" s="8"/>
      <c r="AS39" s="8"/>
      <c r="AT39" s="8"/>
      <c r="AU39" s="8"/>
    </row>
    <row r="40" spans="1:47" ht="6.75" customHeight="1" x14ac:dyDescent="0.25">
      <c r="A40" s="1416"/>
      <c r="B40" s="1419"/>
      <c r="C40" s="1311"/>
      <c r="D40" s="1311"/>
      <c r="E40" s="1317"/>
      <c r="F40" s="1311"/>
      <c r="G40" s="1311"/>
      <c r="H40" s="1311"/>
      <c r="I40" s="906"/>
      <c r="J40" s="1311"/>
      <c r="K40" s="1311"/>
      <c r="L40" s="1421"/>
      <c r="M40" s="1311"/>
      <c r="N40" s="1311"/>
      <c r="O40" s="1311"/>
      <c r="P40" s="1311"/>
      <c r="Q40" s="1311"/>
      <c r="R40" s="1311"/>
      <c r="S40" s="1311"/>
      <c r="T40" s="1311"/>
      <c r="U40" s="1311"/>
      <c r="V40" s="1311"/>
      <c r="W40" s="1311"/>
      <c r="X40" s="1311"/>
      <c r="Y40" s="1311"/>
      <c r="Z40" s="1394"/>
      <c r="AA40" s="8"/>
      <c r="AB40" s="8"/>
      <c r="AC40" s="184"/>
      <c r="AD40" s="184"/>
      <c r="AE40" s="184"/>
      <c r="AF40" s="184"/>
      <c r="AG40" s="184"/>
      <c r="AH40" s="184"/>
      <c r="AI40" s="184"/>
      <c r="AJ40" s="184"/>
      <c r="AK40" s="184"/>
      <c r="AL40" s="185"/>
      <c r="AM40" s="185"/>
      <c r="AN40" s="185"/>
      <c r="AO40" s="8"/>
      <c r="AP40" s="8"/>
      <c r="AQ40" s="8"/>
      <c r="AR40" s="8"/>
      <c r="AS40" s="8"/>
      <c r="AT40" s="8"/>
      <c r="AU40" s="8"/>
    </row>
    <row r="41" spans="1:47" ht="9" customHeight="1" x14ac:dyDescent="0.25">
      <c r="A41" s="1416"/>
      <c r="B41" s="1419"/>
      <c r="C41" s="1311"/>
      <c r="D41" s="1311"/>
      <c r="E41" s="1317"/>
      <c r="F41" s="1311"/>
      <c r="G41" s="1311"/>
      <c r="H41" s="1311"/>
      <c r="I41" s="906"/>
      <c r="J41" s="1311"/>
      <c r="K41" s="1311"/>
      <c r="L41" s="1421"/>
      <c r="M41" s="1311"/>
      <c r="N41" s="1311"/>
      <c r="O41" s="1311"/>
      <c r="P41" s="1311"/>
      <c r="Q41" s="1311"/>
      <c r="R41" s="1311"/>
      <c r="S41" s="1311"/>
      <c r="T41" s="1311"/>
      <c r="U41" s="1311"/>
      <c r="V41" s="1311"/>
      <c r="W41" s="1311"/>
      <c r="X41" s="1311"/>
      <c r="Y41" s="1311"/>
      <c r="Z41" s="1394"/>
      <c r="AA41" s="8"/>
      <c r="AB41" s="8"/>
      <c r="AC41" s="184"/>
      <c r="AD41" s="184"/>
      <c r="AE41" s="184"/>
      <c r="AF41" s="184"/>
      <c r="AG41" s="184"/>
      <c r="AH41" s="184"/>
      <c r="AI41" s="184"/>
      <c r="AJ41" s="184"/>
      <c r="AK41" s="184"/>
      <c r="AL41" s="185"/>
      <c r="AM41" s="185"/>
      <c r="AN41" s="185"/>
      <c r="AO41" s="8"/>
      <c r="AP41" s="8"/>
      <c r="AQ41" s="8"/>
      <c r="AR41" s="8"/>
      <c r="AS41" s="8"/>
      <c r="AT41" s="8"/>
      <c r="AU41" s="8"/>
    </row>
    <row r="42" spans="1:47" ht="12" customHeight="1" x14ac:dyDescent="0.25">
      <c r="A42" s="1416"/>
      <c r="B42" s="1419"/>
      <c r="C42" s="1318" t="s">
        <v>309</v>
      </c>
      <c r="D42" s="290" t="s">
        <v>288</v>
      </c>
      <c r="E42" s="919">
        <v>6</v>
      </c>
      <c r="F42" s="919"/>
      <c r="G42" s="919"/>
      <c r="H42" s="919">
        <v>11</v>
      </c>
      <c r="I42" s="919"/>
      <c r="J42" s="919">
        <v>14</v>
      </c>
      <c r="K42" s="919">
        <v>1</v>
      </c>
      <c r="L42" s="919">
        <v>5</v>
      </c>
      <c r="M42" s="919">
        <v>11</v>
      </c>
      <c r="N42" s="919">
        <v>14</v>
      </c>
      <c r="O42" s="1318" t="s">
        <v>309</v>
      </c>
      <c r="P42" s="1422" t="s">
        <v>488</v>
      </c>
      <c r="Q42" s="1423" t="s">
        <v>487</v>
      </c>
      <c r="R42" s="1318" t="s">
        <v>305</v>
      </c>
      <c r="S42" s="1310" t="s">
        <v>290</v>
      </c>
      <c r="T42" s="1317">
        <v>60558</v>
      </c>
      <c r="U42" s="1317">
        <v>66033</v>
      </c>
      <c r="V42" s="1310"/>
      <c r="W42" s="1310" t="s">
        <v>291</v>
      </c>
      <c r="X42" s="1310" t="s">
        <v>292</v>
      </c>
      <c r="Y42" s="1310" t="s">
        <v>293</v>
      </c>
      <c r="Z42" s="1413">
        <f>SUM(U42+T42)</f>
        <v>126591</v>
      </c>
      <c r="AA42" s="8"/>
      <c r="AB42" s="8"/>
      <c r="AC42" s="184"/>
      <c r="AD42" s="184"/>
      <c r="AE42" s="184"/>
      <c r="AF42" s="184"/>
      <c r="AG42" s="184"/>
      <c r="AH42" s="184"/>
      <c r="AI42" s="184"/>
      <c r="AJ42" s="184"/>
      <c r="AK42" s="184"/>
      <c r="AL42" s="185"/>
      <c r="AM42" s="185"/>
      <c r="AN42" s="185"/>
      <c r="AO42" s="8"/>
      <c r="AP42" s="8"/>
      <c r="AQ42" s="8"/>
      <c r="AR42" s="8"/>
      <c r="AS42" s="8"/>
      <c r="AT42" s="8"/>
      <c r="AU42" s="8"/>
    </row>
    <row r="43" spans="1:47" ht="9.75" customHeight="1" x14ac:dyDescent="0.25">
      <c r="A43" s="1416"/>
      <c r="B43" s="1419"/>
      <c r="C43" s="1311"/>
      <c r="D43" s="922" t="s">
        <v>296</v>
      </c>
      <c r="E43" s="325">
        <v>46322607.142857097</v>
      </c>
      <c r="F43" s="289"/>
      <c r="G43" s="289"/>
      <c r="H43" s="306">
        <v>41252640</v>
      </c>
      <c r="I43" s="306"/>
      <c r="J43" s="932">
        <v>39788798.140000001</v>
      </c>
      <c r="K43" s="325">
        <f>+K42*$K$151/$K$150</f>
        <v>3387357.1428571427</v>
      </c>
      <c r="L43" s="325">
        <v>42935250</v>
      </c>
      <c r="M43" s="306">
        <v>26815399.546012301</v>
      </c>
      <c r="N43" s="932">
        <v>34107350.644549802</v>
      </c>
      <c r="O43" s="1311"/>
      <c r="P43" s="1311"/>
      <c r="Q43" s="1311"/>
      <c r="R43" s="1311"/>
      <c r="S43" s="1311"/>
      <c r="T43" s="1311"/>
      <c r="U43" s="1311"/>
      <c r="V43" s="1311"/>
      <c r="W43" s="1311"/>
      <c r="X43" s="1311"/>
      <c r="Y43" s="1311"/>
      <c r="Z43" s="1394"/>
      <c r="AA43" s="8"/>
      <c r="AB43" s="8"/>
      <c r="AC43" s="184"/>
      <c r="AD43" s="184"/>
      <c r="AE43" s="184"/>
      <c r="AF43" s="184"/>
      <c r="AG43" s="184"/>
      <c r="AH43" s="184"/>
      <c r="AI43" s="184"/>
      <c r="AJ43" s="184"/>
      <c r="AK43" s="184"/>
      <c r="AL43" s="185"/>
      <c r="AM43" s="185"/>
      <c r="AN43" s="185"/>
      <c r="AO43" s="8"/>
      <c r="AP43" s="8"/>
      <c r="AQ43" s="8"/>
      <c r="AR43" s="8"/>
      <c r="AS43" s="8"/>
      <c r="AT43" s="8"/>
      <c r="AU43" s="8"/>
    </row>
    <row r="44" spans="1:47" ht="13.5" customHeight="1" x14ac:dyDescent="0.25">
      <c r="A44" s="1416"/>
      <c r="B44" s="1419"/>
      <c r="C44" s="1311"/>
      <c r="D44" s="922" t="s">
        <v>299</v>
      </c>
      <c r="E44" s="919"/>
      <c r="F44" s="919"/>
      <c r="G44" s="919"/>
      <c r="H44" s="919"/>
      <c r="I44" s="919"/>
      <c r="J44" s="919"/>
      <c r="K44" s="919"/>
      <c r="L44" s="919"/>
      <c r="M44" s="919"/>
      <c r="N44" s="919"/>
      <c r="O44" s="1311"/>
      <c r="P44" s="1311"/>
      <c r="Q44" s="1311"/>
      <c r="R44" s="1311"/>
      <c r="S44" s="1311"/>
      <c r="T44" s="1311"/>
      <c r="U44" s="1311"/>
      <c r="V44" s="1311"/>
      <c r="W44" s="1311"/>
      <c r="X44" s="1311"/>
      <c r="Y44" s="1311"/>
      <c r="Z44" s="1394"/>
      <c r="AA44" s="8"/>
      <c r="AB44" s="8"/>
      <c r="AC44" s="184"/>
      <c r="AD44" s="184"/>
      <c r="AE44" s="184"/>
      <c r="AF44" s="184"/>
      <c r="AG44" s="184"/>
      <c r="AH44" s="184"/>
      <c r="AI44" s="184"/>
      <c r="AJ44" s="184"/>
      <c r="AK44" s="184"/>
      <c r="AL44" s="185"/>
      <c r="AM44" s="185"/>
      <c r="AN44" s="185"/>
      <c r="AO44" s="8"/>
      <c r="AP44" s="8"/>
      <c r="AQ44" s="8"/>
      <c r="AR44" s="8"/>
      <c r="AS44" s="8"/>
      <c r="AT44" s="8"/>
      <c r="AU44" s="8"/>
    </row>
    <row r="45" spans="1:47" ht="6.75" customHeight="1" x14ac:dyDescent="0.25">
      <c r="A45" s="1416"/>
      <c r="B45" s="1419"/>
      <c r="C45" s="1311"/>
      <c r="D45" s="1396" t="s">
        <v>302</v>
      </c>
      <c r="E45" s="1317"/>
      <c r="F45" s="1317"/>
      <c r="G45" s="1317"/>
      <c r="H45" s="1317"/>
      <c r="I45" s="919"/>
      <c r="J45" s="1317"/>
      <c r="K45" s="1317"/>
      <c r="L45" s="1421"/>
      <c r="M45" s="1421"/>
      <c r="N45" s="1421"/>
      <c r="O45" s="1311"/>
      <c r="P45" s="1311"/>
      <c r="Q45" s="1311"/>
      <c r="R45" s="1311"/>
      <c r="S45" s="1311"/>
      <c r="T45" s="1311"/>
      <c r="U45" s="1311"/>
      <c r="V45" s="1311"/>
      <c r="W45" s="1311"/>
      <c r="X45" s="1311"/>
      <c r="Y45" s="1311"/>
      <c r="Z45" s="1394"/>
      <c r="AA45" s="8"/>
      <c r="AB45" s="8"/>
      <c r="AC45" s="184"/>
      <c r="AD45" s="184"/>
      <c r="AE45" s="184"/>
      <c r="AF45" s="184"/>
      <c r="AG45" s="184"/>
      <c r="AH45" s="184"/>
      <c r="AI45" s="184"/>
      <c r="AJ45" s="184"/>
      <c r="AK45" s="184"/>
      <c r="AL45" s="185"/>
      <c r="AM45" s="185"/>
      <c r="AN45" s="185"/>
      <c r="AO45" s="8"/>
      <c r="AP45" s="8"/>
      <c r="AQ45" s="8"/>
      <c r="AR45" s="8"/>
      <c r="AS45" s="8"/>
      <c r="AT45" s="8"/>
      <c r="AU45" s="8"/>
    </row>
    <row r="46" spans="1:47" ht="6.75" customHeight="1" x14ac:dyDescent="0.25">
      <c r="A46" s="1416"/>
      <c r="B46" s="1419"/>
      <c r="C46" s="1311"/>
      <c r="D46" s="1311"/>
      <c r="E46" s="1317"/>
      <c r="F46" s="1311"/>
      <c r="G46" s="1311"/>
      <c r="H46" s="1311"/>
      <c r="I46" s="906"/>
      <c r="J46" s="1311"/>
      <c r="K46" s="1311"/>
      <c r="L46" s="1421"/>
      <c r="M46" s="1311"/>
      <c r="N46" s="1311"/>
      <c r="O46" s="1311"/>
      <c r="P46" s="1311"/>
      <c r="Q46" s="1311"/>
      <c r="R46" s="1311"/>
      <c r="S46" s="1311"/>
      <c r="T46" s="1311"/>
      <c r="U46" s="1311"/>
      <c r="V46" s="1311"/>
      <c r="W46" s="1311"/>
      <c r="X46" s="1311"/>
      <c r="Y46" s="1311"/>
      <c r="Z46" s="1394"/>
      <c r="AA46" s="8"/>
      <c r="AB46" s="8"/>
      <c r="AC46" s="184"/>
      <c r="AD46" s="184"/>
      <c r="AE46" s="184"/>
      <c r="AF46" s="184"/>
      <c r="AG46" s="184"/>
      <c r="AH46" s="184"/>
      <c r="AI46" s="184"/>
      <c r="AJ46" s="184"/>
      <c r="AK46" s="184"/>
      <c r="AL46" s="185"/>
      <c r="AM46" s="185"/>
      <c r="AN46" s="185"/>
      <c r="AO46" s="8"/>
      <c r="AP46" s="8"/>
      <c r="AQ46" s="8"/>
      <c r="AR46" s="8"/>
      <c r="AS46" s="8"/>
      <c r="AT46" s="8"/>
      <c r="AU46" s="8"/>
    </row>
    <row r="47" spans="1:47" ht="6.75" customHeight="1" x14ac:dyDescent="0.25">
      <c r="A47" s="1416"/>
      <c r="B47" s="1419"/>
      <c r="C47" s="1311"/>
      <c r="D47" s="1311"/>
      <c r="E47" s="1317"/>
      <c r="F47" s="1311"/>
      <c r="G47" s="1311"/>
      <c r="H47" s="1311"/>
      <c r="I47" s="906"/>
      <c r="J47" s="1311"/>
      <c r="K47" s="1311"/>
      <c r="L47" s="1421"/>
      <c r="M47" s="1311"/>
      <c r="N47" s="1311"/>
      <c r="O47" s="1311"/>
      <c r="P47" s="1311"/>
      <c r="Q47" s="1311"/>
      <c r="R47" s="1311"/>
      <c r="S47" s="1311"/>
      <c r="T47" s="1311"/>
      <c r="U47" s="1311"/>
      <c r="V47" s="1311"/>
      <c r="W47" s="1311"/>
      <c r="X47" s="1311"/>
      <c r="Y47" s="1311"/>
      <c r="Z47" s="1394"/>
      <c r="AA47" s="8"/>
      <c r="AB47" s="8"/>
      <c r="AC47" s="184"/>
      <c r="AD47" s="184"/>
      <c r="AE47" s="184"/>
      <c r="AF47" s="184"/>
      <c r="AG47" s="184"/>
      <c r="AH47" s="184"/>
      <c r="AI47" s="184"/>
      <c r="AJ47" s="184"/>
      <c r="AK47" s="184"/>
      <c r="AL47" s="185"/>
      <c r="AM47" s="185"/>
      <c r="AN47" s="185"/>
      <c r="AO47" s="8"/>
      <c r="AP47" s="8"/>
      <c r="AQ47" s="8"/>
      <c r="AR47" s="8"/>
      <c r="AS47" s="8"/>
      <c r="AT47" s="8"/>
      <c r="AU47" s="8"/>
    </row>
    <row r="48" spans="1:47" ht="6.75" customHeight="1" x14ac:dyDescent="0.25">
      <c r="A48" s="1416"/>
      <c r="B48" s="1419"/>
      <c r="C48" s="1311"/>
      <c r="D48" s="1311"/>
      <c r="E48" s="1317"/>
      <c r="F48" s="1311"/>
      <c r="G48" s="1311"/>
      <c r="H48" s="1311"/>
      <c r="I48" s="906"/>
      <c r="J48" s="1311"/>
      <c r="K48" s="1311"/>
      <c r="L48" s="1421"/>
      <c r="M48" s="1311"/>
      <c r="N48" s="1311"/>
      <c r="O48" s="1311"/>
      <c r="P48" s="1311"/>
      <c r="Q48" s="1311"/>
      <c r="R48" s="1311"/>
      <c r="S48" s="1311"/>
      <c r="T48" s="1311"/>
      <c r="U48" s="1311"/>
      <c r="V48" s="1311"/>
      <c r="W48" s="1311"/>
      <c r="X48" s="1311"/>
      <c r="Y48" s="1311"/>
      <c r="Z48" s="1394"/>
      <c r="AA48" s="8"/>
      <c r="AB48" s="8"/>
      <c r="AC48" s="184"/>
      <c r="AD48" s="184"/>
      <c r="AE48" s="184"/>
      <c r="AF48" s="184"/>
      <c r="AG48" s="184"/>
      <c r="AH48" s="184"/>
      <c r="AI48" s="184"/>
      <c r="AJ48" s="184"/>
      <c r="AK48" s="184"/>
      <c r="AL48" s="185"/>
      <c r="AM48" s="185"/>
      <c r="AN48" s="185"/>
      <c r="AO48" s="8"/>
      <c r="AP48" s="8"/>
      <c r="AQ48" s="8"/>
      <c r="AR48" s="8"/>
      <c r="AS48" s="8"/>
      <c r="AT48" s="8"/>
      <c r="AU48" s="8"/>
    </row>
    <row r="49" spans="1:47" ht="9.75" customHeight="1" x14ac:dyDescent="0.25">
      <c r="A49" s="1416"/>
      <c r="B49" s="1419"/>
      <c r="C49" s="1318" t="s">
        <v>310</v>
      </c>
      <c r="D49" s="290" t="s">
        <v>288</v>
      </c>
      <c r="E49" s="919">
        <v>2</v>
      </c>
      <c r="F49" s="919"/>
      <c r="G49" s="919"/>
      <c r="H49" s="919">
        <v>3</v>
      </c>
      <c r="I49" s="919"/>
      <c r="J49" s="919">
        <v>11</v>
      </c>
      <c r="K49" s="919">
        <v>1</v>
      </c>
      <c r="L49" s="919">
        <v>1</v>
      </c>
      <c r="M49" s="919">
        <v>3</v>
      </c>
      <c r="N49" s="919">
        <v>11</v>
      </c>
      <c r="O49" s="1318" t="s">
        <v>310</v>
      </c>
      <c r="P49" s="1422" t="s">
        <v>486</v>
      </c>
      <c r="Q49" s="1423" t="s">
        <v>485</v>
      </c>
      <c r="R49" s="1318" t="s">
        <v>305</v>
      </c>
      <c r="S49" s="1310" t="s">
        <v>290</v>
      </c>
      <c r="T49" s="1317">
        <v>422164</v>
      </c>
      <c r="U49" s="1317">
        <v>456270</v>
      </c>
      <c r="V49" s="1310"/>
      <c r="W49" s="1310" t="s">
        <v>291</v>
      </c>
      <c r="X49" s="1310" t="s">
        <v>292</v>
      </c>
      <c r="Y49" s="1310" t="s">
        <v>293</v>
      </c>
      <c r="Z49" s="1413">
        <f>SUM(U49+T49)</f>
        <v>878434</v>
      </c>
      <c r="AA49" s="8"/>
      <c r="AB49" s="8"/>
      <c r="AC49" s="184"/>
      <c r="AD49" s="184"/>
      <c r="AE49" s="184"/>
      <c r="AF49" s="184"/>
      <c r="AG49" s="184"/>
      <c r="AH49" s="184"/>
      <c r="AI49" s="184"/>
      <c r="AJ49" s="184"/>
      <c r="AK49" s="184"/>
      <c r="AL49" s="185"/>
      <c r="AM49" s="185"/>
      <c r="AN49" s="185"/>
      <c r="AO49" s="8"/>
      <c r="AP49" s="8"/>
      <c r="AQ49" s="8"/>
      <c r="AR49" s="8"/>
      <c r="AS49" s="8"/>
      <c r="AT49" s="8"/>
      <c r="AU49" s="8"/>
    </row>
    <row r="50" spans="1:47" ht="9.75" customHeight="1" x14ac:dyDescent="0.25">
      <c r="A50" s="1416"/>
      <c r="B50" s="1419"/>
      <c r="C50" s="1311"/>
      <c r="D50" s="922" t="s">
        <v>296</v>
      </c>
      <c r="E50" s="325">
        <v>11974407.142857101</v>
      </c>
      <c r="F50" s="289"/>
      <c r="G50" s="289"/>
      <c r="H50" s="306">
        <v>11250720</v>
      </c>
      <c r="I50" s="306"/>
      <c r="J50" s="932">
        <v>31262627.109999999</v>
      </c>
      <c r="K50" s="325">
        <f>+K49*$K$151/$K$150</f>
        <v>3387357.1428571427</v>
      </c>
      <c r="L50" s="325">
        <v>3387357</v>
      </c>
      <c r="M50" s="306">
        <v>7313290.7852760702</v>
      </c>
      <c r="N50" s="932">
        <v>26798632.649289101</v>
      </c>
      <c r="O50" s="1311"/>
      <c r="P50" s="1311"/>
      <c r="Q50" s="1311"/>
      <c r="R50" s="1311"/>
      <c r="S50" s="1311"/>
      <c r="T50" s="1311"/>
      <c r="U50" s="1311"/>
      <c r="V50" s="1311"/>
      <c r="W50" s="1311"/>
      <c r="X50" s="1311"/>
      <c r="Y50" s="1311"/>
      <c r="Z50" s="1394"/>
      <c r="AA50" s="8"/>
      <c r="AB50" s="8"/>
      <c r="AC50" s="184"/>
      <c r="AD50" s="184"/>
      <c r="AE50" s="184"/>
      <c r="AF50" s="184"/>
      <c r="AG50" s="184"/>
      <c r="AH50" s="184"/>
      <c r="AI50" s="184"/>
      <c r="AJ50" s="184"/>
      <c r="AK50" s="184"/>
      <c r="AL50" s="185"/>
      <c r="AM50" s="185"/>
      <c r="AN50" s="185"/>
      <c r="AO50" s="8"/>
      <c r="AP50" s="8"/>
      <c r="AQ50" s="8"/>
      <c r="AR50" s="8"/>
      <c r="AS50" s="8"/>
      <c r="AT50" s="8"/>
      <c r="AU50" s="8"/>
    </row>
    <row r="51" spans="1:47" ht="12" customHeight="1" x14ac:dyDescent="0.25">
      <c r="A51" s="1416"/>
      <c r="B51" s="1419"/>
      <c r="C51" s="1311"/>
      <c r="D51" s="922" t="s">
        <v>299</v>
      </c>
      <c r="E51" s="919"/>
      <c r="F51" s="919"/>
      <c r="G51" s="919"/>
      <c r="H51" s="919"/>
      <c r="I51" s="919"/>
      <c r="J51" s="919"/>
      <c r="K51" s="919"/>
      <c r="L51" s="919"/>
      <c r="M51" s="919"/>
      <c r="N51" s="919"/>
      <c r="O51" s="1311"/>
      <c r="P51" s="1311"/>
      <c r="Q51" s="1311"/>
      <c r="R51" s="1311"/>
      <c r="S51" s="1311"/>
      <c r="T51" s="1311"/>
      <c r="U51" s="1311"/>
      <c r="V51" s="1311"/>
      <c r="W51" s="1311"/>
      <c r="X51" s="1311"/>
      <c r="Y51" s="1311"/>
      <c r="Z51" s="1394"/>
      <c r="AA51" s="8"/>
      <c r="AB51" s="8"/>
      <c r="AC51" s="184"/>
      <c r="AD51" s="184"/>
      <c r="AE51" s="184"/>
      <c r="AF51" s="184"/>
      <c r="AG51" s="184"/>
      <c r="AH51" s="184"/>
      <c r="AI51" s="184"/>
      <c r="AJ51" s="184"/>
      <c r="AK51" s="184"/>
      <c r="AL51" s="185"/>
      <c r="AM51" s="185"/>
      <c r="AN51" s="185"/>
      <c r="AO51" s="8"/>
      <c r="AP51" s="8"/>
      <c r="AQ51" s="8"/>
      <c r="AR51" s="8"/>
      <c r="AS51" s="8"/>
      <c r="AT51" s="8"/>
      <c r="AU51" s="8"/>
    </row>
    <row r="52" spans="1:47" ht="6.75" customHeight="1" x14ac:dyDescent="0.25">
      <c r="A52" s="1416"/>
      <c r="B52" s="1419"/>
      <c r="C52" s="1311"/>
      <c r="D52" s="1396" t="s">
        <v>302</v>
      </c>
      <c r="E52" s="1317"/>
      <c r="F52" s="1317"/>
      <c r="G52" s="1317"/>
      <c r="H52" s="1317"/>
      <c r="I52" s="919"/>
      <c r="J52" s="1317"/>
      <c r="K52" s="1317"/>
      <c r="L52" s="1421"/>
      <c r="M52" s="1421"/>
      <c r="N52" s="1421"/>
      <c r="O52" s="1311"/>
      <c r="P52" s="1311"/>
      <c r="Q52" s="1311"/>
      <c r="R52" s="1311"/>
      <c r="S52" s="1311"/>
      <c r="T52" s="1311"/>
      <c r="U52" s="1311"/>
      <c r="V52" s="1311"/>
      <c r="W52" s="1311"/>
      <c r="X52" s="1311"/>
      <c r="Y52" s="1311"/>
      <c r="Z52" s="1394"/>
      <c r="AA52" s="8"/>
      <c r="AB52" s="8"/>
      <c r="AC52" s="184"/>
      <c r="AD52" s="184"/>
      <c r="AE52" s="184"/>
      <c r="AF52" s="184"/>
      <c r="AG52" s="184"/>
      <c r="AH52" s="184"/>
      <c r="AI52" s="184"/>
      <c r="AJ52" s="184"/>
      <c r="AK52" s="184"/>
      <c r="AL52" s="185"/>
      <c r="AM52" s="185"/>
      <c r="AN52" s="185"/>
      <c r="AO52" s="8"/>
      <c r="AP52" s="8"/>
      <c r="AQ52" s="8"/>
      <c r="AR52" s="8"/>
      <c r="AS52" s="8"/>
      <c r="AT52" s="8"/>
      <c r="AU52" s="8"/>
    </row>
    <row r="53" spans="1:47" ht="6.75" customHeight="1" x14ac:dyDescent="0.25">
      <c r="A53" s="1416"/>
      <c r="B53" s="1419"/>
      <c r="C53" s="1311"/>
      <c r="D53" s="1311"/>
      <c r="E53" s="1317"/>
      <c r="F53" s="1311"/>
      <c r="G53" s="1311"/>
      <c r="H53" s="1311"/>
      <c r="I53" s="906"/>
      <c r="J53" s="1311"/>
      <c r="K53" s="1311"/>
      <c r="L53" s="1421"/>
      <c r="M53" s="1311"/>
      <c r="N53" s="1311"/>
      <c r="O53" s="1311"/>
      <c r="P53" s="1311"/>
      <c r="Q53" s="1311"/>
      <c r="R53" s="1311"/>
      <c r="S53" s="1311"/>
      <c r="T53" s="1311"/>
      <c r="U53" s="1311"/>
      <c r="V53" s="1311"/>
      <c r="W53" s="1311"/>
      <c r="X53" s="1311"/>
      <c r="Y53" s="1311"/>
      <c r="Z53" s="1394"/>
      <c r="AA53" s="8"/>
      <c r="AB53" s="8"/>
      <c r="AC53" s="184"/>
      <c r="AD53" s="184"/>
      <c r="AE53" s="184"/>
      <c r="AF53" s="184"/>
      <c r="AG53" s="184"/>
      <c r="AH53" s="184"/>
      <c r="AI53" s="184"/>
      <c r="AJ53" s="184"/>
      <c r="AK53" s="184"/>
      <c r="AL53" s="185"/>
      <c r="AM53" s="185"/>
      <c r="AN53" s="185"/>
      <c r="AO53" s="8"/>
      <c r="AP53" s="8"/>
      <c r="AQ53" s="8"/>
      <c r="AR53" s="8"/>
      <c r="AS53" s="8"/>
      <c r="AT53" s="8"/>
      <c r="AU53" s="8"/>
    </row>
    <row r="54" spans="1:47" ht="6.75" customHeight="1" x14ac:dyDescent="0.25">
      <c r="A54" s="1416"/>
      <c r="B54" s="1419"/>
      <c r="C54" s="1311"/>
      <c r="D54" s="1311"/>
      <c r="E54" s="1317"/>
      <c r="F54" s="1311"/>
      <c r="G54" s="1311"/>
      <c r="H54" s="1311"/>
      <c r="I54" s="906"/>
      <c r="J54" s="1311"/>
      <c r="K54" s="1311"/>
      <c r="L54" s="1421"/>
      <c r="M54" s="1311"/>
      <c r="N54" s="1311"/>
      <c r="O54" s="1311"/>
      <c r="P54" s="1311"/>
      <c r="Q54" s="1311"/>
      <c r="R54" s="1311"/>
      <c r="S54" s="1311"/>
      <c r="T54" s="1311"/>
      <c r="U54" s="1311"/>
      <c r="V54" s="1311"/>
      <c r="W54" s="1311"/>
      <c r="X54" s="1311"/>
      <c r="Y54" s="1311"/>
      <c r="Z54" s="1394"/>
      <c r="AA54" s="8"/>
      <c r="AB54" s="8"/>
      <c r="AC54" s="184"/>
      <c r="AD54" s="184"/>
      <c r="AE54" s="184"/>
      <c r="AF54" s="184"/>
      <c r="AG54" s="184"/>
      <c r="AH54" s="184"/>
      <c r="AI54" s="184"/>
      <c r="AJ54" s="184"/>
      <c r="AK54" s="184"/>
      <c r="AL54" s="185"/>
      <c r="AM54" s="185"/>
      <c r="AN54" s="185"/>
      <c r="AO54" s="8"/>
      <c r="AP54" s="8"/>
      <c r="AQ54" s="8"/>
      <c r="AR54" s="8"/>
      <c r="AS54" s="8"/>
      <c r="AT54" s="8"/>
      <c r="AU54" s="8"/>
    </row>
    <row r="55" spans="1:47" ht="6.75" customHeight="1" x14ac:dyDescent="0.25">
      <c r="A55" s="1416"/>
      <c r="B55" s="1419"/>
      <c r="C55" s="1311"/>
      <c r="D55" s="1311"/>
      <c r="E55" s="1317"/>
      <c r="F55" s="1311"/>
      <c r="G55" s="1311"/>
      <c r="H55" s="1311"/>
      <c r="I55" s="906"/>
      <c r="J55" s="1311"/>
      <c r="K55" s="1311"/>
      <c r="L55" s="1421"/>
      <c r="M55" s="1311"/>
      <c r="N55" s="1311"/>
      <c r="O55" s="1311"/>
      <c r="P55" s="1311"/>
      <c r="Q55" s="1311"/>
      <c r="R55" s="1311"/>
      <c r="S55" s="1311"/>
      <c r="T55" s="1311"/>
      <c r="U55" s="1311"/>
      <c r="V55" s="1311"/>
      <c r="W55" s="1311"/>
      <c r="X55" s="1311"/>
      <c r="Y55" s="1311"/>
      <c r="Z55" s="1394"/>
      <c r="AA55" s="8"/>
      <c r="AB55" s="8"/>
      <c r="AC55" s="184"/>
      <c r="AD55" s="184"/>
      <c r="AE55" s="184"/>
      <c r="AF55" s="184"/>
      <c r="AG55" s="184"/>
      <c r="AH55" s="184"/>
      <c r="AI55" s="184"/>
      <c r="AJ55" s="184"/>
      <c r="AK55" s="184"/>
      <c r="AL55" s="185"/>
      <c r="AM55" s="185"/>
      <c r="AN55" s="185"/>
      <c r="AO55" s="8"/>
      <c r="AP55" s="8"/>
      <c r="AQ55" s="8"/>
      <c r="AR55" s="8"/>
      <c r="AS55" s="8"/>
      <c r="AT55" s="8"/>
      <c r="AU55" s="8"/>
    </row>
    <row r="56" spans="1:47" ht="13.5" customHeight="1" x14ac:dyDescent="0.25">
      <c r="A56" s="1416"/>
      <c r="B56" s="1419"/>
      <c r="C56" s="1318" t="s">
        <v>311</v>
      </c>
      <c r="D56" s="290" t="s">
        <v>288</v>
      </c>
      <c r="E56" s="919">
        <v>1</v>
      </c>
      <c r="F56" s="919"/>
      <c r="G56" s="919"/>
      <c r="H56" s="919">
        <v>2</v>
      </c>
      <c r="I56" s="919"/>
      <c r="J56" s="919">
        <v>3</v>
      </c>
      <c r="K56" s="919">
        <v>1</v>
      </c>
      <c r="L56" s="919">
        <v>1</v>
      </c>
      <c r="M56" s="919">
        <v>2</v>
      </c>
      <c r="N56" s="919">
        <v>3</v>
      </c>
      <c r="O56" s="1318" t="s">
        <v>311</v>
      </c>
      <c r="P56" s="1422" t="s">
        <v>484</v>
      </c>
      <c r="Q56" s="1423" t="s">
        <v>483</v>
      </c>
      <c r="R56" s="1318" t="s">
        <v>305</v>
      </c>
      <c r="S56" s="1310" t="s">
        <v>290</v>
      </c>
      <c r="T56" s="1317">
        <v>166347</v>
      </c>
      <c r="U56" s="1317">
        <v>173754</v>
      </c>
      <c r="V56" s="1310"/>
      <c r="W56" s="1310" t="s">
        <v>291</v>
      </c>
      <c r="X56" s="1310" t="s">
        <v>292</v>
      </c>
      <c r="Y56" s="1310" t="s">
        <v>293</v>
      </c>
      <c r="Z56" s="1413">
        <f>SUM(U56+T56)</f>
        <v>340101</v>
      </c>
      <c r="AA56" s="8"/>
      <c r="AB56" s="8"/>
      <c r="AC56" s="184">
        <v>12</v>
      </c>
      <c r="AD56" s="184" t="s">
        <v>294</v>
      </c>
      <c r="AE56" s="184"/>
      <c r="AF56" s="184"/>
      <c r="AG56" s="184"/>
      <c r="AH56" s="184" t="s">
        <v>295</v>
      </c>
      <c r="AI56" s="184"/>
      <c r="AJ56" s="184"/>
      <c r="AK56" s="184"/>
      <c r="AL56" s="185"/>
      <c r="AM56" s="185"/>
      <c r="AN56" s="185"/>
      <c r="AO56" s="8"/>
      <c r="AP56" s="8"/>
      <c r="AQ56" s="8"/>
      <c r="AR56" s="8"/>
      <c r="AS56" s="8"/>
      <c r="AT56" s="8"/>
      <c r="AU56" s="8"/>
    </row>
    <row r="57" spans="1:47" ht="13.5" customHeight="1" x14ac:dyDescent="0.25">
      <c r="A57" s="1416"/>
      <c r="B57" s="1419"/>
      <c r="C57" s="1311"/>
      <c r="D57" s="922" t="s">
        <v>296</v>
      </c>
      <c r="E57" s="325">
        <v>3387357.1428571399</v>
      </c>
      <c r="F57" s="289"/>
      <c r="G57" s="289"/>
      <c r="H57" s="306">
        <v>7500480</v>
      </c>
      <c r="I57" s="306"/>
      <c r="J57" s="932">
        <v>8526171.0299999993</v>
      </c>
      <c r="K57" s="325">
        <f>+K56*$K$151/$K$150</f>
        <v>3387357.1428571427</v>
      </c>
      <c r="L57" s="325">
        <v>3387357</v>
      </c>
      <c r="M57" s="306">
        <v>4875527.1901840502</v>
      </c>
      <c r="N57" s="932">
        <v>7308717.9952606596</v>
      </c>
      <c r="O57" s="1311"/>
      <c r="P57" s="1311"/>
      <c r="Q57" s="1311"/>
      <c r="R57" s="1311"/>
      <c r="S57" s="1311"/>
      <c r="T57" s="1311"/>
      <c r="U57" s="1311"/>
      <c r="V57" s="1311"/>
      <c r="W57" s="1311"/>
      <c r="X57" s="1311"/>
      <c r="Y57" s="1311"/>
      <c r="Z57" s="1394"/>
      <c r="AA57" s="8"/>
      <c r="AB57" s="8"/>
      <c r="AC57" s="184">
        <v>13</v>
      </c>
      <c r="AD57" s="184" t="s">
        <v>297</v>
      </c>
      <c r="AE57" s="184"/>
      <c r="AF57" s="184"/>
      <c r="AG57" s="184"/>
      <c r="AH57" s="184" t="s">
        <v>298</v>
      </c>
      <c r="AI57" s="184"/>
      <c r="AJ57" s="184"/>
      <c r="AK57" s="184"/>
      <c r="AL57" s="185"/>
      <c r="AM57" s="185"/>
      <c r="AN57" s="185"/>
      <c r="AO57" s="8"/>
      <c r="AP57" s="8"/>
      <c r="AQ57" s="8"/>
      <c r="AR57" s="8"/>
      <c r="AS57" s="8"/>
      <c r="AT57" s="8"/>
      <c r="AU57" s="8"/>
    </row>
    <row r="58" spans="1:47" ht="14.25" customHeight="1" x14ac:dyDescent="0.25">
      <c r="A58" s="1416"/>
      <c r="B58" s="1419"/>
      <c r="C58" s="1311"/>
      <c r="D58" s="922" t="s">
        <v>299</v>
      </c>
      <c r="E58" s="919"/>
      <c r="F58" s="919"/>
      <c r="G58" s="919"/>
      <c r="H58" s="919"/>
      <c r="I58" s="919"/>
      <c r="J58" s="919"/>
      <c r="K58" s="919"/>
      <c r="L58" s="919"/>
      <c r="M58" s="919"/>
      <c r="N58" s="919"/>
      <c r="O58" s="1311"/>
      <c r="P58" s="1311"/>
      <c r="Q58" s="1311"/>
      <c r="R58" s="1311"/>
      <c r="S58" s="1311"/>
      <c r="T58" s="1311"/>
      <c r="U58" s="1311"/>
      <c r="V58" s="1311"/>
      <c r="W58" s="1311"/>
      <c r="X58" s="1311"/>
      <c r="Y58" s="1311"/>
      <c r="Z58" s="1394"/>
      <c r="AA58" s="8"/>
      <c r="AB58" s="8"/>
      <c r="AC58" s="184">
        <v>14</v>
      </c>
      <c r="AD58" s="184" t="s">
        <v>300</v>
      </c>
      <c r="AE58" s="184"/>
      <c r="AF58" s="184"/>
      <c r="AG58" s="184"/>
      <c r="AH58" s="184" t="s">
        <v>301</v>
      </c>
      <c r="AI58" s="184"/>
      <c r="AJ58" s="184"/>
      <c r="AK58" s="184"/>
      <c r="AL58" s="185"/>
      <c r="AM58" s="185"/>
      <c r="AN58" s="185"/>
      <c r="AO58" s="8"/>
      <c r="AP58" s="8"/>
      <c r="AQ58" s="8"/>
      <c r="AR58" s="8"/>
      <c r="AS58" s="8"/>
      <c r="AT58" s="8"/>
      <c r="AU58" s="8"/>
    </row>
    <row r="59" spans="1:47" ht="11.25" customHeight="1" x14ac:dyDescent="0.25">
      <c r="A59" s="1416"/>
      <c r="B59" s="1419"/>
      <c r="C59" s="1311"/>
      <c r="D59" s="1396" t="s">
        <v>302</v>
      </c>
      <c r="E59" s="1317"/>
      <c r="F59" s="1317"/>
      <c r="G59" s="1317"/>
      <c r="H59" s="1317"/>
      <c r="I59" s="919"/>
      <c r="J59" s="1317"/>
      <c r="K59" s="1317"/>
      <c r="L59" s="1421"/>
      <c r="M59" s="1421"/>
      <c r="N59" s="1421"/>
      <c r="O59" s="1311"/>
      <c r="P59" s="1311"/>
      <c r="Q59" s="1311"/>
      <c r="R59" s="1311"/>
      <c r="S59" s="1311"/>
      <c r="T59" s="1311"/>
      <c r="U59" s="1311"/>
      <c r="V59" s="1311"/>
      <c r="W59" s="1311"/>
      <c r="X59" s="1311"/>
      <c r="Y59" s="1311"/>
      <c r="Z59" s="1394"/>
      <c r="AA59" s="8"/>
      <c r="AB59" s="8"/>
      <c r="AC59" s="184"/>
      <c r="AD59" s="184"/>
      <c r="AE59" s="184"/>
      <c r="AF59" s="184"/>
      <c r="AG59" s="184"/>
      <c r="AH59" s="184"/>
      <c r="AI59" s="184"/>
      <c r="AJ59" s="184"/>
      <c r="AK59" s="184"/>
      <c r="AL59" s="185"/>
      <c r="AM59" s="185"/>
      <c r="AN59" s="185"/>
      <c r="AO59" s="8"/>
      <c r="AP59" s="8"/>
      <c r="AQ59" s="8"/>
      <c r="AR59" s="8"/>
      <c r="AS59" s="8"/>
      <c r="AT59" s="8"/>
      <c r="AU59" s="8"/>
    </row>
    <row r="60" spans="1:47" ht="9.75" customHeight="1" x14ac:dyDescent="0.25">
      <c r="A60" s="1416"/>
      <c r="B60" s="1419"/>
      <c r="C60" s="1311"/>
      <c r="D60" s="1311"/>
      <c r="E60" s="1317"/>
      <c r="F60" s="1311"/>
      <c r="G60" s="1311"/>
      <c r="H60" s="1311"/>
      <c r="I60" s="906"/>
      <c r="J60" s="1311"/>
      <c r="K60" s="1311"/>
      <c r="L60" s="1421"/>
      <c r="M60" s="1311"/>
      <c r="N60" s="1311"/>
      <c r="O60" s="1311"/>
      <c r="P60" s="1311"/>
      <c r="Q60" s="1311"/>
      <c r="R60" s="1311"/>
      <c r="S60" s="1311"/>
      <c r="T60" s="1311"/>
      <c r="U60" s="1311"/>
      <c r="V60" s="1311"/>
      <c r="W60" s="1311"/>
      <c r="X60" s="1311"/>
      <c r="Y60" s="1311"/>
      <c r="Z60" s="1394"/>
      <c r="AA60" s="8"/>
      <c r="AB60" s="8"/>
      <c r="AC60" s="184"/>
      <c r="AD60" s="184"/>
      <c r="AE60" s="184"/>
      <c r="AF60" s="184"/>
      <c r="AG60" s="184"/>
      <c r="AH60" s="184"/>
      <c r="AI60" s="184"/>
      <c r="AJ60" s="184"/>
      <c r="AK60" s="184"/>
      <c r="AL60" s="185"/>
      <c r="AM60" s="185"/>
      <c r="AN60" s="185"/>
      <c r="AO60" s="8"/>
      <c r="AP60" s="8"/>
      <c r="AQ60" s="8"/>
      <c r="AR60" s="8"/>
      <c r="AS60" s="8"/>
      <c r="AT60" s="8"/>
      <c r="AU60" s="8"/>
    </row>
    <row r="61" spans="1:47" ht="6.75" customHeight="1" x14ac:dyDescent="0.25">
      <c r="A61" s="1416"/>
      <c r="B61" s="1419"/>
      <c r="C61" s="1311"/>
      <c r="D61" s="1311"/>
      <c r="E61" s="1317"/>
      <c r="F61" s="1311"/>
      <c r="G61" s="1311"/>
      <c r="H61" s="1311"/>
      <c r="I61" s="906"/>
      <c r="J61" s="1311"/>
      <c r="K61" s="1311"/>
      <c r="L61" s="1421"/>
      <c r="M61" s="1311"/>
      <c r="N61" s="1311"/>
      <c r="O61" s="1311"/>
      <c r="P61" s="1311"/>
      <c r="Q61" s="1311"/>
      <c r="R61" s="1311"/>
      <c r="S61" s="1311"/>
      <c r="T61" s="1311"/>
      <c r="U61" s="1311"/>
      <c r="V61" s="1311"/>
      <c r="W61" s="1311"/>
      <c r="X61" s="1311"/>
      <c r="Y61" s="1311"/>
      <c r="Z61" s="1394"/>
      <c r="AA61" s="8"/>
      <c r="AB61" s="8"/>
      <c r="AC61" s="184"/>
      <c r="AD61" s="184"/>
      <c r="AE61" s="184"/>
      <c r="AF61" s="184"/>
      <c r="AG61" s="184"/>
      <c r="AH61" s="184"/>
      <c r="AI61" s="184"/>
      <c r="AJ61" s="184"/>
      <c r="AK61" s="184"/>
      <c r="AL61" s="185"/>
      <c r="AM61" s="185"/>
      <c r="AN61" s="185"/>
      <c r="AO61" s="8"/>
      <c r="AP61" s="8"/>
      <c r="AQ61" s="8"/>
      <c r="AR61" s="8"/>
      <c r="AS61" s="8"/>
      <c r="AT61" s="8"/>
      <c r="AU61" s="8"/>
    </row>
    <row r="62" spans="1:47" ht="6.75" customHeight="1" x14ac:dyDescent="0.25">
      <c r="A62" s="1416"/>
      <c r="B62" s="1419"/>
      <c r="C62" s="1311"/>
      <c r="D62" s="1311"/>
      <c r="E62" s="1317"/>
      <c r="F62" s="1311"/>
      <c r="G62" s="1311"/>
      <c r="H62" s="1311"/>
      <c r="I62" s="906"/>
      <c r="J62" s="1311"/>
      <c r="K62" s="1311"/>
      <c r="L62" s="1421"/>
      <c r="M62" s="1311"/>
      <c r="N62" s="1311"/>
      <c r="O62" s="1311"/>
      <c r="P62" s="1311"/>
      <c r="Q62" s="1311"/>
      <c r="R62" s="1311"/>
      <c r="S62" s="1311"/>
      <c r="T62" s="1311"/>
      <c r="U62" s="1311"/>
      <c r="V62" s="1311"/>
      <c r="W62" s="1311"/>
      <c r="X62" s="1311"/>
      <c r="Y62" s="1311"/>
      <c r="Z62" s="1394"/>
      <c r="AA62" s="8"/>
      <c r="AB62" s="8"/>
      <c r="AC62" s="184"/>
      <c r="AD62" s="184"/>
      <c r="AE62" s="184"/>
      <c r="AF62" s="184"/>
      <c r="AG62" s="184"/>
      <c r="AH62" s="184"/>
      <c r="AI62" s="184"/>
      <c r="AJ62" s="184"/>
      <c r="AK62" s="184"/>
      <c r="AL62" s="185"/>
      <c r="AM62" s="185"/>
      <c r="AN62" s="185"/>
      <c r="AO62" s="8"/>
      <c r="AP62" s="8"/>
      <c r="AQ62" s="8"/>
      <c r="AR62" s="8"/>
      <c r="AS62" s="8"/>
      <c r="AT62" s="8"/>
      <c r="AU62" s="8"/>
    </row>
    <row r="63" spans="1:47" ht="13.5" customHeight="1" x14ac:dyDescent="0.25">
      <c r="A63" s="1416"/>
      <c r="B63" s="1419"/>
      <c r="C63" s="1318" t="s">
        <v>312</v>
      </c>
      <c r="D63" s="290" t="s">
        <v>288</v>
      </c>
      <c r="E63" s="919">
        <v>1</v>
      </c>
      <c r="F63" s="919"/>
      <c r="G63" s="919"/>
      <c r="H63" s="919">
        <v>2</v>
      </c>
      <c r="I63" s="919"/>
      <c r="J63" s="919">
        <v>4</v>
      </c>
      <c r="K63" s="919">
        <v>1</v>
      </c>
      <c r="L63" s="919">
        <v>1</v>
      </c>
      <c r="M63" s="919">
        <v>2</v>
      </c>
      <c r="N63" s="919">
        <v>4</v>
      </c>
      <c r="O63" s="1318" t="s">
        <v>312</v>
      </c>
      <c r="P63" s="1422" t="s">
        <v>482</v>
      </c>
      <c r="Q63" s="1423" t="s">
        <v>481</v>
      </c>
      <c r="R63" s="1318" t="s">
        <v>305</v>
      </c>
      <c r="S63" s="1310" t="s">
        <v>290</v>
      </c>
      <c r="T63" s="1317">
        <v>110484</v>
      </c>
      <c r="U63" s="1317">
        <v>111422</v>
      </c>
      <c r="V63" s="1310"/>
      <c r="W63" s="1310" t="s">
        <v>291</v>
      </c>
      <c r="X63" s="1310" t="s">
        <v>292</v>
      </c>
      <c r="Y63" s="1310" t="s">
        <v>293</v>
      </c>
      <c r="Z63" s="1413">
        <f>SUM(U63+T63)</f>
        <v>221906</v>
      </c>
      <c r="AA63" s="8"/>
      <c r="AB63" s="8"/>
      <c r="AC63" s="184">
        <v>12</v>
      </c>
      <c r="AD63" s="184" t="s">
        <v>294</v>
      </c>
      <c r="AE63" s="184"/>
      <c r="AF63" s="184"/>
      <c r="AG63" s="184"/>
      <c r="AH63" s="184" t="s">
        <v>295</v>
      </c>
      <c r="AI63" s="184"/>
      <c r="AJ63" s="184"/>
      <c r="AK63" s="184"/>
      <c r="AL63" s="185"/>
      <c r="AM63" s="185"/>
      <c r="AN63" s="185"/>
      <c r="AO63" s="8"/>
      <c r="AP63" s="8"/>
      <c r="AQ63" s="8"/>
      <c r="AR63" s="8"/>
      <c r="AS63" s="8"/>
      <c r="AT63" s="8"/>
      <c r="AU63" s="8"/>
    </row>
    <row r="64" spans="1:47" ht="13.5" customHeight="1" x14ac:dyDescent="0.25">
      <c r="A64" s="1416"/>
      <c r="B64" s="1419"/>
      <c r="C64" s="1311"/>
      <c r="D64" s="922" t="s">
        <v>296</v>
      </c>
      <c r="E64" s="325">
        <v>3387357.1428571399</v>
      </c>
      <c r="F64" s="289"/>
      <c r="G64" s="289"/>
      <c r="H64" s="306">
        <v>7500480</v>
      </c>
      <c r="I64" s="306"/>
      <c r="J64" s="932">
        <v>11368228.039999999</v>
      </c>
      <c r="K64" s="325">
        <f>+K63*$K$151/$K$150</f>
        <v>3387357.1428571427</v>
      </c>
      <c r="L64" s="325">
        <v>3387357</v>
      </c>
      <c r="M64" s="306">
        <v>4875527.1901840502</v>
      </c>
      <c r="N64" s="932">
        <v>9744957.3270142209</v>
      </c>
      <c r="O64" s="1311"/>
      <c r="P64" s="1311"/>
      <c r="Q64" s="1311"/>
      <c r="R64" s="1311"/>
      <c r="S64" s="1311"/>
      <c r="T64" s="1311"/>
      <c r="U64" s="1311"/>
      <c r="V64" s="1311"/>
      <c r="W64" s="1311"/>
      <c r="X64" s="1311"/>
      <c r="Y64" s="1311"/>
      <c r="Z64" s="1394"/>
      <c r="AA64" s="8"/>
      <c r="AB64" s="8"/>
      <c r="AC64" s="184">
        <v>13</v>
      </c>
      <c r="AD64" s="184" t="s">
        <v>297</v>
      </c>
      <c r="AE64" s="184"/>
      <c r="AF64" s="184"/>
      <c r="AG64" s="184"/>
      <c r="AH64" s="184" t="s">
        <v>298</v>
      </c>
      <c r="AI64" s="184"/>
      <c r="AJ64" s="184"/>
      <c r="AK64" s="184"/>
      <c r="AL64" s="185"/>
      <c r="AM64" s="185"/>
      <c r="AN64" s="185"/>
      <c r="AO64" s="8"/>
      <c r="AP64" s="8"/>
      <c r="AQ64" s="8"/>
      <c r="AR64" s="8"/>
      <c r="AS64" s="8"/>
      <c r="AT64" s="8"/>
      <c r="AU64" s="8"/>
    </row>
    <row r="65" spans="1:47" ht="14.25" customHeight="1" x14ac:dyDescent="0.25">
      <c r="A65" s="1416"/>
      <c r="B65" s="1419"/>
      <c r="C65" s="1311"/>
      <c r="D65" s="922" t="s">
        <v>299</v>
      </c>
      <c r="E65" s="919"/>
      <c r="F65" s="919"/>
      <c r="G65" s="919"/>
      <c r="H65" s="919"/>
      <c r="I65" s="919"/>
      <c r="J65" s="919"/>
      <c r="K65" s="919"/>
      <c r="L65" s="919"/>
      <c r="M65" s="919"/>
      <c r="N65" s="919"/>
      <c r="O65" s="1311"/>
      <c r="P65" s="1311"/>
      <c r="Q65" s="1311"/>
      <c r="R65" s="1311"/>
      <c r="S65" s="1311"/>
      <c r="T65" s="1311"/>
      <c r="U65" s="1311"/>
      <c r="V65" s="1311"/>
      <c r="W65" s="1311"/>
      <c r="X65" s="1311"/>
      <c r="Y65" s="1311"/>
      <c r="Z65" s="1394"/>
      <c r="AA65" s="8"/>
      <c r="AB65" s="8"/>
      <c r="AC65" s="184">
        <v>14</v>
      </c>
      <c r="AD65" s="184" t="s">
        <v>300</v>
      </c>
      <c r="AE65" s="184"/>
      <c r="AF65" s="184"/>
      <c r="AG65" s="184"/>
      <c r="AH65" s="184" t="s">
        <v>301</v>
      </c>
      <c r="AI65" s="184"/>
      <c r="AJ65" s="184"/>
      <c r="AK65" s="184"/>
      <c r="AL65" s="185"/>
      <c r="AM65" s="185"/>
      <c r="AN65" s="185"/>
      <c r="AO65" s="8"/>
      <c r="AP65" s="8"/>
      <c r="AQ65" s="8"/>
      <c r="AR65" s="8"/>
      <c r="AS65" s="8"/>
      <c r="AT65" s="8"/>
      <c r="AU65" s="8"/>
    </row>
    <row r="66" spans="1:47" ht="11.25" customHeight="1" x14ac:dyDescent="0.25">
      <c r="A66" s="1416"/>
      <c r="B66" s="1419"/>
      <c r="C66" s="1311"/>
      <c r="D66" s="1396" t="s">
        <v>302</v>
      </c>
      <c r="E66" s="1317"/>
      <c r="F66" s="1317"/>
      <c r="G66" s="1317"/>
      <c r="H66" s="1317"/>
      <c r="I66" s="919"/>
      <c r="J66" s="1317"/>
      <c r="K66" s="1317"/>
      <c r="L66" s="1421"/>
      <c r="M66" s="1421"/>
      <c r="N66" s="1421"/>
      <c r="O66" s="1311"/>
      <c r="P66" s="1311"/>
      <c r="Q66" s="1311"/>
      <c r="R66" s="1311"/>
      <c r="S66" s="1311"/>
      <c r="T66" s="1311"/>
      <c r="U66" s="1311"/>
      <c r="V66" s="1311"/>
      <c r="W66" s="1311"/>
      <c r="X66" s="1311"/>
      <c r="Y66" s="1311"/>
      <c r="Z66" s="1394"/>
      <c r="AA66" s="8"/>
      <c r="AB66" s="8"/>
      <c r="AC66" s="184"/>
      <c r="AD66" s="184"/>
      <c r="AE66" s="184"/>
      <c r="AF66" s="184"/>
      <c r="AG66" s="184"/>
      <c r="AH66" s="184"/>
      <c r="AI66" s="184"/>
      <c r="AJ66" s="184"/>
      <c r="AK66" s="184"/>
      <c r="AL66" s="185"/>
      <c r="AM66" s="185"/>
      <c r="AN66" s="185"/>
      <c r="AO66" s="8"/>
      <c r="AP66" s="8"/>
      <c r="AQ66" s="8"/>
      <c r="AR66" s="8"/>
      <c r="AS66" s="8"/>
      <c r="AT66" s="8"/>
      <c r="AU66" s="8"/>
    </row>
    <row r="67" spans="1:47" ht="9.75" customHeight="1" x14ac:dyDescent="0.25">
      <c r="A67" s="1416"/>
      <c r="B67" s="1419"/>
      <c r="C67" s="1311"/>
      <c r="D67" s="1311"/>
      <c r="E67" s="1317"/>
      <c r="F67" s="1311"/>
      <c r="G67" s="1311"/>
      <c r="H67" s="1311"/>
      <c r="I67" s="906"/>
      <c r="J67" s="1311"/>
      <c r="K67" s="1311"/>
      <c r="L67" s="1421"/>
      <c r="M67" s="1311"/>
      <c r="N67" s="1311"/>
      <c r="O67" s="1311"/>
      <c r="P67" s="1311"/>
      <c r="Q67" s="1311"/>
      <c r="R67" s="1311"/>
      <c r="S67" s="1311"/>
      <c r="T67" s="1311"/>
      <c r="U67" s="1311"/>
      <c r="V67" s="1311"/>
      <c r="W67" s="1311"/>
      <c r="X67" s="1311"/>
      <c r="Y67" s="1311"/>
      <c r="Z67" s="1394"/>
      <c r="AA67" s="8"/>
      <c r="AB67" s="8"/>
      <c r="AC67" s="184"/>
      <c r="AD67" s="184"/>
      <c r="AE67" s="184"/>
      <c r="AF67" s="184"/>
      <c r="AG67" s="184"/>
      <c r="AH67" s="184"/>
      <c r="AI67" s="184"/>
      <c r="AJ67" s="184"/>
      <c r="AK67" s="184"/>
      <c r="AL67" s="185"/>
      <c r="AM67" s="185"/>
      <c r="AN67" s="185"/>
      <c r="AO67" s="8"/>
      <c r="AP67" s="8"/>
      <c r="AQ67" s="8"/>
      <c r="AR67" s="8"/>
      <c r="AS67" s="8"/>
      <c r="AT67" s="8"/>
      <c r="AU67" s="8"/>
    </row>
    <row r="68" spans="1:47" ht="6.75" customHeight="1" x14ac:dyDescent="0.25">
      <c r="A68" s="1416"/>
      <c r="B68" s="1419"/>
      <c r="C68" s="1311"/>
      <c r="D68" s="1311"/>
      <c r="E68" s="1317"/>
      <c r="F68" s="1311"/>
      <c r="G68" s="1311"/>
      <c r="H68" s="1311"/>
      <c r="I68" s="906"/>
      <c r="J68" s="1311"/>
      <c r="K68" s="1311"/>
      <c r="L68" s="1421"/>
      <c r="M68" s="1311"/>
      <c r="N68" s="1311"/>
      <c r="O68" s="1311"/>
      <c r="P68" s="1311"/>
      <c r="Q68" s="1311"/>
      <c r="R68" s="1311"/>
      <c r="S68" s="1311"/>
      <c r="T68" s="1311"/>
      <c r="U68" s="1311"/>
      <c r="V68" s="1311"/>
      <c r="W68" s="1311"/>
      <c r="X68" s="1311"/>
      <c r="Y68" s="1311"/>
      <c r="Z68" s="1394"/>
      <c r="AA68" s="8"/>
      <c r="AB68" s="8"/>
      <c r="AC68" s="184"/>
      <c r="AD68" s="184"/>
      <c r="AE68" s="184"/>
      <c r="AF68" s="184"/>
      <c r="AG68" s="184"/>
      <c r="AH68" s="184"/>
      <c r="AI68" s="184"/>
      <c r="AJ68" s="184"/>
      <c r="AK68" s="184"/>
      <c r="AL68" s="185"/>
      <c r="AM68" s="185"/>
      <c r="AN68" s="185"/>
      <c r="AO68" s="8"/>
      <c r="AP68" s="8"/>
      <c r="AQ68" s="8"/>
      <c r="AR68" s="8"/>
      <c r="AS68" s="8"/>
      <c r="AT68" s="8"/>
      <c r="AU68" s="8"/>
    </row>
    <row r="69" spans="1:47" ht="6.75" customHeight="1" x14ac:dyDescent="0.25">
      <c r="A69" s="1416"/>
      <c r="B69" s="1419"/>
      <c r="C69" s="1311"/>
      <c r="D69" s="1311"/>
      <c r="E69" s="1317"/>
      <c r="F69" s="1311"/>
      <c r="G69" s="1311"/>
      <c r="H69" s="1311"/>
      <c r="I69" s="906"/>
      <c r="J69" s="1311"/>
      <c r="K69" s="1311"/>
      <c r="L69" s="1421"/>
      <c r="M69" s="1311"/>
      <c r="N69" s="1311"/>
      <c r="O69" s="1311"/>
      <c r="P69" s="1311"/>
      <c r="Q69" s="1311"/>
      <c r="R69" s="1311"/>
      <c r="S69" s="1311"/>
      <c r="T69" s="1311"/>
      <c r="U69" s="1311"/>
      <c r="V69" s="1311"/>
      <c r="W69" s="1311"/>
      <c r="X69" s="1311"/>
      <c r="Y69" s="1311"/>
      <c r="Z69" s="1394"/>
      <c r="AA69" s="8"/>
      <c r="AB69" s="8"/>
      <c r="AC69" s="184"/>
      <c r="AD69" s="184"/>
      <c r="AE69" s="184"/>
      <c r="AF69" s="184"/>
      <c r="AG69" s="184"/>
      <c r="AH69" s="184"/>
      <c r="AI69" s="184"/>
      <c r="AJ69" s="184"/>
      <c r="AK69" s="184"/>
      <c r="AL69" s="185"/>
      <c r="AM69" s="185"/>
      <c r="AN69" s="185"/>
      <c r="AO69" s="8"/>
      <c r="AP69" s="8"/>
      <c r="AQ69" s="8"/>
      <c r="AR69" s="8"/>
      <c r="AS69" s="8"/>
      <c r="AT69" s="8"/>
      <c r="AU69" s="8"/>
    </row>
    <row r="70" spans="1:47" ht="13.5" customHeight="1" x14ac:dyDescent="0.25">
      <c r="A70" s="1416"/>
      <c r="B70" s="1419"/>
      <c r="C70" s="1318" t="s">
        <v>297</v>
      </c>
      <c r="D70" s="290" t="s">
        <v>288</v>
      </c>
      <c r="E70" s="919">
        <v>3</v>
      </c>
      <c r="F70" s="919"/>
      <c r="G70" s="919"/>
      <c r="H70" s="919">
        <v>3</v>
      </c>
      <c r="I70" s="919"/>
      <c r="J70" s="919">
        <v>3</v>
      </c>
      <c r="K70" s="919">
        <v>2</v>
      </c>
      <c r="L70" s="919">
        <v>2</v>
      </c>
      <c r="M70" s="919">
        <v>3</v>
      </c>
      <c r="N70" s="919">
        <v>3</v>
      </c>
      <c r="O70" s="1318" t="s">
        <v>297</v>
      </c>
      <c r="P70" s="1422" t="s">
        <v>480</v>
      </c>
      <c r="Q70" s="1423" t="s">
        <v>479</v>
      </c>
      <c r="R70" s="1318" t="s">
        <v>305</v>
      </c>
      <c r="S70" s="1310" t="s">
        <v>290</v>
      </c>
      <c r="T70" s="1317">
        <v>66663</v>
      </c>
      <c r="U70" s="1317">
        <v>73810</v>
      </c>
      <c r="V70" s="1310"/>
      <c r="W70" s="1310" t="s">
        <v>291</v>
      </c>
      <c r="X70" s="1310" t="s">
        <v>292</v>
      </c>
      <c r="Y70" s="1310" t="s">
        <v>293</v>
      </c>
      <c r="Z70" s="1413">
        <f>SUM(U70+T70)</f>
        <v>140473</v>
      </c>
      <c r="AA70" s="8"/>
      <c r="AB70" s="8"/>
      <c r="AC70" s="184">
        <v>12</v>
      </c>
      <c r="AD70" s="184" t="s">
        <v>294</v>
      </c>
      <c r="AE70" s="184"/>
      <c r="AF70" s="184"/>
      <c r="AG70" s="184"/>
      <c r="AH70" s="184" t="s">
        <v>295</v>
      </c>
      <c r="AI70" s="184"/>
      <c r="AJ70" s="184"/>
      <c r="AK70" s="184"/>
      <c r="AL70" s="185"/>
      <c r="AM70" s="185"/>
      <c r="AN70" s="185"/>
      <c r="AO70" s="8"/>
      <c r="AP70" s="8"/>
      <c r="AQ70" s="8"/>
      <c r="AR70" s="8"/>
      <c r="AS70" s="8"/>
      <c r="AT70" s="8"/>
      <c r="AU70" s="8"/>
    </row>
    <row r="71" spans="1:47" ht="13.5" customHeight="1" x14ac:dyDescent="0.25">
      <c r="A71" s="1416"/>
      <c r="B71" s="1419"/>
      <c r="C71" s="1311"/>
      <c r="D71" s="922" t="s">
        <v>296</v>
      </c>
      <c r="E71" s="325">
        <v>15361764.2857143</v>
      </c>
      <c r="F71" s="289"/>
      <c r="G71" s="289"/>
      <c r="H71" s="306">
        <v>11250720</v>
      </c>
      <c r="I71" s="306"/>
      <c r="J71" s="932">
        <v>8526171.0299999993</v>
      </c>
      <c r="K71" s="325">
        <f>+K70*$K$151/$K$150</f>
        <v>6774714.2857142854</v>
      </c>
      <c r="L71" s="325">
        <v>6774714</v>
      </c>
      <c r="M71" s="306">
        <v>7313290.7852760702</v>
      </c>
      <c r="N71" s="932">
        <v>7308717.9952606596</v>
      </c>
      <c r="O71" s="1311"/>
      <c r="P71" s="1311"/>
      <c r="Q71" s="1311"/>
      <c r="R71" s="1311"/>
      <c r="S71" s="1311"/>
      <c r="T71" s="1311"/>
      <c r="U71" s="1311"/>
      <c r="V71" s="1311"/>
      <c r="W71" s="1311"/>
      <c r="X71" s="1311"/>
      <c r="Y71" s="1311"/>
      <c r="Z71" s="1394"/>
      <c r="AA71" s="8"/>
      <c r="AB71" s="8"/>
      <c r="AC71" s="184">
        <v>13</v>
      </c>
      <c r="AD71" s="184" t="s">
        <v>297</v>
      </c>
      <c r="AE71" s="184"/>
      <c r="AF71" s="184"/>
      <c r="AG71" s="184"/>
      <c r="AH71" s="184" t="s">
        <v>298</v>
      </c>
      <c r="AI71" s="184"/>
      <c r="AJ71" s="184"/>
      <c r="AK71" s="184"/>
      <c r="AL71" s="185"/>
      <c r="AM71" s="185"/>
      <c r="AN71" s="185"/>
      <c r="AO71" s="8"/>
      <c r="AP71" s="8"/>
      <c r="AQ71" s="8"/>
      <c r="AR71" s="8"/>
      <c r="AS71" s="8"/>
      <c r="AT71" s="8"/>
      <c r="AU71" s="8"/>
    </row>
    <row r="72" spans="1:47" ht="14.25" customHeight="1" x14ac:dyDescent="0.25">
      <c r="A72" s="1416"/>
      <c r="B72" s="1419"/>
      <c r="C72" s="1311"/>
      <c r="D72" s="922" t="s">
        <v>299</v>
      </c>
      <c r="E72" s="919"/>
      <c r="F72" s="919"/>
      <c r="G72" s="919"/>
      <c r="H72" s="919"/>
      <c r="I72" s="919"/>
      <c r="J72" s="919"/>
      <c r="K72" s="919"/>
      <c r="L72" s="919"/>
      <c r="M72" s="919"/>
      <c r="N72" s="919"/>
      <c r="O72" s="1311"/>
      <c r="P72" s="1311"/>
      <c r="Q72" s="1311"/>
      <c r="R72" s="1311"/>
      <c r="S72" s="1311"/>
      <c r="T72" s="1311"/>
      <c r="U72" s="1311"/>
      <c r="V72" s="1311"/>
      <c r="W72" s="1311"/>
      <c r="X72" s="1311"/>
      <c r="Y72" s="1311"/>
      <c r="Z72" s="1394"/>
      <c r="AA72" s="8"/>
      <c r="AB72" s="8"/>
      <c r="AC72" s="184">
        <v>14</v>
      </c>
      <c r="AD72" s="184" t="s">
        <v>300</v>
      </c>
      <c r="AE72" s="184"/>
      <c r="AF72" s="184"/>
      <c r="AG72" s="184"/>
      <c r="AH72" s="184" t="s">
        <v>301</v>
      </c>
      <c r="AI72" s="184"/>
      <c r="AJ72" s="184"/>
      <c r="AK72" s="184"/>
      <c r="AL72" s="185"/>
      <c r="AM72" s="185"/>
      <c r="AN72" s="185"/>
      <c r="AO72" s="8"/>
      <c r="AP72" s="8"/>
      <c r="AQ72" s="8"/>
      <c r="AR72" s="8"/>
      <c r="AS72" s="8"/>
      <c r="AT72" s="8"/>
      <c r="AU72" s="8"/>
    </row>
    <row r="73" spans="1:47" ht="11.25" customHeight="1" x14ac:dyDescent="0.25">
      <c r="A73" s="1416"/>
      <c r="B73" s="1419"/>
      <c r="C73" s="1311"/>
      <c r="D73" s="1396" t="s">
        <v>302</v>
      </c>
      <c r="E73" s="1317"/>
      <c r="F73" s="1317"/>
      <c r="G73" s="1317"/>
      <c r="H73" s="1317"/>
      <c r="I73" s="919"/>
      <c r="J73" s="1317"/>
      <c r="K73" s="1317"/>
      <c r="L73" s="1421"/>
      <c r="M73" s="1421"/>
      <c r="N73" s="1421"/>
      <c r="O73" s="1311"/>
      <c r="P73" s="1311"/>
      <c r="Q73" s="1311"/>
      <c r="R73" s="1311"/>
      <c r="S73" s="1311"/>
      <c r="T73" s="1311"/>
      <c r="U73" s="1311"/>
      <c r="V73" s="1311"/>
      <c r="W73" s="1311"/>
      <c r="X73" s="1311"/>
      <c r="Y73" s="1311"/>
      <c r="Z73" s="1394"/>
      <c r="AA73" s="8"/>
      <c r="AB73" s="8"/>
      <c r="AC73" s="184"/>
      <c r="AD73" s="184"/>
      <c r="AE73" s="184"/>
      <c r="AF73" s="184"/>
      <c r="AG73" s="184"/>
      <c r="AH73" s="184"/>
      <c r="AI73" s="184"/>
      <c r="AJ73" s="184"/>
      <c r="AK73" s="184"/>
      <c r="AL73" s="185"/>
      <c r="AM73" s="185"/>
      <c r="AN73" s="185"/>
      <c r="AO73" s="8"/>
      <c r="AP73" s="8"/>
      <c r="AQ73" s="8"/>
      <c r="AR73" s="8"/>
      <c r="AS73" s="8"/>
      <c r="AT73" s="8"/>
      <c r="AU73" s="8"/>
    </row>
    <row r="74" spans="1:47" ht="9.75" customHeight="1" x14ac:dyDescent="0.25">
      <c r="A74" s="1416"/>
      <c r="B74" s="1419"/>
      <c r="C74" s="1311"/>
      <c r="D74" s="1311"/>
      <c r="E74" s="1317"/>
      <c r="F74" s="1311"/>
      <c r="G74" s="1311"/>
      <c r="H74" s="1311"/>
      <c r="I74" s="906"/>
      <c r="J74" s="1311"/>
      <c r="K74" s="1311"/>
      <c r="L74" s="1421"/>
      <c r="M74" s="1311"/>
      <c r="N74" s="1311"/>
      <c r="O74" s="1311"/>
      <c r="P74" s="1311"/>
      <c r="Q74" s="1311"/>
      <c r="R74" s="1311"/>
      <c r="S74" s="1311"/>
      <c r="T74" s="1311"/>
      <c r="U74" s="1311"/>
      <c r="V74" s="1311"/>
      <c r="W74" s="1311"/>
      <c r="X74" s="1311"/>
      <c r="Y74" s="1311"/>
      <c r="Z74" s="1394"/>
      <c r="AA74" s="8"/>
      <c r="AB74" s="8"/>
      <c r="AC74" s="184"/>
      <c r="AD74" s="184"/>
      <c r="AE74" s="184"/>
      <c r="AF74" s="184"/>
      <c r="AG74" s="184"/>
      <c r="AH74" s="184"/>
      <c r="AI74" s="184"/>
      <c r="AJ74" s="184"/>
      <c r="AK74" s="184"/>
      <c r="AL74" s="185"/>
      <c r="AM74" s="185"/>
      <c r="AN74" s="185"/>
      <c r="AO74" s="8"/>
      <c r="AP74" s="8"/>
      <c r="AQ74" s="8"/>
      <c r="AR74" s="8"/>
      <c r="AS74" s="8"/>
      <c r="AT74" s="8"/>
      <c r="AU74" s="8"/>
    </row>
    <row r="75" spans="1:47" ht="6.75" customHeight="1" x14ac:dyDescent="0.25">
      <c r="A75" s="1416"/>
      <c r="B75" s="1419"/>
      <c r="C75" s="1311"/>
      <c r="D75" s="1311"/>
      <c r="E75" s="1317"/>
      <c r="F75" s="1311"/>
      <c r="G75" s="1311"/>
      <c r="H75" s="1311"/>
      <c r="I75" s="906"/>
      <c r="J75" s="1311"/>
      <c r="K75" s="1311"/>
      <c r="L75" s="1421"/>
      <c r="M75" s="1311"/>
      <c r="N75" s="1311"/>
      <c r="O75" s="1311"/>
      <c r="P75" s="1311"/>
      <c r="Q75" s="1311"/>
      <c r="R75" s="1311"/>
      <c r="S75" s="1311"/>
      <c r="T75" s="1311"/>
      <c r="U75" s="1311"/>
      <c r="V75" s="1311"/>
      <c r="W75" s="1311"/>
      <c r="X75" s="1311"/>
      <c r="Y75" s="1311"/>
      <c r="Z75" s="1394"/>
      <c r="AA75" s="8"/>
      <c r="AB75" s="8"/>
      <c r="AC75" s="184"/>
      <c r="AD75" s="184"/>
      <c r="AE75" s="184"/>
      <c r="AF75" s="184"/>
      <c r="AG75" s="184"/>
      <c r="AH75" s="184"/>
      <c r="AI75" s="184"/>
      <c r="AJ75" s="184"/>
      <c r="AK75" s="184"/>
      <c r="AL75" s="185"/>
      <c r="AM75" s="185"/>
      <c r="AN75" s="185"/>
      <c r="AO75" s="8"/>
      <c r="AP75" s="8"/>
      <c r="AQ75" s="8"/>
      <c r="AR75" s="8"/>
      <c r="AS75" s="8"/>
      <c r="AT75" s="8"/>
      <c r="AU75" s="8"/>
    </row>
    <row r="76" spans="1:47" ht="6.75" customHeight="1" x14ac:dyDescent="0.25">
      <c r="A76" s="1416"/>
      <c r="B76" s="1419"/>
      <c r="C76" s="1311"/>
      <c r="D76" s="1311"/>
      <c r="E76" s="1317"/>
      <c r="F76" s="1311"/>
      <c r="G76" s="1311"/>
      <c r="H76" s="1311"/>
      <c r="I76" s="906"/>
      <c r="J76" s="1311"/>
      <c r="K76" s="1311"/>
      <c r="L76" s="1421"/>
      <c r="M76" s="1311"/>
      <c r="N76" s="1311"/>
      <c r="O76" s="1311"/>
      <c r="P76" s="1311"/>
      <c r="Q76" s="1311"/>
      <c r="R76" s="1311"/>
      <c r="S76" s="1311"/>
      <c r="T76" s="1311"/>
      <c r="U76" s="1311"/>
      <c r="V76" s="1311"/>
      <c r="W76" s="1311"/>
      <c r="X76" s="1311"/>
      <c r="Y76" s="1311"/>
      <c r="Z76" s="1394"/>
      <c r="AA76" s="8"/>
      <c r="AB76" s="8"/>
      <c r="AC76" s="184"/>
      <c r="AD76" s="184"/>
      <c r="AE76" s="184"/>
      <c r="AF76" s="184"/>
      <c r="AG76" s="184"/>
      <c r="AH76" s="184"/>
      <c r="AI76" s="184"/>
      <c r="AJ76" s="184"/>
      <c r="AK76" s="184"/>
      <c r="AL76" s="185"/>
      <c r="AM76" s="185"/>
      <c r="AN76" s="185"/>
      <c r="AO76" s="8"/>
      <c r="AP76" s="8"/>
      <c r="AQ76" s="8"/>
      <c r="AR76" s="8"/>
      <c r="AS76" s="8"/>
      <c r="AT76" s="8"/>
      <c r="AU76" s="8"/>
    </row>
    <row r="77" spans="1:47" ht="13.5" customHeight="1" x14ac:dyDescent="0.25">
      <c r="A77" s="1416"/>
      <c r="B77" s="1419"/>
      <c r="C77" s="1318" t="s">
        <v>313</v>
      </c>
      <c r="D77" s="290" t="s">
        <v>288</v>
      </c>
      <c r="E77" s="919">
        <v>6</v>
      </c>
      <c r="F77" s="919"/>
      <c r="G77" s="919"/>
      <c r="H77" s="919">
        <v>7</v>
      </c>
      <c r="I77" s="919"/>
      <c r="J77" s="919">
        <v>10</v>
      </c>
      <c r="K77" s="919">
        <v>4</v>
      </c>
      <c r="L77" s="919">
        <v>4</v>
      </c>
      <c r="M77" s="919">
        <v>7</v>
      </c>
      <c r="N77" s="919">
        <v>10</v>
      </c>
      <c r="O77" s="1318" t="s">
        <v>313</v>
      </c>
      <c r="P77" s="1422" t="s">
        <v>478</v>
      </c>
      <c r="Q77" s="1423" t="s">
        <v>477</v>
      </c>
      <c r="R77" s="1318" t="s">
        <v>305</v>
      </c>
      <c r="S77" s="1310" t="s">
        <v>290</v>
      </c>
      <c r="T77" s="1317">
        <v>195255</v>
      </c>
      <c r="U77" s="1317">
        <v>218479</v>
      </c>
      <c r="V77" s="1310"/>
      <c r="W77" s="1310" t="s">
        <v>291</v>
      </c>
      <c r="X77" s="1310" t="s">
        <v>292</v>
      </c>
      <c r="Y77" s="1310" t="s">
        <v>293</v>
      </c>
      <c r="Z77" s="1413">
        <f>T77+U77</f>
        <v>413734</v>
      </c>
      <c r="AA77" s="8"/>
      <c r="AB77" s="8"/>
      <c r="AC77" s="184">
        <v>12</v>
      </c>
      <c r="AD77" s="184" t="s">
        <v>294</v>
      </c>
      <c r="AE77" s="184"/>
      <c r="AF77" s="184"/>
      <c r="AG77" s="184"/>
      <c r="AH77" s="184" t="s">
        <v>295</v>
      </c>
      <c r="AI77" s="184"/>
      <c r="AJ77" s="184"/>
      <c r="AK77" s="184"/>
      <c r="AL77" s="185"/>
      <c r="AM77" s="185"/>
      <c r="AN77" s="185"/>
      <c r="AO77" s="8"/>
      <c r="AP77" s="8"/>
      <c r="AQ77" s="8"/>
      <c r="AR77" s="8"/>
      <c r="AS77" s="8"/>
      <c r="AT77" s="8"/>
      <c r="AU77" s="8"/>
    </row>
    <row r="78" spans="1:47" ht="13.5" customHeight="1" x14ac:dyDescent="0.25">
      <c r="A78" s="1416"/>
      <c r="B78" s="1419"/>
      <c r="C78" s="1311"/>
      <c r="D78" s="922" t="s">
        <v>296</v>
      </c>
      <c r="E78" s="325">
        <v>30723528.571428601</v>
      </c>
      <c r="F78" s="289"/>
      <c r="G78" s="289"/>
      <c r="H78" s="306">
        <v>26251680</v>
      </c>
      <c r="I78" s="306"/>
      <c r="J78" s="932">
        <v>28420570.100000001</v>
      </c>
      <c r="K78" s="325">
        <v>13549428.571428571</v>
      </c>
      <c r="L78" s="325">
        <v>17174100</v>
      </c>
      <c r="M78" s="306">
        <v>17064345.165644199</v>
      </c>
      <c r="N78" s="932">
        <v>24362393.317535501</v>
      </c>
      <c r="O78" s="1311"/>
      <c r="P78" s="1311"/>
      <c r="Q78" s="1311"/>
      <c r="R78" s="1311"/>
      <c r="S78" s="1311"/>
      <c r="T78" s="1311"/>
      <c r="U78" s="1311"/>
      <c r="V78" s="1311"/>
      <c r="W78" s="1311"/>
      <c r="X78" s="1311"/>
      <c r="Y78" s="1311"/>
      <c r="Z78" s="1394"/>
      <c r="AA78" s="8"/>
      <c r="AB78" s="8"/>
      <c r="AC78" s="184">
        <v>13</v>
      </c>
      <c r="AD78" s="184" t="s">
        <v>297</v>
      </c>
      <c r="AE78" s="184"/>
      <c r="AF78" s="184"/>
      <c r="AG78" s="184"/>
      <c r="AH78" s="184" t="s">
        <v>298</v>
      </c>
      <c r="AI78" s="184"/>
      <c r="AJ78" s="184"/>
      <c r="AK78" s="184"/>
      <c r="AL78" s="185"/>
      <c r="AM78" s="185"/>
      <c r="AN78" s="185"/>
      <c r="AO78" s="8"/>
      <c r="AP78" s="8"/>
      <c r="AQ78" s="8"/>
      <c r="AR78" s="8"/>
      <c r="AS78" s="8"/>
      <c r="AT78" s="8"/>
      <c r="AU78" s="8"/>
    </row>
    <row r="79" spans="1:47" ht="14.25" customHeight="1" x14ac:dyDescent="0.25">
      <c r="A79" s="1416"/>
      <c r="B79" s="1419"/>
      <c r="C79" s="1311"/>
      <c r="D79" s="922" t="s">
        <v>299</v>
      </c>
      <c r="E79" s="919"/>
      <c r="F79" s="919"/>
      <c r="G79" s="919"/>
      <c r="H79" s="919"/>
      <c r="I79" s="919"/>
      <c r="J79" s="919"/>
      <c r="K79" s="919"/>
      <c r="L79" s="919"/>
      <c r="M79" s="919"/>
      <c r="N79" s="919"/>
      <c r="O79" s="1311"/>
      <c r="P79" s="1311"/>
      <c r="Q79" s="1311"/>
      <c r="R79" s="1311"/>
      <c r="S79" s="1311"/>
      <c r="T79" s="1311"/>
      <c r="U79" s="1311"/>
      <c r="V79" s="1311"/>
      <c r="W79" s="1311"/>
      <c r="X79" s="1311"/>
      <c r="Y79" s="1311"/>
      <c r="Z79" s="1394"/>
      <c r="AA79" s="8"/>
      <c r="AB79" s="8"/>
      <c r="AC79" s="184">
        <v>14</v>
      </c>
      <c r="AD79" s="184" t="s">
        <v>300</v>
      </c>
      <c r="AE79" s="184"/>
      <c r="AF79" s="184"/>
      <c r="AG79" s="184"/>
      <c r="AH79" s="184" t="s">
        <v>301</v>
      </c>
      <c r="AI79" s="184"/>
      <c r="AJ79" s="184"/>
      <c r="AK79" s="184"/>
      <c r="AL79" s="185"/>
      <c r="AM79" s="185"/>
      <c r="AN79" s="185"/>
      <c r="AO79" s="8"/>
      <c r="AP79" s="8"/>
      <c r="AQ79" s="8"/>
      <c r="AR79" s="8"/>
      <c r="AS79" s="8"/>
      <c r="AT79" s="8"/>
      <c r="AU79" s="8"/>
    </row>
    <row r="80" spans="1:47" ht="11.25" customHeight="1" x14ac:dyDescent="0.25">
      <c r="A80" s="1416"/>
      <c r="B80" s="1419"/>
      <c r="C80" s="1311"/>
      <c r="D80" s="1396" t="s">
        <v>302</v>
      </c>
      <c r="E80" s="1317"/>
      <c r="F80" s="1317"/>
      <c r="G80" s="1317"/>
      <c r="H80" s="1317"/>
      <c r="I80" s="919"/>
      <c r="J80" s="1317"/>
      <c r="K80" s="1317"/>
      <c r="L80" s="1421"/>
      <c r="M80" s="1421"/>
      <c r="N80" s="1421"/>
      <c r="O80" s="1311"/>
      <c r="P80" s="1311"/>
      <c r="Q80" s="1311"/>
      <c r="R80" s="1311"/>
      <c r="S80" s="1311"/>
      <c r="T80" s="1311"/>
      <c r="U80" s="1311"/>
      <c r="V80" s="1311"/>
      <c r="W80" s="1311"/>
      <c r="X80" s="1311"/>
      <c r="Y80" s="1311"/>
      <c r="Z80" s="1394"/>
      <c r="AA80" s="8"/>
      <c r="AB80" s="8"/>
      <c r="AC80" s="184"/>
      <c r="AD80" s="184"/>
      <c r="AE80" s="184"/>
      <c r="AF80" s="184"/>
      <c r="AG80" s="184"/>
      <c r="AH80" s="184"/>
      <c r="AI80" s="184"/>
      <c r="AJ80" s="184"/>
      <c r="AK80" s="184"/>
      <c r="AL80" s="185"/>
      <c r="AM80" s="185"/>
      <c r="AN80" s="185"/>
      <c r="AO80" s="8"/>
      <c r="AP80" s="8"/>
      <c r="AQ80" s="8"/>
      <c r="AR80" s="8"/>
      <c r="AS80" s="8"/>
      <c r="AT80" s="8"/>
      <c r="AU80" s="8"/>
    </row>
    <row r="81" spans="1:47" ht="9.75" customHeight="1" x14ac:dyDescent="0.25">
      <c r="A81" s="1416"/>
      <c r="B81" s="1419"/>
      <c r="C81" s="1311"/>
      <c r="D81" s="1311"/>
      <c r="E81" s="1317"/>
      <c r="F81" s="1311"/>
      <c r="G81" s="1311"/>
      <c r="H81" s="1311"/>
      <c r="I81" s="906"/>
      <c r="J81" s="1311"/>
      <c r="K81" s="1311"/>
      <c r="L81" s="1421"/>
      <c r="M81" s="1311"/>
      <c r="N81" s="1311"/>
      <c r="O81" s="1311"/>
      <c r="P81" s="1311"/>
      <c r="Q81" s="1311"/>
      <c r="R81" s="1311"/>
      <c r="S81" s="1311"/>
      <c r="T81" s="1311"/>
      <c r="U81" s="1311"/>
      <c r="V81" s="1311"/>
      <c r="W81" s="1311"/>
      <c r="X81" s="1311"/>
      <c r="Y81" s="1311"/>
      <c r="Z81" s="1394"/>
      <c r="AA81" s="8"/>
      <c r="AB81" s="8"/>
      <c r="AC81" s="184"/>
      <c r="AD81" s="184"/>
      <c r="AE81" s="184"/>
      <c r="AF81" s="184"/>
      <c r="AG81" s="184"/>
      <c r="AH81" s="184"/>
      <c r="AI81" s="184"/>
      <c r="AJ81" s="184"/>
      <c r="AK81" s="184"/>
      <c r="AL81" s="185"/>
      <c r="AM81" s="185"/>
      <c r="AN81" s="185"/>
      <c r="AO81" s="8"/>
      <c r="AP81" s="8"/>
      <c r="AQ81" s="8"/>
      <c r="AR81" s="8"/>
      <c r="AS81" s="8"/>
      <c r="AT81" s="8"/>
      <c r="AU81" s="8"/>
    </row>
    <row r="82" spans="1:47" ht="6.75" customHeight="1" x14ac:dyDescent="0.25">
      <c r="A82" s="1416"/>
      <c r="B82" s="1419"/>
      <c r="C82" s="1311"/>
      <c r="D82" s="1311"/>
      <c r="E82" s="1317"/>
      <c r="F82" s="1311"/>
      <c r="G82" s="1311"/>
      <c r="H82" s="1311"/>
      <c r="I82" s="906"/>
      <c r="J82" s="1311"/>
      <c r="K82" s="1311"/>
      <c r="L82" s="1421"/>
      <c r="M82" s="1311"/>
      <c r="N82" s="1311"/>
      <c r="O82" s="1311"/>
      <c r="P82" s="1311"/>
      <c r="Q82" s="1311"/>
      <c r="R82" s="1311"/>
      <c r="S82" s="1311"/>
      <c r="T82" s="1311"/>
      <c r="U82" s="1311"/>
      <c r="V82" s="1311"/>
      <c r="W82" s="1311"/>
      <c r="X82" s="1311"/>
      <c r="Y82" s="1311"/>
      <c r="Z82" s="1394"/>
      <c r="AA82" s="8"/>
      <c r="AB82" s="8"/>
      <c r="AC82" s="184"/>
      <c r="AD82" s="184"/>
      <c r="AE82" s="184"/>
      <c r="AF82" s="184"/>
      <c r="AG82" s="184"/>
      <c r="AH82" s="184"/>
      <c r="AI82" s="184"/>
      <c r="AJ82" s="184"/>
      <c r="AK82" s="184"/>
      <c r="AL82" s="185"/>
      <c r="AM82" s="185"/>
      <c r="AN82" s="185"/>
      <c r="AO82" s="8"/>
      <c r="AP82" s="8"/>
      <c r="AQ82" s="8"/>
      <c r="AR82" s="8"/>
      <c r="AS82" s="8"/>
      <c r="AT82" s="8"/>
      <c r="AU82" s="8"/>
    </row>
    <row r="83" spans="1:47" ht="6.75" customHeight="1" thickBot="1" x14ac:dyDescent="0.3">
      <c r="A83" s="1416"/>
      <c r="B83" s="1419"/>
      <c r="C83" s="1311"/>
      <c r="D83" s="1311"/>
      <c r="E83" s="1317"/>
      <c r="F83" s="1311"/>
      <c r="G83" s="1311"/>
      <c r="H83" s="1311"/>
      <c r="I83" s="906"/>
      <c r="J83" s="1311"/>
      <c r="K83" s="1311"/>
      <c r="L83" s="1421"/>
      <c r="M83" s="1311"/>
      <c r="N83" s="1311"/>
      <c r="O83" s="1311"/>
      <c r="P83" s="1311"/>
      <c r="Q83" s="1311"/>
      <c r="R83" s="1311"/>
      <c r="S83" s="1311"/>
      <c r="T83" s="1311"/>
      <c r="U83" s="1311"/>
      <c r="V83" s="1311"/>
      <c r="W83" s="1311"/>
      <c r="X83" s="1311"/>
      <c r="Y83" s="1311"/>
      <c r="Z83" s="1394"/>
      <c r="AA83" s="8"/>
      <c r="AB83" s="8"/>
      <c r="AC83" s="184"/>
      <c r="AD83" s="184"/>
      <c r="AE83" s="184"/>
      <c r="AF83" s="184"/>
      <c r="AG83" s="184"/>
      <c r="AH83" s="184"/>
      <c r="AI83" s="184"/>
      <c r="AJ83" s="184"/>
      <c r="AK83" s="184"/>
      <c r="AL83" s="185"/>
      <c r="AM83" s="185"/>
      <c r="AN83" s="185"/>
      <c r="AO83" s="8"/>
      <c r="AP83" s="8"/>
      <c r="AQ83" s="8"/>
      <c r="AR83" s="8"/>
      <c r="AS83" s="8"/>
      <c r="AT83" s="8"/>
      <c r="AU83" s="8"/>
    </row>
    <row r="84" spans="1:47" ht="13.5" customHeight="1" x14ac:dyDescent="0.25">
      <c r="A84" s="1416"/>
      <c r="B84" s="1419"/>
      <c r="C84" s="1318" t="s">
        <v>314</v>
      </c>
      <c r="D84" s="290" t="s">
        <v>288</v>
      </c>
      <c r="E84" s="919">
        <v>2</v>
      </c>
      <c r="F84" s="919"/>
      <c r="G84" s="919"/>
      <c r="H84" s="919">
        <v>1</v>
      </c>
      <c r="I84" s="919"/>
      <c r="J84" s="919">
        <v>2</v>
      </c>
      <c r="K84" s="919">
        <v>1</v>
      </c>
      <c r="L84" s="919">
        <v>1</v>
      </c>
      <c r="M84" s="919">
        <v>1</v>
      </c>
      <c r="N84" s="919">
        <v>2</v>
      </c>
      <c r="O84" s="1318" t="s">
        <v>314</v>
      </c>
      <c r="P84" s="1437" t="s">
        <v>476</v>
      </c>
      <c r="Q84" s="1440" t="s">
        <v>475</v>
      </c>
      <c r="R84" s="1318" t="s">
        <v>305</v>
      </c>
      <c r="S84" s="1310" t="s">
        <v>290</v>
      </c>
      <c r="T84" s="1317">
        <v>47476</v>
      </c>
      <c r="U84" s="1317">
        <v>46240</v>
      </c>
      <c r="V84" s="1310"/>
      <c r="W84" s="1310" t="s">
        <v>291</v>
      </c>
      <c r="X84" s="1310" t="s">
        <v>292</v>
      </c>
      <c r="Y84" s="1310" t="s">
        <v>293</v>
      </c>
      <c r="Z84" s="1413">
        <f>SUM(U84+T84)</f>
        <v>93716</v>
      </c>
      <c r="AA84" s="8"/>
      <c r="AB84" s="8"/>
      <c r="AC84" s="184">
        <v>12</v>
      </c>
      <c r="AD84" s="184" t="s">
        <v>294</v>
      </c>
      <c r="AE84" s="184"/>
      <c r="AF84" s="184"/>
      <c r="AG84" s="184"/>
      <c r="AH84" s="184" t="s">
        <v>295</v>
      </c>
      <c r="AI84" s="184"/>
      <c r="AJ84" s="184"/>
      <c r="AK84" s="184"/>
      <c r="AL84" s="185"/>
      <c r="AM84" s="185"/>
      <c r="AN84" s="185"/>
      <c r="AO84" s="8"/>
      <c r="AP84" s="8"/>
      <c r="AQ84" s="8"/>
      <c r="AR84" s="8"/>
      <c r="AS84" s="8"/>
      <c r="AT84" s="8"/>
      <c r="AU84" s="8"/>
    </row>
    <row r="85" spans="1:47" ht="13.5" customHeight="1" x14ac:dyDescent="0.25">
      <c r="A85" s="1416"/>
      <c r="B85" s="1419"/>
      <c r="C85" s="1311"/>
      <c r="D85" s="922" t="s">
        <v>296</v>
      </c>
      <c r="E85" s="325">
        <v>11974407.142857101</v>
      </c>
      <c r="F85" s="289"/>
      <c r="G85" s="289"/>
      <c r="H85" s="306">
        <v>3750240</v>
      </c>
      <c r="I85" s="306"/>
      <c r="J85" s="932">
        <v>5684114.0199999996</v>
      </c>
      <c r="K85" s="325">
        <f>+K84*$K$151/$K$150</f>
        <v>3387357.1428571427</v>
      </c>
      <c r="L85" s="325">
        <v>3387357</v>
      </c>
      <c r="M85" s="306">
        <v>2437763.59509202</v>
      </c>
      <c r="N85" s="932">
        <v>4872478.6635071104</v>
      </c>
      <c r="O85" s="1311"/>
      <c r="P85" s="1438"/>
      <c r="Q85" s="1441"/>
      <c r="R85" s="1311"/>
      <c r="S85" s="1311"/>
      <c r="T85" s="1311"/>
      <c r="U85" s="1311"/>
      <c r="V85" s="1311"/>
      <c r="W85" s="1311"/>
      <c r="X85" s="1311"/>
      <c r="Y85" s="1311"/>
      <c r="Z85" s="1394"/>
      <c r="AA85" s="8"/>
      <c r="AB85" s="8"/>
      <c r="AC85" s="184">
        <v>13</v>
      </c>
      <c r="AD85" s="184" t="s">
        <v>297</v>
      </c>
      <c r="AE85" s="184"/>
      <c r="AF85" s="184"/>
      <c r="AG85" s="184"/>
      <c r="AH85" s="184" t="s">
        <v>298</v>
      </c>
      <c r="AI85" s="184"/>
      <c r="AJ85" s="184"/>
      <c r="AK85" s="184"/>
      <c r="AL85" s="185"/>
      <c r="AM85" s="185"/>
      <c r="AN85" s="185"/>
      <c r="AO85" s="8"/>
      <c r="AP85" s="8"/>
      <c r="AQ85" s="8"/>
      <c r="AR85" s="8"/>
      <c r="AS85" s="8"/>
      <c r="AT85" s="8"/>
      <c r="AU85" s="8"/>
    </row>
    <row r="86" spans="1:47" ht="14.25" customHeight="1" x14ac:dyDescent="0.25">
      <c r="A86" s="1416"/>
      <c r="B86" s="1419"/>
      <c r="C86" s="1311"/>
      <c r="D86" s="922" t="s">
        <v>299</v>
      </c>
      <c r="E86" s="919"/>
      <c r="F86" s="919"/>
      <c r="G86" s="919"/>
      <c r="H86" s="919"/>
      <c r="I86" s="919"/>
      <c r="J86" s="919"/>
      <c r="K86" s="919"/>
      <c r="L86" s="919"/>
      <c r="M86" s="919"/>
      <c r="N86" s="919"/>
      <c r="O86" s="1311"/>
      <c r="P86" s="1438"/>
      <c r="Q86" s="1441"/>
      <c r="R86" s="1311"/>
      <c r="S86" s="1311"/>
      <c r="T86" s="1311"/>
      <c r="U86" s="1311"/>
      <c r="V86" s="1311"/>
      <c r="W86" s="1311"/>
      <c r="X86" s="1311"/>
      <c r="Y86" s="1311"/>
      <c r="Z86" s="1394"/>
      <c r="AA86" s="8"/>
      <c r="AB86" s="8"/>
      <c r="AC86" s="184">
        <v>14</v>
      </c>
      <c r="AD86" s="184" t="s">
        <v>300</v>
      </c>
      <c r="AE86" s="184"/>
      <c r="AF86" s="184"/>
      <c r="AG86" s="184"/>
      <c r="AH86" s="184" t="s">
        <v>301</v>
      </c>
      <c r="AI86" s="184"/>
      <c r="AJ86" s="184"/>
      <c r="AK86" s="184"/>
      <c r="AL86" s="185"/>
      <c r="AM86" s="185"/>
      <c r="AN86" s="185"/>
      <c r="AO86" s="8"/>
      <c r="AP86" s="8"/>
      <c r="AQ86" s="8"/>
      <c r="AR86" s="8"/>
      <c r="AS86" s="8"/>
      <c r="AT86" s="8"/>
      <c r="AU86" s="8"/>
    </row>
    <row r="87" spans="1:47" ht="11.25" customHeight="1" x14ac:dyDescent="0.25">
      <c r="A87" s="1416"/>
      <c r="B87" s="1419"/>
      <c r="C87" s="1311"/>
      <c r="D87" s="1396" t="s">
        <v>302</v>
      </c>
      <c r="E87" s="1317"/>
      <c r="F87" s="1317"/>
      <c r="G87" s="1317"/>
      <c r="H87" s="1317"/>
      <c r="I87" s="919"/>
      <c r="J87" s="1317"/>
      <c r="K87" s="1317"/>
      <c r="L87" s="1421"/>
      <c r="M87" s="1421"/>
      <c r="N87" s="1421"/>
      <c r="O87" s="1311"/>
      <c r="P87" s="1438"/>
      <c r="Q87" s="1441"/>
      <c r="R87" s="1311"/>
      <c r="S87" s="1311"/>
      <c r="T87" s="1311"/>
      <c r="U87" s="1311"/>
      <c r="V87" s="1311"/>
      <c r="W87" s="1311"/>
      <c r="X87" s="1311"/>
      <c r="Y87" s="1311"/>
      <c r="Z87" s="1394"/>
      <c r="AA87" s="8"/>
      <c r="AB87" s="8"/>
      <c r="AC87" s="184"/>
      <c r="AD87" s="184"/>
      <c r="AE87" s="184"/>
      <c r="AF87" s="184"/>
      <c r="AG87" s="184"/>
      <c r="AH87" s="184"/>
      <c r="AI87" s="184"/>
      <c r="AJ87" s="184"/>
      <c r="AK87" s="184"/>
      <c r="AL87" s="185"/>
      <c r="AM87" s="185"/>
      <c r="AN87" s="185"/>
      <c r="AO87" s="8"/>
      <c r="AP87" s="8"/>
      <c r="AQ87" s="8"/>
      <c r="AR87" s="8"/>
      <c r="AS87" s="8"/>
      <c r="AT87" s="8"/>
      <c r="AU87" s="8"/>
    </row>
    <row r="88" spans="1:47" ht="9.75" customHeight="1" x14ac:dyDescent="0.25">
      <c r="A88" s="1416"/>
      <c r="B88" s="1419"/>
      <c r="C88" s="1311"/>
      <c r="D88" s="1311"/>
      <c r="E88" s="1317"/>
      <c r="F88" s="1311"/>
      <c r="G88" s="1311"/>
      <c r="H88" s="1311"/>
      <c r="I88" s="906"/>
      <c r="J88" s="1311"/>
      <c r="K88" s="1311"/>
      <c r="L88" s="1421"/>
      <c r="M88" s="1311"/>
      <c r="N88" s="1311"/>
      <c r="O88" s="1311"/>
      <c r="P88" s="1438"/>
      <c r="Q88" s="1441"/>
      <c r="R88" s="1311"/>
      <c r="S88" s="1311"/>
      <c r="T88" s="1311"/>
      <c r="U88" s="1311"/>
      <c r="V88" s="1311"/>
      <c r="W88" s="1311"/>
      <c r="X88" s="1311"/>
      <c r="Y88" s="1311"/>
      <c r="Z88" s="1394"/>
      <c r="AA88" s="8"/>
      <c r="AB88" s="8"/>
      <c r="AC88" s="184"/>
      <c r="AD88" s="184"/>
      <c r="AE88" s="184"/>
      <c r="AF88" s="184"/>
      <c r="AG88" s="184"/>
      <c r="AH88" s="184"/>
      <c r="AI88" s="184"/>
      <c r="AJ88" s="184"/>
      <c r="AK88" s="184"/>
      <c r="AL88" s="185"/>
      <c r="AM88" s="185"/>
      <c r="AN88" s="185"/>
      <c r="AO88" s="8"/>
      <c r="AP88" s="8"/>
      <c r="AQ88" s="8"/>
      <c r="AR88" s="8"/>
      <c r="AS88" s="8"/>
      <c r="AT88" s="8"/>
      <c r="AU88" s="8"/>
    </row>
    <row r="89" spans="1:47" ht="6.75" customHeight="1" x14ac:dyDescent="0.25">
      <c r="A89" s="1416"/>
      <c r="B89" s="1419"/>
      <c r="C89" s="1311"/>
      <c r="D89" s="1311"/>
      <c r="E89" s="1317"/>
      <c r="F89" s="1311"/>
      <c r="G89" s="1311"/>
      <c r="H89" s="1311"/>
      <c r="I89" s="906"/>
      <c r="J89" s="1311"/>
      <c r="K89" s="1311"/>
      <c r="L89" s="1421"/>
      <c r="M89" s="1311"/>
      <c r="N89" s="1311"/>
      <c r="O89" s="1311"/>
      <c r="P89" s="1438"/>
      <c r="Q89" s="1441"/>
      <c r="R89" s="1311"/>
      <c r="S89" s="1311"/>
      <c r="T89" s="1311"/>
      <c r="U89" s="1311"/>
      <c r="V89" s="1311"/>
      <c r="W89" s="1311"/>
      <c r="X89" s="1311"/>
      <c r="Y89" s="1311"/>
      <c r="Z89" s="1394"/>
      <c r="AA89" s="8"/>
      <c r="AB89" s="8"/>
      <c r="AC89" s="184"/>
      <c r="AD89" s="184"/>
      <c r="AE89" s="184"/>
      <c r="AF89" s="184"/>
      <c r="AG89" s="184"/>
      <c r="AH89" s="184"/>
      <c r="AI89" s="184"/>
      <c r="AJ89" s="184"/>
      <c r="AK89" s="184"/>
      <c r="AL89" s="185"/>
      <c r="AM89" s="185"/>
      <c r="AN89" s="185"/>
      <c r="AO89" s="8"/>
      <c r="AP89" s="8"/>
      <c r="AQ89" s="8"/>
      <c r="AR89" s="8"/>
      <c r="AS89" s="8"/>
      <c r="AT89" s="8"/>
      <c r="AU89" s="8"/>
    </row>
    <row r="90" spans="1:47" ht="6.75" customHeight="1" thickBot="1" x14ac:dyDescent="0.3">
      <c r="A90" s="1416"/>
      <c r="B90" s="1419"/>
      <c r="C90" s="1311"/>
      <c r="D90" s="1311"/>
      <c r="E90" s="1317"/>
      <c r="F90" s="1311"/>
      <c r="G90" s="1311"/>
      <c r="H90" s="1311"/>
      <c r="I90" s="906"/>
      <c r="J90" s="1311"/>
      <c r="K90" s="1311"/>
      <c r="L90" s="1421"/>
      <c r="M90" s="1311"/>
      <c r="N90" s="1311"/>
      <c r="O90" s="1311"/>
      <c r="P90" s="1439"/>
      <c r="Q90" s="1442"/>
      <c r="R90" s="1311"/>
      <c r="S90" s="1311"/>
      <c r="T90" s="1311"/>
      <c r="U90" s="1311"/>
      <c r="V90" s="1311"/>
      <c r="W90" s="1311"/>
      <c r="X90" s="1311"/>
      <c r="Y90" s="1311"/>
      <c r="Z90" s="1394"/>
      <c r="AA90" s="8"/>
      <c r="AB90" s="8"/>
      <c r="AC90" s="184"/>
      <c r="AD90" s="184"/>
      <c r="AE90" s="184"/>
      <c r="AF90" s="184"/>
      <c r="AG90" s="184"/>
      <c r="AH90" s="184"/>
      <c r="AI90" s="184"/>
      <c r="AJ90" s="184"/>
      <c r="AK90" s="184"/>
      <c r="AL90" s="185"/>
      <c r="AM90" s="185"/>
      <c r="AN90" s="185"/>
      <c r="AO90" s="8"/>
      <c r="AP90" s="8"/>
      <c r="AQ90" s="8"/>
      <c r="AR90" s="8"/>
      <c r="AS90" s="8"/>
      <c r="AT90" s="8"/>
      <c r="AU90" s="8"/>
    </row>
    <row r="91" spans="1:47" ht="13.5" customHeight="1" x14ac:dyDescent="0.25">
      <c r="A91" s="1416"/>
      <c r="B91" s="1419"/>
      <c r="C91" s="1318" t="s">
        <v>315</v>
      </c>
      <c r="D91" s="290" t="s">
        <v>288</v>
      </c>
      <c r="E91" s="919">
        <v>12</v>
      </c>
      <c r="F91" s="919"/>
      <c r="G91" s="919"/>
      <c r="H91" s="919">
        <v>21</v>
      </c>
      <c r="I91" s="919"/>
      <c r="J91" s="919">
        <v>27</v>
      </c>
      <c r="K91" s="919">
        <v>5</v>
      </c>
      <c r="L91" s="919">
        <v>7</v>
      </c>
      <c r="M91" s="919">
        <v>21</v>
      </c>
      <c r="N91" s="919">
        <v>27</v>
      </c>
      <c r="O91" s="1318" t="s">
        <v>315</v>
      </c>
      <c r="P91" s="1422" t="s">
        <v>474</v>
      </c>
      <c r="Q91" s="1423" t="s">
        <v>473</v>
      </c>
      <c r="R91" s="1318" t="s">
        <v>305</v>
      </c>
      <c r="S91" s="1310" t="s">
        <v>290</v>
      </c>
      <c r="T91" s="1317">
        <v>610983</v>
      </c>
      <c r="U91" s="1317">
        <v>671995</v>
      </c>
      <c r="V91" s="1310"/>
      <c r="W91" s="1310" t="s">
        <v>291</v>
      </c>
      <c r="X91" s="1310" t="s">
        <v>292</v>
      </c>
      <c r="Y91" s="1310" t="s">
        <v>293</v>
      </c>
      <c r="Z91" s="1413">
        <f>SUM(U91+T91)</f>
        <v>1282978</v>
      </c>
      <c r="AA91" s="8"/>
      <c r="AB91" s="8"/>
      <c r="AC91" s="184">
        <v>12</v>
      </c>
      <c r="AD91" s="184" t="s">
        <v>294</v>
      </c>
      <c r="AE91" s="184"/>
      <c r="AF91" s="184"/>
      <c r="AG91" s="184"/>
      <c r="AH91" s="184" t="s">
        <v>295</v>
      </c>
      <c r="AI91" s="184"/>
      <c r="AJ91" s="184"/>
      <c r="AK91" s="184"/>
      <c r="AL91" s="185"/>
      <c r="AM91" s="185"/>
      <c r="AN91" s="185"/>
      <c r="AO91" s="8"/>
      <c r="AP91" s="8"/>
      <c r="AQ91" s="8"/>
      <c r="AR91" s="8"/>
      <c r="AS91" s="8"/>
      <c r="AT91" s="8"/>
      <c r="AU91" s="8"/>
    </row>
    <row r="92" spans="1:47" ht="13.5" customHeight="1" x14ac:dyDescent="0.25">
      <c r="A92" s="1416"/>
      <c r="B92" s="1419"/>
      <c r="C92" s="1311"/>
      <c r="D92" s="922" t="s">
        <v>296</v>
      </c>
      <c r="E92" s="325">
        <v>77046135.714285702</v>
      </c>
      <c r="F92" s="289"/>
      <c r="G92" s="289"/>
      <c r="H92" s="306">
        <v>78755040</v>
      </c>
      <c r="I92" s="306"/>
      <c r="J92" s="932">
        <v>76735539.269999996</v>
      </c>
      <c r="K92" s="325">
        <f>+K91*$K$151/$K$150</f>
        <v>16936785.714285713</v>
      </c>
      <c r="L92" s="325">
        <v>22514378</v>
      </c>
      <c r="M92" s="306">
        <v>51193035.496932499</v>
      </c>
      <c r="N92" s="932">
        <v>65778461.957346</v>
      </c>
      <c r="O92" s="1311"/>
      <c r="P92" s="1311"/>
      <c r="Q92" s="1311"/>
      <c r="R92" s="1311"/>
      <c r="S92" s="1311"/>
      <c r="T92" s="1311"/>
      <c r="U92" s="1311"/>
      <c r="V92" s="1311"/>
      <c r="W92" s="1311"/>
      <c r="X92" s="1311"/>
      <c r="Y92" s="1311"/>
      <c r="Z92" s="1394"/>
      <c r="AA92" s="8"/>
      <c r="AB92" s="8"/>
      <c r="AC92" s="184">
        <v>13</v>
      </c>
      <c r="AD92" s="184" t="s">
        <v>297</v>
      </c>
      <c r="AE92" s="184"/>
      <c r="AF92" s="184"/>
      <c r="AG92" s="184"/>
      <c r="AH92" s="184" t="s">
        <v>298</v>
      </c>
      <c r="AI92" s="184"/>
      <c r="AJ92" s="184"/>
      <c r="AK92" s="184"/>
      <c r="AL92" s="185"/>
      <c r="AM92" s="185"/>
      <c r="AN92" s="185"/>
      <c r="AO92" s="8"/>
      <c r="AP92" s="8"/>
      <c r="AQ92" s="8"/>
      <c r="AR92" s="8"/>
      <c r="AS92" s="8"/>
      <c r="AT92" s="8"/>
      <c r="AU92" s="8"/>
    </row>
    <row r="93" spans="1:47" ht="14.25" customHeight="1" x14ac:dyDescent="0.25">
      <c r="A93" s="1416"/>
      <c r="B93" s="1419"/>
      <c r="C93" s="1311"/>
      <c r="D93" s="922" t="s">
        <v>299</v>
      </c>
      <c r="E93" s="919"/>
      <c r="F93" s="919"/>
      <c r="G93" s="919"/>
      <c r="H93" s="919"/>
      <c r="I93" s="919"/>
      <c r="J93" s="919"/>
      <c r="K93" s="919"/>
      <c r="L93" s="919"/>
      <c r="M93" s="919"/>
      <c r="N93" s="919"/>
      <c r="O93" s="1311"/>
      <c r="P93" s="1311"/>
      <c r="Q93" s="1311"/>
      <c r="R93" s="1311"/>
      <c r="S93" s="1311"/>
      <c r="T93" s="1311"/>
      <c r="U93" s="1311"/>
      <c r="V93" s="1311"/>
      <c r="W93" s="1311"/>
      <c r="X93" s="1311"/>
      <c r="Y93" s="1311"/>
      <c r="Z93" s="1394"/>
      <c r="AA93" s="8"/>
      <c r="AB93" s="8"/>
      <c r="AC93" s="184">
        <v>14</v>
      </c>
      <c r="AD93" s="184" t="s">
        <v>300</v>
      </c>
      <c r="AE93" s="184"/>
      <c r="AF93" s="184"/>
      <c r="AG93" s="184"/>
      <c r="AH93" s="184" t="s">
        <v>301</v>
      </c>
      <c r="AI93" s="184"/>
      <c r="AJ93" s="184"/>
      <c r="AK93" s="184"/>
      <c r="AL93" s="185"/>
      <c r="AM93" s="185"/>
      <c r="AN93" s="185"/>
      <c r="AO93" s="8"/>
      <c r="AP93" s="8"/>
      <c r="AQ93" s="8"/>
      <c r="AR93" s="8"/>
      <c r="AS93" s="8"/>
      <c r="AT93" s="8"/>
      <c r="AU93" s="8"/>
    </row>
    <row r="94" spans="1:47" ht="11.25" customHeight="1" x14ac:dyDescent="0.25">
      <c r="A94" s="1416"/>
      <c r="B94" s="1419"/>
      <c r="C94" s="1311"/>
      <c r="D94" s="1396" t="s">
        <v>302</v>
      </c>
      <c r="E94" s="1317"/>
      <c r="F94" s="1317"/>
      <c r="G94" s="1317"/>
      <c r="H94" s="1317"/>
      <c r="I94" s="919"/>
      <c r="J94" s="1317"/>
      <c r="K94" s="1317"/>
      <c r="L94" s="1421"/>
      <c r="M94" s="1421"/>
      <c r="N94" s="1421"/>
      <c r="O94" s="1311"/>
      <c r="P94" s="1311"/>
      <c r="Q94" s="1311"/>
      <c r="R94" s="1311"/>
      <c r="S94" s="1311"/>
      <c r="T94" s="1311"/>
      <c r="U94" s="1311"/>
      <c r="V94" s="1311"/>
      <c r="W94" s="1311"/>
      <c r="X94" s="1311"/>
      <c r="Y94" s="1311"/>
      <c r="Z94" s="1394"/>
      <c r="AA94" s="8"/>
      <c r="AB94" s="8"/>
      <c r="AC94" s="184"/>
      <c r="AD94" s="184"/>
      <c r="AE94" s="184"/>
      <c r="AF94" s="184"/>
      <c r="AG94" s="184"/>
      <c r="AH94" s="184"/>
      <c r="AI94" s="184"/>
      <c r="AJ94" s="184"/>
      <c r="AK94" s="184"/>
      <c r="AL94" s="185"/>
      <c r="AM94" s="185"/>
      <c r="AN94" s="185"/>
      <c r="AO94" s="8"/>
      <c r="AP94" s="8"/>
      <c r="AQ94" s="8"/>
      <c r="AR94" s="8"/>
      <c r="AS94" s="8"/>
      <c r="AT94" s="8"/>
      <c r="AU94" s="8"/>
    </row>
    <row r="95" spans="1:47" ht="9.75" customHeight="1" x14ac:dyDescent="0.25">
      <c r="A95" s="1416"/>
      <c r="B95" s="1419"/>
      <c r="C95" s="1311"/>
      <c r="D95" s="1311"/>
      <c r="E95" s="1317"/>
      <c r="F95" s="1311"/>
      <c r="G95" s="1311"/>
      <c r="H95" s="1311"/>
      <c r="I95" s="906"/>
      <c r="J95" s="1311"/>
      <c r="K95" s="1311"/>
      <c r="L95" s="1421"/>
      <c r="M95" s="1311"/>
      <c r="N95" s="1311"/>
      <c r="O95" s="1311"/>
      <c r="P95" s="1311"/>
      <c r="Q95" s="1311"/>
      <c r="R95" s="1311"/>
      <c r="S95" s="1311"/>
      <c r="T95" s="1311"/>
      <c r="U95" s="1311"/>
      <c r="V95" s="1311"/>
      <c r="W95" s="1311"/>
      <c r="X95" s="1311"/>
      <c r="Y95" s="1311"/>
      <c r="Z95" s="1394"/>
      <c r="AA95" s="8"/>
      <c r="AB95" s="8"/>
      <c r="AC95" s="184"/>
      <c r="AD95" s="184"/>
      <c r="AE95" s="184"/>
      <c r="AF95" s="184"/>
      <c r="AG95" s="184"/>
      <c r="AH95" s="184"/>
      <c r="AI95" s="184"/>
      <c r="AJ95" s="184"/>
      <c r="AK95" s="184"/>
      <c r="AL95" s="185"/>
      <c r="AM95" s="185"/>
      <c r="AN95" s="185"/>
      <c r="AO95" s="8"/>
      <c r="AP95" s="8"/>
      <c r="AQ95" s="8"/>
      <c r="AR95" s="8"/>
      <c r="AS95" s="8"/>
      <c r="AT95" s="8"/>
      <c r="AU95" s="8"/>
    </row>
    <row r="96" spans="1:47" ht="6.75" customHeight="1" x14ac:dyDescent="0.25">
      <c r="A96" s="1416"/>
      <c r="B96" s="1419"/>
      <c r="C96" s="1311"/>
      <c r="D96" s="1311"/>
      <c r="E96" s="1317"/>
      <c r="F96" s="1311"/>
      <c r="G96" s="1311"/>
      <c r="H96" s="1311"/>
      <c r="I96" s="906"/>
      <c r="J96" s="1311"/>
      <c r="K96" s="1311"/>
      <c r="L96" s="1421"/>
      <c r="M96" s="1311"/>
      <c r="N96" s="1311"/>
      <c r="O96" s="1311"/>
      <c r="P96" s="1311"/>
      <c r="Q96" s="1311"/>
      <c r="R96" s="1311"/>
      <c r="S96" s="1311"/>
      <c r="T96" s="1311"/>
      <c r="U96" s="1311"/>
      <c r="V96" s="1311"/>
      <c r="W96" s="1311"/>
      <c r="X96" s="1311"/>
      <c r="Y96" s="1311"/>
      <c r="Z96" s="1394"/>
      <c r="AA96" s="8"/>
      <c r="AB96" s="8"/>
      <c r="AC96" s="184"/>
      <c r="AD96" s="184"/>
      <c r="AE96" s="184"/>
      <c r="AF96" s="184"/>
      <c r="AG96" s="184"/>
      <c r="AH96" s="184"/>
      <c r="AI96" s="184"/>
      <c r="AJ96" s="184"/>
      <c r="AK96" s="184"/>
      <c r="AL96" s="185"/>
      <c r="AM96" s="185"/>
      <c r="AN96" s="185"/>
      <c r="AO96" s="8"/>
      <c r="AP96" s="8"/>
      <c r="AQ96" s="8"/>
      <c r="AR96" s="8"/>
      <c r="AS96" s="8"/>
      <c r="AT96" s="8"/>
      <c r="AU96" s="8"/>
    </row>
    <row r="97" spans="1:47" ht="6.75" customHeight="1" x14ac:dyDescent="0.25">
      <c r="A97" s="1416"/>
      <c r="B97" s="1419"/>
      <c r="C97" s="1311"/>
      <c r="D97" s="1311"/>
      <c r="E97" s="1317"/>
      <c r="F97" s="1311"/>
      <c r="G97" s="1311"/>
      <c r="H97" s="1311"/>
      <c r="I97" s="906"/>
      <c r="J97" s="1311"/>
      <c r="K97" s="1311"/>
      <c r="L97" s="1421"/>
      <c r="M97" s="1311"/>
      <c r="N97" s="1311"/>
      <c r="O97" s="1311"/>
      <c r="P97" s="1311"/>
      <c r="Q97" s="1311"/>
      <c r="R97" s="1311"/>
      <c r="S97" s="1311"/>
      <c r="T97" s="1311"/>
      <c r="U97" s="1311"/>
      <c r="V97" s="1311"/>
      <c r="W97" s="1311"/>
      <c r="X97" s="1311"/>
      <c r="Y97" s="1311"/>
      <c r="Z97" s="1394"/>
      <c r="AA97" s="8"/>
      <c r="AB97" s="8"/>
      <c r="AC97" s="184"/>
      <c r="AD97" s="184"/>
      <c r="AE97" s="184"/>
      <c r="AF97" s="184"/>
      <c r="AG97" s="184"/>
      <c r="AH97" s="184"/>
      <c r="AI97" s="184"/>
      <c r="AJ97" s="184"/>
      <c r="AK97" s="184"/>
      <c r="AL97" s="185"/>
      <c r="AM97" s="185"/>
      <c r="AN97" s="185"/>
      <c r="AO97" s="8"/>
      <c r="AP97" s="8"/>
      <c r="AQ97" s="8"/>
      <c r="AR97" s="8"/>
      <c r="AS97" s="8"/>
      <c r="AT97" s="8"/>
      <c r="AU97" s="8"/>
    </row>
    <row r="98" spans="1:47" ht="13.5" customHeight="1" x14ac:dyDescent="0.25">
      <c r="A98" s="1416"/>
      <c r="B98" s="1419"/>
      <c r="C98" s="1318" t="s">
        <v>316</v>
      </c>
      <c r="D98" s="290" t="s">
        <v>288</v>
      </c>
      <c r="E98" s="919">
        <v>5</v>
      </c>
      <c r="F98" s="919"/>
      <c r="G98" s="919"/>
      <c r="H98" s="919">
        <v>6</v>
      </c>
      <c r="I98" s="919"/>
      <c r="J98" s="919">
        <v>11</v>
      </c>
      <c r="K98" s="919">
        <v>1</v>
      </c>
      <c r="L98" s="919">
        <v>4</v>
      </c>
      <c r="M98" s="919">
        <v>6</v>
      </c>
      <c r="N98" s="919">
        <v>11</v>
      </c>
      <c r="O98" s="1318" t="s">
        <v>316</v>
      </c>
      <c r="P98" s="1422" t="s">
        <v>472</v>
      </c>
      <c r="Q98" s="1423" t="s">
        <v>471</v>
      </c>
      <c r="R98" s="1318" t="s">
        <v>317</v>
      </c>
      <c r="S98" s="1310" t="s">
        <v>290</v>
      </c>
      <c r="T98" s="1317">
        <v>191535</v>
      </c>
      <c r="U98" s="1317">
        <v>202823</v>
      </c>
      <c r="V98" s="1310"/>
      <c r="W98" s="1310" t="s">
        <v>291</v>
      </c>
      <c r="X98" s="1310" t="s">
        <v>292</v>
      </c>
      <c r="Y98" s="1310" t="s">
        <v>293</v>
      </c>
      <c r="Z98" s="1413">
        <f>SUM(U98+T98)</f>
        <v>394358</v>
      </c>
      <c r="AA98" s="8"/>
      <c r="AB98" s="8"/>
      <c r="AC98" s="184">
        <v>12</v>
      </c>
      <c r="AD98" s="184" t="s">
        <v>294</v>
      </c>
      <c r="AE98" s="184"/>
      <c r="AF98" s="184"/>
      <c r="AG98" s="184"/>
      <c r="AH98" s="184" t="s">
        <v>295</v>
      </c>
      <c r="AI98" s="184"/>
      <c r="AJ98" s="184"/>
      <c r="AK98" s="184"/>
      <c r="AL98" s="185"/>
      <c r="AM98" s="185"/>
      <c r="AN98" s="185"/>
      <c r="AO98" s="8"/>
      <c r="AP98" s="8"/>
      <c r="AQ98" s="8"/>
      <c r="AR98" s="8"/>
      <c r="AS98" s="8"/>
      <c r="AT98" s="8"/>
      <c r="AU98" s="8"/>
    </row>
    <row r="99" spans="1:47" ht="13.5" customHeight="1" x14ac:dyDescent="0.25">
      <c r="A99" s="1416"/>
      <c r="B99" s="1419"/>
      <c r="C99" s="1311"/>
      <c r="D99" s="922" t="s">
        <v>296</v>
      </c>
      <c r="E99" s="325">
        <v>37735557.142857097</v>
      </c>
      <c r="F99" s="289"/>
      <c r="G99" s="289"/>
      <c r="H99" s="306">
        <v>22501440</v>
      </c>
      <c r="I99" s="306"/>
      <c r="J99" s="932">
        <v>31262627.109999999</v>
      </c>
      <c r="K99" s="325">
        <f>+K98*$K$151/$K$150</f>
        <v>3387357.1428571427</v>
      </c>
      <c r="L99" s="325">
        <v>34348200</v>
      </c>
      <c r="M99" s="306">
        <v>14626581.570552099</v>
      </c>
      <c r="N99" s="932">
        <v>26798632.649289101</v>
      </c>
      <c r="O99" s="1311"/>
      <c r="P99" s="1311"/>
      <c r="Q99" s="1311"/>
      <c r="R99" s="1311"/>
      <c r="S99" s="1311"/>
      <c r="T99" s="1311"/>
      <c r="U99" s="1311"/>
      <c r="V99" s="1311"/>
      <c r="W99" s="1311"/>
      <c r="X99" s="1311"/>
      <c r="Y99" s="1311"/>
      <c r="Z99" s="1394"/>
      <c r="AA99" s="8"/>
      <c r="AB99" s="8"/>
      <c r="AC99" s="184">
        <v>13</v>
      </c>
      <c r="AD99" s="184" t="s">
        <v>297</v>
      </c>
      <c r="AE99" s="184"/>
      <c r="AF99" s="184"/>
      <c r="AG99" s="184"/>
      <c r="AH99" s="184" t="s">
        <v>298</v>
      </c>
      <c r="AI99" s="184"/>
      <c r="AJ99" s="184"/>
      <c r="AK99" s="184"/>
      <c r="AL99" s="185"/>
      <c r="AM99" s="185"/>
      <c r="AN99" s="185"/>
      <c r="AO99" s="8"/>
      <c r="AP99" s="8"/>
      <c r="AQ99" s="8"/>
      <c r="AR99" s="8"/>
      <c r="AS99" s="8"/>
      <c r="AT99" s="8"/>
      <c r="AU99" s="8"/>
    </row>
    <row r="100" spans="1:47" ht="14.25" customHeight="1" x14ac:dyDescent="0.25">
      <c r="A100" s="1416"/>
      <c r="B100" s="1419"/>
      <c r="C100" s="1311"/>
      <c r="D100" s="922" t="s">
        <v>299</v>
      </c>
      <c r="E100" s="919"/>
      <c r="F100" s="919"/>
      <c r="G100" s="919"/>
      <c r="H100" s="919"/>
      <c r="I100" s="919"/>
      <c r="J100" s="919"/>
      <c r="K100" s="919"/>
      <c r="L100" s="919"/>
      <c r="M100" s="919"/>
      <c r="N100" s="919"/>
      <c r="O100" s="1311"/>
      <c r="P100" s="1311"/>
      <c r="Q100" s="1311"/>
      <c r="R100" s="1311"/>
      <c r="S100" s="1311"/>
      <c r="T100" s="1311"/>
      <c r="U100" s="1311"/>
      <c r="V100" s="1311"/>
      <c r="W100" s="1311"/>
      <c r="X100" s="1311"/>
      <c r="Y100" s="1311"/>
      <c r="Z100" s="1394"/>
      <c r="AA100" s="8"/>
      <c r="AB100" s="8"/>
      <c r="AC100" s="184">
        <v>14</v>
      </c>
      <c r="AD100" s="184" t="s">
        <v>300</v>
      </c>
      <c r="AE100" s="184"/>
      <c r="AF100" s="184"/>
      <c r="AG100" s="184"/>
      <c r="AH100" s="184" t="s">
        <v>301</v>
      </c>
      <c r="AI100" s="184"/>
      <c r="AJ100" s="184"/>
      <c r="AK100" s="184"/>
      <c r="AL100" s="185"/>
      <c r="AM100" s="185"/>
      <c r="AN100" s="185"/>
      <c r="AO100" s="8"/>
      <c r="AP100" s="8"/>
      <c r="AQ100" s="8"/>
      <c r="AR100" s="8"/>
      <c r="AS100" s="8"/>
      <c r="AT100" s="8"/>
      <c r="AU100" s="8"/>
    </row>
    <row r="101" spans="1:47" ht="11.25" customHeight="1" x14ac:dyDescent="0.25">
      <c r="A101" s="1416"/>
      <c r="B101" s="1419"/>
      <c r="C101" s="1311"/>
      <c r="D101" s="1396" t="s">
        <v>302</v>
      </c>
      <c r="E101" s="1317"/>
      <c r="F101" s="1317"/>
      <c r="G101" s="1317"/>
      <c r="H101" s="1317"/>
      <c r="I101" s="919"/>
      <c r="J101" s="1317"/>
      <c r="K101" s="1317"/>
      <c r="L101" s="1421"/>
      <c r="M101" s="1421"/>
      <c r="N101" s="1421"/>
      <c r="O101" s="1311"/>
      <c r="P101" s="1311"/>
      <c r="Q101" s="1311"/>
      <c r="R101" s="1311"/>
      <c r="S101" s="1311"/>
      <c r="T101" s="1311"/>
      <c r="U101" s="1311"/>
      <c r="V101" s="1311"/>
      <c r="W101" s="1311"/>
      <c r="X101" s="1311"/>
      <c r="Y101" s="1311"/>
      <c r="Z101" s="1394"/>
      <c r="AA101" s="8"/>
      <c r="AB101" s="8"/>
      <c r="AC101" s="184"/>
      <c r="AD101" s="184"/>
      <c r="AE101" s="184"/>
      <c r="AF101" s="184"/>
      <c r="AG101" s="184"/>
      <c r="AH101" s="184"/>
      <c r="AI101" s="184"/>
      <c r="AJ101" s="184"/>
      <c r="AK101" s="184"/>
      <c r="AL101" s="185"/>
      <c r="AM101" s="185"/>
      <c r="AN101" s="185"/>
      <c r="AO101" s="8"/>
      <c r="AP101" s="8"/>
      <c r="AQ101" s="8"/>
      <c r="AR101" s="8"/>
      <c r="AS101" s="8"/>
      <c r="AT101" s="8"/>
      <c r="AU101" s="8"/>
    </row>
    <row r="102" spans="1:47" ht="9.75" customHeight="1" x14ac:dyDescent="0.25">
      <c r="A102" s="1416"/>
      <c r="B102" s="1419"/>
      <c r="C102" s="1311"/>
      <c r="D102" s="1311"/>
      <c r="E102" s="1317"/>
      <c r="F102" s="1311"/>
      <c r="G102" s="1311"/>
      <c r="H102" s="1311"/>
      <c r="I102" s="906"/>
      <c r="J102" s="1311"/>
      <c r="K102" s="1311"/>
      <c r="L102" s="1421"/>
      <c r="M102" s="1311"/>
      <c r="N102" s="1311"/>
      <c r="O102" s="1311"/>
      <c r="P102" s="1311"/>
      <c r="Q102" s="1311"/>
      <c r="R102" s="1311"/>
      <c r="S102" s="1311"/>
      <c r="T102" s="1311"/>
      <c r="U102" s="1311"/>
      <c r="V102" s="1311"/>
      <c r="W102" s="1311"/>
      <c r="X102" s="1311"/>
      <c r="Y102" s="1311"/>
      <c r="Z102" s="1394"/>
      <c r="AA102" s="8"/>
      <c r="AB102" s="8"/>
      <c r="AC102" s="184"/>
      <c r="AD102" s="184"/>
      <c r="AE102" s="184"/>
      <c r="AF102" s="184"/>
      <c r="AG102" s="184"/>
      <c r="AH102" s="184"/>
      <c r="AI102" s="184"/>
      <c r="AJ102" s="184"/>
      <c r="AK102" s="184"/>
      <c r="AL102" s="185"/>
      <c r="AM102" s="185"/>
      <c r="AN102" s="185"/>
      <c r="AO102" s="8"/>
      <c r="AP102" s="8"/>
      <c r="AQ102" s="8"/>
      <c r="AR102" s="8"/>
      <c r="AS102" s="8"/>
      <c r="AT102" s="8"/>
      <c r="AU102" s="8"/>
    </row>
    <row r="103" spans="1:47" ht="6.75" customHeight="1" x14ac:dyDescent="0.25">
      <c r="A103" s="1416"/>
      <c r="B103" s="1419"/>
      <c r="C103" s="1311"/>
      <c r="D103" s="1311"/>
      <c r="E103" s="1317"/>
      <c r="F103" s="1311"/>
      <c r="G103" s="1311"/>
      <c r="H103" s="1311"/>
      <c r="I103" s="906"/>
      <c r="J103" s="1311"/>
      <c r="K103" s="1311"/>
      <c r="L103" s="1421"/>
      <c r="M103" s="1311"/>
      <c r="N103" s="1311"/>
      <c r="O103" s="1311"/>
      <c r="P103" s="1311"/>
      <c r="Q103" s="1311"/>
      <c r="R103" s="1311"/>
      <c r="S103" s="1311"/>
      <c r="T103" s="1311"/>
      <c r="U103" s="1311"/>
      <c r="V103" s="1311"/>
      <c r="W103" s="1311"/>
      <c r="X103" s="1311"/>
      <c r="Y103" s="1311"/>
      <c r="Z103" s="1394"/>
      <c r="AA103" s="8"/>
      <c r="AB103" s="8"/>
      <c r="AC103" s="184"/>
      <c r="AD103" s="184"/>
      <c r="AE103" s="184"/>
      <c r="AF103" s="184"/>
      <c r="AG103" s="184"/>
      <c r="AH103" s="184"/>
      <c r="AI103" s="184"/>
      <c r="AJ103" s="184"/>
      <c r="AK103" s="184"/>
      <c r="AL103" s="185"/>
      <c r="AM103" s="185"/>
      <c r="AN103" s="185"/>
      <c r="AO103" s="8"/>
      <c r="AP103" s="8"/>
      <c r="AQ103" s="8"/>
      <c r="AR103" s="8"/>
      <c r="AS103" s="8"/>
      <c r="AT103" s="8"/>
      <c r="AU103" s="8"/>
    </row>
    <row r="104" spans="1:47" ht="15" customHeight="1" x14ac:dyDescent="0.25">
      <c r="A104" s="1416"/>
      <c r="B104" s="1419"/>
      <c r="C104" s="1311"/>
      <c r="D104" s="1311"/>
      <c r="E104" s="1317"/>
      <c r="F104" s="1311"/>
      <c r="G104" s="1311"/>
      <c r="H104" s="1311"/>
      <c r="I104" s="906"/>
      <c r="J104" s="1311"/>
      <c r="K104" s="1311"/>
      <c r="L104" s="1421"/>
      <c r="M104" s="1311"/>
      <c r="N104" s="1311"/>
      <c r="O104" s="1311"/>
      <c r="P104" s="1311"/>
      <c r="Q104" s="1311"/>
      <c r="R104" s="1311"/>
      <c r="S104" s="1311"/>
      <c r="T104" s="1311"/>
      <c r="U104" s="1311"/>
      <c r="V104" s="1311"/>
      <c r="W104" s="1311"/>
      <c r="X104" s="1311"/>
      <c r="Y104" s="1311"/>
      <c r="Z104" s="1394"/>
      <c r="AA104" s="8"/>
      <c r="AB104" s="8"/>
      <c r="AC104" s="184"/>
      <c r="AD104" s="184"/>
      <c r="AE104" s="184"/>
      <c r="AF104" s="184"/>
      <c r="AG104" s="184"/>
      <c r="AH104" s="184"/>
      <c r="AI104" s="184"/>
      <c r="AJ104" s="184"/>
      <c r="AK104" s="184"/>
      <c r="AL104" s="185"/>
      <c r="AM104" s="185"/>
      <c r="AN104" s="185"/>
      <c r="AO104" s="8"/>
      <c r="AP104" s="8"/>
      <c r="AQ104" s="8"/>
      <c r="AR104" s="8"/>
      <c r="AS104" s="8"/>
      <c r="AT104" s="8"/>
      <c r="AU104" s="8"/>
    </row>
    <row r="105" spans="1:47" ht="12.75" customHeight="1" x14ac:dyDescent="0.25">
      <c r="A105" s="1416"/>
      <c r="B105" s="1419"/>
      <c r="C105" s="1318" t="s">
        <v>318</v>
      </c>
      <c r="D105" s="290" t="s">
        <v>288</v>
      </c>
      <c r="E105" s="919">
        <v>1</v>
      </c>
      <c r="F105" s="919"/>
      <c r="G105" s="919"/>
      <c r="H105" s="919">
        <v>1</v>
      </c>
      <c r="I105" s="919"/>
      <c r="J105" s="919">
        <v>2</v>
      </c>
      <c r="K105" s="919">
        <v>1</v>
      </c>
      <c r="L105" s="919">
        <v>1</v>
      </c>
      <c r="M105" s="919">
        <v>1</v>
      </c>
      <c r="N105" s="919">
        <v>2</v>
      </c>
      <c r="O105" s="1318" t="s">
        <v>318</v>
      </c>
      <c r="P105" s="1422" t="s">
        <v>457</v>
      </c>
      <c r="Q105" s="1423" t="s">
        <v>470</v>
      </c>
      <c r="R105" s="1318" t="s">
        <v>305</v>
      </c>
      <c r="S105" s="1310" t="s">
        <v>290</v>
      </c>
      <c r="T105" s="1317">
        <v>93152</v>
      </c>
      <c r="U105" s="1317">
        <v>94819</v>
      </c>
      <c r="V105" s="1310"/>
      <c r="W105" s="1310" t="s">
        <v>291</v>
      </c>
      <c r="X105" s="1310" t="s">
        <v>292</v>
      </c>
      <c r="Y105" s="1310" t="s">
        <v>293</v>
      </c>
      <c r="Z105" s="1413">
        <f>SUM(U105+T105)</f>
        <v>187971</v>
      </c>
      <c r="AA105" s="8"/>
      <c r="AB105" s="8"/>
      <c r="AC105" s="184">
        <v>12</v>
      </c>
      <c r="AD105" s="184" t="s">
        <v>294</v>
      </c>
      <c r="AE105" s="184"/>
      <c r="AF105" s="184"/>
      <c r="AG105" s="184"/>
      <c r="AH105" s="184" t="s">
        <v>295</v>
      </c>
      <c r="AI105" s="184"/>
      <c r="AJ105" s="184"/>
      <c r="AK105" s="184"/>
      <c r="AL105" s="185"/>
      <c r="AM105" s="185"/>
      <c r="AN105" s="185"/>
      <c r="AO105" s="8"/>
      <c r="AP105" s="8"/>
      <c r="AQ105" s="8"/>
      <c r="AR105" s="8"/>
      <c r="AS105" s="8"/>
      <c r="AT105" s="8"/>
      <c r="AU105" s="8"/>
    </row>
    <row r="106" spans="1:47" ht="13.5" customHeight="1" x14ac:dyDescent="0.25">
      <c r="A106" s="1416"/>
      <c r="B106" s="1419"/>
      <c r="C106" s="1311"/>
      <c r="D106" s="922" t="s">
        <v>296</v>
      </c>
      <c r="E106" s="325">
        <v>3387357.1428571399</v>
      </c>
      <c r="F106" s="289"/>
      <c r="G106" s="289"/>
      <c r="H106" s="306">
        <v>3750240</v>
      </c>
      <c r="I106" s="306"/>
      <c r="J106" s="932">
        <v>5684114.0199999996</v>
      </c>
      <c r="K106" s="325">
        <f>+K105*$K$151/$K$150</f>
        <v>3387357.1428571427</v>
      </c>
      <c r="L106" s="325">
        <v>3387357</v>
      </c>
      <c r="M106" s="306">
        <v>2437763.59509202</v>
      </c>
      <c r="N106" s="932">
        <v>4872478.6635071104</v>
      </c>
      <c r="O106" s="1311"/>
      <c r="P106" s="1311"/>
      <c r="Q106" s="1311"/>
      <c r="R106" s="1311"/>
      <c r="S106" s="1311"/>
      <c r="T106" s="1311"/>
      <c r="U106" s="1311"/>
      <c r="V106" s="1311"/>
      <c r="W106" s="1311"/>
      <c r="X106" s="1311"/>
      <c r="Y106" s="1311"/>
      <c r="Z106" s="1394"/>
      <c r="AA106" s="8"/>
      <c r="AB106" s="8"/>
      <c r="AC106" s="184">
        <v>13</v>
      </c>
      <c r="AD106" s="184" t="s">
        <v>297</v>
      </c>
      <c r="AE106" s="184"/>
      <c r="AF106" s="184"/>
      <c r="AG106" s="184"/>
      <c r="AH106" s="184" t="s">
        <v>298</v>
      </c>
      <c r="AI106" s="184"/>
      <c r="AJ106" s="184"/>
      <c r="AK106" s="184"/>
      <c r="AL106" s="185"/>
      <c r="AM106" s="185"/>
      <c r="AN106" s="185"/>
      <c r="AO106" s="8"/>
      <c r="AP106" s="8"/>
      <c r="AQ106" s="8"/>
      <c r="AR106" s="8"/>
      <c r="AS106" s="8"/>
      <c r="AT106" s="8"/>
      <c r="AU106" s="8"/>
    </row>
    <row r="107" spans="1:47" ht="14.25" customHeight="1" x14ac:dyDescent="0.25">
      <c r="A107" s="1416"/>
      <c r="B107" s="1419"/>
      <c r="C107" s="1311"/>
      <c r="D107" s="922" t="s">
        <v>299</v>
      </c>
      <c r="E107" s="919"/>
      <c r="F107" s="919"/>
      <c r="G107" s="919"/>
      <c r="H107" s="919"/>
      <c r="I107" s="919"/>
      <c r="J107" s="919"/>
      <c r="K107" s="919"/>
      <c r="L107" s="919"/>
      <c r="M107" s="919"/>
      <c r="N107" s="919"/>
      <c r="O107" s="1311"/>
      <c r="P107" s="1311"/>
      <c r="Q107" s="1311"/>
      <c r="R107" s="1311"/>
      <c r="S107" s="1311"/>
      <c r="T107" s="1311"/>
      <c r="U107" s="1311"/>
      <c r="V107" s="1311"/>
      <c r="W107" s="1311"/>
      <c r="X107" s="1311"/>
      <c r="Y107" s="1311"/>
      <c r="Z107" s="1394"/>
      <c r="AA107" s="8"/>
      <c r="AB107" s="8"/>
      <c r="AC107" s="184">
        <v>14</v>
      </c>
      <c r="AD107" s="184" t="s">
        <v>300</v>
      </c>
      <c r="AE107" s="184"/>
      <c r="AF107" s="184"/>
      <c r="AG107" s="184"/>
      <c r="AH107" s="184" t="s">
        <v>301</v>
      </c>
      <c r="AI107" s="184"/>
      <c r="AJ107" s="184"/>
      <c r="AK107" s="184"/>
      <c r="AL107" s="185"/>
      <c r="AM107" s="185"/>
      <c r="AN107" s="185"/>
      <c r="AO107" s="8"/>
      <c r="AP107" s="8"/>
      <c r="AQ107" s="8"/>
      <c r="AR107" s="8"/>
      <c r="AS107" s="8"/>
      <c r="AT107" s="8"/>
      <c r="AU107" s="8"/>
    </row>
    <row r="108" spans="1:47" ht="11.25" customHeight="1" x14ac:dyDescent="0.25">
      <c r="A108" s="1416"/>
      <c r="B108" s="1419"/>
      <c r="C108" s="1311"/>
      <c r="D108" s="1396" t="s">
        <v>302</v>
      </c>
      <c r="E108" s="1317"/>
      <c r="F108" s="1317"/>
      <c r="G108" s="1317"/>
      <c r="H108" s="1317"/>
      <c r="I108" s="919"/>
      <c r="J108" s="1317"/>
      <c r="K108" s="1317"/>
      <c r="L108" s="1421"/>
      <c r="M108" s="1421"/>
      <c r="N108" s="1421"/>
      <c r="O108" s="1311"/>
      <c r="P108" s="1311"/>
      <c r="Q108" s="1311"/>
      <c r="R108" s="1311"/>
      <c r="S108" s="1311"/>
      <c r="T108" s="1311"/>
      <c r="U108" s="1311"/>
      <c r="V108" s="1311"/>
      <c r="W108" s="1311"/>
      <c r="X108" s="1311"/>
      <c r="Y108" s="1311"/>
      <c r="Z108" s="1394"/>
      <c r="AA108" s="8"/>
      <c r="AB108" s="8"/>
      <c r="AC108" s="184"/>
      <c r="AD108" s="184"/>
      <c r="AE108" s="184"/>
      <c r="AF108" s="184"/>
      <c r="AG108" s="184"/>
      <c r="AH108" s="184"/>
      <c r="AI108" s="184"/>
      <c r="AJ108" s="184"/>
      <c r="AK108" s="184"/>
      <c r="AL108" s="185"/>
      <c r="AM108" s="185"/>
      <c r="AN108" s="185"/>
      <c r="AO108" s="8"/>
      <c r="AP108" s="8"/>
      <c r="AQ108" s="8"/>
      <c r="AR108" s="8"/>
      <c r="AS108" s="8"/>
      <c r="AT108" s="8"/>
      <c r="AU108" s="8"/>
    </row>
    <row r="109" spans="1:47" ht="9.75" customHeight="1" x14ac:dyDescent="0.25">
      <c r="A109" s="1416"/>
      <c r="B109" s="1419"/>
      <c r="C109" s="1311"/>
      <c r="D109" s="1311"/>
      <c r="E109" s="1317"/>
      <c r="F109" s="1311"/>
      <c r="G109" s="1311"/>
      <c r="H109" s="1311"/>
      <c r="I109" s="906"/>
      <c r="J109" s="1311"/>
      <c r="K109" s="1311"/>
      <c r="L109" s="1421"/>
      <c r="M109" s="1311"/>
      <c r="N109" s="1311"/>
      <c r="O109" s="1311"/>
      <c r="P109" s="1311"/>
      <c r="Q109" s="1311"/>
      <c r="R109" s="1311"/>
      <c r="S109" s="1311"/>
      <c r="T109" s="1311"/>
      <c r="U109" s="1311"/>
      <c r="V109" s="1311"/>
      <c r="W109" s="1311"/>
      <c r="X109" s="1311"/>
      <c r="Y109" s="1311"/>
      <c r="Z109" s="1394"/>
      <c r="AA109" s="8"/>
      <c r="AB109" s="8"/>
      <c r="AC109" s="184"/>
      <c r="AD109" s="184"/>
      <c r="AE109" s="184"/>
      <c r="AF109" s="184"/>
      <c r="AG109" s="184"/>
      <c r="AH109" s="184"/>
      <c r="AI109" s="184"/>
      <c r="AJ109" s="184"/>
      <c r="AK109" s="184"/>
      <c r="AL109" s="185"/>
      <c r="AM109" s="185"/>
      <c r="AN109" s="185"/>
      <c r="AO109" s="8"/>
      <c r="AP109" s="8"/>
      <c r="AQ109" s="8"/>
      <c r="AR109" s="8"/>
      <c r="AS109" s="8"/>
      <c r="AT109" s="8"/>
      <c r="AU109" s="8"/>
    </row>
    <row r="110" spans="1:47" ht="6.75" customHeight="1" x14ac:dyDescent="0.25">
      <c r="A110" s="1416"/>
      <c r="B110" s="1419"/>
      <c r="C110" s="1311"/>
      <c r="D110" s="1311"/>
      <c r="E110" s="1317"/>
      <c r="F110" s="1311"/>
      <c r="G110" s="1311"/>
      <c r="H110" s="1311"/>
      <c r="I110" s="906"/>
      <c r="J110" s="1311"/>
      <c r="K110" s="1311"/>
      <c r="L110" s="1421"/>
      <c r="M110" s="1311"/>
      <c r="N110" s="1311"/>
      <c r="O110" s="1311"/>
      <c r="P110" s="1311"/>
      <c r="Q110" s="1311"/>
      <c r="R110" s="1311"/>
      <c r="S110" s="1311"/>
      <c r="T110" s="1311"/>
      <c r="U110" s="1311"/>
      <c r="V110" s="1311"/>
      <c r="W110" s="1311"/>
      <c r="X110" s="1311"/>
      <c r="Y110" s="1311"/>
      <c r="Z110" s="1394"/>
      <c r="AA110" s="8"/>
      <c r="AB110" s="8"/>
      <c r="AC110" s="184"/>
      <c r="AD110" s="184"/>
      <c r="AE110" s="184"/>
      <c r="AF110" s="184"/>
      <c r="AG110" s="184"/>
      <c r="AH110" s="184"/>
      <c r="AI110" s="184"/>
      <c r="AJ110" s="184"/>
      <c r="AK110" s="184"/>
      <c r="AL110" s="185"/>
      <c r="AM110" s="185"/>
      <c r="AN110" s="185"/>
      <c r="AO110" s="8"/>
      <c r="AP110" s="8"/>
      <c r="AQ110" s="8"/>
      <c r="AR110" s="8"/>
      <c r="AS110" s="8"/>
      <c r="AT110" s="8"/>
      <c r="AU110" s="8"/>
    </row>
    <row r="111" spans="1:47" ht="21.75" customHeight="1" x14ac:dyDescent="0.25">
      <c r="A111" s="1416"/>
      <c r="B111" s="1419"/>
      <c r="C111" s="1311"/>
      <c r="D111" s="1311"/>
      <c r="E111" s="1317"/>
      <c r="F111" s="1311"/>
      <c r="G111" s="1311"/>
      <c r="H111" s="1311"/>
      <c r="I111" s="906"/>
      <c r="J111" s="1311"/>
      <c r="K111" s="1311"/>
      <c r="L111" s="1421"/>
      <c r="M111" s="1311"/>
      <c r="N111" s="1311"/>
      <c r="O111" s="1311"/>
      <c r="P111" s="1311"/>
      <c r="Q111" s="1311"/>
      <c r="R111" s="1311"/>
      <c r="S111" s="1311"/>
      <c r="T111" s="1311"/>
      <c r="U111" s="1311"/>
      <c r="V111" s="1311"/>
      <c r="W111" s="1311"/>
      <c r="X111" s="1311"/>
      <c r="Y111" s="1311"/>
      <c r="Z111" s="1394"/>
      <c r="AA111" s="8"/>
      <c r="AB111" s="8"/>
      <c r="AC111" s="184"/>
      <c r="AD111" s="184"/>
      <c r="AE111" s="184"/>
      <c r="AF111" s="184"/>
      <c r="AG111" s="184"/>
      <c r="AH111" s="184"/>
      <c r="AI111" s="184"/>
      <c r="AJ111" s="184"/>
      <c r="AK111" s="184"/>
      <c r="AL111" s="185"/>
      <c r="AM111" s="185"/>
      <c r="AN111" s="185"/>
      <c r="AO111" s="8"/>
      <c r="AP111" s="8"/>
      <c r="AQ111" s="8"/>
      <c r="AR111" s="8"/>
      <c r="AS111" s="8"/>
      <c r="AT111" s="8"/>
      <c r="AU111" s="8"/>
    </row>
    <row r="112" spans="1:47" ht="12.75" customHeight="1" x14ac:dyDescent="0.25">
      <c r="A112" s="1416"/>
      <c r="B112" s="1419"/>
      <c r="C112" s="1318" t="s">
        <v>294</v>
      </c>
      <c r="D112" s="290" t="s">
        <v>288</v>
      </c>
      <c r="E112" s="919">
        <v>11</v>
      </c>
      <c r="F112" s="919"/>
      <c r="G112" s="919"/>
      <c r="H112" s="919">
        <v>12</v>
      </c>
      <c r="I112" s="919"/>
      <c r="J112" s="919">
        <v>14</v>
      </c>
      <c r="K112" s="919"/>
      <c r="L112" s="919">
        <v>11</v>
      </c>
      <c r="M112" s="919">
        <v>12</v>
      </c>
      <c r="N112" s="919">
        <v>14</v>
      </c>
      <c r="O112" s="1318" t="s">
        <v>294</v>
      </c>
      <c r="P112" s="1422" t="s">
        <v>469</v>
      </c>
      <c r="Q112" s="1423" t="s">
        <v>468</v>
      </c>
      <c r="R112" s="1318" t="s">
        <v>305</v>
      </c>
      <c r="S112" s="1310" t="s">
        <v>290</v>
      </c>
      <c r="T112" s="1317">
        <v>134370</v>
      </c>
      <c r="U112" s="1317">
        <v>132736</v>
      </c>
      <c r="V112" s="1310"/>
      <c r="W112" s="1310" t="s">
        <v>291</v>
      </c>
      <c r="X112" s="1310" t="s">
        <v>292</v>
      </c>
      <c r="Y112" s="1310" t="s">
        <v>293</v>
      </c>
      <c r="Z112" s="1413">
        <f>SUM(U112+T112)</f>
        <v>267106</v>
      </c>
      <c r="AA112" s="8"/>
      <c r="AB112" s="8"/>
      <c r="AC112" s="184">
        <v>12</v>
      </c>
      <c r="AD112" s="184" t="s">
        <v>294</v>
      </c>
      <c r="AE112" s="184"/>
      <c r="AF112" s="184"/>
      <c r="AG112" s="184"/>
      <c r="AH112" s="184" t="s">
        <v>295</v>
      </c>
      <c r="AI112" s="184"/>
      <c r="AJ112" s="184"/>
      <c r="AK112" s="184"/>
      <c r="AL112" s="185"/>
      <c r="AM112" s="185"/>
      <c r="AN112" s="185"/>
      <c r="AO112" s="8"/>
      <c r="AP112" s="8"/>
      <c r="AQ112" s="8"/>
      <c r="AR112" s="8"/>
      <c r="AS112" s="8"/>
      <c r="AT112" s="8"/>
      <c r="AU112" s="8"/>
    </row>
    <row r="113" spans="1:53" ht="13.5" customHeight="1" x14ac:dyDescent="0.25">
      <c r="A113" s="1416"/>
      <c r="B113" s="1419"/>
      <c r="C113" s="1311"/>
      <c r="D113" s="922" t="s">
        <v>296</v>
      </c>
      <c r="E113" s="325">
        <v>94457550</v>
      </c>
      <c r="F113" s="289"/>
      <c r="G113" s="289"/>
      <c r="H113" s="306">
        <v>45002880</v>
      </c>
      <c r="I113" s="306"/>
      <c r="J113" s="932">
        <v>39788798.140000001</v>
      </c>
      <c r="K113" s="325"/>
      <c r="L113" s="325">
        <v>24660757</v>
      </c>
      <c r="M113" s="306">
        <v>29253163.1411043</v>
      </c>
      <c r="N113" s="932">
        <v>34107350.644549802</v>
      </c>
      <c r="O113" s="1311"/>
      <c r="P113" s="1311"/>
      <c r="Q113" s="1311"/>
      <c r="R113" s="1311"/>
      <c r="S113" s="1311"/>
      <c r="T113" s="1311"/>
      <c r="U113" s="1311"/>
      <c r="V113" s="1311"/>
      <c r="W113" s="1311"/>
      <c r="X113" s="1311"/>
      <c r="Y113" s="1311"/>
      <c r="Z113" s="1394"/>
      <c r="AA113" s="8"/>
      <c r="AB113" s="8"/>
      <c r="AC113" s="184">
        <v>13</v>
      </c>
      <c r="AD113" s="184" t="s">
        <v>297</v>
      </c>
      <c r="AE113" s="184"/>
      <c r="AF113" s="184"/>
      <c r="AG113" s="184"/>
      <c r="AH113" s="184" t="s">
        <v>298</v>
      </c>
      <c r="AI113" s="184"/>
      <c r="AJ113" s="184"/>
      <c r="AK113" s="184"/>
      <c r="AL113" s="185"/>
      <c r="AM113" s="185"/>
      <c r="AN113" s="185"/>
      <c r="AO113" s="8"/>
      <c r="AP113" s="8"/>
      <c r="AQ113" s="8"/>
      <c r="AR113" s="8"/>
      <c r="AS113" s="8"/>
      <c r="AT113" s="8"/>
      <c r="AU113" s="8"/>
    </row>
    <row r="114" spans="1:53" ht="14.25" customHeight="1" x14ac:dyDescent="0.25">
      <c r="A114" s="1416"/>
      <c r="B114" s="1419"/>
      <c r="C114" s="1311"/>
      <c r="D114" s="922" t="s">
        <v>299</v>
      </c>
      <c r="E114" s="919"/>
      <c r="F114" s="919"/>
      <c r="G114" s="919"/>
      <c r="H114" s="919"/>
      <c r="I114" s="919"/>
      <c r="J114" s="919"/>
      <c r="K114" s="919"/>
      <c r="L114" s="919"/>
      <c r="M114" s="919"/>
      <c r="N114" s="919"/>
      <c r="O114" s="1311"/>
      <c r="P114" s="1311"/>
      <c r="Q114" s="1311"/>
      <c r="R114" s="1311"/>
      <c r="S114" s="1311"/>
      <c r="T114" s="1311"/>
      <c r="U114" s="1311"/>
      <c r="V114" s="1311"/>
      <c r="W114" s="1311"/>
      <c r="X114" s="1311"/>
      <c r="Y114" s="1311"/>
      <c r="Z114" s="1394"/>
      <c r="AA114" s="8"/>
      <c r="AB114" s="8"/>
      <c r="AC114" s="184">
        <v>14</v>
      </c>
      <c r="AD114" s="184" t="s">
        <v>300</v>
      </c>
      <c r="AE114" s="184"/>
      <c r="AF114" s="184"/>
      <c r="AG114" s="184"/>
      <c r="AH114" s="184" t="s">
        <v>301</v>
      </c>
      <c r="AI114" s="184"/>
      <c r="AJ114" s="184"/>
      <c r="AK114" s="184"/>
      <c r="AL114" s="185"/>
      <c r="AM114" s="185"/>
      <c r="AN114" s="185"/>
      <c r="AO114" s="8"/>
      <c r="AP114" s="8"/>
      <c r="AQ114" s="8"/>
      <c r="AR114" s="8"/>
      <c r="AS114" s="8"/>
      <c r="AT114" s="8"/>
      <c r="AU114" s="8"/>
    </row>
    <row r="115" spans="1:53" ht="11.25" customHeight="1" x14ac:dyDescent="0.25">
      <c r="A115" s="1416"/>
      <c r="B115" s="1419"/>
      <c r="C115" s="1311"/>
      <c r="D115" s="1396" t="s">
        <v>302</v>
      </c>
      <c r="E115" s="1317"/>
      <c r="F115" s="1317"/>
      <c r="G115" s="1317"/>
      <c r="H115" s="1317"/>
      <c r="I115" s="919"/>
      <c r="J115" s="1317"/>
      <c r="K115" s="1317"/>
      <c r="L115" s="1421"/>
      <c r="M115" s="1421"/>
      <c r="N115" s="1421"/>
      <c r="O115" s="1311"/>
      <c r="P115" s="1311"/>
      <c r="Q115" s="1311"/>
      <c r="R115" s="1311"/>
      <c r="S115" s="1311"/>
      <c r="T115" s="1311"/>
      <c r="U115" s="1311"/>
      <c r="V115" s="1311"/>
      <c r="W115" s="1311"/>
      <c r="X115" s="1311"/>
      <c r="Y115" s="1311"/>
      <c r="Z115" s="1394"/>
      <c r="AA115" s="8"/>
      <c r="AB115" s="8"/>
      <c r="AC115" s="184"/>
      <c r="AD115" s="184"/>
      <c r="AE115" s="184"/>
      <c r="AF115" s="184"/>
      <c r="AG115" s="184"/>
      <c r="AH115" s="184"/>
      <c r="AI115" s="184"/>
      <c r="AJ115" s="184"/>
      <c r="AK115" s="184"/>
      <c r="AL115" s="185"/>
      <c r="AM115" s="185"/>
      <c r="AN115" s="185"/>
      <c r="AO115" s="8"/>
      <c r="AP115" s="8"/>
      <c r="AQ115" s="8"/>
      <c r="AR115" s="8"/>
      <c r="AS115" s="8"/>
      <c r="AT115" s="8"/>
      <c r="AU115" s="8"/>
    </row>
    <row r="116" spans="1:53" ht="9.75" customHeight="1" x14ac:dyDescent="0.25">
      <c r="A116" s="1416"/>
      <c r="B116" s="1419"/>
      <c r="C116" s="1311"/>
      <c r="D116" s="1311"/>
      <c r="E116" s="1317"/>
      <c r="F116" s="1311"/>
      <c r="G116" s="1311"/>
      <c r="H116" s="1311"/>
      <c r="I116" s="906"/>
      <c r="J116" s="1311"/>
      <c r="K116" s="1311"/>
      <c r="L116" s="1421"/>
      <c r="M116" s="1311"/>
      <c r="N116" s="1311"/>
      <c r="O116" s="1311"/>
      <c r="P116" s="1311"/>
      <c r="Q116" s="1311"/>
      <c r="R116" s="1311"/>
      <c r="S116" s="1311"/>
      <c r="T116" s="1311"/>
      <c r="U116" s="1311"/>
      <c r="V116" s="1311"/>
      <c r="W116" s="1311"/>
      <c r="X116" s="1311"/>
      <c r="Y116" s="1311"/>
      <c r="Z116" s="1394"/>
      <c r="AA116" s="200"/>
      <c r="AB116" s="200"/>
      <c r="AC116" s="201"/>
      <c r="AD116" s="201"/>
      <c r="AE116" s="201"/>
      <c r="AF116" s="201"/>
      <c r="AG116" s="201"/>
      <c r="AH116" s="201"/>
      <c r="AI116" s="201"/>
      <c r="AJ116" s="201"/>
      <c r="AK116" s="201"/>
      <c r="AL116" s="202"/>
      <c r="AM116" s="202"/>
      <c r="AN116" s="202"/>
      <c r="AO116" s="200"/>
      <c r="AP116" s="200"/>
      <c r="AQ116" s="200"/>
      <c r="AR116" s="200"/>
      <c r="AS116" s="200"/>
      <c r="AT116" s="200"/>
      <c r="AU116" s="200"/>
      <c r="AV116" s="203"/>
      <c r="AW116" s="203"/>
      <c r="AX116" s="203"/>
      <c r="AY116" s="203"/>
      <c r="AZ116" s="203"/>
      <c r="BA116" s="203"/>
    </row>
    <row r="117" spans="1:53" ht="6.75" customHeight="1" x14ac:dyDescent="0.25">
      <c r="A117" s="1416"/>
      <c r="B117" s="1419"/>
      <c r="C117" s="1311"/>
      <c r="D117" s="1311"/>
      <c r="E117" s="1317"/>
      <c r="F117" s="1311"/>
      <c r="G117" s="1311"/>
      <c r="H117" s="1311"/>
      <c r="I117" s="906"/>
      <c r="J117" s="1311"/>
      <c r="K117" s="1311"/>
      <c r="L117" s="1421"/>
      <c r="M117" s="1311"/>
      <c r="N117" s="1311"/>
      <c r="O117" s="1311"/>
      <c r="P117" s="1311"/>
      <c r="Q117" s="1311"/>
      <c r="R117" s="1311"/>
      <c r="S117" s="1311"/>
      <c r="T117" s="1311"/>
      <c r="U117" s="1311"/>
      <c r="V117" s="1311"/>
      <c r="W117" s="1311"/>
      <c r="X117" s="1311"/>
      <c r="Y117" s="1311"/>
      <c r="Z117" s="1394"/>
      <c r="AA117" s="200"/>
      <c r="AB117" s="200"/>
      <c r="AC117" s="201"/>
      <c r="AD117" s="201"/>
      <c r="AE117" s="201"/>
      <c r="AF117" s="201"/>
      <c r="AG117" s="201"/>
      <c r="AH117" s="201"/>
      <c r="AI117" s="201"/>
      <c r="AJ117" s="201"/>
      <c r="AK117" s="201"/>
      <c r="AL117" s="202"/>
      <c r="AM117" s="202"/>
      <c r="AN117" s="202"/>
      <c r="AO117" s="200"/>
      <c r="AP117" s="200"/>
      <c r="AQ117" s="200"/>
      <c r="AR117" s="200"/>
      <c r="AS117" s="200"/>
      <c r="AT117" s="200"/>
      <c r="AU117" s="200"/>
      <c r="AV117" s="203"/>
      <c r="AW117" s="203"/>
      <c r="AX117" s="203"/>
      <c r="AY117" s="203"/>
      <c r="AZ117" s="203"/>
      <c r="BA117" s="203"/>
    </row>
    <row r="118" spans="1:53" ht="21.75" customHeight="1" x14ac:dyDescent="0.25">
      <c r="A118" s="1416"/>
      <c r="B118" s="1419"/>
      <c r="C118" s="1311"/>
      <c r="D118" s="1311"/>
      <c r="E118" s="1317"/>
      <c r="F118" s="1311"/>
      <c r="G118" s="1311"/>
      <c r="H118" s="1311"/>
      <c r="I118" s="906"/>
      <c r="J118" s="1311"/>
      <c r="K118" s="1311"/>
      <c r="L118" s="1421"/>
      <c r="M118" s="1311"/>
      <c r="N118" s="1311"/>
      <c r="O118" s="1311"/>
      <c r="P118" s="1311"/>
      <c r="Q118" s="1311"/>
      <c r="R118" s="1311"/>
      <c r="S118" s="1311"/>
      <c r="T118" s="1311"/>
      <c r="U118" s="1311"/>
      <c r="V118" s="1311"/>
      <c r="W118" s="1311"/>
      <c r="X118" s="1311"/>
      <c r="Y118" s="1311"/>
      <c r="Z118" s="1394"/>
      <c r="AA118" s="200"/>
      <c r="AB118" s="200"/>
      <c r="AC118" s="201"/>
      <c r="AD118" s="201"/>
      <c r="AE118" s="201"/>
      <c r="AF118" s="201"/>
      <c r="AG118" s="201"/>
      <c r="AH118" s="201"/>
      <c r="AI118" s="201"/>
      <c r="AJ118" s="201"/>
      <c r="AK118" s="201"/>
      <c r="AL118" s="202"/>
      <c r="AM118" s="202"/>
      <c r="AN118" s="202"/>
      <c r="AO118" s="200"/>
      <c r="AP118" s="200"/>
      <c r="AQ118" s="200"/>
      <c r="AR118" s="200"/>
      <c r="AS118" s="200"/>
      <c r="AT118" s="200"/>
      <c r="AU118" s="200"/>
      <c r="AV118" s="203"/>
      <c r="AW118" s="203"/>
      <c r="AX118" s="203"/>
      <c r="AY118" s="203"/>
      <c r="AZ118" s="203"/>
      <c r="BA118" s="203"/>
    </row>
    <row r="119" spans="1:53" ht="12.75" customHeight="1" x14ac:dyDescent="0.25">
      <c r="A119" s="1416"/>
      <c r="B119" s="1419"/>
      <c r="C119" s="1318" t="s">
        <v>319</v>
      </c>
      <c r="D119" s="290" t="s">
        <v>288</v>
      </c>
      <c r="E119" s="919">
        <v>7</v>
      </c>
      <c r="F119" s="919"/>
      <c r="G119" s="919"/>
      <c r="H119" s="919">
        <v>8</v>
      </c>
      <c r="I119" s="919"/>
      <c r="J119" s="919">
        <v>9</v>
      </c>
      <c r="K119" s="919"/>
      <c r="L119" s="919">
        <v>5</v>
      </c>
      <c r="M119" s="919">
        <v>8</v>
      </c>
      <c r="N119" s="919">
        <v>9</v>
      </c>
      <c r="O119" s="1318" t="s">
        <v>320</v>
      </c>
      <c r="P119" s="1422" t="s">
        <v>467</v>
      </c>
      <c r="Q119" s="1423" t="s">
        <v>466</v>
      </c>
      <c r="R119" s="1318" t="s">
        <v>305</v>
      </c>
      <c r="S119" s="1310" t="s">
        <v>290</v>
      </c>
      <c r="T119" s="1317">
        <v>358148</v>
      </c>
      <c r="U119" s="1317">
        <v>375711</v>
      </c>
      <c r="V119" s="1310"/>
      <c r="W119" s="1310" t="s">
        <v>291</v>
      </c>
      <c r="X119" s="1310" t="s">
        <v>292</v>
      </c>
      <c r="Y119" s="1310" t="s">
        <v>293</v>
      </c>
      <c r="Z119" s="1413">
        <f>SUM(U119+T119)</f>
        <v>733859</v>
      </c>
      <c r="AA119" s="200"/>
      <c r="AB119" s="200"/>
      <c r="AC119" s="201">
        <v>12</v>
      </c>
      <c r="AD119" s="201" t="s">
        <v>294</v>
      </c>
      <c r="AE119" s="201"/>
      <c r="AF119" s="201"/>
      <c r="AG119" s="201"/>
      <c r="AH119" s="201" t="s">
        <v>295</v>
      </c>
      <c r="AI119" s="201"/>
      <c r="AJ119" s="201"/>
      <c r="AK119" s="201"/>
      <c r="AL119" s="202"/>
      <c r="AM119" s="202"/>
      <c r="AN119" s="202"/>
      <c r="AO119" s="200"/>
      <c r="AP119" s="200"/>
      <c r="AQ119" s="200"/>
      <c r="AR119" s="200"/>
      <c r="AS119" s="200"/>
      <c r="AT119" s="200"/>
      <c r="AU119" s="200"/>
      <c r="AV119" s="203"/>
      <c r="AW119" s="203"/>
      <c r="AX119" s="203"/>
      <c r="AY119" s="203"/>
      <c r="AZ119" s="203"/>
      <c r="BA119" s="203"/>
    </row>
    <row r="120" spans="1:53" ht="13.5" customHeight="1" x14ac:dyDescent="0.25">
      <c r="A120" s="1416"/>
      <c r="B120" s="1419"/>
      <c r="C120" s="1311"/>
      <c r="D120" s="922" t="s">
        <v>296</v>
      </c>
      <c r="E120" s="325">
        <v>60109350</v>
      </c>
      <c r="F120" s="289"/>
      <c r="G120" s="289"/>
      <c r="H120" s="306">
        <v>30001920</v>
      </c>
      <c r="I120" s="306"/>
      <c r="J120" s="932">
        <v>25578513.09</v>
      </c>
      <c r="K120" s="325">
        <f>+K119*$K$151/$K$150</f>
        <v>0</v>
      </c>
      <c r="L120" s="325">
        <v>24660757</v>
      </c>
      <c r="M120" s="306">
        <v>19502108.760736201</v>
      </c>
      <c r="N120" s="932">
        <v>21926153.985782001</v>
      </c>
      <c r="O120" s="1311"/>
      <c r="P120" s="1311"/>
      <c r="Q120" s="1311"/>
      <c r="R120" s="1311"/>
      <c r="S120" s="1311"/>
      <c r="T120" s="1311"/>
      <c r="U120" s="1311"/>
      <c r="V120" s="1311"/>
      <c r="W120" s="1311"/>
      <c r="X120" s="1311"/>
      <c r="Y120" s="1311"/>
      <c r="Z120" s="1394"/>
      <c r="AA120" s="200"/>
      <c r="AB120" s="200"/>
      <c r="AC120" s="201">
        <v>13</v>
      </c>
      <c r="AD120" s="201" t="s">
        <v>297</v>
      </c>
      <c r="AE120" s="201"/>
      <c r="AF120" s="201"/>
      <c r="AG120" s="201"/>
      <c r="AH120" s="201" t="s">
        <v>298</v>
      </c>
      <c r="AI120" s="201"/>
      <c r="AJ120" s="201"/>
      <c r="AK120" s="201"/>
      <c r="AL120" s="202"/>
      <c r="AM120" s="202"/>
      <c r="AN120" s="202"/>
      <c r="AO120" s="200"/>
      <c r="AP120" s="200"/>
      <c r="AQ120" s="200"/>
      <c r="AR120" s="200"/>
      <c r="AS120" s="200"/>
      <c r="AT120" s="200"/>
      <c r="AU120" s="200"/>
      <c r="AV120" s="203"/>
      <c r="AW120" s="203"/>
      <c r="AX120" s="203"/>
      <c r="AY120" s="203"/>
      <c r="AZ120" s="203"/>
      <c r="BA120" s="203"/>
    </row>
    <row r="121" spans="1:53" ht="14.25" customHeight="1" x14ac:dyDescent="0.25">
      <c r="A121" s="1416"/>
      <c r="B121" s="1419"/>
      <c r="C121" s="1311"/>
      <c r="D121" s="922" t="s">
        <v>299</v>
      </c>
      <c r="E121" s="919"/>
      <c r="F121" s="919"/>
      <c r="G121" s="919"/>
      <c r="H121" s="919"/>
      <c r="I121" s="919"/>
      <c r="J121" s="919"/>
      <c r="K121" s="919"/>
      <c r="L121" s="919"/>
      <c r="M121" s="919"/>
      <c r="N121" s="919"/>
      <c r="O121" s="1311"/>
      <c r="P121" s="1311"/>
      <c r="Q121" s="1311"/>
      <c r="R121" s="1311"/>
      <c r="S121" s="1311"/>
      <c r="T121" s="1311"/>
      <c r="U121" s="1311"/>
      <c r="V121" s="1311"/>
      <c r="W121" s="1311"/>
      <c r="X121" s="1311"/>
      <c r="Y121" s="1311"/>
      <c r="Z121" s="1394"/>
      <c r="AA121" s="200"/>
      <c r="AB121" s="200"/>
      <c r="AC121" s="201">
        <v>14</v>
      </c>
      <c r="AD121" s="201" t="s">
        <v>300</v>
      </c>
      <c r="AE121" s="201"/>
      <c r="AF121" s="201"/>
      <c r="AG121" s="201"/>
      <c r="AH121" s="201" t="s">
        <v>301</v>
      </c>
      <c r="AI121" s="201"/>
      <c r="AJ121" s="201"/>
      <c r="AK121" s="201"/>
      <c r="AL121" s="202"/>
      <c r="AM121" s="202"/>
      <c r="AN121" s="202"/>
      <c r="AO121" s="200"/>
      <c r="AP121" s="200"/>
      <c r="AQ121" s="200"/>
      <c r="AR121" s="200"/>
      <c r="AS121" s="200"/>
      <c r="AT121" s="200"/>
      <c r="AU121" s="200"/>
      <c r="AV121" s="203"/>
      <c r="AW121" s="203"/>
      <c r="AX121" s="203"/>
      <c r="AY121" s="203"/>
      <c r="AZ121" s="203"/>
      <c r="BA121" s="203"/>
    </row>
    <row r="122" spans="1:53" ht="11.25" customHeight="1" x14ac:dyDescent="0.25">
      <c r="A122" s="1416"/>
      <c r="B122" s="1419"/>
      <c r="C122" s="1311"/>
      <c r="D122" s="1396" t="s">
        <v>302</v>
      </c>
      <c r="E122" s="1317"/>
      <c r="F122" s="1317"/>
      <c r="G122" s="1317"/>
      <c r="H122" s="1317"/>
      <c r="I122" s="919"/>
      <c r="J122" s="1317"/>
      <c r="K122" s="1317"/>
      <c r="L122" s="1421"/>
      <c r="M122" s="1421"/>
      <c r="N122" s="1421"/>
      <c r="O122" s="1311"/>
      <c r="P122" s="1311"/>
      <c r="Q122" s="1311"/>
      <c r="R122" s="1311"/>
      <c r="S122" s="1311"/>
      <c r="T122" s="1311"/>
      <c r="U122" s="1311"/>
      <c r="V122" s="1311"/>
      <c r="W122" s="1311"/>
      <c r="X122" s="1311"/>
      <c r="Y122" s="1311"/>
      <c r="Z122" s="1394"/>
      <c r="AA122" s="200"/>
      <c r="AB122" s="200"/>
      <c r="AC122" s="201"/>
      <c r="AD122" s="201"/>
      <c r="AE122" s="201"/>
      <c r="AF122" s="201"/>
      <c r="AG122" s="201"/>
      <c r="AH122" s="201"/>
      <c r="AI122" s="201"/>
      <c r="AJ122" s="201"/>
      <c r="AK122" s="201"/>
      <c r="AL122" s="202"/>
      <c r="AM122" s="202"/>
      <c r="AN122" s="202"/>
      <c r="AO122" s="200"/>
      <c r="AP122" s="200"/>
      <c r="AQ122" s="200"/>
      <c r="AR122" s="200"/>
      <c r="AS122" s="200"/>
      <c r="AT122" s="200"/>
      <c r="AU122" s="200"/>
      <c r="AV122" s="203"/>
      <c r="AW122" s="203"/>
      <c r="AX122" s="203"/>
      <c r="AY122" s="203"/>
      <c r="AZ122" s="203"/>
      <c r="BA122" s="203"/>
    </row>
    <row r="123" spans="1:53" ht="9.75" customHeight="1" x14ac:dyDescent="0.25">
      <c r="A123" s="1416"/>
      <c r="B123" s="1419"/>
      <c r="C123" s="1311"/>
      <c r="D123" s="1311"/>
      <c r="E123" s="1317"/>
      <c r="F123" s="1311"/>
      <c r="G123" s="1311"/>
      <c r="H123" s="1311"/>
      <c r="I123" s="906"/>
      <c r="J123" s="1311"/>
      <c r="K123" s="1311"/>
      <c r="L123" s="1421"/>
      <c r="M123" s="1311"/>
      <c r="N123" s="1311"/>
      <c r="O123" s="1311"/>
      <c r="P123" s="1311"/>
      <c r="Q123" s="1311"/>
      <c r="R123" s="1311"/>
      <c r="S123" s="1311"/>
      <c r="T123" s="1311"/>
      <c r="U123" s="1311"/>
      <c r="V123" s="1311"/>
      <c r="W123" s="1311"/>
      <c r="X123" s="1311"/>
      <c r="Y123" s="1311"/>
      <c r="Z123" s="1394"/>
      <c r="AA123" s="200"/>
      <c r="AB123" s="200"/>
      <c r="AC123" s="201"/>
      <c r="AD123" s="201"/>
      <c r="AE123" s="201"/>
      <c r="AF123" s="201"/>
      <c r="AG123" s="201"/>
      <c r="AH123" s="201"/>
      <c r="AI123" s="201"/>
      <c r="AJ123" s="201"/>
      <c r="AK123" s="201"/>
      <c r="AL123" s="202"/>
      <c r="AM123" s="202"/>
      <c r="AN123" s="202"/>
      <c r="AO123" s="200"/>
      <c r="AP123" s="200"/>
      <c r="AQ123" s="200"/>
      <c r="AR123" s="200"/>
      <c r="AS123" s="200"/>
      <c r="AT123" s="200"/>
      <c r="AU123" s="200"/>
      <c r="AV123" s="203"/>
      <c r="AW123" s="203"/>
      <c r="AX123" s="203"/>
      <c r="AY123" s="203"/>
      <c r="AZ123" s="203"/>
      <c r="BA123" s="203"/>
    </row>
    <row r="124" spans="1:53" ht="6.75" customHeight="1" x14ac:dyDescent="0.25">
      <c r="A124" s="1416"/>
      <c r="B124" s="1419"/>
      <c r="C124" s="1311"/>
      <c r="D124" s="1311"/>
      <c r="E124" s="1317"/>
      <c r="F124" s="1311"/>
      <c r="G124" s="1311"/>
      <c r="H124" s="1311"/>
      <c r="I124" s="906"/>
      <c r="J124" s="1311"/>
      <c r="K124" s="1311"/>
      <c r="L124" s="1421"/>
      <c r="M124" s="1311"/>
      <c r="N124" s="1311"/>
      <c r="O124" s="1311"/>
      <c r="P124" s="1311"/>
      <c r="Q124" s="1311"/>
      <c r="R124" s="1311"/>
      <c r="S124" s="1311"/>
      <c r="T124" s="1311"/>
      <c r="U124" s="1311"/>
      <c r="V124" s="1311"/>
      <c r="W124" s="1311"/>
      <c r="X124" s="1311"/>
      <c r="Y124" s="1311"/>
      <c r="Z124" s="1394"/>
      <c r="AA124" s="200"/>
      <c r="AB124" s="200"/>
      <c r="AC124" s="201"/>
      <c r="AD124" s="201"/>
      <c r="AE124" s="201"/>
      <c r="AF124" s="201"/>
      <c r="AG124" s="201"/>
      <c r="AH124" s="201"/>
      <c r="AI124" s="201"/>
      <c r="AJ124" s="201"/>
      <c r="AK124" s="201"/>
      <c r="AL124" s="202"/>
      <c r="AM124" s="202"/>
      <c r="AN124" s="202"/>
      <c r="AO124" s="200"/>
      <c r="AP124" s="200"/>
      <c r="AQ124" s="200"/>
      <c r="AR124" s="200"/>
      <c r="AS124" s="200"/>
      <c r="AT124" s="200"/>
      <c r="AU124" s="200"/>
      <c r="AV124" s="203"/>
      <c r="AW124" s="203"/>
      <c r="AX124" s="203"/>
      <c r="AY124" s="203"/>
      <c r="AZ124" s="203"/>
      <c r="BA124" s="203"/>
    </row>
    <row r="125" spans="1:53" ht="21.75" customHeight="1" x14ac:dyDescent="0.25">
      <c r="A125" s="1416"/>
      <c r="B125" s="1419"/>
      <c r="C125" s="1311"/>
      <c r="D125" s="1311"/>
      <c r="E125" s="1317"/>
      <c r="F125" s="1311"/>
      <c r="G125" s="1311"/>
      <c r="H125" s="1311"/>
      <c r="I125" s="906"/>
      <c r="J125" s="1311"/>
      <c r="K125" s="1311"/>
      <c r="L125" s="1421"/>
      <c r="M125" s="1311"/>
      <c r="N125" s="1311"/>
      <c r="O125" s="1311"/>
      <c r="P125" s="1311"/>
      <c r="Q125" s="1311"/>
      <c r="R125" s="1311"/>
      <c r="S125" s="1311"/>
      <c r="T125" s="1311"/>
      <c r="U125" s="1311"/>
      <c r="V125" s="1311"/>
      <c r="W125" s="1311"/>
      <c r="X125" s="1311"/>
      <c r="Y125" s="1311"/>
      <c r="Z125" s="1394"/>
      <c r="AA125" s="200"/>
      <c r="AB125" s="200"/>
      <c r="AC125" s="201"/>
      <c r="AD125" s="201"/>
      <c r="AE125" s="201"/>
      <c r="AF125" s="201"/>
      <c r="AG125" s="201"/>
      <c r="AH125" s="201"/>
      <c r="AI125" s="201"/>
      <c r="AJ125" s="201"/>
      <c r="AK125" s="201"/>
      <c r="AL125" s="202"/>
      <c r="AM125" s="202"/>
      <c r="AN125" s="202"/>
      <c r="AO125" s="200"/>
      <c r="AP125" s="200"/>
      <c r="AQ125" s="200"/>
      <c r="AR125" s="200"/>
      <c r="AS125" s="200"/>
      <c r="AT125" s="200"/>
      <c r="AU125" s="200"/>
      <c r="AV125" s="203"/>
      <c r="AW125" s="203"/>
      <c r="AX125" s="203"/>
      <c r="AY125" s="203"/>
      <c r="AZ125" s="203"/>
      <c r="BA125" s="203"/>
    </row>
    <row r="126" spans="1:53" ht="12.75" customHeight="1" x14ac:dyDescent="0.25">
      <c r="A126" s="1416"/>
      <c r="B126" s="1419"/>
      <c r="C126" s="1318" t="s">
        <v>321</v>
      </c>
      <c r="D126" s="290" t="s">
        <v>288</v>
      </c>
      <c r="E126" s="919">
        <v>6</v>
      </c>
      <c r="F126" s="919"/>
      <c r="G126" s="919"/>
      <c r="H126" s="919">
        <v>9</v>
      </c>
      <c r="I126" s="919"/>
      <c r="J126" s="919">
        <v>12</v>
      </c>
      <c r="K126" s="919"/>
      <c r="L126" s="919">
        <v>6</v>
      </c>
      <c r="M126" s="919">
        <v>9</v>
      </c>
      <c r="N126" s="919">
        <v>12</v>
      </c>
      <c r="O126" s="1318" t="s">
        <v>321</v>
      </c>
      <c r="P126" s="1422" t="s">
        <v>322</v>
      </c>
      <c r="Q126" s="1423" t="s">
        <v>465</v>
      </c>
      <c r="R126" s="1318" t="s">
        <v>305</v>
      </c>
      <c r="S126" s="1310" t="s">
        <v>290</v>
      </c>
      <c r="T126" s="1317">
        <v>589932</v>
      </c>
      <c r="U126" s="1317">
        <v>619048</v>
      </c>
      <c r="V126" s="1310"/>
      <c r="W126" s="1310" t="s">
        <v>291</v>
      </c>
      <c r="X126" s="1310" t="s">
        <v>292</v>
      </c>
      <c r="Y126" s="1310" t="s">
        <v>293</v>
      </c>
      <c r="Z126" s="1413">
        <f>SUM(U126+T126)</f>
        <v>1208980</v>
      </c>
      <c r="AA126" s="200"/>
      <c r="AB126" s="200"/>
      <c r="AC126" s="201">
        <v>12</v>
      </c>
      <c r="AD126" s="201" t="s">
        <v>294</v>
      </c>
      <c r="AE126" s="201"/>
      <c r="AF126" s="201"/>
      <c r="AG126" s="201"/>
      <c r="AH126" s="201" t="s">
        <v>295</v>
      </c>
      <c r="AI126" s="201"/>
      <c r="AJ126" s="201"/>
      <c r="AK126" s="201"/>
      <c r="AL126" s="202"/>
      <c r="AM126" s="202"/>
      <c r="AN126" s="202"/>
      <c r="AO126" s="200"/>
      <c r="AP126" s="200"/>
      <c r="AQ126" s="200"/>
      <c r="AR126" s="200"/>
      <c r="AS126" s="200"/>
      <c r="AT126" s="200"/>
      <c r="AU126" s="200"/>
      <c r="AV126" s="203"/>
      <c r="AW126" s="203"/>
      <c r="AX126" s="203"/>
      <c r="AY126" s="203"/>
      <c r="AZ126" s="203"/>
      <c r="BA126" s="203"/>
    </row>
    <row r="127" spans="1:53" ht="13.5" customHeight="1" x14ac:dyDescent="0.25">
      <c r="A127" s="1416"/>
      <c r="B127" s="1419"/>
      <c r="C127" s="1311"/>
      <c r="D127" s="922" t="s">
        <v>296</v>
      </c>
      <c r="E127" s="325">
        <v>51522300</v>
      </c>
      <c r="F127" s="289"/>
      <c r="G127" s="289"/>
      <c r="H127" s="306">
        <v>33752160</v>
      </c>
      <c r="I127" s="306"/>
      <c r="J127" s="932">
        <v>34104684.119999997</v>
      </c>
      <c r="K127" s="325">
        <f>+K126*$K$151/$K$150</f>
        <v>0</v>
      </c>
      <c r="L127" s="325">
        <v>18495567</v>
      </c>
      <c r="M127" s="306">
        <v>21939872.3558282</v>
      </c>
      <c r="N127" s="932">
        <v>29234871.981042702</v>
      </c>
      <c r="O127" s="1311"/>
      <c r="P127" s="1311"/>
      <c r="Q127" s="1311"/>
      <c r="R127" s="1311"/>
      <c r="S127" s="1311"/>
      <c r="T127" s="1311"/>
      <c r="U127" s="1311"/>
      <c r="V127" s="1311"/>
      <c r="W127" s="1311"/>
      <c r="X127" s="1311"/>
      <c r="Y127" s="1311"/>
      <c r="Z127" s="1394"/>
      <c r="AA127" s="200"/>
      <c r="AB127" s="200"/>
      <c r="AC127" s="201">
        <v>13</v>
      </c>
      <c r="AD127" s="201" t="s">
        <v>297</v>
      </c>
      <c r="AE127" s="201"/>
      <c r="AF127" s="201"/>
      <c r="AG127" s="201"/>
      <c r="AH127" s="201" t="s">
        <v>298</v>
      </c>
      <c r="AI127" s="201"/>
      <c r="AJ127" s="201"/>
      <c r="AK127" s="201"/>
      <c r="AL127" s="202"/>
      <c r="AM127" s="202"/>
      <c r="AN127" s="202"/>
      <c r="AO127" s="200"/>
      <c r="AP127" s="200"/>
      <c r="AQ127" s="200"/>
      <c r="AR127" s="200"/>
      <c r="AS127" s="200"/>
      <c r="AT127" s="200"/>
      <c r="AU127" s="200"/>
      <c r="AV127" s="203"/>
      <c r="AW127" s="203"/>
      <c r="AX127" s="203"/>
      <c r="AY127" s="203"/>
      <c r="AZ127" s="203"/>
      <c r="BA127" s="203"/>
    </row>
    <row r="128" spans="1:53" ht="14.25" customHeight="1" x14ac:dyDescent="0.25">
      <c r="A128" s="1416"/>
      <c r="B128" s="1419"/>
      <c r="C128" s="1311"/>
      <c r="D128" s="922" t="s">
        <v>299</v>
      </c>
      <c r="E128" s="919"/>
      <c r="F128" s="919"/>
      <c r="G128" s="919"/>
      <c r="H128" s="919"/>
      <c r="I128" s="919"/>
      <c r="J128" s="919"/>
      <c r="K128" s="919"/>
      <c r="L128" s="919"/>
      <c r="M128" s="919"/>
      <c r="N128" s="919"/>
      <c r="O128" s="1311"/>
      <c r="P128" s="1311"/>
      <c r="Q128" s="1311"/>
      <c r="R128" s="1311"/>
      <c r="S128" s="1311"/>
      <c r="T128" s="1311"/>
      <c r="U128" s="1311"/>
      <c r="V128" s="1311"/>
      <c r="W128" s="1311"/>
      <c r="X128" s="1311"/>
      <c r="Y128" s="1311"/>
      <c r="Z128" s="1394"/>
      <c r="AA128" s="200"/>
      <c r="AB128" s="200"/>
      <c r="AC128" s="201">
        <v>14</v>
      </c>
      <c r="AD128" s="201" t="s">
        <v>300</v>
      </c>
      <c r="AE128" s="201"/>
      <c r="AF128" s="201"/>
      <c r="AG128" s="201"/>
      <c r="AH128" s="201" t="s">
        <v>301</v>
      </c>
      <c r="AI128" s="201"/>
      <c r="AJ128" s="201"/>
      <c r="AK128" s="201"/>
      <c r="AL128" s="202"/>
      <c r="AM128" s="202"/>
      <c r="AN128" s="202"/>
      <c r="AO128" s="200"/>
      <c r="AP128" s="200"/>
      <c r="AQ128" s="200"/>
      <c r="AR128" s="200"/>
      <c r="AS128" s="200"/>
      <c r="AT128" s="200"/>
      <c r="AU128" s="200"/>
      <c r="AV128" s="203"/>
      <c r="AW128" s="203"/>
      <c r="AX128" s="203"/>
      <c r="AY128" s="203"/>
      <c r="AZ128" s="203"/>
      <c r="BA128" s="203"/>
    </row>
    <row r="129" spans="1:53" ht="11.25" customHeight="1" x14ac:dyDescent="0.25">
      <c r="A129" s="1416"/>
      <c r="B129" s="1419"/>
      <c r="C129" s="1311"/>
      <c r="D129" s="1396" t="s">
        <v>302</v>
      </c>
      <c r="E129" s="1317"/>
      <c r="F129" s="1317"/>
      <c r="G129" s="1317"/>
      <c r="H129" s="1317"/>
      <c r="I129" s="919"/>
      <c r="J129" s="1317"/>
      <c r="K129" s="1317"/>
      <c r="L129" s="1421"/>
      <c r="M129" s="1421"/>
      <c r="N129" s="1421"/>
      <c r="O129" s="1311"/>
      <c r="P129" s="1311"/>
      <c r="Q129" s="1311"/>
      <c r="R129" s="1311"/>
      <c r="S129" s="1311"/>
      <c r="T129" s="1311"/>
      <c r="U129" s="1311"/>
      <c r="V129" s="1311"/>
      <c r="W129" s="1311"/>
      <c r="X129" s="1311"/>
      <c r="Y129" s="1311"/>
      <c r="Z129" s="1394"/>
      <c r="AA129" s="200"/>
      <c r="AB129" s="200"/>
      <c r="AC129" s="201"/>
      <c r="AD129" s="201"/>
      <c r="AE129" s="201"/>
      <c r="AF129" s="201"/>
      <c r="AG129" s="201"/>
      <c r="AH129" s="201"/>
      <c r="AI129" s="201"/>
      <c r="AJ129" s="201"/>
      <c r="AK129" s="201"/>
      <c r="AL129" s="202"/>
      <c r="AM129" s="202"/>
      <c r="AN129" s="202"/>
      <c r="AO129" s="200"/>
      <c r="AP129" s="200"/>
      <c r="AQ129" s="200"/>
      <c r="AR129" s="200"/>
      <c r="AS129" s="200"/>
      <c r="AT129" s="200"/>
      <c r="AU129" s="200"/>
      <c r="AV129" s="203"/>
      <c r="AW129" s="203"/>
      <c r="AX129" s="203"/>
      <c r="AY129" s="203"/>
      <c r="AZ129" s="203"/>
      <c r="BA129" s="203"/>
    </row>
    <row r="130" spans="1:53" ht="9.75" customHeight="1" x14ac:dyDescent="0.25">
      <c r="A130" s="1416"/>
      <c r="B130" s="1419"/>
      <c r="C130" s="1311"/>
      <c r="D130" s="1311"/>
      <c r="E130" s="1317"/>
      <c r="F130" s="1311"/>
      <c r="G130" s="1311"/>
      <c r="H130" s="1311"/>
      <c r="I130" s="906"/>
      <c r="J130" s="1311"/>
      <c r="K130" s="1311"/>
      <c r="L130" s="1421"/>
      <c r="M130" s="1311"/>
      <c r="N130" s="1311"/>
      <c r="O130" s="1311"/>
      <c r="P130" s="1311"/>
      <c r="Q130" s="1311"/>
      <c r="R130" s="1311"/>
      <c r="S130" s="1311"/>
      <c r="T130" s="1311"/>
      <c r="U130" s="1311"/>
      <c r="V130" s="1311"/>
      <c r="W130" s="1311"/>
      <c r="X130" s="1311"/>
      <c r="Y130" s="1311"/>
      <c r="Z130" s="1394"/>
      <c r="AA130" s="200"/>
      <c r="AB130" s="200"/>
      <c r="AC130" s="201"/>
      <c r="AD130" s="201"/>
      <c r="AE130" s="201"/>
      <c r="AF130" s="201"/>
      <c r="AG130" s="201"/>
      <c r="AH130" s="201"/>
      <c r="AI130" s="201"/>
      <c r="AJ130" s="201"/>
      <c r="AK130" s="201"/>
      <c r="AL130" s="202"/>
      <c r="AM130" s="202"/>
      <c r="AN130" s="202"/>
      <c r="AO130" s="200"/>
      <c r="AP130" s="200"/>
      <c r="AQ130" s="200"/>
      <c r="AR130" s="200"/>
      <c r="AS130" s="200"/>
      <c r="AT130" s="200"/>
      <c r="AU130" s="200"/>
      <c r="AV130" s="203"/>
      <c r="AW130" s="203"/>
      <c r="AX130" s="203"/>
      <c r="AY130" s="203"/>
      <c r="AZ130" s="203"/>
      <c r="BA130" s="203"/>
    </row>
    <row r="131" spans="1:53" ht="6.75" customHeight="1" x14ac:dyDescent="0.25">
      <c r="A131" s="1416"/>
      <c r="B131" s="1419"/>
      <c r="C131" s="1311"/>
      <c r="D131" s="1311"/>
      <c r="E131" s="1317"/>
      <c r="F131" s="1311"/>
      <c r="G131" s="1311"/>
      <c r="H131" s="1311"/>
      <c r="I131" s="906"/>
      <c r="J131" s="1311"/>
      <c r="K131" s="1311"/>
      <c r="L131" s="1421"/>
      <c r="M131" s="1311"/>
      <c r="N131" s="1311"/>
      <c r="O131" s="1311"/>
      <c r="P131" s="1311"/>
      <c r="Q131" s="1311"/>
      <c r="R131" s="1311"/>
      <c r="S131" s="1311"/>
      <c r="T131" s="1311"/>
      <c r="U131" s="1311"/>
      <c r="V131" s="1311"/>
      <c r="W131" s="1311"/>
      <c r="X131" s="1311"/>
      <c r="Y131" s="1311"/>
      <c r="Z131" s="1394"/>
      <c r="AA131" s="200"/>
      <c r="AB131" s="200"/>
      <c r="AC131" s="201"/>
      <c r="AD131" s="201"/>
      <c r="AE131" s="201"/>
      <c r="AF131" s="201"/>
      <c r="AG131" s="201"/>
      <c r="AH131" s="201"/>
      <c r="AI131" s="201"/>
      <c r="AJ131" s="201"/>
      <c r="AK131" s="201"/>
      <c r="AL131" s="202"/>
      <c r="AM131" s="202"/>
      <c r="AN131" s="202"/>
      <c r="AO131" s="200"/>
      <c r="AP131" s="200"/>
      <c r="AQ131" s="200"/>
      <c r="AR131" s="200"/>
      <c r="AS131" s="200"/>
      <c r="AT131" s="200"/>
      <c r="AU131" s="200"/>
      <c r="AV131" s="203"/>
      <c r="AW131" s="203"/>
      <c r="AX131" s="203"/>
      <c r="AY131" s="203"/>
      <c r="AZ131" s="203"/>
      <c r="BA131" s="203"/>
    </row>
    <row r="132" spans="1:53" ht="21.75" customHeight="1" x14ac:dyDescent="0.25">
      <c r="A132" s="1416"/>
      <c r="B132" s="1419"/>
      <c r="C132" s="1311"/>
      <c r="D132" s="1311"/>
      <c r="E132" s="1317"/>
      <c r="F132" s="1311"/>
      <c r="G132" s="1311"/>
      <c r="H132" s="1311"/>
      <c r="I132" s="906"/>
      <c r="J132" s="1311"/>
      <c r="K132" s="1311"/>
      <c r="L132" s="1421"/>
      <c r="M132" s="1311"/>
      <c r="N132" s="1311"/>
      <c r="O132" s="1311"/>
      <c r="P132" s="1311"/>
      <c r="Q132" s="1311"/>
      <c r="R132" s="1311"/>
      <c r="S132" s="1311"/>
      <c r="T132" s="1311"/>
      <c r="U132" s="1311"/>
      <c r="V132" s="1311"/>
      <c r="W132" s="1311"/>
      <c r="X132" s="1311"/>
      <c r="Y132" s="1311"/>
      <c r="Z132" s="1394"/>
      <c r="AA132" s="200"/>
      <c r="AB132" s="200"/>
      <c r="AC132" s="201"/>
      <c r="AD132" s="201"/>
      <c r="AE132" s="201"/>
      <c r="AF132" s="201"/>
      <c r="AG132" s="201"/>
      <c r="AH132" s="201"/>
      <c r="AI132" s="201"/>
      <c r="AJ132" s="201"/>
      <c r="AK132" s="201"/>
      <c r="AL132" s="202"/>
      <c r="AM132" s="202"/>
      <c r="AN132" s="202"/>
      <c r="AO132" s="200"/>
      <c r="AP132" s="200"/>
      <c r="AQ132" s="200"/>
      <c r="AR132" s="200"/>
      <c r="AS132" s="200"/>
      <c r="AT132" s="200"/>
      <c r="AU132" s="200"/>
      <c r="AV132" s="203"/>
      <c r="AW132" s="203"/>
      <c r="AX132" s="203"/>
      <c r="AY132" s="203"/>
      <c r="AZ132" s="203"/>
      <c r="BA132" s="203"/>
    </row>
    <row r="133" spans="1:53" ht="12.75" hidden="1" customHeight="1" x14ac:dyDescent="0.25">
      <c r="A133" s="1416"/>
      <c r="B133" s="1419"/>
      <c r="C133" s="1318" t="s">
        <v>464</v>
      </c>
      <c r="D133" s="290" t="s">
        <v>288</v>
      </c>
      <c r="E133" s="919"/>
      <c r="F133" s="919"/>
      <c r="G133" s="919"/>
      <c r="H133" s="919">
        <v>1</v>
      </c>
      <c r="I133" s="919"/>
      <c r="J133" s="919"/>
      <c r="K133" s="919"/>
      <c r="L133" s="919"/>
      <c r="M133" s="919"/>
      <c r="N133" s="919"/>
      <c r="O133" s="1318" t="s">
        <v>464</v>
      </c>
      <c r="P133" s="1422" t="s">
        <v>463</v>
      </c>
      <c r="Q133" s="1423" t="s">
        <v>462</v>
      </c>
      <c r="R133" s="1318" t="s">
        <v>305</v>
      </c>
      <c r="S133" s="1310" t="s">
        <v>290</v>
      </c>
      <c r="T133" s="1317">
        <v>12045</v>
      </c>
      <c r="U133" s="1317">
        <v>10393</v>
      </c>
      <c r="V133" s="1310"/>
      <c r="W133" s="1310" t="s">
        <v>291</v>
      </c>
      <c r="X133" s="1310" t="s">
        <v>292</v>
      </c>
      <c r="Y133" s="1310" t="s">
        <v>293</v>
      </c>
      <c r="Z133" s="1413">
        <v>22438</v>
      </c>
      <c r="AA133" s="200"/>
      <c r="AB133" s="200"/>
      <c r="AC133" s="201">
        <v>12</v>
      </c>
      <c r="AD133" s="201" t="s">
        <v>294</v>
      </c>
      <c r="AE133" s="201"/>
      <c r="AF133" s="201"/>
      <c r="AG133" s="201"/>
      <c r="AH133" s="201" t="s">
        <v>295</v>
      </c>
      <c r="AI133" s="201"/>
      <c r="AJ133" s="201"/>
      <c r="AK133" s="201"/>
      <c r="AL133" s="202"/>
      <c r="AM133" s="202"/>
      <c r="AN133" s="202"/>
      <c r="AO133" s="200"/>
      <c r="AP133" s="200"/>
      <c r="AQ133" s="200"/>
      <c r="AR133" s="200"/>
      <c r="AS133" s="200"/>
      <c r="AT133" s="200"/>
      <c r="AU133" s="200"/>
      <c r="AV133" s="203"/>
      <c r="AW133" s="203"/>
      <c r="AX133" s="203"/>
      <c r="AY133" s="203"/>
      <c r="AZ133" s="203"/>
      <c r="BA133" s="203"/>
    </row>
    <row r="134" spans="1:53" ht="13.5" hidden="1" customHeight="1" x14ac:dyDescent="0.25">
      <c r="A134" s="1416"/>
      <c r="B134" s="1419"/>
      <c r="C134" s="1311"/>
      <c r="D134" s="922" t="s">
        <v>296</v>
      </c>
      <c r="E134" s="325"/>
      <c r="F134" s="289"/>
      <c r="G134" s="289"/>
      <c r="H134" s="306">
        <v>3750240</v>
      </c>
      <c r="I134" s="306"/>
      <c r="J134" s="932"/>
      <c r="K134" s="325"/>
      <c r="L134" s="325"/>
      <c r="M134" s="306"/>
      <c r="N134" s="932"/>
      <c r="O134" s="1311"/>
      <c r="P134" s="1311"/>
      <c r="Q134" s="1311"/>
      <c r="R134" s="1311"/>
      <c r="S134" s="1311"/>
      <c r="T134" s="1311"/>
      <c r="U134" s="1311"/>
      <c r="V134" s="1311"/>
      <c r="W134" s="1311"/>
      <c r="X134" s="1311"/>
      <c r="Y134" s="1311"/>
      <c r="Z134" s="1394"/>
      <c r="AA134" s="200"/>
      <c r="AB134" s="200"/>
      <c r="AC134" s="201">
        <v>13</v>
      </c>
      <c r="AD134" s="201" t="s">
        <v>297</v>
      </c>
      <c r="AE134" s="201"/>
      <c r="AF134" s="201"/>
      <c r="AG134" s="201"/>
      <c r="AH134" s="201" t="s">
        <v>298</v>
      </c>
      <c r="AI134" s="201"/>
      <c r="AJ134" s="201"/>
      <c r="AK134" s="201"/>
      <c r="AL134" s="202"/>
      <c r="AM134" s="202"/>
      <c r="AN134" s="202"/>
      <c r="AO134" s="200"/>
      <c r="AP134" s="200"/>
      <c r="AQ134" s="200"/>
      <c r="AR134" s="200"/>
      <c r="AS134" s="200"/>
      <c r="AT134" s="200"/>
      <c r="AU134" s="200"/>
      <c r="AV134" s="203"/>
      <c r="AW134" s="203"/>
      <c r="AX134" s="203"/>
      <c r="AY134" s="203"/>
      <c r="AZ134" s="203"/>
      <c r="BA134" s="203"/>
    </row>
    <row r="135" spans="1:53" ht="14.25" hidden="1" customHeight="1" x14ac:dyDescent="0.25">
      <c r="A135" s="1416"/>
      <c r="B135" s="1419"/>
      <c r="C135" s="1311"/>
      <c r="D135" s="922" t="s">
        <v>299</v>
      </c>
      <c r="E135" s="919"/>
      <c r="F135" s="919"/>
      <c r="G135" s="919"/>
      <c r="H135" s="919"/>
      <c r="I135" s="919"/>
      <c r="J135" s="919"/>
      <c r="K135" s="919"/>
      <c r="L135" s="919"/>
      <c r="M135" s="919"/>
      <c r="N135" s="919"/>
      <c r="O135" s="1311"/>
      <c r="P135" s="1311"/>
      <c r="Q135" s="1311"/>
      <c r="R135" s="1311"/>
      <c r="S135" s="1311"/>
      <c r="T135" s="1311"/>
      <c r="U135" s="1311"/>
      <c r="V135" s="1311"/>
      <c r="W135" s="1311"/>
      <c r="X135" s="1311"/>
      <c r="Y135" s="1311"/>
      <c r="Z135" s="1394"/>
      <c r="AA135" s="200"/>
      <c r="AB135" s="200"/>
      <c r="AC135" s="201">
        <v>14</v>
      </c>
      <c r="AD135" s="201" t="s">
        <v>300</v>
      </c>
      <c r="AE135" s="201"/>
      <c r="AF135" s="201"/>
      <c r="AG135" s="201"/>
      <c r="AH135" s="201" t="s">
        <v>301</v>
      </c>
      <c r="AI135" s="201"/>
      <c r="AJ135" s="201"/>
      <c r="AK135" s="201"/>
      <c r="AL135" s="202"/>
      <c r="AM135" s="202"/>
      <c r="AN135" s="202"/>
      <c r="AO135" s="200"/>
      <c r="AP135" s="200"/>
      <c r="AQ135" s="200"/>
      <c r="AR135" s="200"/>
      <c r="AS135" s="200"/>
      <c r="AT135" s="200"/>
      <c r="AU135" s="200"/>
      <c r="AV135" s="203"/>
      <c r="AW135" s="203"/>
      <c r="AX135" s="203"/>
      <c r="AY135" s="203"/>
      <c r="AZ135" s="203"/>
      <c r="BA135" s="203"/>
    </row>
    <row r="136" spans="1:53" ht="11.25" hidden="1" customHeight="1" x14ac:dyDescent="0.25">
      <c r="A136" s="1416"/>
      <c r="B136" s="1419"/>
      <c r="C136" s="1311"/>
      <c r="D136" s="1396" t="s">
        <v>302</v>
      </c>
      <c r="E136" s="1317"/>
      <c r="F136" s="1317"/>
      <c r="G136" s="1317"/>
      <c r="H136" s="1317"/>
      <c r="I136" s="919"/>
      <c r="J136" s="1317"/>
      <c r="K136" s="1317"/>
      <c r="L136" s="1421"/>
      <c r="M136" s="1421"/>
      <c r="N136" s="1421"/>
      <c r="O136" s="1311"/>
      <c r="P136" s="1311"/>
      <c r="Q136" s="1311"/>
      <c r="R136" s="1311"/>
      <c r="S136" s="1311"/>
      <c r="T136" s="1311"/>
      <c r="U136" s="1311"/>
      <c r="V136" s="1311"/>
      <c r="W136" s="1311"/>
      <c r="X136" s="1311"/>
      <c r="Y136" s="1311"/>
      <c r="Z136" s="1394"/>
      <c r="AA136" s="200"/>
      <c r="AB136" s="200"/>
      <c r="AC136" s="201"/>
      <c r="AD136" s="201"/>
      <c r="AE136" s="201"/>
      <c r="AF136" s="201"/>
      <c r="AG136" s="201"/>
      <c r="AH136" s="201"/>
      <c r="AI136" s="201"/>
      <c r="AJ136" s="201"/>
      <c r="AK136" s="201"/>
      <c r="AL136" s="202"/>
      <c r="AM136" s="202"/>
      <c r="AN136" s="202"/>
      <c r="AO136" s="200"/>
      <c r="AP136" s="200"/>
      <c r="AQ136" s="200"/>
      <c r="AR136" s="200"/>
      <c r="AS136" s="200"/>
      <c r="AT136" s="200"/>
      <c r="AU136" s="200"/>
      <c r="AV136" s="203"/>
      <c r="AW136" s="203"/>
      <c r="AX136" s="203"/>
      <c r="AY136" s="203"/>
      <c r="AZ136" s="203"/>
      <c r="BA136" s="203"/>
    </row>
    <row r="137" spans="1:53" ht="9.75" hidden="1" customHeight="1" x14ac:dyDescent="0.25">
      <c r="A137" s="1416"/>
      <c r="B137" s="1419"/>
      <c r="C137" s="1311"/>
      <c r="D137" s="1311"/>
      <c r="E137" s="1317"/>
      <c r="F137" s="1311"/>
      <c r="G137" s="1311"/>
      <c r="H137" s="1311"/>
      <c r="I137" s="906"/>
      <c r="J137" s="1311"/>
      <c r="K137" s="1311"/>
      <c r="L137" s="1421"/>
      <c r="M137" s="1311"/>
      <c r="N137" s="1311"/>
      <c r="O137" s="1311"/>
      <c r="P137" s="1311"/>
      <c r="Q137" s="1311"/>
      <c r="R137" s="1311"/>
      <c r="S137" s="1311"/>
      <c r="T137" s="1311"/>
      <c r="U137" s="1311"/>
      <c r="V137" s="1311"/>
      <c r="W137" s="1311"/>
      <c r="X137" s="1311"/>
      <c r="Y137" s="1311"/>
      <c r="Z137" s="1394"/>
      <c r="AA137" s="200"/>
      <c r="AB137" s="200"/>
      <c r="AC137" s="201"/>
      <c r="AD137" s="201"/>
      <c r="AE137" s="201"/>
      <c r="AF137" s="201"/>
      <c r="AG137" s="201"/>
      <c r="AH137" s="201"/>
      <c r="AI137" s="201"/>
      <c r="AJ137" s="201"/>
      <c r="AK137" s="201"/>
      <c r="AL137" s="202"/>
      <c r="AM137" s="202"/>
      <c r="AN137" s="202"/>
      <c r="AO137" s="200"/>
      <c r="AP137" s="200"/>
      <c r="AQ137" s="200"/>
      <c r="AR137" s="200"/>
      <c r="AS137" s="200"/>
      <c r="AT137" s="200"/>
      <c r="AU137" s="200"/>
      <c r="AV137" s="203"/>
      <c r="AW137" s="203"/>
      <c r="AX137" s="203"/>
      <c r="AY137" s="203"/>
      <c r="AZ137" s="203"/>
      <c r="BA137" s="203"/>
    </row>
    <row r="138" spans="1:53" ht="6.75" hidden="1" customHeight="1" x14ac:dyDescent="0.25">
      <c r="A138" s="1416"/>
      <c r="B138" s="1419"/>
      <c r="C138" s="1311"/>
      <c r="D138" s="1311"/>
      <c r="E138" s="1317"/>
      <c r="F138" s="1311"/>
      <c r="G138" s="1311"/>
      <c r="H138" s="1311"/>
      <c r="I138" s="906"/>
      <c r="J138" s="1311"/>
      <c r="K138" s="1311"/>
      <c r="L138" s="1421"/>
      <c r="M138" s="1311"/>
      <c r="N138" s="1311"/>
      <c r="O138" s="1311"/>
      <c r="P138" s="1311"/>
      <c r="Q138" s="1311"/>
      <c r="R138" s="1311"/>
      <c r="S138" s="1311"/>
      <c r="T138" s="1311"/>
      <c r="U138" s="1311"/>
      <c r="V138" s="1311"/>
      <c r="W138" s="1311"/>
      <c r="X138" s="1311"/>
      <c r="Y138" s="1311"/>
      <c r="Z138" s="1394"/>
      <c r="AA138" s="200"/>
      <c r="AB138" s="200"/>
      <c r="AC138" s="201"/>
      <c r="AD138" s="201"/>
      <c r="AE138" s="201"/>
      <c r="AF138" s="201"/>
      <c r="AG138" s="201"/>
      <c r="AH138" s="201"/>
      <c r="AI138" s="201"/>
      <c r="AJ138" s="201"/>
      <c r="AK138" s="201"/>
      <c r="AL138" s="202"/>
      <c r="AM138" s="202"/>
      <c r="AN138" s="202"/>
      <c r="AO138" s="200"/>
      <c r="AP138" s="200"/>
      <c r="AQ138" s="200"/>
      <c r="AR138" s="200"/>
      <c r="AS138" s="200"/>
      <c r="AT138" s="200"/>
      <c r="AU138" s="200"/>
      <c r="AV138" s="203"/>
      <c r="AW138" s="203"/>
      <c r="AX138" s="203"/>
      <c r="AY138" s="203"/>
      <c r="AZ138" s="203"/>
      <c r="BA138" s="203"/>
    </row>
    <row r="139" spans="1:53" ht="21.75" hidden="1" customHeight="1" x14ac:dyDescent="0.25">
      <c r="A139" s="1416"/>
      <c r="B139" s="1419"/>
      <c r="C139" s="1311"/>
      <c r="D139" s="1311"/>
      <c r="E139" s="1317"/>
      <c r="F139" s="1311"/>
      <c r="G139" s="1311"/>
      <c r="H139" s="1311"/>
      <c r="I139" s="906"/>
      <c r="J139" s="1311"/>
      <c r="K139" s="1311"/>
      <c r="L139" s="1421"/>
      <c r="M139" s="1311"/>
      <c r="N139" s="1311"/>
      <c r="O139" s="1311"/>
      <c r="P139" s="1311"/>
      <c r="Q139" s="1311"/>
      <c r="R139" s="1311"/>
      <c r="S139" s="1311"/>
      <c r="T139" s="1311"/>
      <c r="U139" s="1311"/>
      <c r="V139" s="1311"/>
      <c r="W139" s="1311"/>
      <c r="X139" s="1311"/>
      <c r="Y139" s="1311"/>
      <c r="Z139" s="1394"/>
      <c r="AA139" s="200"/>
      <c r="AB139" s="200"/>
      <c r="AC139" s="201"/>
      <c r="AD139" s="201"/>
      <c r="AE139" s="201"/>
      <c r="AF139" s="201"/>
      <c r="AG139" s="201"/>
      <c r="AH139" s="201"/>
      <c r="AI139" s="201"/>
      <c r="AJ139" s="201"/>
      <c r="AK139" s="201"/>
      <c r="AL139" s="202"/>
      <c r="AM139" s="202"/>
      <c r="AN139" s="202"/>
      <c r="AO139" s="200"/>
      <c r="AP139" s="200"/>
      <c r="AQ139" s="200"/>
      <c r="AR139" s="200"/>
      <c r="AS139" s="200"/>
      <c r="AT139" s="200"/>
      <c r="AU139" s="200"/>
      <c r="AV139" s="203"/>
      <c r="AW139" s="203"/>
      <c r="AX139" s="203"/>
      <c r="AY139" s="203"/>
      <c r="AZ139" s="203"/>
      <c r="BA139" s="203"/>
    </row>
    <row r="140" spans="1:53" ht="12.75" hidden="1" customHeight="1" x14ac:dyDescent="0.25">
      <c r="A140" s="1416"/>
      <c r="B140" s="1419"/>
      <c r="C140" s="1318" t="s">
        <v>461</v>
      </c>
      <c r="D140" s="290" t="s">
        <v>288</v>
      </c>
      <c r="E140" s="919"/>
      <c r="F140" s="919"/>
      <c r="G140" s="919"/>
      <c r="H140" s="919">
        <v>1</v>
      </c>
      <c r="I140" s="919"/>
      <c r="J140" s="919"/>
      <c r="K140" s="919"/>
      <c r="L140" s="919"/>
      <c r="M140" s="919"/>
      <c r="N140" s="919"/>
      <c r="O140" s="1318" t="s">
        <v>461</v>
      </c>
      <c r="P140" s="1422" t="s">
        <v>460</v>
      </c>
      <c r="Q140" s="1423" t="s">
        <v>459</v>
      </c>
      <c r="R140" s="1318" t="s">
        <v>305</v>
      </c>
      <c r="S140" s="1310" t="s">
        <v>290</v>
      </c>
      <c r="T140" s="1317">
        <v>53702</v>
      </c>
      <c r="U140" s="1317">
        <v>55552</v>
      </c>
      <c r="V140" s="1310"/>
      <c r="W140" s="1310" t="s">
        <v>291</v>
      </c>
      <c r="X140" s="1310" t="s">
        <v>292</v>
      </c>
      <c r="Y140" s="1310" t="s">
        <v>293</v>
      </c>
      <c r="Z140" s="1413">
        <v>109254</v>
      </c>
      <c r="AA140" s="200"/>
      <c r="AB140" s="200"/>
      <c r="AC140" s="201">
        <v>12</v>
      </c>
      <c r="AD140" s="201" t="s">
        <v>294</v>
      </c>
      <c r="AE140" s="201"/>
      <c r="AF140" s="201"/>
      <c r="AG140" s="201"/>
      <c r="AH140" s="201" t="s">
        <v>295</v>
      </c>
      <c r="AI140" s="201"/>
      <c r="AJ140" s="201"/>
      <c r="AK140" s="201"/>
      <c r="AL140" s="202"/>
      <c r="AM140" s="202"/>
      <c r="AN140" s="202"/>
      <c r="AO140" s="200"/>
      <c r="AP140" s="200"/>
      <c r="AQ140" s="200"/>
      <c r="AR140" s="200"/>
      <c r="AS140" s="200"/>
      <c r="AT140" s="200"/>
      <c r="AU140" s="200"/>
      <c r="AV140" s="203"/>
      <c r="AW140" s="203"/>
      <c r="AX140" s="203"/>
      <c r="AY140" s="203"/>
      <c r="AZ140" s="203"/>
      <c r="BA140" s="203"/>
    </row>
    <row r="141" spans="1:53" ht="13.5" hidden="1" customHeight="1" x14ac:dyDescent="0.25">
      <c r="A141" s="1416"/>
      <c r="B141" s="1419"/>
      <c r="C141" s="1311"/>
      <c r="D141" s="922" t="s">
        <v>296</v>
      </c>
      <c r="E141" s="325"/>
      <c r="F141" s="289"/>
      <c r="G141" s="289"/>
      <c r="H141" s="306">
        <v>3750240</v>
      </c>
      <c r="I141" s="306"/>
      <c r="J141" s="932"/>
      <c r="K141" s="325"/>
      <c r="L141" s="325"/>
      <c r="M141" s="306"/>
      <c r="N141" s="932"/>
      <c r="O141" s="1311"/>
      <c r="P141" s="1311"/>
      <c r="Q141" s="1311"/>
      <c r="R141" s="1311"/>
      <c r="S141" s="1311"/>
      <c r="T141" s="1311"/>
      <c r="U141" s="1311"/>
      <c r="V141" s="1311"/>
      <c r="W141" s="1311"/>
      <c r="X141" s="1311"/>
      <c r="Y141" s="1311"/>
      <c r="Z141" s="1394"/>
      <c r="AA141" s="200"/>
      <c r="AB141" s="200"/>
      <c r="AC141" s="201">
        <v>13</v>
      </c>
      <c r="AD141" s="201" t="s">
        <v>297</v>
      </c>
      <c r="AE141" s="201"/>
      <c r="AF141" s="201"/>
      <c r="AG141" s="201"/>
      <c r="AH141" s="201" t="s">
        <v>298</v>
      </c>
      <c r="AI141" s="201"/>
      <c r="AJ141" s="201"/>
      <c r="AK141" s="201"/>
      <c r="AL141" s="202"/>
      <c r="AM141" s="202"/>
      <c r="AN141" s="202"/>
      <c r="AO141" s="200"/>
      <c r="AP141" s="200"/>
      <c r="AQ141" s="200"/>
      <c r="AR141" s="200"/>
      <c r="AS141" s="200"/>
      <c r="AT141" s="200"/>
      <c r="AU141" s="200"/>
      <c r="AV141" s="203"/>
      <c r="AW141" s="203"/>
      <c r="AX141" s="203"/>
      <c r="AY141" s="203"/>
      <c r="AZ141" s="203"/>
      <c r="BA141" s="203"/>
    </row>
    <row r="142" spans="1:53" ht="14.25" hidden="1" customHeight="1" x14ac:dyDescent="0.25">
      <c r="A142" s="1416"/>
      <c r="B142" s="1419"/>
      <c r="C142" s="1311"/>
      <c r="D142" s="922" t="s">
        <v>299</v>
      </c>
      <c r="E142" s="919"/>
      <c r="F142" s="919"/>
      <c r="G142" s="919"/>
      <c r="H142" s="919"/>
      <c r="I142" s="919"/>
      <c r="J142" s="919"/>
      <c r="K142" s="919"/>
      <c r="L142" s="919"/>
      <c r="M142" s="919"/>
      <c r="N142" s="919"/>
      <c r="O142" s="1311"/>
      <c r="P142" s="1311"/>
      <c r="Q142" s="1311"/>
      <c r="R142" s="1311"/>
      <c r="S142" s="1311"/>
      <c r="T142" s="1311"/>
      <c r="U142" s="1311"/>
      <c r="V142" s="1311"/>
      <c r="W142" s="1311"/>
      <c r="X142" s="1311"/>
      <c r="Y142" s="1311"/>
      <c r="Z142" s="1394"/>
      <c r="AA142" s="200"/>
      <c r="AB142" s="200"/>
      <c r="AC142" s="201">
        <v>14</v>
      </c>
      <c r="AD142" s="201" t="s">
        <v>300</v>
      </c>
      <c r="AE142" s="201"/>
      <c r="AF142" s="201"/>
      <c r="AG142" s="201"/>
      <c r="AH142" s="201" t="s">
        <v>301</v>
      </c>
      <c r="AI142" s="201"/>
      <c r="AJ142" s="201"/>
      <c r="AK142" s="201"/>
      <c r="AL142" s="202"/>
      <c r="AM142" s="202"/>
      <c r="AN142" s="202"/>
      <c r="AO142" s="200"/>
      <c r="AP142" s="200"/>
      <c r="AQ142" s="200"/>
      <c r="AR142" s="200"/>
      <c r="AS142" s="200"/>
      <c r="AT142" s="200"/>
      <c r="AU142" s="200"/>
      <c r="AV142" s="203"/>
      <c r="AW142" s="203"/>
      <c r="AX142" s="203"/>
      <c r="AY142" s="203"/>
      <c r="AZ142" s="203"/>
      <c r="BA142" s="203"/>
    </row>
    <row r="143" spans="1:53" ht="11.25" hidden="1" customHeight="1" x14ac:dyDescent="0.25">
      <c r="A143" s="1416"/>
      <c r="B143" s="1419"/>
      <c r="C143" s="1311"/>
      <c r="D143" s="1396" t="s">
        <v>302</v>
      </c>
      <c r="E143" s="1317"/>
      <c r="F143" s="1317"/>
      <c r="G143" s="1317"/>
      <c r="H143" s="1317"/>
      <c r="I143" s="919"/>
      <c r="J143" s="1317"/>
      <c r="K143" s="1317"/>
      <c r="L143" s="1421"/>
      <c r="M143" s="1421"/>
      <c r="N143" s="1421"/>
      <c r="O143" s="1311"/>
      <c r="P143" s="1311"/>
      <c r="Q143" s="1311"/>
      <c r="R143" s="1311"/>
      <c r="S143" s="1311"/>
      <c r="T143" s="1311"/>
      <c r="U143" s="1311"/>
      <c r="V143" s="1311"/>
      <c r="W143" s="1311"/>
      <c r="X143" s="1311"/>
      <c r="Y143" s="1311"/>
      <c r="Z143" s="1394"/>
      <c r="AA143" s="200"/>
      <c r="AB143" s="200"/>
      <c r="AC143" s="201"/>
      <c r="AD143" s="201"/>
      <c r="AE143" s="201"/>
      <c r="AF143" s="201"/>
      <c r="AG143" s="201"/>
      <c r="AH143" s="201"/>
      <c r="AI143" s="201"/>
      <c r="AJ143" s="201"/>
      <c r="AK143" s="201"/>
      <c r="AL143" s="202"/>
      <c r="AM143" s="202"/>
      <c r="AN143" s="202"/>
      <c r="AO143" s="200"/>
      <c r="AP143" s="200"/>
      <c r="AQ143" s="200"/>
      <c r="AR143" s="200"/>
      <c r="AS143" s="200"/>
      <c r="AT143" s="200"/>
      <c r="AU143" s="200"/>
      <c r="AV143" s="203"/>
      <c r="AW143" s="203"/>
      <c r="AX143" s="203"/>
      <c r="AY143" s="203"/>
      <c r="AZ143" s="203"/>
      <c r="BA143" s="203"/>
    </row>
    <row r="144" spans="1:53" ht="9.75" hidden="1" customHeight="1" x14ac:dyDescent="0.25">
      <c r="A144" s="1416"/>
      <c r="B144" s="1419"/>
      <c r="C144" s="1311"/>
      <c r="D144" s="1311"/>
      <c r="E144" s="1317"/>
      <c r="F144" s="1311"/>
      <c r="G144" s="1311"/>
      <c r="H144" s="1311"/>
      <c r="I144" s="906"/>
      <c r="J144" s="1311"/>
      <c r="K144" s="1311"/>
      <c r="L144" s="1421"/>
      <c r="M144" s="1311"/>
      <c r="N144" s="1311"/>
      <c r="O144" s="1311"/>
      <c r="P144" s="1311"/>
      <c r="Q144" s="1311"/>
      <c r="R144" s="1311"/>
      <c r="S144" s="1311"/>
      <c r="T144" s="1311"/>
      <c r="U144" s="1311"/>
      <c r="V144" s="1311"/>
      <c r="W144" s="1311"/>
      <c r="X144" s="1311"/>
      <c r="Y144" s="1311"/>
      <c r="Z144" s="1394"/>
      <c r="AA144" s="200"/>
      <c r="AB144" s="200"/>
      <c r="AC144" s="201"/>
      <c r="AD144" s="201"/>
      <c r="AE144" s="201"/>
      <c r="AF144" s="201"/>
      <c r="AG144" s="201"/>
      <c r="AH144" s="201"/>
      <c r="AI144" s="201"/>
      <c r="AJ144" s="201"/>
      <c r="AK144" s="201"/>
      <c r="AL144" s="202"/>
      <c r="AM144" s="202"/>
      <c r="AN144" s="202"/>
      <c r="AO144" s="200"/>
      <c r="AP144" s="200"/>
      <c r="AQ144" s="200"/>
      <c r="AR144" s="200"/>
      <c r="AS144" s="200"/>
      <c r="AT144" s="200"/>
      <c r="AU144" s="200"/>
      <c r="AV144" s="203"/>
      <c r="AW144" s="203"/>
      <c r="AX144" s="203"/>
      <c r="AY144" s="203"/>
      <c r="AZ144" s="203"/>
      <c r="BA144" s="203"/>
    </row>
    <row r="145" spans="1:53" ht="6.75" hidden="1" customHeight="1" x14ac:dyDescent="0.25">
      <c r="A145" s="1416"/>
      <c r="B145" s="1419"/>
      <c r="C145" s="1311"/>
      <c r="D145" s="1311"/>
      <c r="E145" s="1317"/>
      <c r="F145" s="1311"/>
      <c r="G145" s="1311"/>
      <c r="H145" s="1311"/>
      <c r="I145" s="906"/>
      <c r="J145" s="1311"/>
      <c r="K145" s="1311"/>
      <c r="L145" s="1421"/>
      <c r="M145" s="1311"/>
      <c r="N145" s="1311"/>
      <c r="O145" s="1311"/>
      <c r="P145" s="1311"/>
      <c r="Q145" s="1311"/>
      <c r="R145" s="1311"/>
      <c r="S145" s="1311"/>
      <c r="T145" s="1311"/>
      <c r="U145" s="1311"/>
      <c r="V145" s="1311"/>
      <c r="W145" s="1311"/>
      <c r="X145" s="1311"/>
      <c r="Y145" s="1311"/>
      <c r="Z145" s="1394"/>
      <c r="AA145" s="200"/>
      <c r="AB145" s="200"/>
      <c r="AC145" s="201"/>
      <c r="AD145" s="201"/>
      <c r="AE145" s="201"/>
      <c r="AF145" s="201"/>
      <c r="AG145" s="201"/>
      <c r="AH145" s="201"/>
      <c r="AI145" s="201"/>
      <c r="AJ145" s="201"/>
      <c r="AK145" s="201"/>
      <c r="AL145" s="202"/>
      <c r="AM145" s="202"/>
      <c r="AN145" s="202"/>
      <c r="AO145" s="200"/>
      <c r="AP145" s="200"/>
      <c r="AQ145" s="200"/>
      <c r="AR145" s="200"/>
      <c r="AS145" s="200"/>
      <c r="AT145" s="200"/>
      <c r="AU145" s="200"/>
      <c r="AV145" s="203"/>
      <c r="AW145" s="203"/>
      <c r="AX145" s="203"/>
      <c r="AY145" s="203"/>
      <c r="AZ145" s="203"/>
      <c r="BA145" s="203"/>
    </row>
    <row r="146" spans="1:53" ht="8.25" hidden="1" customHeight="1" x14ac:dyDescent="0.25">
      <c r="A146" s="1416"/>
      <c r="B146" s="1419"/>
      <c r="C146" s="1311"/>
      <c r="D146" s="1311"/>
      <c r="E146" s="1317"/>
      <c r="F146" s="1311"/>
      <c r="G146" s="1311"/>
      <c r="H146" s="1311"/>
      <c r="I146" s="906"/>
      <c r="J146" s="1311"/>
      <c r="K146" s="1311"/>
      <c r="L146" s="1421"/>
      <c r="M146" s="1311"/>
      <c r="N146" s="1311"/>
      <c r="O146" s="1311"/>
      <c r="P146" s="1311"/>
      <c r="Q146" s="1311"/>
      <c r="R146" s="1311"/>
      <c r="S146" s="1311"/>
      <c r="T146" s="1311"/>
      <c r="U146" s="1311"/>
      <c r="V146" s="1311"/>
      <c r="W146" s="1311"/>
      <c r="X146" s="1311"/>
      <c r="Y146" s="1311"/>
      <c r="Z146" s="1394"/>
      <c r="AA146" s="200"/>
      <c r="AB146" s="200"/>
      <c r="AC146" s="201"/>
      <c r="AD146" s="201"/>
      <c r="AE146" s="201"/>
      <c r="AF146" s="201"/>
      <c r="AG146" s="201"/>
      <c r="AH146" s="201"/>
      <c r="AI146" s="201"/>
      <c r="AJ146" s="201"/>
      <c r="AK146" s="201"/>
      <c r="AL146" s="202"/>
      <c r="AM146" s="202"/>
      <c r="AN146" s="202"/>
      <c r="AO146" s="200"/>
      <c r="AP146" s="200"/>
      <c r="AQ146" s="200"/>
      <c r="AR146" s="200"/>
      <c r="AS146" s="200"/>
      <c r="AT146" s="200"/>
      <c r="AU146" s="200"/>
      <c r="AV146" s="203"/>
      <c r="AW146" s="203"/>
      <c r="AX146" s="203"/>
      <c r="AY146" s="203"/>
      <c r="AZ146" s="203"/>
      <c r="BA146" s="203"/>
    </row>
    <row r="147" spans="1:53" ht="21.75" customHeight="1" x14ac:dyDescent="0.25">
      <c r="A147" s="1416"/>
      <c r="B147" s="1419"/>
      <c r="C147" s="1435" t="s">
        <v>287</v>
      </c>
      <c r="D147" s="290" t="s">
        <v>288</v>
      </c>
      <c r="E147" s="919">
        <v>87</v>
      </c>
      <c r="F147" s="919"/>
      <c r="G147" s="919"/>
      <c r="H147" s="919">
        <v>60</v>
      </c>
      <c r="I147" s="919"/>
      <c r="J147" s="919">
        <v>25</v>
      </c>
      <c r="K147" s="919"/>
      <c r="L147" s="911">
        <v>19</v>
      </c>
      <c r="M147" s="946">
        <v>25</v>
      </c>
      <c r="N147" s="947">
        <v>25</v>
      </c>
      <c r="O147" s="1435" t="s">
        <v>289</v>
      </c>
      <c r="P147" s="1435" t="s">
        <v>86</v>
      </c>
      <c r="Q147" s="1432" t="s">
        <v>86</v>
      </c>
      <c r="R147" s="1435" t="s">
        <v>305</v>
      </c>
      <c r="S147" s="1432" t="s">
        <v>290</v>
      </c>
      <c r="T147" s="1390">
        <v>3810013</v>
      </c>
      <c r="U147" s="1390">
        <v>4068770</v>
      </c>
      <c r="V147" s="1432"/>
      <c r="W147" s="1432" t="s">
        <v>291</v>
      </c>
      <c r="X147" s="1432" t="s">
        <v>292</v>
      </c>
      <c r="Y147" s="1432" t="s">
        <v>293</v>
      </c>
      <c r="Z147" s="1425">
        <v>7878783</v>
      </c>
      <c r="AA147" s="200"/>
      <c r="AB147" s="200"/>
      <c r="AC147" s="201"/>
      <c r="AD147" s="201"/>
      <c r="AE147" s="201"/>
      <c r="AF147" s="201"/>
      <c r="AG147" s="201"/>
      <c r="AH147" s="201"/>
      <c r="AI147" s="201"/>
      <c r="AJ147" s="201"/>
      <c r="AK147" s="201"/>
      <c r="AL147" s="202"/>
      <c r="AM147" s="202"/>
      <c r="AN147" s="202"/>
      <c r="AO147" s="200"/>
      <c r="AP147" s="200"/>
      <c r="AQ147" s="200"/>
      <c r="AR147" s="200"/>
      <c r="AS147" s="200"/>
      <c r="AT147" s="200"/>
      <c r="AU147" s="200"/>
      <c r="AV147" s="203"/>
      <c r="AW147" s="203"/>
      <c r="AX147" s="203"/>
      <c r="AY147" s="203"/>
      <c r="AZ147" s="203"/>
      <c r="BA147" s="203"/>
    </row>
    <row r="148" spans="1:53" ht="21.75" customHeight="1" x14ac:dyDescent="0.25">
      <c r="A148" s="1416"/>
      <c r="B148" s="1419"/>
      <c r="C148" s="1419"/>
      <c r="D148" s="922" t="s">
        <v>296</v>
      </c>
      <c r="E148" s="919">
        <v>107292000</v>
      </c>
      <c r="F148" s="919"/>
      <c r="G148" s="919"/>
      <c r="H148" s="306">
        <v>225014400</v>
      </c>
      <c r="I148" s="306"/>
      <c r="J148" s="932">
        <v>41122277</v>
      </c>
      <c r="K148" s="919"/>
      <c r="L148" s="325">
        <v>68420922</v>
      </c>
      <c r="M148" s="306">
        <v>56068562.687116601</v>
      </c>
      <c r="N148" s="948">
        <v>60905991.962085404</v>
      </c>
      <c r="O148" s="1419"/>
      <c r="P148" s="1419"/>
      <c r="Q148" s="1433"/>
      <c r="R148" s="1419"/>
      <c r="S148" s="1433"/>
      <c r="T148" s="1391"/>
      <c r="U148" s="1391"/>
      <c r="V148" s="1433"/>
      <c r="W148" s="1433"/>
      <c r="X148" s="1433"/>
      <c r="Y148" s="1433"/>
      <c r="Z148" s="1426"/>
      <c r="AA148" s="204"/>
      <c r="AB148" s="204"/>
      <c r="AC148" s="205"/>
      <c r="AD148" s="205"/>
      <c r="AE148" s="205"/>
      <c r="AF148" s="205"/>
      <c r="AG148" s="205"/>
      <c r="AH148" s="205"/>
      <c r="AI148" s="205"/>
      <c r="AJ148" s="205"/>
      <c r="AK148" s="205"/>
      <c r="AL148" s="206"/>
      <c r="AM148" s="206"/>
      <c r="AN148" s="206"/>
      <c r="AO148" s="204"/>
      <c r="AP148" s="204"/>
      <c r="AQ148" s="204"/>
      <c r="AR148" s="204"/>
      <c r="AS148" s="204"/>
      <c r="AT148" s="204"/>
      <c r="AU148" s="204"/>
      <c r="AV148" s="203"/>
      <c r="AW148" s="203"/>
      <c r="AX148" s="203"/>
      <c r="AY148" s="203"/>
      <c r="AZ148" s="203"/>
      <c r="BA148" s="203"/>
    </row>
    <row r="149" spans="1:53" ht="21.75" customHeight="1" x14ac:dyDescent="0.25">
      <c r="A149" s="1416"/>
      <c r="B149" s="1419"/>
      <c r="C149" s="1436"/>
      <c r="D149" s="922" t="s">
        <v>323</v>
      </c>
      <c r="E149" s="919">
        <v>25884006</v>
      </c>
      <c r="F149" s="919"/>
      <c r="G149" s="919"/>
      <c r="H149" s="919"/>
      <c r="I149" s="919"/>
      <c r="J149" s="919">
        <v>182178948</v>
      </c>
      <c r="K149" s="919"/>
      <c r="L149" s="932">
        <v>89742794</v>
      </c>
      <c r="M149" s="932"/>
      <c r="N149" s="932"/>
      <c r="O149" s="1436"/>
      <c r="P149" s="1436"/>
      <c r="Q149" s="1434"/>
      <c r="R149" s="1436"/>
      <c r="S149" s="1434"/>
      <c r="T149" s="1392"/>
      <c r="U149" s="1392"/>
      <c r="V149" s="1434"/>
      <c r="W149" s="1434"/>
      <c r="X149" s="1434"/>
      <c r="Y149" s="1434"/>
      <c r="Z149" s="1427"/>
      <c r="AA149" s="200"/>
      <c r="AB149" s="200"/>
      <c r="AC149" s="201"/>
      <c r="AD149" s="201"/>
      <c r="AE149" s="201"/>
      <c r="AF149" s="201"/>
      <c r="AG149" s="201"/>
      <c r="AH149" s="201"/>
      <c r="AI149" s="201"/>
      <c r="AJ149" s="201"/>
      <c r="AK149" s="201"/>
      <c r="AL149" s="202"/>
      <c r="AM149" s="202"/>
      <c r="AN149" s="202"/>
      <c r="AO149" s="200"/>
      <c r="AP149" s="200"/>
      <c r="AQ149" s="200"/>
      <c r="AR149" s="200"/>
      <c r="AS149" s="200"/>
      <c r="AT149" s="200"/>
      <c r="AU149" s="200"/>
      <c r="AV149" s="203"/>
      <c r="AW149" s="203"/>
      <c r="AX149" s="203"/>
      <c r="AY149" s="203"/>
      <c r="AZ149" s="203"/>
      <c r="BA149" s="203"/>
    </row>
    <row r="150" spans="1:53" ht="32.25" customHeight="1" x14ac:dyDescent="0.25">
      <c r="A150" s="1416"/>
      <c r="B150" s="1419"/>
      <c r="C150" s="1318" t="s">
        <v>324</v>
      </c>
      <c r="D150" s="290" t="s">
        <v>137</v>
      </c>
      <c r="E150" s="919">
        <f>E140+E119+E112+E105+E98+E91+E84+E77+E70+E63+E56+E49+E42+E35+E28+E21+E14+E126+E147</f>
        <v>200</v>
      </c>
      <c r="F150" s="919">
        <f>F140+F119+F112+F105+F98+F91+F84+F77+F70+F63+F56+F49+F42+F35+F28+F21+F14+F126+F147</f>
        <v>0</v>
      </c>
      <c r="G150" s="919">
        <f>G140+G119+G112+G105+G98+G91+G84+G77+G70+G63+G56+G49+G42+G35+G28+G21+G14+G126+G147</f>
        <v>0</v>
      </c>
      <c r="H150" s="919">
        <v>200</v>
      </c>
      <c r="I150" s="919"/>
      <c r="J150" s="919">
        <v>200</v>
      </c>
      <c r="K150" s="919">
        <f>+K140+K119+K112+K105+K98+K91+K84+K77+K70+K63+K56+K49+K42+K28+K21+K14+K35</f>
        <v>63</v>
      </c>
      <c r="L150" s="919">
        <f>L147+L140+L119+L112+L105+L98+L91+L84+L77+L70+L63+L56+L49+L42+L35+L28+L21+L14</f>
        <v>107</v>
      </c>
      <c r="M150" s="919">
        <f>M147+M140+M133+M126+M119+M112+M105+M98+M91+M84+M77+M70+M63+M56+M49+M42+M35+M28+M21+M14</f>
        <v>163</v>
      </c>
      <c r="N150" s="919">
        <v>211</v>
      </c>
      <c r="O150" s="919"/>
      <c r="P150" s="919"/>
      <c r="Q150" s="919"/>
      <c r="R150" s="919"/>
      <c r="S150" s="919"/>
      <c r="T150" s="919"/>
      <c r="U150" s="919"/>
      <c r="V150" s="919"/>
      <c r="W150" s="919"/>
      <c r="X150" s="919"/>
      <c r="Y150" s="919"/>
      <c r="Z150" s="949"/>
      <c r="AA150" s="200"/>
      <c r="AB150" s="200"/>
      <c r="AC150" s="201"/>
      <c r="AD150" s="201"/>
      <c r="AE150" s="201"/>
      <c r="AF150" s="201"/>
      <c r="AG150" s="201"/>
      <c r="AH150" s="201"/>
      <c r="AI150" s="201"/>
      <c r="AJ150" s="201"/>
      <c r="AK150" s="201"/>
      <c r="AL150" s="202"/>
      <c r="AM150" s="202"/>
      <c r="AN150" s="202"/>
      <c r="AO150" s="200"/>
      <c r="AP150" s="200"/>
      <c r="AQ150" s="200"/>
      <c r="AR150" s="200"/>
      <c r="AS150" s="200"/>
      <c r="AT150" s="200"/>
      <c r="AU150" s="200"/>
      <c r="AV150" s="203"/>
      <c r="AW150" s="203"/>
      <c r="AX150" s="203"/>
      <c r="AY150" s="203"/>
      <c r="AZ150" s="203"/>
      <c r="BA150" s="203"/>
    </row>
    <row r="151" spans="1:53" ht="27.75" customHeight="1" x14ac:dyDescent="0.25">
      <c r="A151" s="1416"/>
      <c r="B151" s="1419"/>
      <c r="C151" s="1311"/>
      <c r="D151" s="290" t="s">
        <v>325</v>
      </c>
      <c r="E151" s="919">
        <f>E148+E141+E120+E113+E106+E99+E92+E85+E78+E71+E64+E57+E50+E43+E36+E29+E127+E22+E15</f>
        <v>750048000.00000024</v>
      </c>
      <c r="F151" s="919"/>
      <c r="G151" s="919">
        <v>750048000</v>
      </c>
      <c r="H151" s="919">
        <v>750048000</v>
      </c>
      <c r="I151" s="919"/>
      <c r="J151" s="919">
        <f>J148+J141+J134+J127+J120+J113+J106+J99+J92+J85+J78+J71+J64+J57+J50+J43+J36+J29+J22+J15</f>
        <v>569744880.8599999</v>
      </c>
      <c r="K151" s="919">
        <f>+[4]INVERSIÓN!AF16</f>
        <v>213403500</v>
      </c>
      <c r="L151" s="919">
        <f>+[4]INVERSIÓN!AG16</f>
        <v>429352500</v>
      </c>
      <c r="M151" s="919">
        <v>397355466</v>
      </c>
      <c r="N151" s="919">
        <v>514046499</v>
      </c>
      <c r="O151" s="919">
        <v>511610251</v>
      </c>
      <c r="P151" s="919"/>
      <c r="Q151" s="919"/>
      <c r="R151" s="919"/>
      <c r="S151" s="919"/>
      <c r="T151" s="919"/>
      <c r="U151" s="919"/>
      <c r="V151" s="919"/>
      <c r="W151" s="919"/>
      <c r="X151" s="919"/>
      <c r="Y151" s="919"/>
      <c r="Z151" s="949"/>
      <c r="AA151" s="200"/>
      <c r="AB151" s="200"/>
      <c r="AC151" s="201"/>
      <c r="AD151" s="201"/>
      <c r="AE151" s="201"/>
      <c r="AF151" s="201"/>
      <c r="AG151" s="201"/>
      <c r="AH151" s="201"/>
      <c r="AI151" s="201"/>
      <c r="AJ151" s="201"/>
      <c r="AK151" s="201"/>
      <c r="AL151" s="202"/>
      <c r="AM151" s="202"/>
      <c r="AN151" s="202"/>
      <c r="AO151" s="200"/>
      <c r="AP151" s="200"/>
      <c r="AQ151" s="200"/>
      <c r="AR151" s="200"/>
      <c r="AS151" s="200"/>
      <c r="AT151" s="200"/>
      <c r="AU151" s="200"/>
      <c r="AV151" s="203"/>
      <c r="AW151" s="203"/>
      <c r="AX151" s="203"/>
      <c r="AY151" s="203"/>
      <c r="AZ151" s="203"/>
      <c r="BA151" s="203"/>
    </row>
    <row r="152" spans="1:53" ht="28.5" customHeight="1" thickBot="1" x14ac:dyDescent="0.3">
      <c r="A152" s="1417"/>
      <c r="B152" s="1420"/>
      <c r="C152" s="1389"/>
      <c r="D152" s="322" t="s">
        <v>326</v>
      </c>
      <c r="E152" s="917">
        <v>182178948</v>
      </c>
      <c r="F152" s="284"/>
      <c r="G152" s="917">
        <v>182178948</v>
      </c>
      <c r="H152" s="917"/>
      <c r="I152" s="917"/>
      <c r="J152" s="919">
        <f>+[2]INVERSIÓN!Q12</f>
        <v>182178948</v>
      </c>
      <c r="K152" s="917">
        <f>+[4]INVERSIÓN!AF18</f>
        <v>66552148</v>
      </c>
      <c r="L152" s="917">
        <f>+[4]INVERSIÓN!AG18</f>
        <v>89742794</v>
      </c>
      <c r="M152" s="917">
        <v>131258913</v>
      </c>
      <c r="N152" s="917">
        <v>182178948</v>
      </c>
      <c r="O152" s="917" t="e">
        <f>#REF!-O151</f>
        <v>#REF!</v>
      </c>
      <c r="P152" s="917"/>
      <c r="Q152" s="917"/>
      <c r="R152" s="917"/>
      <c r="S152" s="917"/>
      <c r="T152" s="917"/>
      <c r="U152" s="917"/>
      <c r="V152" s="917"/>
      <c r="W152" s="917"/>
      <c r="X152" s="917"/>
      <c r="Y152" s="917"/>
      <c r="Z152" s="950"/>
      <c r="AA152" s="200"/>
      <c r="AB152" s="200"/>
      <c r="AC152" s="201"/>
      <c r="AD152" s="201"/>
      <c r="AE152" s="201"/>
      <c r="AF152" s="201"/>
      <c r="AG152" s="201"/>
      <c r="AH152" s="201"/>
      <c r="AI152" s="201"/>
      <c r="AJ152" s="201"/>
      <c r="AK152" s="201"/>
      <c r="AL152" s="202"/>
      <c r="AM152" s="202"/>
      <c r="AN152" s="202"/>
      <c r="AO152" s="200"/>
      <c r="AP152" s="200"/>
      <c r="AQ152" s="200"/>
      <c r="AR152" s="200"/>
      <c r="AS152" s="200"/>
      <c r="AT152" s="200"/>
      <c r="AU152" s="200"/>
      <c r="AV152" s="203"/>
      <c r="AW152" s="203"/>
      <c r="AX152" s="203"/>
      <c r="AY152" s="203"/>
      <c r="AZ152" s="203"/>
      <c r="BA152" s="203"/>
    </row>
    <row r="153" spans="1:53" ht="10.5" customHeight="1" x14ac:dyDescent="0.25">
      <c r="A153" s="1405">
        <v>2</v>
      </c>
      <c r="B153" s="1322" t="s">
        <v>97</v>
      </c>
      <c r="C153" s="1322" t="s">
        <v>458</v>
      </c>
      <c r="D153" s="292" t="s">
        <v>288</v>
      </c>
      <c r="E153" s="951">
        <v>0.2</v>
      </c>
      <c r="F153" s="931"/>
      <c r="G153" s="931"/>
      <c r="H153" s="951">
        <v>0.2</v>
      </c>
      <c r="I153" s="951"/>
      <c r="J153" s="952">
        <f>+[2]INVERSIÓN!Q15</f>
        <v>0.2</v>
      </c>
      <c r="K153" s="943">
        <v>0</v>
      </c>
      <c r="L153" s="943">
        <v>0</v>
      </c>
      <c r="M153" s="952">
        <v>0.12</v>
      </c>
      <c r="N153" s="952">
        <v>0.12</v>
      </c>
      <c r="O153" s="1318" t="s">
        <v>318</v>
      </c>
      <c r="P153" s="1428" t="s">
        <v>457</v>
      </c>
      <c r="Q153" s="1431" t="s">
        <v>456</v>
      </c>
      <c r="R153" s="1318" t="s">
        <v>305</v>
      </c>
      <c r="S153" s="1310" t="s">
        <v>290</v>
      </c>
      <c r="T153" s="1317">
        <v>93152</v>
      </c>
      <c r="U153" s="1317">
        <v>94819</v>
      </c>
      <c r="V153" s="1310"/>
      <c r="W153" s="1310" t="s">
        <v>291</v>
      </c>
      <c r="X153" s="1310" t="s">
        <v>292</v>
      </c>
      <c r="Y153" s="1310" t="s">
        <v>293</v>
      </c>
      <c r="Z153" s="1413">
        <f>SUM(U153+T153)</f>
        <v>187971</v>
      </c>
      <c r="AA153" s="204"/>
      <c r="AB153" s="204"/>
      <c r="AC153" s="205">
        <v>12</v>
      </c>
      <c r="AD153" s="205" t="s">
        <v>294</v>
      </c>
      <c r="AE153" s="205"/>
      <c r="AF153" s="205"/>
      <c r="AG153" s="205"/>
      <c r="AH153" s="205" t="s">
        <v>295</v>
      </c>
      <c r="AI153" s="205"/>
      <c r="AJ153" s="205"/>
      <c r="AK153" s="205"/>
      <c r="AL153" s="206"/>
      <c r="AM153" s="206"/>
      <c r="AN153" s="206"/>
      <c r="AO153" s="204"/>
      <c r="AP153" s="204"/>
      <c r="AQ153" s="204"/>
      <c r="AR153" s="204"/>
      <c r="AS153" s="204"/>
      <c r="AT153" s="204"/>
      <c r="AU153" s="204"/>
      <c r="AV153" s="203"/>
      <c r="AW153" s="203"/>
      <c r="AX153" s="203"/>
      <c r="AY153" s="203"/>
      <c r="AZ153" s="203"/>
      <c r="BA153" s="203"/>
    </row>
    <row r="154" spans="1:53" ht="10.5" customHeight="1" x14ac:dyDescent="0.25">
      <c r="A154" s="1406"/>
      <c r="B154" s="1311"/>
      <c r="C154" s="1311"/>
      <c r="D154" s="922" t="s">
        <v>296</v>
      </c>
      <c r="E154" s="920">
        <v>1000000000</v>
      </c>
      <c r="F154" s="920">
        <v>1000000000</v>
      </c>
      <c r="G154" s="920">
        <v>1000000000</v>
      </c>
      <c r="H154" s="920">
        <v>1000000000</v>
      </c>
      <c r="I154" s="920"/>
      <c r="J154" s="919">
        <f>+[2]INVERSIÓN!Q16</f>
        <v>1000000000</v>
      </c>
      <c r="K154" s="306">
        <f>+[4]INVERSIÓN!AF22</f>
        <v>0</v>
      </c>
      <c r="L154" s="306">
        <f>+[4]INVERSIÓN!AG22</f>
        <v>0</v>
      </c>
      <c r="M154" s="306">
        <v>0</v>
      </c>
      <c r="N154" s="919">
        <v>999763898</v>
      </c>
      <c r="O154" s="1311"/>
      <c r="P154" s="1429"/>
      <c r="Q154" s="1429"/>
      <c r="R154" s="1311"/>
      <c r="S154" s="1311"/>
      <c r="T154" s="1311"/>
      <c r="U154" s="1311"/>
      <c r="V154" s="1311"/>
      <c r="W154" s="1311"/>
      <c r="X154" s="1311"/>
      <c r="Y154" s="1311"/>
      <c r="Z154" s="1394"/>
      <c r="AA154" s="204"/>
      <c r="AB154" s="204"/>
      <c r="AC154" s="205">
        <v>13</v>
      </c>
      <c r="AD154" s="205" t="s">
        <v>297</v>
      </c>
      <c r="AE154" s="205"/>
      <c r="AF154" s="205"/>
      <c r="AG154" s="205"/>
      <c r="AH154" s="205" t="s">
        <v>298</v>
      </c>
      <c r="AI154" s="205"/>
      <c r="AJ154" s="205"/>
      <c r="AK154" s="205"/>
      <c r="AL154" s="206"/>
      <c r="AM154" s="206"/>
      <c r="AN154" s="206"/>
      <c r="AO154" s="204"/>
      <c r="AP154" s="204"/>
      <c r="AQ154" s="204"/>
      <c r="AR154" s="204"/>
      <c r="AS154" s="204"/>
      <c r="AT154" s="204"/>
      <c r="AU154" s="204"/>
      <c r="AV154" s="203"/>
      <c r="AW154" s="203"/>
      <c r="AX154" s="203"/>
      <c r="AY154" s="203"/>
      <c r="AZ154" s="203"/>
      <c r="BA154" s="203"/>
    </row>
    <row r="155" spans="1:53" ht="10.5" customHeight="1" x14ac:dyDescent="0.25">
      <c r="A155" s="1406"/>
      <c r="B155" s="1311"/>
      <c r="C155" s="1311"/>
      <c r="D155" s="922" t="s">
        <v>299</v>
      </c>
      <c r="E155" s="920"/>
      <c r="F155" s="919"/>
      <c r="G155" s="919"/>
      <c r="H155" s="919"/>
      <c r="I155" s="919"/>
      <c r="J155" s="919"/>
      <c r="K155" s="919"/>
      <c r="L155" s="919"/>
      <c r="M155" s="919"/>
      <c r="N155" s="919"/>
      <c r="O155" s="1311"/>
      <c r="P155" s="1429"/>
      <c r="Q155" s="1429"/>
      <c r="R155" s="1311"/>
      <c r="S155" s="1311"/>
      <c r="T155" s="1311"/>
      <c r="U155" s="1311"/>
      <c r="V155" s="1311"/>
      <c r="W155" s="1311"/>
      <c r="X155" s="1311"/>
      <c r="Y155" s="1311"/>
      <c r="Z155" s="1394"/>
      <c r="AA155" s="204"/>
      <c r="AB155" s="204"/>
      <c r="AC155" s="205">
        <v>14</v>
      </c>
      <c r="AD155" s="205" t="s">
        <v>300</v>
      </c>
      <c r="AE155" s="205"/>
      <c r="AF155" s="205"/>
      <c r="AG155" s="205"/>
      <c r="AH155" s="205" t="s">
        <v>301</v>
      </c>
      <c r="AI155" s="205"/>
      <c r="AJ155" s="205"/>
      <c r="AK155" s="205"/>
      <c r="AL155" s="206"/>
      <c r="AM155" s="206"/>
      <c r="AN155" s="206"/>
      <c r="AO155" s="204"/>
      <c r="AP155" s="204"/>
      <c r="AQ155" s="204"/>
      <c r="AR155" s="204"/>
      <c r="AS155" s="204"/>
      <c r="AT155" s="204"/>
      <c r="AU155" s="204"/>
      <c r="AV155" s="203"/>
      <c r="AW155" s="203"/>
      <c r="AX155" s="203"/>
      <c r="AY155" s="203"/>
      <c r="AZ155" s="203"/>
      <c r="BA155" s="203"/>
    </row>
    <row r="156" spans="1:53" ht="18" customHeight="1" x14ac:dyDescent="0.25">
      <c r="A156" s="1406"/>
      <c r="B156" s="1311"/>
      <c r="C156" s="1311"/>
      <c r="D156" s="1396" t="s">
        <v>302</v>
      </c>
      <c r="E156" s="1317"/>
      <c r="F156" s="919"/>
      <c r="G156" s="919"/>
      <c r="H156" s="919"/>
      <c r="I156" s="919"/>
      <c r="J156" s="1421" t="e">
        <f>+[2]INVERSIÓN!AI18</f>
        <v>#REF!</v>
      </c>
      <c r="K156" s="1421" t="e">
        <f>+[4]INVERSIÓN!AF24</f>
        <v>#REF!</v>
      </c>
      <c r="L156" s="1421" t="e">
        <f>+[4]INVERSIÓN!AG24</f>
        <v>#REF!</v>
      </c>
      <c r="M156" s="1421">
        <v>0</v>
      </c>
      <c r="N156" s="1421">
        <v>0</v>
      </c>
      <c r="O156" s="1311"/>
      <c r="P156" s="1429"/>
      <c r="Q156" s="1429"/>
      <c r="R156" s="1311"/>
      <c r="S156" s="1311"/>
      <c r="T156" s="1311"/>
      <c r="U156" s="1311"/>
      <c r="V156" s="1311"/>
      <c r="W156" s="1311"/>
      <c r="X156" s="1311"/>
      <c r="Y156" s="1311"/>
      <c r="Z156" s="1394"/>
      <c r="AA156" s="204"/>
      <c r="AB156" s="204"/>
      <c r="AC156" s="205"/>
      <c r="AD156" s="205"/>
      <c r="AE156" s="205"/>
      <c r="AF156" s="205"/>
      <c r="AG156" s="205"/>
      <c r="AH156" s="205"/>
      <c r="AI156" s="205"/>
      <c r="AJ156" s="205"/>
      <c r="AK156" s="205"/>
      <c r="AL156" s="206"/>
      <c r="AM156" s="206"/>
      <c r="AN156" s="206"/>
      <c r="AO156" s="204"/>
      <c r="AP156" s="204"/>
      <c r="AQ156" s="204"/>
      <c r="AR156" s="204"/>
      <c r="AS156" s="204"/>
      <c r="AT156" s="204"/>
      <c r="AU156" s="204"/>
      <c r="AV156" s="203"/>
      <c r="AW156" s="203"/>
      <c r="AX156" s="203"/>
      <c r="AY156" s="203"/>
      <c r="AZ156" s="203"/>
      <c r="BA156" s="203"/>
    </row>
    <row r="157" spans="1:53" ht="11.25" customHeight="1" x14ac:dyDescent="0.25">
      <c r="A157" s="1406"/>
      <c r="B157" s="1311"/>
      <c r="C157" s="1311"/>
      <c r="D157" s="1311"/>
      <c r="E157" s="1317"/>
      <c r="F157" s="919"/>
      <c r="G157" s="919"/>
      <c r="H157" s="919"/>
      <c r="I157" s="919"/>
      <c r="J157" s="1311"/>
      <c r="K157" s="1311"/>
      <c r="L157" s="1311"/>
      <c r="M157" s="1311"/>
      <c r="N157" s="1311"/>
      <c r="O157" s="1311"/>
      <c r="P157" s="1429"/>
      <c r="Q157" s="1429"/>
      <c r="R157" s="1311"/>
      <c r="S157" s="1311"/>
      <c r="T157" s="1311"/>
      <c r="U157" s="1311"/>
      <c r="V157" s="1311"/>
      <c r="W157" s="1311"/>
      <c r="X157" s="1311"/>
      <c r="Y157" s="1311"/>
      <c r="Z157" s="1394"/>
      <c r="AA157" s="204"/>
      <c r="AB157" s="204"/>
      <c r="AC157" s="205"/>
      <c r="AD157" s="205"/>
      <c r="AE157" s="205"/>
      <c r="AF157" s="205"/>
      <c r="AG157" s="205"/>
      <c r="AH157" s="205"/>
      <c r="AI157" s="205"/>
      <c r="AJ157" s="205"/>
      <c r="AK157" s="205"/>
      <c r="AL157" s="206"/>
      <c r="AM157" s="206"/>
      <c r="AN157" s="206"/>
      <c r="AO157" s="204"/>
      <c r="AP157" s="204"/>
      <c r="AQ157" s="204"/>
      <c r="AR157" s="204"/>
      <c r="AS157" s="204"/>
      <c r="AT157" s="204"/>
      <c r="AU157" s="204"/>
      <c r="AV157" s="203"/>
      <c r="AW157" s="203"/>
      <c r="AX157" s="203"/>
      <c r="AY157" s="203"/>
      <c r="AZ157" s="203"/>
      <c r="BA157" s="203"/>
    </row>
    <row r="158" spans="1:53" ht="9" customHeight="1" x14ac:dyDescent="0.25">
      <c r="A158" s="1406"/>
      <c r="B158" s="1311"/>
      <c r="C158" s="1311"/>
      <c r="D158" s="1311"/>
      <c r="E158" s="1317"/>
      <c r="F158" s="919"/>
      <c r="G158" s="919"/>
      <c r="H158" s="919"/>
      <c r="I158" s="919"/>
      <c r="J158" s="1311"/>
      <c r="K158" s="1311"/>
      <c r="L158" s="1311"/>
      <c r="M158" s="1311"/>
      <c r="N158" s="1311"/>
      <c r="O158" s="1311"/>
      <c r="P158" s="1429"/>
      <c r="Q158" s="1429"/>
      <c r="R158" s="1311"/>
      <c r="S158" s="1311"/>
      <c r="T158" s="1311"/>
      <c r="U158" s="1311"/>
      <c r="V158" s="1311"/>
      <c r="W158" s="1311"/>
      <c r="X158" s="1311"/>
      <c r="Y158" s="1311"/>
      <c r="Z158" s="1394"/>
      <c r="AA158" s="204"/>
      <c r="AB158" s="204"/>
      <c r="AC158" s="205"/>
      <c r="AD158" s="205"/>
      <c r="AE158" s="205"/>
      <c r="AF158" s="205"/>
      <c r="AG158" s="205"/>
      <c r="AH158" s="205"/>
      <c r="AI158" s="205"/>
      <c r="AJ158" s="205"/>
      <c r="AK158" s="205"/>
      <c r="AL158" s="206"/>
      <c r="AM158" s="206"/>
      <c r="AN158" s="206"/>
      <c r="AO158" s="204"/>
      <c r="AP158" s="204"/>
      <c r="AQ158" s="204"/>
      <c r="AR158" s="204"/>
      <c r="AS158" s="204"/>
      <c r="AT158" s="204"/>
      <c r="AU158" s="204"/>
      <c r="AV158" s="203"/>
      <c r="AW158" s="203"/>
      <c r="AX158" s="203"/>
      <c r="AY158" s="203"/>
      <c r="AZ158" s="203"/>
      <c r="BA158" s="203"/>
    </row>
    <row r="159" spans="1:53" ht="36.75" customHeight="1" thickBot="1" x14ac:dyDescent="0.3">
      <c r="A159" s="1407"/>
      <c r="B159" s="1389"/>
      <c r="C159" s="1389"/>
      <c r="D159" s="1389"/>
      <c r="E159" s="1390"/>
      <c r="F159" s="917"/>
      <c r="G159" s="917"/>
      <c r="H159" s="917"/>
      <c r="I159" s="917"/>
      <c r="J159" s="1389"/>
      <c r="K159" s="1389"/>
      <c r="L159" s="1389"/>
      <c r="M159" s="1389"/>
      <c r="N159" s="1389"/>
      <c r="O159" s="1311"/>
      <c r="P159" s="1430"/>
      <c r="Q159" s="1430"/>
      <c r="R159" s="1389"/>
      <c r="S159" s="1311"/>
      <c r="T159" s="1311"/>
      <c r="U159" s="1311"/>
      <c r="V159" s="1311"/>
      <c r="W159" s="1311"/>
      <c r="X159" s="1311"/>
      <c r="Y159" s="1311"/>
      <c r="Z159" s="1394"/>
      <c r="AA159" s="204"/>
      <c r="AB159" s="204"/>
      <c r="AC159" s="205"/>
      <c r="AD159" s="205"/>
      <c r="AE159" s="205"/>
      <c r="AF159" s="205"/>
      <c r="AG159" s="205"/>
      <c r="AH159" s="205"/>
      <c r="AI159" s="205"/>
      <c r="AJ159" s="205"/>
      <c r="AK159" s="205"/>
      <c r="AL159" s="206"/>
      <c r="AM159" s="206"/>
      <c r="AN159" s="206"/>
      <c r="AO159" s="204"/>
      <c r="AP159" s="204"/>
      <c r="AQ159" s="204"/>
      <c r="AR159" s="204"/>
      <c r="AS159" s="204"/>
      <c r="AT159" s="204"/>
      <c r="AU159" s="204"/>
      <c r="AV159" s="203"/>
      <c r="AW159" s="203"/>
      <c r="AX159" s="203"/>
      <c r="AY159" s="203"/>
      <c r="AZ159" s="203"/>
      <c r="BA159" s="203"/>
    </row>
    <row r="160" spans="1:53" ht="10.5" customHeight="1" x14ac:dyDescent="0.25">
      <c r="A160" s="1415">
        <v>3</v>
      </c>
      <c r="B160" s="1418" t="s">
        <v>327</v>
      </c>
      <c r="C160" s="1322" t="s">
        <v>455</v>
      </c>
      <c r="D160" s="290" t="s">
        <v>288</v>
      </c>
      <c r="E160" s="919">
        <v>513.15</v>
      </c>
      <c r="F160" s="919"/>
      <c r="G160" s="919"/>
      <c r="H160" s="326">
        <v>446</v>
      </c>
      <c r="I160" s="326">
        <v>446</v>
      </c>
      <c r="J160" s="919">
        <v>539</v>
      </c>
      <c r="K160" s="919">
        <v>490.15</v>
      </c>
      <c r="L160" s="919">
        <v>23</v>
      </c>
      <c r="M160" s="919">
        <v>446</v>
      </c>
      <c r="N160" s="919">
        <v>539</v>
      </c>
      <c r="O160" s="1318" t="s">
        <v>308</v>
      </c>
      <c r="P160" s="1322" t="s">
        <v>454</v>
      </c>
      <c r="Q160" s="1322" t="s">
        <v>453</v>
      </c>
      <c r="R160" s="1322" t="s">
        <v>446</v>
      </c>
      <c r="S160" s="1320" t="s">
        <v>290</v>
      </c>
      <c r="T160" s="1327">
        <v>48066</v>
      </c>
      <c r="U160" s="1327">
        <v>47135</v>
      </c>
      <c r="V160" s="1320"/>
      <c r="W160" s="1320" t="s">
        <v>291</v>
      </c>
      <c r="X160" s="1320" t="s">
        <v>292</v>
      </c>
      <c r="Y160" s="1320" t="s">
        <v>293</v>
      </c>
      <c r="Z160" s="1424">
        <f>SUM(U160+T160)</f>
        <v>95201</v>
      </c>
      <c r="AA160" s="200"/>
      <c r="AB160" s="200"/>
      <c r="AC160" s="201">
        <v>12</v>
      </c>
      <c r="AD160" s="201" t="s">
        <v>294</v>
      </c>
      <c r="AE160" s="201"/>
      <c r="AF160" s="201"/>
      <c r="AG160" s="201"/>
      <c r="AH160" s="201" t="s">
        <v>295</v>
      </c>
      <c r="AI160" s="201"/>
      <c r="AJ160" s="201"/>
      <c r="AK160" s="201"/>
      <c r="AL160" s="202"/>
      <c r="AM160" s="202"/>
      <c r="AN160" s="202"/>
      <c r="AO160" s="200"/>
      <c r="AP160" s="200"/>
      <c r="AQ160" s="200"/>
      <c r="AR160" s="200"/>
      <c r="AS160" s="200"/>
      <c r="AT160" s="200"/>
      <c r="AU160" s="200"/>
      <c r="AV160" s="203"/>
      <c r="AW160" s="203"/>
      <c r="AX160" s="203"/>
      <c r="AY160" s="203"/>
      <c r="AZ160" s="203"/>
      <c r="BA160" s="203"/>
    </row>
    <row r="161" spans="1:53" ht="10.5" customHeight="1" x14ac:dyDescent="0.25">
      <c r="A161" s="1416"/>
      <c r="B161" s="1419"/>
      <c r="C161" s="1311"/>
      <c r="D161" s="922" t="s">
        <v>296</v>
      </c>
      <c r="E161" s="325">
        <v>13934165.075034101</v>
      </c>
      <c r="F161" s="289"/>
      <c r="G161" s="289"/>
      <c r="H161" s="306">
        <v>18532994.800000001</v>
      </c>
      <c r="I161" s="306">
        <v>6948412.0171673819</v>
      </c>
      <c r="J161" s="919">
        <v>18706264.5</v>
      </c>
      <c r="K161" s="325">
        <v>12966000</v>
      </c>
      <c r="L161" s="289">
        <v>968165.07503410638</v>
      </c>
      <c r="M161" s="919">
        <v>6948412.0171673801</v>
      </c>
      <c r="N161" s="919">
        <v>18706264.5</v>
      </c>
      <c r="O161" s="1311"/>
      <c r="P161" s="1311"/>
      <c r="Q161" s="1311"/>
      <c r="R161" s="1311"/>
      <c r="S161" s="1311"/>
      <c r="T161" s="1311"/>
      <c r="U161" s="1311"/>
      <c r="V161" s="1311"/>
      <c r="W161" s="1311"/>
      <c r="X161" s="1311"/>
      <c r="Y161" s="1311"/>
      <c r="Z161" s="1394"/>
      <c r="AA161" s="200"/>
      <c r="AB161" s="200"/>
      <c r="AC161" s="201">
        <v>13</v>
      </c>
      <c r="AD161" s="201" t="s">
        <v>297</v>
      </c>
      <c r="AE161" s="201"/>
      <c r="AF161" s="201"/>
      <c r="AG161" s="201"/>
      <c r="AH161" s="201" t="s">
        <v>298</v>
      </c>
      <c r="AI161" s="201"/>
      <c r="AJ161" s="201"/>
      <c r="AK161" s="201"/>
      <c r="AL161" s="202"/>
      <c r="AM161" s="202"/>
      <c r="AN161" s="202"/>
      <c r="AO161" s="200"/>
      <c r="AP161" s="200"/>
      <c r="AQ161" s="200"/>
      <c r="AR161" s="200"/>
      <c r="AS161" s="200"/>
      <c r="AT161" s="200"/>
      <c r="AU161" s="200"/>
      <c r="AV161" s="203"/>
      <c r="AW161" s="203"/>
      <c r="AX161" s="203"/>
      <c r="AY161" s="203"/>
      <c r="AZ161" s="203"/>
      <c r="BA161" s="203"/>
    </row>
    <row r="162" spans="1:53" ht="10.5" customHeight="1" x14ac:dyDescent="0.25">
      <c r="A162" s="1416"/>
      <c r="B162" s="1419"/>
      <c r="C162" s="1311"/>
      <c r="D162" s="922" t="s">
        <v>299</v>
      </c>
      <c r="E162" s="919">
        <v>0</v>
      </c>
      <c r="F162" s="919"/>
      <c r="G162" s="919"/>
      <c r="H162" s="919"/>
      <c r="I162" s="919"/>
      <c r="J162" s="919"/>
      <c r="K162" s="919"/>
      <c r="L162" s="919"/>
      <c r="M162" s="919"/>
      <c r="N162" s="919"/>
      <c r="O162" s="1311"/>
      <c r="P162" s="1311"/>
      <c r="Q162" s="1311"/>
      <c r="R162" s="1311"/>
      <c r="S162" s="1311"/>
      <c r="T162" s="1311"/>
      <c r="U162" s="1311"/>
      <c r="V162" s="1311"/>
      <c r="W162" s="1311"/>
      <c r="X162" s="1311"/>
      <c r="Y162" s="1311"/>
      <c r="Z162" s="1394"/>
      <c r="AA162" s="200"/>
      <c r="AB162" s="200"/>
      <c r="AC162" s="201">
        <v>14</v>
      </c>
      <c r="AD162" s="201" t="s">
        <v>300</v>
      </c>
      <c r="AE162" s="201"/>
      <c r="AF162" s="201"/>
      <c r="AG162" s="201"/>
      <c r="AH162" s="201" t="s">
        <v>301</v>
      </c>
      <c r="AI162" s="201"/>
      <c r="AJ162" s="201"/>
      <c r="AK162" s="201"/>
      <c r="AL162" s="202"/>
      <c r="AM162" s="202"/>
      <c r="AN162" s="202"/>
      <c r="AO162" s="200"/>
      <c r="AP162" s="200"/>
      <c r="AQ162" s="200"/>
      <c r="AR162" s="200"/>
      <c r="AS162" s="200"/>
      <c r="AT162" s="200"/>
      <c r="AU162" s="200"/>
      <c r="AV162" s="203"/>
      <c r="AW162" s="203"/>
      <c r="AX162" s="203"/>
      <c r="AY162" s="203"/>
      <c r="AZ162" s="203"/>
      <c r="BA162" s="203"/>
    </row>
    <row r="163" spans="1:53" ht="10.5" customHeight="1" x14ac:dyDescent="0.25">
      <c r="A163" s="1416"/>
      <c r="B163" s="1419"/>
      <c r="C163" s="1311"/>
      <c r="D163" s="1396" t="s">
        <v>302</v>
      </c>
      <c r="E163" s="1317">
        <v>0</v>
      </c>
      <c r="F163" s="1317"/>
      <c r="G163" s="1317"/>
      <c r="H163" s="1317"/>
      <c r="I163" s="919"/>
      <c r="J163" s="1317"/>
      <c r="K163" s="1317"/>
      <c r="L163" s="1421"/>
      <c r="M163" s="1421"/>
      <c r="N163" s="1421"/>
      <c r="O163" s="1311"/>
      <c r="P163" s="1311"/>
      <c r="Q163" s="1311"/>
      <c r="R163" s="1311"/>
      <c r="S163" s="1311"/>
      <c r="T163" s="1311"/>
      <c r="U163" s="1311"/>
      <c r="V163" s="1311"/>
      <c r="W163" s="1311"/>
      <c r="X163" s="1311"/>
      <c r="Y163" s="1311"/>
      <c r="Z163" s="1394"/>
      <c r="AA163" s="200"/>
      <c r="AB163" s="200"/>
      <c r="AC163" s="201"/>
      <c r="AD163" s="201"/>
      <c r="AE163" s="201"/>
      <c r="AF163" s="201"/>
      <c r="AG163" s="201"/>
      <c r="AH163" s="201"/>
      <c r="AI163" s="201"/>
      <c r="AJ163" s="201"/>
      <c r="AK163" s="201"/>
      <c r="AL163" s="202"/>
      <c r="AM163" s="202"/>
      <c r="AN163" s="202"/>
      <c r="AO163" s="200"/>
      <c r="AP163" s="200"/>
      <c r="AQ163" s="200"/>
      <c r="AR163" s="200"/>
      <c r="AS163" s="200"/>
      <c r="AT163" s="200"/>
      <c r="AU163" s="200"/>
      <c r="AV163" s="203"/>
      <c r="AW163" s="203"/>
      <c r="AX163" s="203"/>
      <c r="AY163" s="203"/>
      <c r="AZ163" s="203"/>
      <c r="BA163" s="203"/>
    </row>
    <row r="164" spans="1:53" ht="11.25" customHeight="1" x14ac:dyDescent="0.25">
      <c r="A164" s="1416"/>
      <c r="B164" s="1419"/>
      <c r="C164" s="1311"/>
      <c r="D164" s="1311"/>
      <c r="E164" s="1317"/>
      <c r="F164" s="1311"/>
      <c r="G164" s="1311"/>
      <c r="H164" s="1311"/>
      <c r="I164" s="906"/>
      <c r="J164" s="1311"/>
      <c r="K164" s="1311"/>
      <c r="L164" s="1421"/>
      <c r="M164" s="1311"/>
      <c r="N164" s="1311"/>
      <c r="O164" s="1311"/>
      <c r="P164" s="1311"/>
      <c r="Q164" s="1311"/>
      <c r="R164" s="1311"/>
      <c r="S164" s="1311"/>
      <c r="T164" s="1311"/>
      <c r="U164" s="1311"/>
      <c r="V164" s="1311"/>
      <c r="W164" s="1311"/>
      <c r="X164" s="1311"/>
      <c r="Y164" s="1311"/>
      <c r="Z164" s="1394"/>
      <c r="AA164" s="200"/>
      <c r="AB164" s="200"/>
      <c r="AC164" s="201"/>
      <c r="AD164" s="201"/>
      <c r="AE164" s="201"/>
      <c r="AF164" s="201"/>
      <c r="AG164" s="201"/>
      <c r="AH164" s="201"/>
      <c r="AI164" s="201"/>
      <c r="AJ164" s="201"/>
      <c r="AK164" s="201"/>
      <c r="AL164" s="202"/>
      <c r="AM164" s="202"/>
      <c r="AN164" s="202"/>
      <c r="AO164" s="200"/>
      <c r="AP164" s="200"/>
      <c r="AQ164" s="200"/>
      <c r="AR164" s="200"/>
      <c r="AS164" s="200"/>
      <c r="AT164" s="200"/>
      <c r="AU164" s="200"/>
      <c r="AV164" s="203"/>
      <c r="AW164" s="203"/>
      <c r="AX164" s="203"/>
      <c r="AY164" s="203"/>
      <c r="AZ164" s="203"/>
      <c r="BA164" s="203"/>
    </row>
    <row r="165" spans="1:53" ht="8.25" customHeight="1" x14ac:dyDescent="0.25">
      <c r="A165" s="1416"/>
      <c r="B165" s="1419"/>
      <c r="C165" s="1311"/>
      <c r="D165" s="1311"/>
      <c r="E165" s="1317"/>
      <c r="F165" s="1311"/>
      <c r="G165" s="1311"/>
      <c r="H165" s="1311"/>
      <c r="I165" s="906"/>
      <c r="J165" s="1311"/>
      <c r="K165" s="1311"/>
      <c r="L165" s="1421"/>
      <c r="M165" s="1311"/>
      <c r="N165" s="1311"/>
      <c r="O165" s="1311"/>
      <c r="P165" s="1311"/>
      <c r="Q165" s="1311"/>
      <c r="R165" s="1311"/>
      <c r="S165" s="1311"/>
      <c r="T165" s="1311"/>
      <c r="U165" s="1311"/>
      <c r="V165" s="1311"/>
      <c r="W165" s="1311"/>
      <c r="X165" s="1311"/>
      <c r="Y165" s="1311"/>
      <c r="Z165" s="1394"/>
      <c r="AA165" s="200"/>
      <c r="AB165" s="200"/>
      <c r="AC165" s="201"/>
      <c r="AD165" s="201"/>
      <c r="AE165" s="201"/>
      <c r="AF165" s="201"/>
      <c r="AG165" s="201"/>
      <c r="AH165" s="201"/>
      <c r="AI165" s="201"/>
      <c r="AJ165" s="201"/>
      <c r="AK165" s="201"/>
      <c r="AL165" s="202"/>
      <c r="AM165" s="202"/>
      <c r="AN165" s="202"/>
      <c r="AO165" s="200"/>
      <c r="AP165" s="200"/>
      <c r="AQ165" s="200"/>
      <c r="AR165" s="200"/>
      <c r="AS165" s="200"/>
      <c r="AT165" s="200"/>
      <c r="AU165" s="200"/>
      <c r="AV165" s="203"/>
      <c r="AW165" s="203"/>
      <c r="AX165" s="203"/>
      <c r="AY165" s="203"/>
      <c r="AZ165" s="203"/>
      <c r="BA165" s="203"/>
    </row>
    <row r="166" spans="1:53" ht="6" customHeight="1" x14ac:dyDescent="0.25">
      <c r="A166" s="1416"/>
      <c r="B166" s="1419"/>
      <c r="C166" s="1311"/>
      <c r="D166" s="1311"/>
      <c r="E166" s="1317"/>
      <c r="F166" s="1311"/>
      <c r="G166" s="1311"/>
      <c r="H166" s="1311"/>
      <c r="I166" s="906"/>
      <c r="J166" s="1311"/>
      <c r="K166" s="1311"/>
      <c r="L166" s="1421"/>
      <c r="M166" s="1311"/>
      <c r="N166" s="1311"/>
      <c r="O166" s="1311"/>
      <c r="P166" s="1311"/>
      <c r="Q166" s="1311"/>
      <c r="R166" s="1311"/>
      <c r="S166" s="1311"/>
      <c r="T166" s="1311"/>
      <c r="U166" s="1311"/>
      <c r="V166" s="1311"/>
      <c r="W166" s="1311"/>
      <c r="X166" s="1311"/>
      <c r="Y166" s="1311"/>
      <c r="Z166" s="1394"/>
      <c r="AA166" s="200"/>
      <c r="AB166" s="200"/>
      <c r="AC166" s="201"/>
      <c r="AD166" s="201"/>
      <c r="AE166" s="201"/>
      <c r="AF166" s="201"/>
      <c r="AG166" s="201"/>
      <c r="AH166" s="201"/>
      <c r="AI166" s="201"/>
      <c r="AJ166" s="201"/>
      <c r="AK166" s="201"/>
      <c r="AL166" s="202"/>
      <c r="AM166" s="202"/>
      <c r="AN166" s="202"/>
      <c r="AO166" s="200"/>
      <c r="AP166" s="200"/>
      <c r="AQ166" s="200"/>
      <c r="AR166" s="200"/>
      <c r="AS166" s="200"/>
      <c r="AT166" s="200"/>
      <c r="AU166" s="200"/>
      <c r="AV166" s="203"/>
      <c r="AW166" s="203"/>
      <c r="AX166" s="203"/>
      <c r="AY166" s="203"/>
      <c r="AZ166" s="203"/>
      <c r="BA166" s="203"/>
    </row>
    <row r="167" spans="1:53" ht="10.5" customHeight="1" x14ac:dyDescent="0.25">
      <c r="A167" s="1416"/>
      <c r="B167" s="1419"/>
      <c r="C167" s="1318" t="s">
        <v>306</v>
      </c>
      <c r="D167" s="290" t="s">
        <v>288</v>
      </c>
      <c r="E167" s="919">
        <v>606.99</v>
      </c>
      <c r="F167" s="919"/>
      <c r="G167" s="919"/>
      <c r="H167" s="326">
        <v>0</v>
      </c>
      <c r="I167" s="326">
        <v>72</v>
      </c>
      <c r="J167" s="919">
        <v>494</v>
      </c>
      <c r="K167" s="919">
        <v>534.99</v>
      </c>
      <c r="L167" s="919">
        <v>72</v>
      </c>
      <c r="M167" s="919">
        <v>0</v>
      </c>
      <c r="N167" s="919">
        <v>494</v>
      </c>
      <c r="O167" s="1318" t="s">
        <v>306</v>
      </c>
      <c r="P167" s="1318" t="s">
        <v>329</v>
      </c>
      <c r="Q167" s="1310" t="s">
        <v>330</v>
      </c>
      <c r="R167" s="1318" t="s">
        <v>446</v>
      </c>
      <c r="S167" s="1310" t="s">
        <v>290</v>
      </c>
      <c r="T167" s="1317">
        <v>220260</v>
      </c>
      <c r="U167" s="1317">
        <v>253926</v>
      </c>
      <c r="V167" s="1310"/>
      <c r="W167" s="1310" t="s">
        <v>291</v>
      </c>
      <c r="X167" s="1310" t="s">
        <v>292</v>
      </c>
      <c r="Y167" s="1310" t="s">
        <v>293</v>
      </c>
      <c r="Z167" s="1413">
        <f>U167+T167</f>
        <v>474186</v>
      </c>
      <c r="AA167" s="200"/>
      <c r="AB167" s="200"/>
      <c r="AC167" s="201">
        <v>12</v>
      </c>
      <c r="AD167" s="201" t="s">
        <v>294</v>
      </c>
      <c r="AE167" s="201"/>
      <c r="AF167" s="201"/>
      <c r="AG167" s="201"/>
      <c r="AH167" s="201" t="s">
        <v>295</v>
      </c>
      <c r="AI167" s="201"/>
      <c r="AJ167" s="201"/>
      <c r="AK167" s="201"/>
      <c r="AL167" s="202"/>
      <c r="AM167" s="202"/>
      <c r="AN167" s="202"/>
      <c r="AO167" s="200"/>
      <c r="AP167" s="200"/>
      <c r="AQ167" s="200"/>
      <c r="AR167" s="200"/>
      <c r="AS167" s="200"/>
      <c r="AT167" s="200"/>
      <c r="AU167" s="200"/>
      <c r="AV167" s="203"/>
      <c r="AW167" s="203"/>
      <c r="AX167" s="203"/>
      <c r="AY167" s="203"/>
      <c r="AZ167" s="203"/>
      <c r="BA167" s="203"/>
    </row>
    <row r="168" spans="1:53" ht="10.5" customHeight="1" x14ac:dyDescent="0.25">
      <c r="A168" s="1416"/>
      <c r="B168" s="1419"/>
      <c r="C168" s="1311"/>
      <c r="D168" s="922" t="s">
        <v>296</v>
      </c>
      <c r="E168" s="325">
        <v>20318777.626193698</v>
      </c>
      <c r="F168" s="289"/>
      <c r="G168" s="289"/>
      <c r="H168" s="306">
        <v>0</v>
      </c>
      <c r="I168" s="306">
        <v>3030777.6261937199</v>
      </c>
      <c r="J168" s="919">
        <v>17144517</v>
      </c>
      <c r="K168" s="325">
        <v>17288000</v>
      </c>
      <c r="L168" s="289">
        <v>3030777.6261937199</v>
      </c>
      <c r="M168" s="919">
        <v>0</v>
      </c>
      <c r="N168" s="919">
        <v>17144517</v>
      </c>
      <c r="O168" s="1311"/>
      <c r="P168" s="1311"/>
      <c r="Q168" s="1311"/>
      <c r="R168" s="1311"/>
      <c r="S168" s="1311"/>
      <c r="T168" s="1311"/>
      <c r="U168" s="1311"/>
      <c r="V168" s="1311"/>
      <c r="W168" s="1311"/>
      <c r="X168" s="1311"/>
      <c r="Y168" s="1311"/>
      <c r="Z168" s="1394"/>
      <c r="AA168" s="200"/>
      <c r="AB168" s="200"/>
      <c r="AC168" s="201">
        <v>13</v>
      </c>
      <c r="AD168" s="201" t="s">
        <v>297</v>
      </c>
      <c r="AE168" s="201"/>
      <c r="AF168" s="201"/>
      <c r="AG168" s="201"/>
      <c r="AH168" s="201" t="s">
        <v>298</v>
      </c>
      <c r="AI168" s="201"/>
      <c r="AJ168" s="201"/>
      <c r="AK168" s="201"/>
      <c r="AL168" s="202"/>
      <c r="AM168" s="202"/>
      <c r="AN168" s="202"/>
      <c r="AO168" s="200"/>
      <c r="AP168" s="200"/>
      <c r="AQ168" s="200"/>
      <c r="AR168" s="200"/>
      <c r="AS168" s="200"/>
      <c r="AT168" s="200"/>
      <c r="AU168" s="200"/>
      <c r="AV168" s="203"/>
      <c r="AW168" s="203"/>
      <c r="AX168" s="203"/>
      <c r="AY168" s="203"/>
      <c r="AZ168" s="203"/>
      <c r="BA168" s="203"/>
    </row>
    <row r="169" spans="1:53" ht="10.5" customHeight="1" x14ac:dyDescent="0.25">
      <c r="A169" s="1416"/>
      <c r="B169" s="1419"/>
      <c r="C169" s="1311"/>
      <c r="D169" s="922" t="s">
        <v>299</v>
      </c>
      <c r="E169" s="919">
        <v>0</v>
      </c>
      <c r="F169" s="919"/>
      <c r="G169" s="919"/>
      <c r="H169" s="919"/>
      <c r="I169" s="919"/>
      <c r="J169" s="919"/>
      <c r="K169" s="919"/>
      <c r="L169" s="919"/>
      <c r="M169" s="919"/>
      <c r="N169" s="919"/>
      <c r="O169" s="1311"/>
      <c r="P169" s="1311"/>
      <c r="Q169" s="1311"/>
      <c r="R169" s="1311"/>
      <c r="S169" s="1311"/>
      <c r="T169" s="1311"/>
      <c r="U169" s="1311"/>
      <c r="V169" s="1311"/>
      <c r="W169" s="1311"/>
      <c r="X169" s="1311"/>
      <c r="Y169" s="1311"/>
      <c r="Z169" s="1394"/>
      <c r="AA169" s="200"/>
      <c r="AB169" s="200"/>
      <c r="AC169" s="201">
        <v>14</v>
      </c>
      <c r="AD169" s="201" t="s">
        <v>300</v>
      </c>
      <c r="AE169" s="201"/>
      <c r="AF169" s="201"/>
      <c r="AG169" s="201"/>
      <c r="AH169" s="201" t="s">
        <v>301</v>
      </c>
      <c r="AI169" s="201"/>
      <c r="AJ169" s="201"/>
      <c r="AK169" s="201"/>
      <c r="AL169" s="202"/>
      <c r="AM169" s="202"/>
      <c r="AN169" s="202"/>
      <c r="AO169" s="200"/>
      <c r="AP169" s="200"/>
      <c r="AQ169" s="200"/>
      <c r="AR169" s="200"/>
      <c r="AS169" s="200"/>
      <c r="AT169" s="200"/>
      <c r="AU169" s="200"/>
      <c r="AV169" s="203"/>
      <c r="AW169" s="203"/>
      <c r="AX169" s="203"/>
      <c r="AY169" s="203"/>
      <c r="AZ169" s="203"/>
      <c r="BA169" s="203"/>
    </row>
    <row r="170" spans="1:53" ht="10.5" customHeight="1" x14ac:dyDescent="0.25">
      <c r="A170" s="1416"/>
      <c r="B170" s="1419"/>
      <c r="C170" s="1311"/>
      <c r="D170" s="1396" t="s">
        <v>302</v>
      </c>
      <c r="E170" s="1317"/>
      <c r="F170" s="1317"/>
      <c r="G170" s="1317"/>
      <c r="H170" s="1317"/>
      <c r="I170" s="919"/>
      <c r="J170" s="1317"/>
      <c r="K170" s="1317"/>
      <c r="L170" s="1421"/>
      <c r="M170" s="1421"/>
      <c r="N170" s="1421"/>
      <c r="O170" s="1311"/>
      <c r="P170" s="1311"/>
      <c r="Q170" s="1311"/>
      <c r="R170" s="1311"/>
      <c r="S170" s="1311"/>
      <c r="T170" s="1311"/>
      <c r="U170" s="1311"/>
      <c r="V170" s="1311"/>
      <c r="W170" s="1311"/>
      <c r="X170" s="1311"/>
      <c r="Y170" s="1311"/>
      <c r="Z170" s="1394"/>
      <c r="AA170" s="200"/>
      <c r="AB170" s="200"/>
      <c r="AC170" s="201"/>
      <c r="AD170" s="201"/>
      <c r="AE170" s="201"/>
      <c r="AF170" s="201"/>
      <c r="AG170" s="201"/>
      <c r="AH170" s="201"/>
      <c r="AI170" s="201"/>
      <c r="AJ170" s="201"/>
      <c r="AK170" s="201"/>
      <c r="AL170" s="202"/>
      <c r="AM170" s="202"/>
      <c r="AN170" s="202"/>
      <c r="AO170" s="200"/>
      <c r="AP170" s="200"/>
      <c r="AQ170" s="200"/>
      <c r="AR170" s="200"/>
      <c r="AS170" s="200"/>
      <c r="AT170" s="200"/>
      <c r="AU170" s="200"/>
      <c r="AV170" s="203"/>
      <c r="AW170" s="203"/>
      <c r="AX170" s="203"/>
      <c r="AY170" s="203"/>
      <c r="AZ170" s="203"/>
      <c r="BA170" s="203"/>
    </row>
    <row r="171" spans="1:53" ht="11.25" customHeight="1" x14ac:dyDescent="0.25">
      <c r="A171" s="1416"/>
      <c r="B171" s="1419"/>
      <c r="C171" s="1311"/>
      <c r="D171" s="1311"/>
      <c r="E171" s="1317"/>
      <c r="F171" s="1311"/>
      <c r="G171" s="1311"/>
      <c r="H171" s="1311"/>
      <c r="I171" s="906"/>
      <c r="J171" s="1311"/>
      <c r="K171" s="1311"/>
      <c r="L171" s="1421"/>
      <c r="M171" s="1311"/>
      <c r="N171" s="1311"/>
      <c r="O171" s="1311"/>
      <c r="P171" s="1311"/>
      <c r="Q171" s="1311"/>
      <c r="R171" s="1311"/>
      <c r="S171" s="1311"/>
      <c r="T171" s="1311"/>
      <c r="U171" s="1311"/>
      <c r="V171" s="1311"/>
      <c r="W171" s="1311"/>
      <c r="X171" s="1311"/>
      <c r="Y171" s="1311"/>
      <c r="Z171" s="1394"/>
      <c r="AA171" s="200"/>
      <c r="AB171" s="200"/>
      <c r="AC171" s="201"/>
      <c r="AD171" s="201"/>
      <c r="AE171" s="201"/>
      <c r="AF171" s="201"/>
      <c r="AG171" s="201"/>
      <c r="AH171" s="201"/>
      <c r="AI171" s="201"/>
      <c r="AJ171" s="201"/>
      <c r="AK171" s="201"/>
      <c r="AL171" s="202"/>
      <c r="AM171" s="202"/>
      <c r="AN171" s="202"/>
      <c r="AO171" s="200"/>
      <c r="AP171" s="200"/>
      <c r="AQ171" s="200"/>
      <c r="AR171" s="200"/>
      <c r="AS171" s="200"/>
      <c r="AT171" s="200"/>
      <c r="AU171" s="200"/>
      <c r="AV171" s="203"/>
      <c r="AW171" s="203"/>
      <c r="AX171" s="203"/>
      <c r="AY171" s="203"/>
      <c r="AZ171" s="203"/>
      <c r="BA171" s="203"/>
    </row>
    <row r="172" spans="1:53" ht="8.25" customHeight="1" x14ac:dyDescent="0.25">
      <c r="A172" s="1416"/>
      <c r="B172" s="1419"/>
      <c r="C172" s="1311"/>
      <c r="D172" s="1311"/>
      <c r="E172" s="1317"/>
      <c r="F172" s="1311"/>
      <c r="G172" s="1311"/>
      <c r="H172" s="1311"/>
      <c r="I172" s="906"/>
      <c r="J172" s="1311"/>
      <c r="K172" s="1311"/>
      <c r="L172" s="1421"/>
      <c r="M172" s="1311"/>
      <c r="N172" s="1311"/>
      <c r="O172" s="1311"/>
      <c r="P172" s="1311"/>
      <c r="Q172" s="1311"/>
      <c r="R172" s="1311"/>
      <c r="S172" s="1311"/>
      <c r="T172" s="1311"/>
      <c r="U172" s="1311"/>
      <c r="V172" s="1311"/>
      <c r="W172" s="1311"/>
      <c r="X172" s="1311"/>
      <c r="Y172" s="1311"/>
      <c r="Z172" s="1394"/>
      <c r="AA172" s="200"/>
      <c r="AB172" s="200"/>
      <c r="AC172" s="201"/>
      <c r="AD172" s="201"/>
      <c r="AE172" s="201"/>
      <c r="AF172" s="201"/>
      <c r="AG172" s="201"/>
      <c r="AH172" s="201"/>
      <c r="AI172" s="201"/>
      <c r="AJ172" s="201"/>
      <c r="AK172" s="201"/>
      <c r="AL172" s="202"/>
      <c r="AM172" s="202"/>
      <c r="AN172" s="202"/>
      <c r="AO172" s="200"/>
      <c r="AP172" s="200"/>
      <c r="AQ172" s="200"/>
      <c r="AR172" s="200"/>
      <c r="AS172" s="200"/>
      <c r="AT172" s="200"/>
      <c r="AU172" s="200"/>
      <c r="AV172" s="203"/>
      <c r="AW172" s="203"/>
      <c r="AX172" s="203"/>
      <c r="AY172" s="203"/>
      <c r="AZ172" s="203"/>
      <c r="BA172" s="203"/>
    </row>
    <row r="173" spans="1:53" ht="6" customHeight="1" x14ac:dyDescent="0.25">
      <c r="A173" s="1416"/>
      <c r="B173" s="1419"/>
      <c r="C173" s="1311"/>
      <c r="D173" s="1311"/>
      <c r="E173" s="1317"/>
      <c r="F173" s="1311"/>
      <c r="G173" s="1311"/>
      <c r="H173" s="1311"/>
      <c r="I173" s="906"/>
      <c r="J173" s="1311"/>
      <c r="K173" s="1311"/>
      <c r="L173" s="1421"/>
      <c r="M173" s="1311"/>
      <c r="N173" s="1311"/>
      <c r="O173" s="1311"/>
      <c r="P173" s="1311"/>
      <c r="Q173" s="1311"/>
      <c r="R173" s="1311"/>
      <c r="S173" s="1311"/>
      <c r="T173" s="1311"/>
      <c r="U173" s="1311"/>
      <c r="V173" s="1311"/>
      <c r="W173" s="1311"/>
      <c r="X173" s="1311"/>
      <c r="Y173" s="1311"/>
      <c r="Z173" s="1394"/>
      <c r="AA173" s="200"/>
      <c r="AB173" s="200"/>
      <c r="AC173" s="201"/>
      <c r="AD173" s="201"/>
      <c r="AE173" s="201"/>
      <c r="AF173" s="201"/>
      <c r="AG173" s="201"/>
      <c r="AH173" s="201"/>
      <c r="AI173" s="201"/>
      <c r="AJ173" s="201"/>
      <c r="AK173" s="201"/>
      <c r="AL173" s="202"/>
      <c r="AM173" s="202"/>
      <c r="AN173" s="202"/>
      <c r="AO173" s="200"/>
      <c r="AP173" s="200"/>
      <c r="AQ173" s="200"/>
      <c r="AR173" s="200"/>
      <c r="AS173" s="200"/>
      <c r="AT173" s="200"/>
      <c r="AU173" s="200"/>
      <c r="AV173" s="203"/>
      <c r="AW173" s="203"/>
      <c r="AX173" s="203"/>
      <c r="AY173" s="203"/>
      <c r="AZ173" s="203"/>
      <c r="BA173" s="203"/>
    </row>
    <row r="174" spans="1:53" ht="10.5" customHeight="1" x14ac:dyDescent="0.25">
      <c r="A174" s="1416"/>
      <c r="B174" s="1419"/>
      <c r="C174" s="1318" t="s">
        <v>309</v>
      </c>
      <c r="D174" s="290" t="s">
        <v>288</v>
      </c>
      <c r="E174" s="919">
        <v>813.77</v>
      </c>
      <c r="F174" s="919"/>
      <c r="G174" s="919"/>
      <c r="H174" s="326">
        <v>5</v>
      </c>
      <c r="I174" s="326">
        <v>560</v>
      </c>
      <c r="J174" s="919">
        <v>75</v>
      </c>
      <c r="K174" s="919">
        <v>253.77</v>
      </c>
      <c r="L174" s="919">
        <v>560</v>
      </c>
      <c r="M174" s="919">
        <v>5</v>
      </c>
      <c r="N174" s="919">
        <v>75</v>
      </c>
      <c r="O174" s="1318" t="s">
        <v>309</v>
      </c>
      <c r="P174" s="1318" t="s">
        <v>331</v>
      </c>
      <c r="Q174" s="1310" t="s">
        <v>332</v>
      </c>
      <c r="R174" s="1318" t="s">
        <v>446</v>
      </c>
      <c r="S174" s="1310" t="s">
        <v>290</v>
      </c>
      <c r="T174" s="1317">
        <v>60558</v>
      </c>
      <c r="U174" s="1317">
        <v>66033</v>
      </c>
      <c r="V174" s="1310"/>
      <c r="W174" s="1310" t="s">
        <v>291</v>
      </c>
      <c r="X174" s="1310" t="s">
        <v>292</v>
      </c>
      <c r="Y174" s="1310" t="s">
        <v>293</v>
      </c>
      <c r="Z174" s="1413">
        <f>SUM(U174+T174)</f>
        <v>126591</v>
      </c>
      <c r="AA174" s="200"/>
      <c r="AB174" s="200"/>
      <c r="AC174" s="201">
        <v>12</v>
      </c>
      <c r="AD174" s="201" t="s">
        <v>294</v>
      </c>
      <c r="AE174" s="201"/>
      <c r="AF174" s="201"/>
      <c r="AG174" s="201"/>
      <c r="AH174" s="201" t="s">
        <v>295</v>
      </c>
      <c r="AI174" s="201"/>
      <c r="AJ174" s="201"/>
      <c r="AK174" s="201"/>
      <c r="AL174" s="202"/>
      <c r="AM174" s="202"/>
      <c r="AN174" s="202"/>
      <c r="AO174" s="200"/>
      <c r="AP174" s="200"/>
      <c r="AQ174" s="200"/>
      <c r="AR174" s="200"/>
      <c r="AS174" s="200"/>
      <c r="AT174" s="200"/>
      <c r="AU174" s="200"/>
      <c r="AV174" s="203"/>
      <c r="AW174" s="203"/>
      <c r="AX174" s="203"/>
      <c r="AY174" s="203"/>
      <c r="AZ174" s="203"/>
      <c r="BA174" s="203"/>
    </row>
    <row r="175" spans="1:53" ht="10.5" customHeight="1" x14ac:dyDescent="0.25">
      <c r="A175" s="1416"/>
      <c r="B175" s="1419"/>
      <c r="C175" s="1311"/>
      <c r="D175" s="922" t="s">
        <v>296</v>
      </c>
      <c r="E175" s="325">
        <v>36538714.870395601</v>
      </c>
      <c r="F175" s="289"/>
      <c r="G175" s="289"/>
      <c r="H175" s="306">
        <v>207769</v>
      </c>
      <c r="I175" s="306">
        <v>12966000</v>
      </c>
      <c r="J175" s="919">
        <v>2602912.5</v>
      </c>
      <c r="K175" s="325">
        <v>12966000</v>
      </c>
      <c r="L175" s="289">
        <v>12966000</v>
      </c>
      <c r="M175" s="919">
        <v>77896.9957081545</v>
      </c>
      <c r="N175" s="919">
        <v>2602912.5</v>
      </c>
      <c r="O175" s="1311"/>
      <c r="P175" s="1311"/>
      <c r="Q175" s="1311"/>
      <c r="R175" s="1311"/>
      <c r="S175" s="1311"/>
      <c r="T175" s="1311"/>
      <c r="U175" s="1311"/>
      <c r="V175" s="1311"/>
      <c r="W175" s="1311"/>
      <c r="X175" s="1311"/>
      <c r="Y175" s="1311"/>
      <c r="Z175" s="1394"/>
      <c r="AA175" s="200"/>
      <c r="AB175" s="200"/>
      <c r="AC175" s="201">
        <v>13</v>
      </c>
      <c r="AD175" s="201" t="s">
        <v>297</v>
      </c>
      <c r="AE175" s="201"/>
      <c r="AF175" s="201"/>
      <c r="AG175" s="201"/>
      <c r="AH175" s="201" t="s">
        <v>298</v>
      </c>
      <c r="AI175" s="201"/>
      <c r="AJ175" s="201"/>
      <c r="AK175" s="201"/>
      <c r="AL175" s="202"/>
      <c r="AM175" s="202"/>
      <c r="AN175" s="202"/>
      <c r="AO175" s="200"/>
      <c r="AP175" s="200"/>
      <c r="AQ175" s="200"/>
      <c r="AR175" s="200"/>
      <c r="AS175" s="200"/>
      <c r="AT175" s="200"/>
      <c r="AU175" s="200"/>
      <c r="AV175" s="203"/>
      <c r="AW175" s="203"/>
      <c r="AX175" s="203"/>
      <c r="AY175" s="203"/>
      <c r="AZ175" s="203"/>
      <c r="BA175" s="203"/>
    </row>
    <row r="176" spans="1:53" ht="10.5" customHeight="1" x14ac:dyDescent="0.25">
      <c r="A176" s="1416"/>
      <c r="B176" s="1419"/>
      <c r="C176" s="1311"/>
      <c r="D176" s="922" t="s">
        <v>299</v>
      </c>
      <c r="E176" s="919">
        <v>0</v>
      </c>
      <c r="F176" s="919"/>
      <c r="G176" s="919"/>
      <c r="H176" s="919"/>
      <c r="I176" s="919"/>
      <c r="J176" s="919"/>
      <c r="K176" s="919"/>
      <c r="L176" s="919"/>
      <c r="M176" s="919"/>
      <c r="N176" s="919"/>
      <c r="O176" s="1311"/>
      <c r="P176" s="1311"/>
      <c r="Q176" s="1311"/>
      <c r="R176" s="1311"/>
      <c r="S176" s="1311"/>
      <c r="T176" s="1311"/>
      <c r="U176" s="1311"/>
      <c r="V176" s="1311"/>
      <c r="W176" s="1311"/>
      <c r="X176" s="1311"/>
      <c r="Y176" s="1311"/>
      <c r="Z176" s="1394"/>
      <c r="AA176" s="200"/>
      <c r="AB176" s="200"/>
      <c r="AC176" s="201">
        <v>14</v>
      </c>
      <c r="AD176" s="201" t="s">
        <v>300</v>
      </c>
      <c r="AE176" s="201"/>
      <c r="AF176" s="201"/>
      <c r="AG176" s="201"/>
      <c r="AH176" s="201" t="s">
        <v>301</v>
      </c>
      <c r="AI176" s="201"/>
      <c r="AJ176" s="201"/>
      <c r="AK176" s="201"/>
      <c r="AL176" s="202"/>
      <c r="AM176" s="202"/>
      <c r="AN176" s="202"/>
      <c r="AO176" s="200"/>
      <c r="AP176" s="200"/>
      <c r="AQ176" s="200"/>
      <c r="AR176" s="200"/>
      <c r="AS176" s="200"/>
      <c r="AT176" s="200"/>
      <c r="AU176" s="200"/>
      <c r="AV176" s="203"/>
      <c r="AW176" s="203"/>
      <c r="AX176" s="203"/>
      <c r="AY176" s="203"/>
      <c r="AZ176" s="203"/>
      <c r="BA176" s="203"/>
    </row>
    <row r="177" spans="1:53" ht="10.5" customHeight="1" x14ac:dyDescent="0.25">
      <c r="A177" s="1416"/>
      <c r="B177" s="1419"/>
      <c r="C177" s="1311"/>
      <c r="D177" s="1396" t="s">
        <v>302</v>
      </c>
      <c r="E177" s="1317"/>
      <c r="F177" s="1317"/>
      <c r="G177" s="1317"/>
      <c r="H177" s="1317"/>
      <c r="I177" s="919"/>
      <c r="J177" s="1317"/>
      <c r="K177" s="1317"/>
      <c r="L177" s="1421"/>
      <c r="M177" s="1421"/>
      <c r="N177" s="1421"/>
      <c r="O177" s="1311"/>
      <c r="P177" s="1311"/>
      <c r="Q177" s="1311"/>
      <c r="R177" s="1311"/>
      <c r="S177" s="1311"/>
      <c r="T177" s="1311"/>
      <c r="U177" s="1311"/>
      <c r="V177" s="1311"/>
      <c r="W177" s="1311"/>
      <c r="X177" s="1311"/>
      <c r="Y177" s="1311"/>
      <c r="Z177" s="1394"/>
      <c r="AA177" s="200"/>
      <c r="AB177" s="200"/>
      <c r="AC177" s="201"/>
      <c r="AD177" s="201"/>
      <c r="AE177" s="201"/>
      <c r="AF177" s="201"/>
      <c r="AG177" s="201"/>
      <c r="AH177" s="201"/>
      <c r="AI177" s="201"/>
      <c r="AJ177" s="201"/>
      <c r="AK177" s="201"/>
      <c r="AL177" s="202"/>
      <c r="AM177" s="202"/>
      <c r="AN177" s="202"/>
      <c r="AO177" s="200"/>
      <c r="AP177" s="200"/>
      <c r="AQ177" s="200"/>
      <c r="AR177" s="200"/>
      <c r="AS177" s="200"/>
      <c r="AT177" s="200"/>
      <c r="AU177" s="200"/>
      <c r="AV177" s="203"/>
      <c r="AW177" s="203"/>
      <c r="AX177" s="203"/>
      <c r="AY177" s="203"/>
      <c r="AZ177" s="203"/>
      <c r="BA177" s="203"/>
    </row>
    <row r="178" spans="1:53" ht="11.25" customHeight="1" x14ac:dyDescent="0.25">
      <c r="A178" s="1416"/>
      <c r="B178" s="1419"/>
      <c r="C178" s="1311"/>
      <c r="D178" s="1311"/>
      <c r="E178" s="1317"/>
      <c r="F178" s="1311"/>
      <c r="G178" s="1311"/>
      <c r="H178" s="1311"/>
      <c r="I178" s="906"/>
      <c r="J178" s="1311"/>
      <c r="K178" s="1311"/>
      <c r="L178" s="1421"/>
      <c r="M178" s="1311"/>
      <c r="N178" s="1311"/>
      <c r="O178" s="1311"/>
      <c r="P178" s="1311"/>
      <c r="Q178" s="1311"/>
      <c r="R178" s="1311"/>
      <c r="S178" s="1311"/>
      <c r="T178" s="1311"/>
      <c r="U178" s="1311"/>
      <c r="V178" s="1311"/>
      <c r="W178" s="1311"/>
      <c r="X178" s="1311"/>
      <c r="Y178" s="1311"/>
      <c r="Z178" s="1394"/>
      <c r="AA178" s="200"/>
      <c r="AB178" s="200"/>
      <c r="AC178" s="201"/>
      <c r="AD178" s="201"/>
      <c r="AE178" s="201"/>
      <c r="AF178" s="201"/>
      <c r="AG178" s="201"/>
      <c r="AH178" s="201"/>
      <c r="AI178" s="201"/>
      <c r="AJ178" s="201"/>
      <c r="AK178" s="201"/>
      <c r="AL178" s="202"/>
      <c r="AM178" s="202"/>
      <c r="AN178" s="202"/>
      <c r="AO178" s="200"/>
      <c r="AP178" s="200"/>
      <c r="AQ178" s="200"/>
      <c r="AR178" s="200"/>
      <c r="AS178" s="200"/>
      <c r="AT178" s="200"/>
      <c r="AU178" s="200"/>
      <c r="AV178" s="203"/>
      <c r="AW178" s="203"/>
      <c r="AX178" s="203"/>
      <c r="AY178" s="203"/>
      <c r="AZ178" s="203"/>
      <c r="BA178" s="203"/>
    </row>
    <row r="179" spans="1:53" ht="8.25" customHeight="1" x14ac:dyDescent="0.25">
      <c r="A179" s="1416"/>
      <c r="B179" s="1419"/>
      <c r="C179" s="1311"/>
      <c r="D179" s="1311"/>
      <c r="E179" s="1317"/>
      <c r="F179" s="1311"/>
      <c r="G179" s="1311"/>
      <c r="H179" s="1311"/>
      <c r="I179" s="906"/>
      <c r="J179" s="1311"/>
      <c r="K179" s="1311"/>
      <c r="L179" s="1421"/>
      <c r="M179" s="1311"/>
      <c r="N179" s="1311"/>
      <c r="O179" s="1311"/>
      <c r="P179" s="1311"/>
      <c r="Q179" s="1311"/>
      <c r="R179" s="1311"/>
      <c r="S179" s="1311"/>
      <c r="T179" s="1311"/>
      <c r="U179" s="1311"/>
      <c r="V179" s="1311"/>
      <c r="W179" s="1311"/>
      <c r="X179" s="1311"/>
      <c r="Y179" s="1311"/>
      <c r="Z179" s="1394"/>
      <c r="AA179" s="200"/>
      <c r="AB179" s="200"/>
      <c r="AC179" s="201"/>
      <c r="AD179" s="201"/>
      <c r="AE179" s="201"/>
      <c r="AF179" s="201"/>
      <c r="AG179" s="201"/>
      <c r="AH179" s="201"/>
      <c r="AI179" s="201"/>
      <c r="AJ179" s="201"/>
      <c r="AK179" s="201"/>
      <c r="AL179" s="202"/>
      <c r="AM179" s="202"/>
      <c r="AN179" s="202"/>
      <c r="AO179" s="200"/>
      <c r="AP179" s="200"/>
      <c r="AQ179" s="200"/>
      <c r="AR179" s="200"/>
      <c r="AS179" s="200"/>
      <c r="AT179" s="200"/>
      <c r="AU179" s="200"/>
      <c r="AV179" s="203"/>
      <c r="AW179" s="203"/>
      <c r="AX179" s="203"/>
      <c r="AY179" s="203"/>
      <c r="AZ179" s="203"/>
      <c r="BA179" s="203"/>
    </row>
    <row r="180" spans="1:53" ht="6" customHeight="1" x14ac:dyDescent="0.25">
      <c r="A180" s="1416"/>
      <c r="B180" s="1419"/>
      <c r="C180" s="1311"/>
      <c r="D180" s="1311"/>
      <c r="E180" s="1317"/>
      <c r="F180" s="1311"/>
      <c r="G180" s="1311"/>
      <c r="H180" s="1311"/>
      <c r="I180" s="906"/>
      <c r="J180" s="1311"/>
      <c r="K180" s="1311"/>
      <c r="L180" s="1421"/>
      <c r="M180" s="1311"/>
      <c r="N180" s="1311"/>
      <c r="O180" s="1311"/>
      <c r="P180" s="1311"/>
      <c r="Q180" s="1311"/>
      <c r="R180" s="1311"/>
      <c r="S180" s="1311"/>
      <c r="T180" s="1311"/>
      <c r="U180" s="1311"/>
      <c r="V180" s="1311"/>
      <c r="W180" s="1311"/>
      <c r="X180" s="1311"/>
      <c r="Y180" s="1311"/>
      <c r="Z180" s="1394"/>
      <c r="AA180" s="200"/>
      <c r="AB180" s="200"/>
      <c r="AC180" s="201"/>
      <c r="AD180" s="201"/>
      <c r="AE180" s="201"/>
      <c r="AF180" s="201"/>
      <c r="AG180" s="201"/>
      <c r="AH180" s="201"/>
      <c r="AI180" s="201"/>
      <c r="AJ180" s="201"/>
      <c r="AK180" s="201"/>
      <c r="AL180" s="202"/>
      <c r="AM180" s="202"/>
      <c r="AN180" s="202"/>
      <c r="AO180" s="200"/>
      <c r="AP180" s="200"/>
      <c r="AQ180" s="200"/>
      <c r="AR180" s="200"/>
      <c r="AS180" s="200"/>
      <c r="AT180" s="200"/>
      <c r="AU180" s="200"/>
      <c r="AV180" s="203"/>
      <c r="AW180" s="203"/>
      <c r="AX180" s="203"/>
      <c r="AY180" s="203"/>
      <c r="AZ180" s="203"/>
      <c r="BA180" s="203"/>
    </row>
    <row r="181" spans="1:53" ht="10.5" customHeight="1" x14ac:dyDescent="0.25">
      <c r="A181" s="1416"/>
      <c r="B181" s="1419"/>
      <c r="C181" s="1318" t="s">
        <v>294</v>
      </c>
      <c r="D181" s="290" t="s">
        <v>288</v>
      </c>
      <c r="E181" s="919">
        <v>100</v>
      </c>
      <c r="F181" s="919"/>
      <c r="G181" s="919"/>
      <c r="H181" s="326">
        <v>11</v>
      </c>
      <c r="I181" s="326">
        <v>111</v>
      </c>
      <c r="J181" s="919">
        <v>26</v>
      </c>
      <c r="K181" s="919"/>
      <c r="L181" s="919">
        <v>100</v>
      </c>
      <c r="M181" s="919">
        <v>11</v>
      </c>
      <c r="N181" s="919">
        <v>26</v>
      </c>
      <c r="O181" s="1318" t="s">
        <v>294</v>
      </c>
      <c r="P181" s="1318" t="s">
        <v>333</v>
      </c>
      <c r="Q181" s="1310" t="s">
        <v>334</v>
      </c>
      <c r="R181" s="1318" t="s">
        <v>446</v>
      </c>
      <c r="S181" s="1310" t="s">
        <v>290</v>
      </c>
      <c r="T181" s="1317">
        <v>134370</v>
      </c>
      <c r="U181" s="1317">
        <v>132736</v>
      </c>
      <c r="V181" s="1310"/>
      <c r="W181" s="1310" t="s">
        <v>291</v>
      </c>
      <c r="X181" s="1310" t="s">
        <v>292</v>
      </c>
      <c r="Y181" s="1310" t="s">
        <v>293</v>
      </c>
      <c r="Z181" s="1413">
        <f>SUM(U181+T181)</f>
        <v>267106</v>
      </c>
      <c r="AA181" s="200"/>
      <c r="AB181" s="200"/>
      <c r="AC181" s="201">
        <v>12</v>
      </c>
      <c r="AD181" s="201" t="s">
        <v>294</v>
      </c>
      <c r="AE181" s="201"/>
      <c r="AF181" s="201"/>
      <c r="AG181" s="201"/>
      <c r="AH181" s="201" t="s">
        <v>295</v>
      </c>
      <c r="AI181" s="201"/>
      <c r="AJ181" s="201"/>
      <c r="AK181" s="201"/>
      <c r="AL181" s="202"/>
      <c r="AM181" s="202"/>
      <c r="AN181" s="202"/>
      <c r="AO181" s="200"/>
      <c r="AP181" s="200"/>
      <c r="AQ181" s="200"/>
      <c r="AR181" s="200"/>
      <c r="AS181" s="200"/>
      <c r="AT181" s="200"/>
      <c r="AU181" s="200"/>
      <c r="AV181" s="203"/>
      <c r="AW181" s="203"/>
      <c r="AX181" s="203"/>
      <c r="AY181" s="203"/>
      <c r="AZ181" s="203"/>
      <c r="BA181" s="203"/>
    </row>
    <row r="182" spans="1:53" ht="10.5" customHeight="1" x14ac:dyDescent="0.25">
      <c r="A182" s="1416"/>
      <c r="B182" s="1419"/>
      <c r="C182" s="1311"/>
      <c r="D182" s="922" t="s">
        <v>296</v>
      </c>
      <c r="E182" s="325">
        <v>4209413.3697135104</v>
      </c>
      <c r="F182" s="289"/>
      <c r="G182" s="289"/>
      <c r="H182" s="306">
        <v>457091.8</v>
      </c>
      <c r="I182" s="306">
        <v>457091.8</v>
      </c>
      <c r="J182" s="919">
        <v>902343</v>
      </c>
      <c r="K182" s="325"/>
      <c r="L182" s="289">
        <v>4209413.3697135057</v>
      </c>
      <c r="M182" s="919">
        <v>171373.39055793991</v>
      </c>
      <c r="N182" s="919">
        <v>902343</v>
      </c>
      <c r="O182" s="1311"/>
      <c r="P182" s="1311"/>
      <c r="Q182" s="1311"/>
      <c r="R182" s="1311"/>
      <c r="S182" s="1311"/>
      <c r="T182" s="1311"/>
      <c r="U182" s="1311"/>
      <c r="V182" s="1311"/>
      <c r="W182" s="1311"/>
      <c r="X182" s="1311"/>
      <c r="Y182" s="1311"/>
      <c r="Z182" s="1394"/>
      <c r="AA182" s="200"/>
      <c r="AB182" s="200"/>
      <c r="AC182" s="201">
        <v>13</v>
      </c>
      <c r="AD182" s="201" t="s">
        <v>297</v>
      </c>
      <c r="AE182" s="201"/>
      <c r="AF182" s="201"/>
      <c r="AG182" s="201"/>
      <c r="AH182" s="201" t="s">
        <v>298</v>
      </c>
      <c r="AI182" s="201"/>
      <c r="AJ182" s="201"/>
      <c r="AK182" s="201"/>
      <c r="AL182" s="202"/>
      <c r="AM182" s="202"/>
      <c r="AN182" s="202"/>
      <c r="AO182" s="200"/>
      <c r="AP182" s="200"/>
      <c r="AQ182" s="200"/>
      <c r="AR182" s="200"/>
      <c r="AS182" s="200"/>
      <c r="AT182" s="200"/>
      <c r="AU182" s="200"/>
      <c r="AV182" s="203"/>
      <c r="AW182" s="203"/>
      <c r="AX182" s="203"/>
      <c r="AY182" s="203"/>
      <c r="AZ182" s="203"/>
      <c r="BA182" s="203"/>
    </row>
    <row r="183" spans="1:53" ht="10.5" customHeight="1" x14ac:dyDescent="0.25">
      <c r="A183" s="1416"/>
      <c r="B183" s="1419"/>
      <c r="C183" s="1311"/>
      <c r="D183" s="922" t="s">
        <v>299</v>
      </c>
      <c r="E183" s="919">
        <v>0</v>
      </c>
      <c r="F183" s="919"/>
      <c r="G183" s="919"/>
      <c r="H183" s="919"/>
      <c r="I183" s="919"/>
      <c r="J183" s="919"/>
      <c r="K183" s="919"/>
      <c r="L183" s="919"/>
      <c r="M183" s="919"/>
      <c r="N183" s="919"/>
      <c r="O183" s="1311"/>
      <c r="P183" s="1311"/>
      <c r="Q183" s="1311"/>
      <c r="R183" s="1311"/>
      <c r="S183" s="1311"/>
      <c r="T183" s="1311"/>
      <c r="U183" s="1311"/>
      <c r="V183" s="1311"/>
      <c r="W183" s="1311"/>
      <c r="X183" s="1311"/>
      <c r="Y183" s="1311"/>
      <c r="Z183" s="1394"/>
      <c r="AA183" s="200"/>
      <c r="AB183" s="200"/>
      <c r="AC183" s="201">
        <v>14</v>
      </c>
      <c r="AD183" s="201" t="s">
        <v>300</v>
      </c>
      <c r="AE183" s="201"/>
      <c r="AF183" s="201"/>
      <c r="AG183" s="201"/>
      <c r="AH183" s="201" t="s">
        <v>301</v>
      </c>
      <c r="AI183" s="201"/>
      <c r="AJ183" s="201"/>
      <c r="AK183" s="201"/>
      <c r="AL183" s="202"/>
      <c r="AM183" s="202"/>
      <c r="AN183" s="202"/>
      <c r="AO183" s="200"/>
      <c r="AP183" s="200"/>
      <c r="AQ183" s="200"/>
      <c r="AR183" s="200"/>
      <c r="AS183" s="200"/>
      <c r="AT183" s="200"/>
      <c r="AU183" s="200"/>
      <c r="AV183" s="203"/>
      <c r="AW183" s="203"/>
      <c r="AX183" s="203"/>
      <c r="AY183" s="203"/>
      <c r="AZ183" s="203"/>
      <c r="BA183" s="203"/>
    </row>
    <row r="184" spans="1:53" ht="10.5" customHeight="1" x14ac:dyDescent="0.25">
      <c r="A184" s="1416"/>
      <c r="B184" s="1419"/>
      <c r="C184" s="1311"/>
      <c r="D184" s="1396" t="s">
        <v>302</v>
      </c>
      <c r="E184" s="919"/>
      <c r="F184" s="919"/>
      <c r="G184" s="919"/>
      <c r="H184" s="919"/>
      <c r="I184" s="919"/>
      <c r="J184" s="919"/>
      <c r="K184" s="919"/>
      <c r="L184" s="1421"/>
      <c r="M184" s="932"/>
      <c r="N184" s="932"/>
      <c r="O184" s="1311"/>
      <c r="P184" s="1311"/>
      <c r="Q184" s="1311"/>
      <c r="R184" s="1311"/>
      <c r="S184" s="1311"/>
      <c r="T184" s="1311"/>
      <c r="U184" s="1311"/>
      <c r="V184" s="1311"/>
      <c r="W184" s="1311"/>
      <c r="X184" s="1311"/>
      <c r="Y184" s="1311"/>
      <c r="Z184" s="1394"/>
      <c r="AA184" s="200"/>
      <c r="AB184" s="200"/>
      <c r="AC184" s="201"/>
      <c r="AD184" s="201"/>
      <c r="AE184" s="201"/>
      <c r="AF184" s="201"/>
      <c r="AG184" s="201"/>
      <c r="AH184" s="201"/>
      <c r="AI184" s="201"/>
      <c r="AJ184" s="201"/>
      <c r="AK184" s="201"/>
      <c r="AL184" s="202"/>
      <c r="AM184" s="202"/>
      <c r="AN184" s="202"/>
      <c r="AO184" s="200"/>
      <c r="AP184" s="200"/>
      <c r="AQ184" s="200"/>
      <c r="AR184" s="200"/>
      <c r="AS184" s="200"/>
      <c r="AT184" s="200"/>
      <c r="AU184" s="200"/>
      <c r="AV184" s="203"/>
      <c r="AW184" s="203"/>
      <c r="AX184" s="203"/>
      <c r="AY184" s="203"/>
      <c r="AZ184" s="203"/>
      <c r="BA184" s="203"/>
    </row>
    <row r="185" spans="1:53" ht="11.25" customHeight="1" x14ac:dyDescent="0.25">
      <c r="A185" s="1416"/>
      <c r="B185" s="1419"/>
      <c r="C185" s="1311"/>
      <c r="D185" s="1311"/>
      <c r="E185" s="919"/>
      <c r="F185" s="919"/>
      <c r="G185" s="919"/>
      <c r="H185" s="919"/>
      <c r="I185" s="919"/>
      <c r="J185" s="919"/>
      <c r="K185" s="919"/>
      <c r="L185" s="1421"/>
      <c r="M185" s="932"/>
      <c r="N185" s="932"/>
      <c r="O185" s="1311"/>
      <c r="P185" s="1311"/>
      <c r="Q185" s="1311"/>
      <c r="R185" s="1311"/>
      <c r="S185" s="1311"/>
      <c r="T185" s="1311"/>
      <c r="U185" s="1311"/>
      <c r="V185" s="1311"/>
      <c r="W185" s="1311"/>
      <c r="X185" s="1311"/>
      <c r="Y185" s="1311"/>
      <c r="Z185" s="1394"/>
      <c r="AA185" s="200"/>
      <c r="AB185" s="200"/>
      <c r="AC185" s="201"/>
      <c r="AD185" s="201"/>
      <c r="AE185" s="201"/>
      <c r="AF185" s="201"/>
      <c r="AG185" s="201"/>
      <c r="AH185" s="201"/>
      <c r="AI185" s="201"/>
      <c r="AJ185" s="201"/>
      <c r="AK185" s="201"/>
      <c r="AL185" s="202"/>
      <c r="AM185" s="202"/>
      <c r="AN185" s="202"/>
      <c r="AO185" s="200"/>
      <c r="AP185" s="200"/>
      <c r="AQ185" s="200"/>
      <c r="AR185" s="200"/>
      <c r="AS185" s="200"/>
      <c r="AT185" s="200"/>
      <c r="AU185" s="200"/>
      <c r="AV185" s="203"/>
      <c r="AW185" s="203"/>
      <c r="AX185" s="203"/>
      <c r="AY185" s="203"/>
      <c r="AZ185" s="203"/>
      <c r="BA185" s="203"/>
    </row>
    <row r="186" spans="1:53" ht="8.25" customHeight="1" x14ac:dyDescent="0.25">
      <c r="A186" s="1416"/>
      <c r="B186" s="1419"/>
      <c r="C186" s="1311"/>
      <c r="D186" s="1311"/>
      <c r="E186" s="919"/>
      <c r="F186" s="919"/>
      <c r="G186" s="919"/>
      <c r="H186" s="919"/>
      <c r="I186" s="919"/>
      <c r="J186" s="37"/>
      <c r="K186" s="919"/>
      <c r="L186" s="1421"/>
      <c r="M186" s="932"/>
      <c r="N186" s="932"/>
      <c r="O186" s="1311"/>
      <c r="P186" s="1311"/>
      <c r="Q186" s="1311"/>
      <c r="R186" s="1311"/>
      <c r="S186" s="1311"/>
      <c r="T186" s="1311"/>
      <c r="U186" s="1311"/>
      <c r="V186" s="1311"/>
      <c r="W186" s="1311"/>
      <c r="X186" s="1311"/>
      <c r="Y186" s="1311"/>
      <c r="Z186" s="1394"/>
      <c r="AA186" s="200"/>
      <c r="AB186" s="200"/>
      <c r="AC186" s="201"/>
      <c r="AD186" s="201"/>
      <c r="AE186" s="201"/>
      <c r="AF186" s="201"/>
      <c r="AG186" s="201"/>
      <c r="AH186" s="201"/>
      <c r="AI186" s="201"/>
      <c r="AJ186" s="201"/>
      <c r="AK186" s="201"/>
      <c r="AL186" s="202"/>
      <c r="AM186" s="202"/>
      <c r="AN186" s="202"/>
      <c r="AO186" s="200"/>
      <c r="AP186" s="200"/>
      <c r="AQ186" s="200"/>
      <c r="AR186" s="200"/>
      <c r="AS186" s="200"/>
      <c r="AT186" s="200"/>
      <c r="AU186" s="200"/>
      <c r="AV186" s="203"/>
      <c r="AW186" s="203"/>
      <c r="AX186" s="203"/>
      <c r="AY186" s="203"/>
      <c r="AZ186" s="203"/>
      <c r="BA186" s="203"/>
    </row>
    <row r="187" spans="1:53" ht="10.5" customHeight="1" x14ac:dyDescent="0.25">
      <c r="A187" s="1416"/>
      <c r="B187" s="1419"/>
      <c r="C187" s="1318" t="s">
        <v>310</v>
      </c>
      <c r="D187" s="290" t="s">
        <v>288</v>
      </c>
      <c r="E187" s="919">
        <v>26</v>
      </c>
      <c r="F187" s="919"/>
      <c r="G187" s="919"/>
      <c r="H187" s="919">
        <v>372</v>
      </c>
      <c r="I187" s="919">
        <v>372</v>
      </c>
      <c r="J187" s="919">
        <v>372</v>
      </c>
      <c r="K187" s="919"/>
      <c r="L187" s="919">
        <v>26</v>
      </c>
      <c r="M187" s="919">
        <v>372</v>
      </c>
      <c r="N187" s="919">
        <v>372</v>
      </c>
      <c r="O187" s="1318" t="s">
        <v>310</v>
      </c>
      <c r="P187" s="1318" t="s">
        <v>452</v>
      </c>
      <c r="Q187" s="1310" t="s">
        <v>451</v>
      </c>
      <c r="R187" s="1318" t="s">
        <v>446</v>
      </c>
      <c r="S187" s="1310" t="s">
        <v>290</v>
      </c>
      <c r="T187" s="1317">
        <v>422164</v>
      </c>
      <c r="U187" s="1317">
        <v>456270</v>
      </c>
      <c r="V187" s="1310"/>
      <c r="W187" s="1310" t="s">
        <v>291</v>
      </c>
      <c r="X187" s="1310" t="s">
        <v>292</v>
      </c>
      <c r="Y187" s="1310" t="s">
        <v>293</v>
      </c>
      <c r="Z187" s="1413">
        <f>SUM(U187+T187)</f>
        <v>878434</v>
      </c>
      <c r="AA187" s="8"/>
      <c r="AB187" s="8"/>
      <c r="AC187" s="184">
        <v>12</v>
      </c>
      <c r="AD187" s="184" t="s">
        <v>294</v>
      </c>
      <c r="AE187" s="184"/>
      <c r="AF187" s="184"/>
      <c r="AG187" s="184"/>
      <c r="AH187" s="184" t="s">
        <v>295</v>
      </c>
      <c r="AI187" s="184"/>
      <c r="AJ187" s="184"/>
      <c r="AK187" s="184"/>
      <c r="AL187" s="185"/>
      <c r="AM187" s="185"/>
      <c r="AN187" s="185"/>
      <c r="AO187" s="8"/>
      <c r="AP187" s="8"/>
      <c r="AQ187" s="8"/>
      <c r="AR187" s="8"/>
      <c r="AS187" s="8"/>
      <c r="AT187" s="8"/>
      <c r="AU187" s="8"/>
    </row>
    <row r="188" spans="1:53" ht="10.5" customHeight="1" x14ac:dyDescent="0.25">
      <c r="A188" s="1416"/>
      <c r="B188" s="1419"/>
      <c r="C188" s="1311"/>
      <c r="D188" s="922" t="s">
        <v>296</v>
      </c>
      <c r="E188" s="919">
        <v>1094447.4761255099</v>
      </c>
      <c r="F188" s="289"/>
      <c r="G188" s="289"/>
      <c r="H188" s="306">
        <v>15458013.6</v>
      </c>
      <c r="I188" s="306">
        <v>15458013.6</v>
      </c>
      <c r="J188" s="919">
        <v>12910446</v>
      </c>
      <c r="K188" s="325"/>
      <c r="L188" s="289">
        <v>1094447.4761255099</v>
      </c>
      <c r="M188" s="919">
        <v>5795536.4806867</v>
      </c>
      <c r="N188" s="919">
        <v>12910446</v>
      </c>
      <c r="O188" s="1311"/>
      <c r="P188" s="1311"/>
      <c r="Q188" s="1311"/>
      <c r="R188" s="1311"/>
      <c r="S188" s="1311"/>
      <c r="T188" s="1311"/>
      <c r="U188" s="1311"/>
      <c r="V188" s="1311"/>
      <c r="W188" s="1311"/>
      <c r="X188" s="1311"/>
      <c r="Y188" s="1311"/>
      <c r="Z188" s="1394"/>
      <c r="AA188" s="8"/>
      <c r="AB188" s="8"/>
      <c r="AC188" s="184">
        <v>13</v>
      </c>
      <c r="AD188" s="184" t="s">
        <v>297</v>
      </c>
      <c r="AE188" s="184"/>
      <c r="AF188" s="184"/>
      <c r="AG188" s="184"/>
      <c r="AH188" s="184" t="s">
        <v>298</v>
      </c>
      <c r="AI188" s="184"/>
      <c r="AJ188" s="184"/>
      <c r="AK188" s="184"/>
      <c r="AL188" s="185"/>
      <c r="AM188" s="185"/>
      <c r="AN188" s="185"/>
      <c r="AO188" s="8"/>
      <c r="AP188" s="8"/>
      <c r="AQ188" s="8"/>
      <c r="AR188" s="8"/>
      <c r="AS188" s="8"/>
      <c r="AT188" s="8"/>
      <c r="AU188" s="8"/>
    </row>
    <row r="189" spans="1:53" ht="10.5" customHeight="1" x14ac:dyDescent="0.25">
      <c r="A189" s="1416"/>
      <c r="B189" s="1419"/>
      <c r="C189" s="1311"/>
      <c r="D189" s="922" t="s">
        <v>299</v>
      </c>
      <c r="E189" s="919">
        <v>0</v>
      </c>
      <c r="F189" s="919"/>
      <c r="G189" s="919"/>
      <c r="H189" s="919"/>
      <c r="I189" s="919"/>
      <c r="J189" s="919"/>
      <c r="K189" s="919"/>
      <c r="L189" s="919"/>
      <c r="M189" s="919"/>
      <c r="N189" s="919"/>
      <c r="O189" s="1311"/>
      <c r="P189" s="1311"/>
      <c r="Q189" s="1311"/>
      <c r="R189" s="1311"/>
      <c r="S189" s="1311"/>
      <c r="T189" s="1311"/>
      <c r="U189" s="1311"/>
      <c r="V189" s="1311"/>
      <c r="W189" s="1311"/>
      <c r="X189" s="1311"/>
      <c r="Y189" s="1311"/>
      <c r="Z189" s="1394"/>
      <c r="AA189" s="8"/>
      <c r="AB189" s="8"/>
      <c r="AC189" s="184">
        <v>14</v>
      </c>
      <c r="AD189" s="184" t="s">
        <v>300</v>
      </c>
      <c r="AE189" s="184"/>
      <c r="AF189" s="184"/>
      <c r="AG189" s="184"/>
      <c r="AH189" s="184" t="s">
        <v>301</v>
      </c>
      <c r="AI189" s="184"/>
      <c r="AJ189" s="184"/>
      <c r="AK189" s="184"/>
      <c r="AL189" s="185"/>
      <c r="AM189" s="185"/>
      <c r="AN189" s="185"/>
      <c r="AO189" s="8"/>
      <c r="AP189" s="8"/>
      <c r="AQ189" s="8"/>
      <c r="AR189" s="8"/>
      <c r="AS189" s="8"/>
      <c r="AT189" s="8"/>
      <c r="AU189" s="8"/>
    </row>
    <row r="190" spans="1:53" ht="10.5" customHeight="1" x14ac:dyDescent="0.25">
      <c r="A190" s="1416"/>
      <c r="B190" s="1419"/>
      <c r="C190" s="1311"/>
      <c r="D190" s="1396" t="s">
        <v>302</v>
      </c>
      <c r="E190" s="1317"/>
      <c r="F190" s="1317"/>
      <c r="G190" s="1317"/>
      <c r="H190" s="1317"/>
      <c r="I190" s="919"/>
      <c r="J190" s="1317"/>
      <c r="K190" s="1317"/>
      <c r="L190" s="1421"/>
      <c r="M190" s="1421"/>
      <c r="N190" s="1421"/>
      <c r="O190" s="1311"/>
      <c r="P190" s="1311"/>
      <c r="Q190" s="1311"/>
      <c r="R190" s="1311"/>
      <c r="S190" s="1311"/>
      <c r="T190" s="1311"/>
      <c r="U190" s="1311"/>
      <c r="V190" s="1311"/>
      <c r="W190" s="1311"/>
      <c r="X190" s="1311"/>
      <c r="Y190" s="1311"/>
      <c r="Z190" s="1394"/>
      <c r="AA190" s="8"/>
      <c r="AB190" s="8"/>
      <c r="AC190" s="184"/>
      <c r="AD190" s="184"/>
      <c r="AE190" s="184"/>
      <c r="AF190" s="184"/>
      <c r="AG190" s="184"/>
      <c r="AH190" s="184"/>
      <c r="AI190" s="184"/>
      <c r="AJ190" s="184"/>
      <c r="AK190" s="184"/>
      <c r="AL190" s="185"/>
      <c r="AM190" s="185"/>
      <c r="AN190" s="185"/>
      <c r="AO190" s="8"/>
      <c r="AP190" s="8"/>
      <c r="AQ190" s="8"/>
      <c r="AR190" s="8"/>
      <c r="AS190" s="8"/>
      <c r="AT190" s="8"/>
      <c r="AU190" s="8"/>
    </row>
    <row r="191" spans="1:53" ht="11.25" customHeight="1" x14ac:dyDescent="0.25">
      <c r="A191" s="1416"/>
      <c r="B191" s="1419"/>
      <c r="C191" s="1311"/>
      <c r="D191" s="1311"/>
      <c r="E191" s="1317"/>
      <c r="F191" s="1311"/>
      <c r="G191" s="1311"/>
      <c r="H191" s="1311"/>
      <c r="I191" s="906"/>
      <c r="J191" s="1311"/>
      <c r="K191" s="1311"/>
      <c r="L191" s="1421"/>
      <c r="M191" s="1311"/>
      <c r="N191" s="1311"/>
      <c r="O191" s="1311"/>
      <c r="P191" s="1311"/>
      <c r="Q191" s="1311"/>
      <c r="R191" s="1311"/>
      <c r="S191" s="1311"/>
      <c r="T191" s="1311"/>
      <c r="U191" s="1311"/>
      <c r="V191" s="1311"/>
      <c r="W191" s="1311"/>
      <c r="X191" s="1311"/>
      <c r="Y191" s="1311"/>
      <c r="Z191" s="1394"/>
      <c r="AA191" s="8"/>
      <c r="AB191" s="8"/>
      <c r="AC191" s="184"/>
      <c r="AD191" s="184"/>
      <c r="AE191" s="184"/>
      <c r="AF191" s="184"/>
      <c r="AG191" s="184"/>
      <c r="AH191" s="184"/>
      <c r="AI191" s="184"/>
      <c r="AJ191" s="184"/>
      <c r="AK191" s="184"/>
      <c r="AL191" s="185"/>
      <c r="AM191" s="185"/>
      <c r="AN191" s="185"/>
      <c r="AO191" s="8"/>
      <c r="AP191" s="8"/>
      <c r="AQ191" s="8"/>
      <c r="AR191" s="8"/>
      <c r="AS191" s="8"/>
      <c r="AT191" s="8"/>
      <c r="AU191" s="8"/>
    </row>
    <row r="192" spans="1:53" ht="8.25" customHeight="1" x14ac:dyDescent="0.25">
      <c r="A192" s="1416"/>
      <c r="B192" s="1419"/>
      <c r="C192" s="1311"/>
      <c r="D192" s="1311"/>
      <c r="E192" s="1317"/>
      <c r="F192" s="1311"/>
      <c r="G192" s="1311"/>
      <c r="H192" s="1311"/>
      <c r="I192" s="906"/>
      <c r="J192" s="1311"/>
      <c r="K192" s="1311"/>
      <c r="L192" s="1421"/>
      <c r="M192" s="1311"/>
      <c r="N192" s="1311"/>
      <c r="O192" s="1311"/>
      <c r="P192" s="1311"/>
      <c r="Q192" s="1311"/>
      <c r="R192" s="1311"/>
      <c r="S192" s="1311"/>
      <c r="T192" s="1311"/>
      <c r="U192" s="1311"/>
      <c r="V192" s="1311"/>
      <c r="W192" s="1311"/>
      <c r="X192" s="1311"/>
      <c r="Y192" s="1311"/>
      <c r="Z192" s="1394"/>
      <c r="AA192" s="8"/>
      <c r="AB192" s="8"/>
      <c r="AC192" s="184"/>
      <c r="AD192" s="184"/>
      <c r="AE192" s="184"/>
      <c r="AF192" s="184"/>
      <c r="AG192" s="184"/>
      <c r="AH192" s="184"/>
      <c r="AI192" s="184"/>
      <c r="AJ192" s="184"/>
      <c r="AK192" s="184"/>
      <c r="AL192" s="185"/>
      <c r="AM192" s="185"/>
      <c r="AN192" s="185"/>
      <c r="AO192" s="8"/>
      <c r="AP192" s="8"/>
      <c r="AQ192" s="8"/>
      <c r="AR192" s="8"/>
      <c r="AS192" s="8"/>
      <c r="AT192" s="8"/>
      <c r="AU192" s="8"/>
    </row>
    <row r="193" spans="1:47" ht="6" customHeight="1" x14ac:dyDescent="0.25">
      <c r="A193" s="1416"/>
      <c r="B193" s="1419"/>
      <c r="C193" s="1311"/>
      <c r="D193" s="1311"/>
      <c r="E193" s="1317"/>
      <c r="F193" s="1311"/>
      <c r="G193" s="1311"/>
      <c r="H193" s="1311"/>
      <c r="I193" s="906"/>
      <c r="J193" s="1311"/>
      <c r="K193" s="1311"/>
      <c r="L193" s="1421"/>
      <c r="M193" s="1311"/>
      <c r="N193" s="1311"/>
      <c r="O193" s="1311"/>
      <c r="P193" s="1311"/>
      <c r="Q193" s="1311"/>
      <c r="R193" s="1311"/>
      <c r="S193" s="1311"/>
      <c r="T193" s="1311"/>
      <c r="U193" s="1311"/>
      <c r="V193" s="1311"/>
      <c r="W193" s="1311"/>
      <c r="X193" s="1311"/>
      <c r="Y193" s="1311"/>
      <c r="Z193" s="1394"/>
      <c r="AA193" s="8"/>
      <c r="AB193" s="8"/>
      <c r="AC193" s="184"/>
      <c r="AD193" s="184"/>
      <c r="AE193" s="184"/>
      <c r="AF193" s="184"/>
      <c r="AG193" s="184"/>
      <c r="AH193" s="184"/>
      <c r="AI193" s="184"/>
      <c r="AJ193" s="184"/>
      <c r="AK193" s="184"/>
      <c r="AL193" s="185"/>
      <c r="AM193" s="185"/>
      <c r="AN193" s="185"/>
      <c r="AO193" s="8"/>
      <c r="AP193" s="8"/>
      <c r="AQ193" s="8"/>
      <c r="AR193" s="8"/>
      <c r="AS193" s="8"/>
      <c r="AT193" s="8"/>
      <c r="AU193" s="8"/>
    </row>
    <row r="194" spans="1:47" ht="10.5" customHeight="1" x14ac:dyDescent="0.25">
      <c r="A194" s="1416"/>
      <c r="B194" s="1419"/>
      <c r="C194" s="1318" t="s">
        <v>313</v>
      </c>
      <c r="D194" s="290" t="s">
        <v>288</v>
      </c>
      <c r="E194" s="919">
        <v>232</v>
      </c>
      <c r="F194" s="919"/>
      <c r="G194" s="919"/>
      <c r="H194" s="919">
        <v>0</v>
      </c>
      <c r="I194" s="919">
        <v>232</v>
      </c>
      <c r="J194" s="919">
        <v>131</v>
      </c>
      <c r="K194" s="919"/>
      <c r="L194" s="919">
        <v>232</v>
      </c>
      <c r="M194" s="919">
        <v>0</v>
      </c>
      <c r="N194" s="919">
        <v>131</v>
      </c>
      <c r="O194" s="1318" t="s">
        <v>335</v>
      </c>
      <c r="P194" s="1318" t="s">
        <v>336</v>
      </c>
      <c r="Q194" s="1310" t="s">
        <v>337</v>
      </c>
      <c r="R194" s="1318" t="s">
        <v>446</v>
      </c>
      <c r="S194" s="1310" t="s">
        <v>290</v>
      </c>
      <c r="T194" s="1317">
        <v>195255</v>
      </c>
      <c r="U194" s="1317">
        <v>218479</v>
      </c>
      <c r="V194" s="1310"/>
      <c r="W194" s="1310" t="s">
        <v>291</v>
      </c>
      <c r="X194" s="1310" t="s">
        <v>292</v>
      </c>
      <c r="Y194" s="1310" t="s">
        <v>293</v>
      </c>
      <c r="Z194" s="1413">
        <f>SUM(U187+T187)</f>
        <v>878434</v>
      </c>
      <c r="AA194" s="8"/>
      <c r="AB194" s="8"/>
      <c r="AC194" s="184">
        <v>12</v>
      </c>
      <c r="AD194" s="184" t="s">
        <v>294</v>
      </c>
      <c r="AE194" s="184"/>
      <c r="AF194" s="184"/>
      <c r="AG194" s="184"/>
      <c r="AH194" s="184" t="s">
        <v>295</v>
      </c>
      <c r="AI194" s="184"/>
      <c r="AJ194" s="184"/>
      <c r="AK194" s="184"/>
      <c r="AL194" s="185"/>
      <c r="AM194" s="185"/>
      <c r="AN194" s="185"/>
      <c r="AO194" s="8"/>
      <c r="AP194" s="8"/>
      <c r="AQ194" s="8"/>
      <c r="AR194" s="8"/>
      <c r="AS194" s="8"/>
      <c r="AT194" s="8"/>
      <c r="AU194" s="8"/>
    </row>
    <row r="195" spans="1:47" ht="10.5" customHeight="1" x14ac:dyDescent="0.25">
      <c r="A195" s="1416"/>
      <c r="B195" s="1419"/>
      <c r="C195" s="1311"/>
      <c r="D195" s="922" t="s">
        <v>296</v>
      </c>
      <c r="E195" s="919">
        <v>9765839.0177353304</v>
      </c>
      <c r="F195" s="289"/>
      <c r="G195" s="289"/>
      <c r="H195" s="306">
        <v>0</v>
      </c>
      <c r="I195" s="306">
        <v>9765839.0177353341</v>
      </c>
      <c r="J195" s="919">
        <v>4546420.5</v>
      </c>
      <c r="K195" s="325"/>
      <c r="L195" s="289">
        <v>9765839.0177353341</v>
      </c>
      <c r="M195" s="919">
        <v>0</v>
      </c>
      <c r="N195" s="919">
        <v>4546420.5</v>
      </c>
      <c r="O195" s="1311"/>
      <c r="P195" s="1311"/>
      <c r="Q195" s="1311"/>
      <c r="R195" s="1311"/>
      <c r="S195" s="1311"/>
      <c r="T195" s="1311"/>
      <c r="U195" s="1311"/>
      <c r="V195" s="1311"/>
      <c r="W195" s="1311"/>
      <c r="X195" s="1311"/>
      <c r="Y195" s="1311"/>
      <c r="Z195" s="1394"/>
      <c r="AA195" s="8"/>
      <c r="AB195" s="8"/>
      <c r="AC195" s="184">
        <v>13</v>
      </c>
      <c r="AD195" s="184" t="s">
        <v>297</v>
      </c>
      <c r="AE195" s="184"/>
      <c r="AF195" s="184"/>
      <c r="AG195" s="184"/>
      <c r="AH195" s="184" t="s">
        <v>298</v>
      </c>
      <c r="AI195" s="184"/>
      <c r="AJ195" s="184"/>
      <c r="AK195" s="184"/>
      <c r="AL195" s="185"/>
      <c r="AM195" s="185"/>
      <c r="AN195" s="185"/>
      <c r="AO195" s="8"/>
      <c r="AP195" s="8"/>
      <c r="AQ195" s="8"/>
      <c r="AR195" s="8"/>
      <c r="AS195" s="8"/>
      <c r="AT195" s="8"/>
      <c r="AU195" s="8"/>
    </row>
    <row r="196" spans="1:47" ht="10.5" customHeight="1" x14ac:dyDescent="0.25">
      <c r="A196" s="1416"/>
      <c r="B196" s="1419"/>
      <c r="C196" s="1311"/>
      <c r="D196" s="922" t="s">
        <v>299</v>
      </c>
      <c r="E196" s="919">
        <v>0</v>
      </c>
      <c r="F196" s="919"/>
      <c r="G196" s="919"/>
      <c r="H196" s="919"/>
      <c r="I196" s="919"/>
      <c r="J196" s="919"/>
      <c r="K196" s="919"/>
      <c r="L196" s="919"/>
      <c r="M196" s="919"/>
      <c r="N196" s="919"/>
      <c r="O196" s="1311"/>
      <c r="P196" s="1311"/>
      <c r="Q196" s="1311"/>
      <c r="R196" s="1311"/>
      <c r="S196" s="1311"/>
      <c r="T196" s="1311"/>
      <c r="U196" s="1311"/>
      <c r="V196" s="1311"/>
      <c r="W196" s="1311"/>
      <c r="X196" s="1311"/>
      <c r="Y196" s="1311"/>
      <c r="Z196" s="1394"/>
      <c r="AA196" s="8"/>
      <c r="AB196" s="8"/>
      <c r="AC196" s="184">
        <v>14</v>
      </c>
      <c r="AD196" s="184" t="s">
        <v>300</v>
      </c>
      <c r="AE196" s="184"/>
      <c r="AF196" s="184"/>
      <c r="AG196" s="184"/>
      <c r="AH196" s="184" t="s">
        <v>301</v>
      </c>
      <c r="AI196" s="184"/>
      <c r="AJ196" s="184"/>
      <c r="AK196" s="184"/>
      <c r="AL196" s="185"/>
      <c r="AM196" s="185"/>
      <c r="AN196" s="185"/>
      <c r="AO196" s="8"/>
      <c r="AP196" s="8"/>
      <c r="AQ196" s="8"/>
      <c r="AR196" s="8"/>
      <c r="AS196" s="8"/>
      <c r="AT196" s="8"/>
      <c r="AU196" s="8"/>
    </row>
    <row r="197" spans="1:47" ht="10.5" customHeight="1" x14ac:dyDescent="0.25">
      <c r="A197" s="1416"/>
      <c r="B197" s="1419"/>
      <c r="C197" s="1311"/>
      <c r="D197" s="1396" t="s">
        <v>302</v>
      </c>
      <c r="E197" s="1317"/>
      <c r="F197" s="1317"/>
      <c r="G197" s="1317"/>
      <c r="H197" s="1317"/>
      <c r="I197" s="919"/>
      <c r="J197" s="1317"/>
      <c r="K197" s="1317"/>
      <c r="L197" s="1421"/>
      <c r="M197" s="1421"/>
      <c r="N197" s="1421"/>
      <c r="O197" s="1311"/>
      <c r="P197" s="1311"/>
      <c r="Q197" s="1311"/>
      <c r="R197" s="1311"/>
      <c r="S197" s="1311"/>
      <c r="T197" s="1311"/>
      <c r="U197" s="1311"/>
      <c r="V197" s="1311"/>
      <c r="W197" s="1311"/>
      <c r="X197" s="1311"/>
      <c r="Y197" s="1311"/>
      <c r="Z197" s="1394"/>
      <c r="AA197" s="8"/>
      <c r="AB197" s="8"/>
      <c r="AC197" s="184"/>
      <c r="AD197" s="184"/>
      <c r="AE197" s="184"/>
      <c r="AF197" s="184"/>
      <c r="AG197" s="184"/>
      <c r="AH197" s="184"/>
      <c r="AI197" s="184"/>
      <c r="AJ197" s="184"/>
      <c r="AK197" s="184"/>
      <c r="AL197" s="185"/>
      <c r="AM197" s="185"/>
      <c r="AN197" s="185"/>
      <c r="AO197" s="8"/>
      <c r="AP197" s="8"/>
      <c r="AQ197" s="8"/>
      <c r="AR197" s="8"/>
      <c r="AS197" s="8"/>
      <c r="AT197" s="8"/>
      <c r="AU197" s="8"/>
    </row>
    <row r="198" spans="1:47" ht="11.25" customHeight="1" x14ac:dyDescent="0.25">
      <c r="A198" s="1416"/>
      <c r="B198" s="1419"/>
      <c r="C198" s="1311"/>
      <c r="D198" s="1311"/>
      <c r="E198" s="1317"/>
      <c r="F198" s="1311"/>
      <c r="G198" s="1311"/>
      <c r="H198" s="1311"/>
      <c r="I198" s="906"/>
      <c r="J198" s="1311"/>
      <c r="K198" s="1311"/>
      <c r="L198" s="1421"/>
      <c r="M198" s="1311"/>
      <c r="N198" s="1311"/>
      <c r="O198" s="1311"/>
      <c r="P198" s="1311"/>
      <c r="Q198" s="1311"/>
      <c r="R198" s="1311"/>
      <c r="S198" s="1311"/>
      <c r="T198" s="1311"/>
      <c r="U198" s="1311"/>
      <c r="V198" s="1311"/>
      <c r="W198" s="1311"/>
      <c r="X198" s="1311"/>
      <c r="Y198" s="1311"/>
      <c r="Z198" s="1394"/>
      <c r="AA198" s="8"/>
      <c r="AB198" s="8"/>
      <c r="AC198" s="184"/>
      <c r="AD198" s="184"/>
      <c r="AE198" s="184"/>
      <c r="AF198" s="184"/>
      <c r="AG198" s="184"/>
      <c r="AH198" s="184"/>
      <c r="AI198" s="184"/>
      <c r="AJ198" s="184"/>
      <c r="AK198" s="184"/>
      <c r="AL198" s="185"/>
      <c r="AM198" s="185"/>
      <c r="AN198" s="185"/>
      <c r="AO198" s="8"/>
      <c r="AP198" s="8"/>
      <c r="AQ198" s="8"/>
      <c r="AR198" s="8"/>
      <c r="AS198" s="8"/>
      <c r="AT198" s="8"/>
      <c r="AU198" s="8"/>
    </row>
    <row r="199" spans="1:47" ht="8.25" customHeight="1" x14ac:dyDescent="0.25">
      <c r="A199" s="1416"/>
      <c r="B199" s="1419"/>
      <c r="C199" s="1311"/>
      <c r="D199" s="1311"/>
      <c r="E199" s="1317"/>
      <c r="F199" s="1311"/>
      <c r="G199" s="1311"/>
      <c r="H199" s="1311"/>
      <c r="I199" s="906"/>
      <c r="J199" s="1311"/>
      <c r="K199" s="1311"/>
      <c r="L199" s="1421"/>
      <c r="M199" s="1311"/>
      <c r="N199" s="1311"/>
      <c r="O199" s="1311"/>
      <c r="P199" s="1311"/>
      <c r="Q199" s="1311"/>
      <c r="R199" s="1311"/>
      <c r="S199" s="1311"/>
      <c r="T199" s="1311"/>
      <c r="U199" s="1311"/>
      <c r="V199" s="1311"/>
      <c r="W199" s="1311"/>
      <c r="X199" s="1311"/>
      <c r="Y199" s="1311"/>
      <c r="Z199" s="1394"/>
      <c r="AA199" s="8"/>
      <c r="AB199" s="8"/>
      <c r="AC199" s="184"/>
      <c r="AD199" s="184"/>
      <c r="AE199" s="184"/>
      <c r="AF199" s="184"/>
      <c r="AG199" s="184"/>
      <c r="AH199" s="184"/>
      <c r="AI199" s="184"/>
      <c r="AJ199" s="184"/>
      <c r="AK199" s="184"/>
      <c r="AL199" s="185"/>
      <c r="AM199" s="185"/>
      <c r="AN199" s="185"/>
      <c r="AO199" s="8"/>
      <c r="AP199" s="8"/>
      <c r="AQ199" s="8"/>
      <c r="AR199" s="8"/>
      <c r="AS199" s="8"/>
      <c r="AT199" s="8"/>
      <c r="AU199" s="8"/>
    </row>
    <row r="200" spans="1:47" ht="6" customHeight="1" x14ac:dyDescent="0.25">
      <c r="A200" s="1416"/>
      <c r="B200" s="1419"/>
      <c r="C200" s="1311"/>
      <c r="D200" s="1311"/>
      <c r="E200" s="1317"/>
      <c r="F200" s="1311"/>
      <c r="G200" s="1311"/>
      <c r="H200" s="1311"/>
      <c r="I200" s="906"/>
      <c r="J200" s="1311"/>
      <c r="K200" s="1311"/>
      <c r="L200" s="1421"/>
      <c r="M200" s="1311"/>
      <c r="N200" s="1311"/>
      <c r="O200" s="1311"/>
      <c r="P200" s="1311"/>
      <c r="Q200" s="1311"/>
      <c r="R200" s="1311"/>
      <c r="S200" s="1311"/>
      <c r="T200" s="1311"/>
      <c r="U200" s="1311"/>
      <c r="V200" s="1311"/>
      <c r="W200" s="1311"/>
      <c r="X200" s="1311"/>
      <c r="Y200" s="1311"/>
      <c r="Z200" s="1394"/>
      <c r="AA200" s="8"/>
      <c r="AB200" s="8"/>
      <c r="AC200" s="184"/>
      <c r="AD200" s="184"/>
      <c r="AE200" s="184"/>
      <c r="AF200" s="184"/>
      <c r="AG200" s="184"/>
      <c r="AH200" s="184"/>
      <c r="AI200" s="184"/>
      <c r="AJ200" s="184"/>
      <c r="AK200" s="184"/>
      <c r="AL200" s="185"/>
      <c r="AM200" s="185"/>
      <c r="AN200" s="185"/>
      <c r="AO200" s="8"/>
      <c r="AP200" s="8"/>
      <c r="AQ200" s="8"/>
      <c r="AR200" s="8"/>
      <c r="AS200" s="8"/>
      <c r="AT200" s="8"/>
      <c r="AU200" s="8"/>
    </row>
    <row r="201" spans="1:47" ht="10.5" customHeight="1" x14ac:dyDescent="0.25">
      <c r="A201" s="1416"/>
      <c r="B201" s="1419"/>
      <c r="C201" s="1318" t="s">
        <v>315</v>
      </c>
      <c r="D201" s="290" t="s">
        <v>288</v>
      </c>
      <c r="E201" s="919">
        <v>445</v>
      </c>
      <c r="F201" s="919"/>
      <c r="G201" s="919"/>
      <c r="H201" s="919">
        <v>0</v>
      </c>
      <c r="I201" s="919">
        <v>445</v>
      </c>
      <c r="J201" s="919">
        <v>445</v>
      </c>
      <c r="K201" s="919"/>
      <c r="L201" s="919">
        <v>445</v>
      </c>
      <c r="M201" s="919">
        <v>0</v>
      </c>
      <c r="N201" s="919">
        <v>445</v>
      </c>
      <c r="O201" s="1318" t="s">
        <v>315</v>
      </c>
      <c r="P201" s="1318" t="s">
        <v>338</v>
      </c>
      <c r="Q201" s="1310" t="s">
        <v>339</v>
      </c>
      <c r="R201" s="1318" t="s">
        <v>446</v>
      </c>
      <c r="S201" s="1310" t="s">
        <v>290</v>
      </c>
      <c r="T201" s="1317">
        <v>610983</v>
      </c>
      <c r="U201" s="1317">
        <v>671995</v>
      </c>
      <c r="V201" s="1310"/>
      <c r="W201" s="1310" t="s">
        <v>291</v>
      </c>
      <c r="X201" s="1310" t="s">
        <v>292</v>
      </c>
      <c r="Y201" s="1310" t="s">
        <v>293</v>
      </c>
      <c r="Z201" s="1413">
        <f>SUM(U201+T201)</f>
        <v>1282978</v>
      </c>
      <c r="AA201" s="8"/>
      <c r="AB201" s="8"/>
      <c r="AC201" s="184">
        <v>12</v>
      </c>
      <c r="AD201" s="184" t="s">
        <v>294</v>
      </c>
      <c r="AE201" s="184"/>
      <c r="AF201" s="184"/>
      <c r="AG201" s="184"/>
      <c r="AH201" s="184" t="s">
        <v>295</v>
      </c>
      <c r="AI201" s="184"/>
      <c r="AJ201" s="184"/>
      <c r="AK201" s="184"/>
      <c r="AL201" s="185"/>
      <c r="AM201" s="185"/>
      <c r="AN201" s="185"/>
      <c r="AO201" s="8"/>
      <c r="AP201" s="8"/>
      <c r="AQ201" s="8"/>
      <c r="AR201" s="8"/>
      <c r="AS201" s="8"/>
      <c r="AT201" s="8"/>
      <c r="AU201" s="8"/>
    </row>
    <row r="202" spans="1:47" ht="10.5" customHeight="1" x14ac:dyDescent="0.25">
      <c r="A202" s="1416"/>
      <c r="B202" s="1419"/>
      <c r="C202" s="1311"/>
      <c r="D202" s="922" t="s">
        <v>296</v>
      </c>
      <c r="E202" s="919">
        <v>18731889.495225102</v>
      </c>
      <c r="F202" s="289"/>
      <c r="G202" s="289"/>
      <c r="H202" s="306">
        <v>0</v>
      </c>
      <c r="I202" s="306">
        <v>18731889.495225102</v>
      </c>
      <c r="J202" s="919">
        <v>15443947.5</v>
      </c>
      <c r="K202" s="325"/>
      <c r="L202" s="289">
        <v>18731889.495225102</v>
      </c>
      <c r="M202" s="919">
        <v>0</v>
      </c>
      <c r="N202" s="919">
        <v>15443947.5</v>
      </c>
      <c r="O202" s="1311"/>
      <c r="P202" s="1311"/>
      <c r="Q202" s="1311"/>
      <c r="R202" s="1311"/>
      <c r="S202" s="1311"/>
      <c r="T202" s="1311"/>
      <c r="U202" s="1311"/>
      <c r="V202" s="1311"/>
      <c r="W202" s="1311"/>
      <c r="X202" s="1311"/>
      <c r="Y202" s="1311"/>
      <c r="Z202" s="1394"/>
      <c r="AA202" s="8"/>
      <c r="AB202" s="8"/>
      <c r="AC202" s="184">
        <v>13</v>
      </c>
      <c r="AD202" s="184" t="s">
        <v>297</v>
      </c>
      <c r="AE202" s="184"/>
      <c r="AF202" s="184"/>
      <c r="AG202" s="184"/>
      <c r="AH202" s="184" t="s">
        <v>298</v>
      </c>
      <c r="AI202" s="184"/>
      <c r="AJ202" s="184"/>
      <c r="AK202" s="184"/>
      <c r="AL202" s="185"/>
      <c r="AM202" s="185"/>
      <c r="AN202" s="185"/>
      <c r="AO202" s="8"/>
      <c r="AP202" s="8"/>
      <c r="AQ202" s="8"/>
      <c r="AR202" s="8"/>
      <c r="AS202" s="8"/>
      <c r="AT202" s="8"/>
      <c r="AU202" s="8"/>
    </row>
    <row r="203" spans="1:47" ht="10.5" customHeight="1" x14ac:dyDescent="0.25">
      <c r="A203" s="1416"/>
      <c r="B203" s="1419"/>
      <c r="C203" s="1311"/>
      <c r="D203" s="922" t="s">
        <v>299</v>
      </c>
      <c r="E203" s="919">
        <v>0</v>
      </c>
      <c r="F203" s="919"/>
      <c r="G203" s="919"/>
      <c r="H203" s="919"/>
      <c r="I203" s="919"/>
      <c r="J203" s="919"/>
      <c r="K203" s="919"/>
      <c r="L203" s="919"/>
      <c r="M203" s="919"/>
      <c r="N203" s="919"/>
      <c r="O203" s="1311"/>
      <c r="P203" s="1311"/>
      <c r="Q203" s="1311"/>
      <c r="R203" s="1311"/>
      <c r="S203" s="1311"/>
      <c r="T203" s="1311"/>
      <c r="U203" s="1311"/>
      <c r="V203" s="1311"/>
      <c r="W203" s="1311"/>
      <c r="X203" s="1311"/>
      <c r="Y203" s="1311"/>
      <c r="Z203" s="1394"/>
      <c r="AA203" s="8"/>
      <c r="AB203" s="8"/>
      <c r="AC203" s="184">
        <v>14</v>
      </c>
      <c r="AD203" s="184" t="s">
        <v>300</v>
      </c>
      <c r="AE203" s="184"/>
      <c r="AF203" s="184"/>
      <c r="AG203" s="184"/>
      <c r="AH203" s="184" t="s">
        <v>301</v>
      </c>
      <c r="AI203" s="184"/>
      <c r="AJ203" s="184"/>
      <c r="AK203" s="184"/>
      <c r="AL203" s="185"/>
      <c r="AM203" s="185"/>
      <c r="AN203" s="185"/>
      <c r="AO203" s="8"/>
      <c r="AP203" s="8"/>
      <c r="AQ203" s="8"/>
      <c r="AR203" s="8"/>
      <c r="AS203" s="8"/>
      <c r="AT203" s="8"/>
      <c r="AU203" s="8"/>
    </row>
    <row r="204" spans="1:47" ht="10.5" customHeight="1" x14ac:dyDescent="0.25">
      <c r="A204" s="1416"/>
      <c r="B204" s="1419"/>
      <c r="C204" s="1311"/>
      <c r="D204" s="1396" t="s">
        <v>302</v>
      </c>
      <c r="E204" s="1317"/>
      <c r="F204" s="1317"/>
      <c r="G204" s="1317"/>
      <c r="H204" s="1317"/>
      <c r="I204" s="919"/>
      <c r="J204" s="1317"/>
      <c r="K204" s="1317"/>
      <c r="L204" s="1421"/>
      <c r="M204" s="1421"/>
      <c r="N204" s="1421"/>
      <c r="O204" s="1311"/>
      <c r="P204" s="1311"/>
      <c r="Q204" s="1311"/>
      <c r="R204" s="1311"/>
      <c r="S204" s="1311"/>
      <c r="T204" s="1311"/>
      <c r="U204" s="1311"/>
      <c r="V204" s="1311"/>
      <c r="W204" s="1311"/>
      <c r="X204" s="1311"/>
      <c r="Y204" s="1311"/>
      <c r="Z204" s="1394"/>
      <c r="AA204" s="8"/>
      <c r="AB204" s="8"/>
      <c r="AC204" s="184"/>
      <c r="AD204" s="184"/>
      <c r="AE204" s="184"/>
      <c r="AF204" s="184"/>
      <c r="AG204" s="184"/>
      <c r="AH204" s="184"/>
      <c r="AI204" s="184"/>
      <c r="AJ204" s="184"/>
      <c r="AK204" s="184"/>
      <c r="AL204" s="185"/>
      <c r="AM204" s="185"/>
      <c r="AN204" s="185"/>
      <c r="AO204" s="8"/>
      <c r="AP204" s="8"/>
      <c r="AQ204" s="8"/>
      <c r="AR204" s="8"/>
      <c r="AS204" s="8"/>
      <c r="AT204" s="8"/>
      <c r="AU204" s="8"/>
    </row>
    <row r="205" spans="1:47" ht="11.25" customHeight="1" x14ac:dyDescent="0.25">
      <c r="A205" s="1416"/>
      <c r="B205" s="1419"/>
      <c r="C205" s="1311"/>
      <c r="D205" s="1311"/>
      <c r="E205" s="1317"/>
      <c r="F205" s="1311"/>
      <c r="G205" s="1311"/>
      <c r="H205" s="1311"/>
      <c r="I205" s="906"/>
      <c r="J205" s="1311"/>
      <c r="K205" s="1311"/>
      <c r="L205" s="1421"/>
      <c r="M205" s="1311"/>
      <c r="N205" s="1311"/>
      <c r="O205" s="1311"/>
      <c r="P205" s="1311"/>
      <c r="Q205" s="1311"/>
      <c r="R205" s="1311"/>
      <c r="S205" s="1311"/>
      <c r="T205" s="1311"/>
      <c r="U205" s="1311"/>
      <c r="V205" s="1311"/>
      <c r="W205" s="1311"/>
      <c r="X205" s="1311"/>
      <c r="Y205" s="1311"/>
      <c r="Z205" s="1394"/>
      <c r="AA205" s="8"/>
      <c r="AB205" s="8"/>
      <c r="AC205" s="184"/>
      <c r="AD205" s="184"/>
      <c r="AE205" s="184"/>
      <c r="AF205" s="184"/>
      <c r="AG205" s="184"/>
      <c r="AH205" s="184"/>
      <c r="AI205" s="184"/>
      <c r="AJ205" s="184"/>
      <c r="AK205" s="184"/>
      <c r="AL205" s="185"/>
      <c r="AM205" s="185"/>
      <c r="AN205" s="185"/>
      <c r="AO205" s="8"/>
      <c r="AP205" s="8"/>
      <c r="AQ205" s="8"/>
      <c r="AR205" s="8"/>
      <c r="AS205" s="8"/>
      <c r="AT205" s="8"/>
      <c r="AU205" s="8"/>
    </row>
    <row r="206" spans="1:47" x14ac:dyDescent="0.25">
      <c r="A206" s="1416"/>
      <c r="B206" s="1419"/>
      <c r="C206" s="1311"/>
      <c r="D206" s="1311"/>
      <c r="E206" s="1317"/>
      <c r="F206" s="1311"/>
      <c r="G206" s="1311"/>
      <c r="H206" s="1311"/>
      <c r="I206" s="906"/>
      <c r="J206" s="1311"/>
      <c r="K206" s="1311"/>
      <c r="L206" s="1421"/>
      <c r="M206" s="1311"/>
      <c r="N206" s="1311"/>
      <c r="O206" s="1311"/>
      <c r="P206" s="1311"/>
      <c r="Q206" s="1311"/>
      <c r="R206" s="1311"/>
      <c r="S206" s="1311"/>
      <c r="T206" s="1311"/>
      <c r="U206" s="1311"/>
      <c r="V206" s="1311"/>
      <c r="W206" s="1311"/>
      <c r="X206" s="1311"/>
      <c r="Y206" s="1311"/>
      <c r="Z206" s="1394"/>
      <c r="AA206" s="8"/>
      <c r="AB206" s="8"/>
      <c r="AC206" s="184"/>
      <c r="AD206" s="184"/>
      <c r="AE206" s="184"/>
      <c r="AF206" s="184"/>
      <c r="AG206" s="184"/>
      <c r="AH206" s="184"/>
      <c r="AI206" s="184"/>
      <c r="AJ206" s="184"/>
      <c r="AK206" s="184"/>
      <c r="AL206" s="185"/>
      <c r="AM206" s="185"/>
      <c r="AN206" s="185"/>
      <c r="AO206" s="8"/>
      <c r="AP206" s="8"/>
      <c r="AQ206" s="8"/>
      <c r="AR206" s="8"/>
      <c r="AS206" s="8"/>
      <c r="AT206" s="8"/>
      <c r="AU206" s="8"/>
    </row>
    <row r="207" spans="1:47" x14ac:dyDescent="0.25">
      <c r="A207" s="1416"/>
      <c r="B207" s="1419"/>
      <c r="C207" s="1311"/>
      <c r="D207" s="1311"/>
      <c r="E207" s="1317"/>
      <c r="F207" s="1311"/>
      <c r="G207" s="1311"/>
      <c r="H207" s="1311"/>
      <c r="I207" s="906"/>
      <c r="J207" s="1311"/>
      <c r="K207" s="1311"/>
      <c r="L207" s="1421"/>
      <c r="M207" s="1311"/>
      <c r="N207" s="1311"/>
      <c r="O207" s="1311"/>
      <c r="P207" s="1311"/>
      <c r="Q207" s="1311"/>
      <c r="R207" s="1311"/>
      <c r="S207" s="1311"/>
      <c r="T207" s="1311"/>
      <c r="U207" s="1311"/>
      <c r="V207" s="1311"/>
      <c r="W207" s="1311"/>
      <c r="X207" s="1311"/>
      <c r="Y207" s="1311"/>
      <c r="Z207" s="1394"/>
      <c r="AA207" s="8"/>
      <c r="AB207" s="8"/>
      <c r="AC207" s="184"/>
      <c r="AD207" s="184"/>
      <c r="AE207" s="184"/>
      <c r="AF207" s="184"/>
      <c r="AG207" s="184"/>
      <c r="AH207" s="184"/>
      <c r="AI207" s="184"/>
      <c r="AJ207" s="184"/>
      <c r="AK207" s="184"/>
      <c r="AL207" s="185"/>
      <c r="AM207" s="185"/>
      <c r="AN207" s="185"/>
      <c r="AO207" s="8"/>
      <c r="AP207" s="8"/>
      <c r="AQ207" s="8"/>
      <c r="AR207" s="8"/>
      <c r="AS207" s="8"/>
      <c r="AT207" s="8"/>
      <c r="AU207" s="8"/>
    </row>
    <row r="208" spans="1:47" x14ac:dyDescent="0.25">
      <c r="A208" s="1416"/>
      <c r="B208" s="1419"/>
      <c r="C208" s="1318" t="s">
        <v>312</v>
      </c>
      <c r="D208" s="290" t="s">
        <v>288</v>
      </c>
      <c r="E208" s="919"/>
      <c r="F208" s="906"/>
      <c r="G208" s="906"/>
      <c r="H208" s="919">
        <v>102</v>
      </c>
      <c r="I208" s="919">
        <v>102</v>
      </c>
      <c r="J208" s="919">
        <v>102</v>
      </c>
      <c r="K208" s="906"/>
      <c r="L208" s="932"/>
      <c r="M208" s="919">
        <v>102</v>
      </c>
      <c r="N208" s="919">
        <v>102</v>
      </c>
      <c r="O208" s="1318" t="s">
        <v>312</v>
      </c>
      <c r="P208" s="1422" t="s">
        <v>450</v>
      </c>
      <c r="Q208" s="1423" t="s">
        <v>449</v>
      </c>
      <c r="R208" s="1318" t="s">
        <v>446</v>
      </c>
      <c r="S208" s="1310" t="s">
        <v>290</v>
      </c>
      <c r="T208" s="1317">
        <v>110484</v>
      </c>
      <c r="U208" s="1317">
        <v>111422</v>
      </c>
      <c r="V208" s="1310"/>
      <c r="W208" s="1310" t="s">
        <v>291</v>
      </c>
      <c r="X208" s="1310" t="s">
        <v>292</v>
      </c>
      <c r="Y208" s="1310" t="s">
        <v>293</v>
      </c>
      <c r="Z208" s="1413">
        <f>SUM(U208+T208)</f>
        <v>221906</v>
      </c>
      <c r="AA208" s="8"/>
      <c r="AB208" s="8"/>
      <c r="AC208" s="184"/>
      <c r="AD208" s="184"/>
      <c r="AE208" s="184"/>
      <c r="AF208" s="184"/>
      <c r="AG208" s="184"/>
      <c r="AH208" s="184"/>
      <c r="AI208" s="184"/>
      <c r="AJ208" s="184"/>
      <c r="AK208" s="184"/>
      <c r="AL208" s="185"/>
      <c r="AM208" s="185"/>
      <c r="AN208" s="185"/>
      <c r="AO208" s="8"/>
      <c r="AP208" s="8"/>
      <c r="AQ208" s="8"/>
      <c r="AR208" s="8"/>
      <c r="AS208" s="8"/>
      <c r="AT208" s="8"/>
      <c r="AU208" s="8"/>
    </row>
    <row r="209" spans="1:47" x14ac:dyDescent="0.25">
      <c r="A209" s="1416"/>
      <c r="B209" s="1419"/>
      <c r="C209" s="1311"/>
      <c r="D209" s="922" t="s">
        <v>296</v>
      </c>
      <c r="E209" s="919"/>
      <c r="F209" s="906"/>
      <c r="G209" s="906"/>
      <c r="H209" s="306">
        <v>1589098.712446352</v>
      </c>
      <c r="I209" s="306">
        <v>1589098.7124463499</v>
      </c>
      <c r="J209" s="919">
        <v>3539961</v>
      </c>
      <c r="K209" s="906"/>
      <c r="L209" s="932"/>
      <c r="M209" s="919">
        <v>1589098.7124463499</v>
      </c>
      <c r="N209" s="919">
        <v>3539961</v>
      </c>
      <c r="O209" s="1311"/>
      <c r="P209" s="1311"/>
      <c r="Q209" s="1311"/>
      <c r="R209" s="1311"/>
      <c r="S209" s="1311"/>
      <c r="T209" s="1311"/>
      <c r="U209" s="1311"/>
      <c r="V209" s="1311"/>
      <c r="W209" s="1311"/>
      <c r="X209" s="1311"/>
      <c r="Y209" s="1311"/>
      <c r="Z209" s="1394"/>
      <c r="AA209" s="8"/>
      <c r="AB209" s="8"/>
      <c r="AC209" s="184"/>
      <c r="AD209" s="184"/>
      <c r="AE209" s="184"/>
      <c r="AF209" s="184"/>
      <c r="AG209" s="184"/>
      <c r="AH209" s="184"/>
      <c r="AI209" s="184"/>
      <c r="AJ209" s="184"/>
      <c r="AK209" s="184"/>
      <c r="AL209" s="185"/>
      <c r="AM209" s="185"/>
      <c r="AN209" s="185"/>
      <c r="AO209" s="8"/>
      <c r="AP209" s="8"/>
      <c r="AQ209" s="8"/>
      <c r="AR209" s="8"/>
      <c r="AS209" s="8"/>
      <c r="AT209" s="8"/>
      <c r="AU209" s="8"/>
    </row>
    <row r="210" spans="1:47" x14ac:dyDescent="0.25">
      <c r="A210" s="1416"/>
      <c r="B210" s="1419"/>
      <c r="C210" s="1311"/>
      <c r="D210" s="922" t="s">
        <v>299</v>
      </c>
      <c r="E210" s="919"/>
      <c r="F210" s="906"/>
      <c r="G210" s="906"/>
      <c r="H210" s="906"/>
      <c r="I210" s="906"/>
      <c r="J210" s="906"/>
      <c r="K210" s="906"/>
      <c r="L210" s="932"/>
      <c r="M210" s="323"/>
      <c r="N210" s="906"/>
      <c r="O210" s="1311"/>
      <c r="P210" s="1311"/>
      <c r="Q210" s="1311"/>
      <c r="R210" s="1311"/>
      <c r="S210" s="1311"/>
      <c r="T210" s="1311"/>
      <c r="U210" s="1311"/>
      <c r="V210" s="1311"/>
      <c r="W210" s="1311"/>
      <c r="X210" s="1311"/>
      <c r="Y210" s="1311"/>
      <c r="Z210" s="1394"/>
      <c r="AA210" s="8"/>
      <c r="AB210" s="8"/>
      <c r="AC210" s="184"/>
      <c r="AD210" s="184"/>
      <c r="AE210" s="184"/>
      <c r="AF210" s="184"/>
      <c r="AG210" s="184"/>
      <c r="AH210" s="184"/>
      <c r="AI210" s="184"/>
      <c r="AJ210" s="184"/>
      <c r="AK210" s="184"/>
      <c r="AL210" s="185"/>
      <c r="AM210" s="185"/>
      <c r="AN210" s="185"/>
      <c r="AO210" s="8"/>
      <c r="AP210" s="8"/>
      <c r="AQ210" s="8"/>
      <c r="AR210" s="8"/>
      <c r="AS210" s="8"/>
      <c r="AT210" s="8"/>
      <c r="AU210" s="8"/>
    </row>
    <row r="211" spans="1:47" x14ac:dyDescent="0.25">
      <c r="A211" s="1416"/>
      <c r="B211" s="1419"/>
      <c r="C211" s="1311"/>
      <c r="D211" s="1396" t="s">
        <v>302</v>
      </c>
      <c r="E211" s="919"/>
      <c r="F211" s="906"/>
      <c r="G211" s="906"/>
      <c r="H211" s="906"/>
      <c r="I211" s="906"/>
      <c r="J211" s="906"/>
      <c r="K211" s="906"/>
      <c r="L211" s="932"/>
      <c r="M211" s="906"/>
      <c r="N211" s="906"/>
      <c r="O211" s="1311"/>
      <c r="P211" s="1311"/>
      <c r="Q211" s="1311"/>
      <c r="R211" s="1311"/>
      <c r="S211" s="1311"/>
      <c r="T211" s="1311"/>
      <c r="U211" s="1311"/>
      <c r="V211" s="1311"/>
      <c r="W211" s="1311"/>
      <c r="X211" s="1311"/>
      <c r="Y211" s="1311"/>
      <c r="Z211" s="1394"/>
      <c r="AA211" s="8"/>
      <c r="AB211" s="8"/>
      <c r="AC211" s="184"/>
      <c r="AD211" s="184"/>
      <c r="AE211" s="184"/>
      <c r="AF211" s="184"/>
      <c r="AG211" s="184"/>
      <c r="AH211" s="184"/>
      <c r="AI211" s="184"/>
      <c r="AJ211" s="184"/>
      <c r="AK211" s="184"/>
      <c r="AL211" s="185"/>
      <c r="AM211" s="185"/>
      <c r="AN211" s="185"/>
      <c r="AO211" s="8"/>
      <c r="AP211" s="8"/>
      <c r="AQ211" s="8"/>
      <c r="AR211" s="8"/>
      <c r="AS211" s="8"/>
      <c r="AT211" s="8"/>
      <c r="AU211" s="8"/>
    </row>
    <row r="212" spans="1:47" x14ac:dyDescent="0.25">
      <c r="A212" s="1416"/>
      <c r="B212" s="1419"/>
      <c r="C212" s="1311"/>
      <c r="D212" s="1311"/>
      <c r="E212" s="919"/>
      <c r="F212" s="906"/>
      <c r="G212" s="906"/>
      <c r="H212" s="906"/>
      <c r="I212" s="906"/>
      <c r="J212" s="906"/>
      <c r="K212" s="906"/>
      <c r="L212" s="932"/>
      <c r="M212" s="906"/>
      <c r="N212" s="906"/>
      <c r="O212" s="1311"/>
      <c r="P212" s="1311"/>
      <c r="Q212" s="1311"/>
      <c r="R212" s="1311"/>
      <c r="S212" s="1311"/>
      <c r="T212" s="1311"/>
      <c r="U212" s="1311"/>
      <c r="V212" s="1311"/>
      <c r="W212" s="1311"/>
      <c r="X212" s="1311"/>
      <c r="Y212" s="1311"/>
      <c r="Z212" s="1394"/>
      <c r="AA212" s="8"/>
      <c r="AB212" s="8"/>
      <c r="AC212" s="184"/>
      <c r="AD212" s="184"/>
      <c r="AE212" s="184"/>
      <c r="AF212" s="184"/>
      <c r="AG212" s="184"/>
      <c r="AH212" s="184"/>
      <c r="AI212" s="184"/>
      <c r="AJ212" s="184"/>
      <c r="AK212" s="184"/>
      <c r="AL212" s="185"/>
      <c r="AM212" s="185"/>
      <c r="AN212" s="185"/>
      <c r="AO212" s="8"/>
      <c r="AP212" s="8"/>
      <c r="AQ212" s="8"/>
      <c r="AR212" s="8"/>
      <c r="AS212" s="8"/>
      <c r="AT212" s="8"/>
      <c r="AU212" s="8"/>
    </row>
    <row r="213" spans="1:47" x14ac:dyDescent="0.25">
      <c r="A213" s="1416"/>
      <c r="B213" s="1419"/>
      <c r="C213" s="1311"/>
      <c r="D213" s="1311"/>
      <c r="E213" s="919"/>
      <c r="F213" s="906"/>
      <c r="G213" s="906"/>
      <c r="H213" s="906"/>
      <c r="I213" s="906"/>
      <c r="J213" s="906"/>
      <c r="K213" s="906"/>
      <c r="L213" s="932"/>
      <c r="M213" s="906"/>
      <c r="N213" s="906"/>
      <c r="O213" s="1311"/>
      <c r="P213" s="1311"/>
      <c r="Q213" s="1311"/>
      <c r="R213" s="1311"/>
      <c r="S213" s="1311"/>
      <c r="T213" s="1311"/>
      <c r="U213" s="1311"/>
      <c r="V213" s="1311"/>
      <c r="W213" s="1311"/>
      <c r="X213" s="1311"/>
      <c r="Y213" s="1311"/>
      <c r="Z213" s="1394"/>
      <c r="AA213" s="8"/>
      <c r="AB213" s="8"/>
      <c r="AC213" s="184"/>
      <c r="AD213" s="184"/>
      <c r="AE213" s="184"/>
      <c r="AF213" s="184"/>
      <c r="AG213" s="184"/>
      <c r="AH213" s="184"/>
      <c r="AI213" s="184"/>
      <c r="AJ213" s="184"/>
      <c r="AK213" s="184"/>
      <c r="AL213" s="185"/>
      <c r="AM213" s="185"/>
      <c r="AN213" s="185"/>
      <c r="AO213" s="8"/>
      <c r="AP213" s="8"/>
      <c r="AQ213" s="8"/>
      <c r="AR213" s="8"/>
      <c r="AS213" s="8"/>
      <c r="AT213" s="8"/>
      <c r="AU213" s="8"/>
    </row>
    <row r="214" spans="1:47" x14ac:dyDescent="0.25">
      <c r="A214" s="1416"/>
      <c r="B214" s="1419"/>
      <c r="C214" s="1311"/>
      <c r="D214" s="1311"/>
      <c r="E214" s="919"/>
      <c r="F214" s="906"/>
      <c r="G214" s="906"/>
      <c r="H214" s="906"/>
      <c r="I214" s="323">
        <f>I266-H267</f>
        <v>-134457265.97157499</v>
      </c>
      <c r="J214" s="906"/>
      <c r="K214" s="906"/>
      <c r="L214" s="932"/>
      <c r="M214" s="906"/>
      <c r="N214" s="906"/>
      <c r="O214" s="1311"/>
      <c r="P214" s="1311"/>
      <c r="Q214" s="1311"/>
      <c r="R214" s="1311"/>
      <c r="S214" s="1311"/>
      <c r="T214" s="1311"/>
      <c r="U214" s="1311"/>
      <c r="V214" s="1311"/>
      <c r="W214" s="1311"/>
      <c r="X214" s="1311"/>
      <c r="Y214" s="1311"/>
      <c r="Z214" s="1394"/>
      <c r="AA214" s="8"/>
      <c r="AB214" s="8"/>
      <c r="AC214" s="184"/>
      <c r="AD214" s="184"/>
      <c r="AE214" s="184"/>
      <c r="AF214" s="184"/>
      <c r="AG214" s="184"/>
      <c r="AH214" s="184"/>
      <c r="AI214" s="184"/>
      <c r="AJ214" s="184"/>
      <c r="AK214" s="184"/>
      <c r="AL214" s="185"/>
      <c r="AM214" s="185"/>
      <c r="AN214" s="185"/>
      <c r="AO214" s="8"/>
      <c r="AP214" s="8"/>
      <c r="AQ214" s="8"/>
      <c r="AR214" s="8"/>
      <c r="AS214" s="8"/>
      <c r="AT214" s="8"/>
      <c r="AU214" s="8"/>
    </row>
    <row r="215" spans="1:47" ht="10.5" customHeight="1" x14ac:dyDescent="0.25">
      <c r="A215" s="1416"/>
      <c r="B215" s="1419"/>
      <c r="C215" s="1318" t="s">
        <v>297</v>
      </c>
      <c r="D215" s="290" t="s">
        <v>288</v>
      </c>
      <c r="E215" s="919">
        <v>8</v>
      </c>
      <c r="F215" s="919"/>
      <c r="G215" s="919"/>
      <c r="H215" s="919">
        <v>280</v>
      </c>
      <c r="I215" s="919">
        <v>280</v>
      </c>
      <c r="J215" s="919">
        <v>518</v>
      </c>
      <c r="K215" s="919"/>
      <c r="L215" s="919">
        <v>8</v>
      </c>
      <c r="M215" s="919">
        <v>280</v>
      </c>
      <c r="N215" s="919">
        <v>518</v>
      </c>
      <c r="O215" s="1318" t="s">
        <v>297</v>
      </c>
      <c r="P215" s="1318" t="s">
        <v>448</v>
      </c>
      <c r="Q215" s="1310" t="s">
        <v>447</v>
      </c>
      <c r="R215" s="1318" t="s">
        <v>446</v>
      </c>
      <c r="S215" s="1310" t="s">
        <v>290</v>
      </c>
      <c r="T215" s="1317">
        <v>66663</v>
      </c>
      <c r="U215" s="1317">
        <v>73810</v>
      </c>
      <c r="V215" s="1310"/>
      <c r="W215" s="1310" t="s">
        <v>291</v>
      </c>
      <c r="X215" s="1310" t="s">
        <v>292</v>
      </c>
      <c r="Y215" s="1310" t="s">
        <v>293</v>
      </c>
      <c r="Z215" s="1413">
        <f>SUM(U215+T215)</f>
        <v>140473</v>
      </c>
      <c r="AA215" s="8"/>
      <c r="AB215" s="8"/>
      <c r="AC215" s="184">
        <v>12</v>
      </c>
      <c r="AD215" s="184" t="s">
        <v>294</v>
      </c>
      <c r="AE215" s="184"/>
      <c r="AF215" s="184"/>
      <c r="AG215" s="184"/>
      <c r="AH215" s="184" t="s">
        <v>295</v>
      </c>
      <c r="AI215" s="184"/>
      <c r="AJ215" s="184"/>
      <c r="AK215" s="184"/>
      <c r="AL215" s="185"/>
      <c r="AM215" s="185"/>
      <c r="AN215" s="185"/>
      <c r="AO215" s="8"/>
      <c r="AP215" s="8"/>
      <c r="AQ215" s="8"/>
      <c r="AR215" s="8"/>
      <c r="AS215" s="8"/>
      <c r="AT215" s="8"/>
      <c r="AU215" s="8"/>
    </row>
    <row r="216" spans="1:47" ht="10.5" customHeight="1" x14ac:dyDescent="0.25">
      <c r="A216" s="1416"/>
      <c r="B216" s="1419"/>
      <c r="C216" s="1311"/>
      <c r="D216" s="922" t="s">
        <v>296</v>
      </c>
      <c r="E216" s="919">
        <v>336753.06957708002</v>
      </c>
      <c r="F216" s="289"/>
      <c r="G216" s="289"/>
      <c r="H216" s="306">
        <v>11635064</v>
      </c>
      <c r="I216" s="306">
        <v>4362231.75965665</v>
      </c>
      <c r="J216" s="919">
        <v>17977449</v>
      </c>
      <c r="K216" s="325"/>
      <c r="L216" s="289">
        <v>336753.06957708002</v>
      </c>
      <c r="M216" s="919">
        <v>4362231.75965665</v>
      </c>
      <c r="N216" s="919">
        <v>17977449</v>
      </c>
      <c r="O216" s="1311"/>
      <c r="P216" s="1311"/>
      <c r="Q216" s="1311"/>
      <c r="R216" s="1311"/>
      <c r="S216" s="1311"/>
      <c r="T216" s="1311"/>
      <c r="U216" s="1311"/>
      <c r="V216" s="1311"/>
      <c r="W216" s="1311"/>
      <c r="X216" s="1311"/>
      <c r="Y216" s="1311"/>
      <c r="Z216" s="1394"/>
      <c r="AA216" s="8"/>
      <c r="AB216" s="8"/>
      <c r="AC216" s="184">
        <v>13</v>
      </c>
      <c r="AD216" s="184" t="s">
        <v>297</v>
      </c>
      <c r="AE216" s="184"/>
      <c r="AF216" s="184"/>
      <c r="AG216" s="184"/>
      <c r="AH216" s="184" t="s">
        <v>298</v>
      </c>
      <c r="AI216" s="184"/>
      <c r="AJ216" s="184"/>
      <c r="AK216" s="184"/>
      <c r="AL216" s="185"/>
      <c r="AM216" s="185"/>
      <c r="AN216" s="185"/>
      <c r="AO216" s="8"/>
      <c r="AP216" s="8"/>
      <c r="AQ216" s="8"/>
      <c r="AR216" s="8"/>
      <c r="AS216" s="8"/>
      <c r="AT216" s="8"/>
      <c r="AU216" s="8"/>
    </row>
    <row r="217" spans="1:47" ht="10.5" customHeight="1" x14ac:dyDescent="0.25">
      <c r="A217" s="1416"/>
      <c r="B217" s="1419"/>
      <c r="C217" s="1311"/>
      <c r="D217" s="922" t="s">
        <v>299</v>
      </c>
      <c r="E217" s="919">
        <v>0</v>
      </c>
      <c r="F217" s="919"/>
      <c r="G217" s="919"/>
      <c r="H217" s="919"/>
      <c r="I217" s="919"/>
      <c r="J217" s="919"/>
      <c r="K217" s="919"/>
      <c r="L217" s="919"/>
      <c r="M217" s="919"/>
      <c r="N217" s="919"/>
      <c r="O217" s="1311"/>
      <c r="P217" s="1311"/>
      <c r="Q217" s="1311"/>
      <c r="R217" s="1311"/>
      <c r="S217" s="1311"/>
      <c r="T217" s="1311"/>
      <c r="U217" s="1311"/>
      <c r="V217" s="1311"/>
      <c r="W217" s="1311"/>
      <c r="X217" s="1311"/>
      <c r="Y217" s="1311"/>
      <c r="Z217" s="1394"/>
      <c r="AA217" s="8"/>
      <c r="AB217" s="8"/>
      <c r="AC217" s="184">
        <v>14</v>
      </c>
      <c r="AD217" s="184" t="s">
        <v>300</v>
      </c>
      <c r="AE217" s="184"/>
      <c r="AF217" s="184"/>
      <c r="AG217" s="184"/>
      <c r="AH217" s="184" t="s">
        <v>301</v>
      </c>
      <c r="AI217" s="184"/>
      <c r="AJ217" s="184"/>
      <c r="AK217" s="184"/>
      <c r="AL217" s="185"/>
      <c r="AM217" s="185"/>
      <c r="AN217" s="185"/>
      <c r="AO217" s="8"/>
      <c r="AP217" s="8"/>
      <c r="AQ217" s="8"/>
      <c r="AR217" s="8"/>
      <c r="AS217" s="8"/>
      <c r="AT217" s="8"/>
      <c r="AU217" s="8"/>
    </row>
    <row r="218" spans="1:47" ht="10.5" customHeight="1" x14ac:dyDescent="0.25">
      <c r="A218" s="1416"/>
      <c r="B218" s="1419"/>
      <c r="C218" s="1311"/>
      <c r="D218" s="1396" t="s">
        <v>302</v>
      </c>
      <c r="E218" s="1317"/>
      <c r="F218" s="1317"/>
      <c r="G218" s="1317"/>
      <c r="H218" s="1317"/>
      <c r="I218" s="919"/>
      <c r="J218" s="1317"/>
      <c r="K218" s="1317"/>
      <c r="L218" s="1421"/>
      <c r="M218" s="1421"/>
      <c r="N218" s="1421"/>
      <c r="O218" s="1311"/>
      <c r="P218" s="1311"/>
      <c r="Q218" s="1311"/>
      <c r="R218" s="1311"/>
      <c r="S218" s="1311"/>
      <c r="T218" s="1311"/>
      <c r="U218" s="1311"/>
      <c r="V218" s="1311"/>
      <c r="W218" s="1311"/>
      <c r="X218" s="1311"/>
      <c r="Y218" s="1311"/>
      <c r="Z218" s="1394"/>
      <c r="AA218" s="8"/>
      <c r="AB218" s="8"/>
      <c r="AC218" s="184"/>
      <c r="AD218" s="184"/>
      <c r="AE218" s="184"/>
      <c r="AF218" s="184"/>
      <c r="AG218" s="184"/>
      <c r="AH218" s="184"/>
      <c r="AI218" s="184"/>
      <c r="AJ218" s="184"/>
      <c r="AK218" s="184"/>
      <c r="AL218" s="185"/>
      <c r="AM218" s="185"/>
      <c r="AN218" s="185"/>
      <c r="AO218" s="8"/>
      <c r="AP218" s="8"/>
      <c r="AQ218" s="8"/>
      <c r="AR218" s="8"/>
      <c r="AS218" s="8"/>
      <c r="AT218" s="8"/>
      <c r="AU218" s="8"/>
    </row>
    <row r="219" spans="1:47" ht="11.25" customHeight="1" x14ac:dyDescent="0.25">
      <c r="A219" s="1416"/>
      <c r="B219" s="1419"/>
      <c r="C219" s="1311"/>
      <c r="D219" s="1311"/>
      <c r="E219" s="1317"/>
      <c r="F219" s="1311"/>
      <c r="G219" s="1311"/>
      <c r="H219" s="1311"/>
      <c r="I219" s="906"/>
      <c r="J219" s="1311"/>
      <c r="K219" s="1311"/>
      <c r="L219" s="1421"/>
      <c r="M219" s="1311"/>
      <c r="N219" s="1311"/>
      <c r="O219" s="1311"/>
      <c r="P219" s="1311"/>
      <c r="Q219" s="1311"/>
      <c r="R219" s="1311"/>
      <c r="S219" s="1311"/>
      <c r="T219" s="1311"/>
      <c r="U219" s="1311"/>
      <c r="V219" s="1311"/>
      <c r="W219" s="1311"/>
      <c r="X219" s="1311"/>
      <c r="Y219" s="1311"/>
      <c r="Z219" s="1394"/>
      <c r="AA219" s="8"/>
      <c r="AB219" s="8"/>
      <c r="AC219" s="184"/>
      <c r="AD219" s="184"/>
      <c r="AE219" s="184"/>
      <c r="AF219" s="184"/>
      <c r="AG219" s="184"/>
      <c r="AH219" s="184"/>
      <c r="AI219" s="184"/>
      <c r="AJ219" s="184"/>
      <c r="AK219" s="184"/>
      <c r="AL219" s="185"/>
      <c r="AM219" s="185"/>
      <c r="AN219" s="185"/>
      <c r="AO219" s="8"/>
      <c r="AP219" s="8"/>
      <c r="AQ219" s="8"/>
      <c r="AR219" s="8"/>
      <c r="AS219" s="8"/>
      <c r="AT219" s="8"/>
      <c r="AU219" s="8"/>
    </row>
    <row r="220" spans="1:47" ht="8.25" customHeight="1" x14ac:dyDescent="0.25">
      <c r="A220" s="1416"/>
      <c r="B220" s="1419"/>
      <c r="C220" s="1311"/>
      <c r="D220" s="1311"/>
      <c r="E220" s="1317"/>
      <c r="F220" s="1311"/>
      <c r="G220" s="1311"/>
      <c r="H220" s="1311"/>
      <c r="I220" s="906"/>
      <c r="J220" s="1311"/>
      <c r="K220" s="1311"/>
      <c r="L220" s="1421"/>
      <c r="M220" s="1311"/>
      <c r="N220" s="1311"/>
      <c r="O220" s="1311"/>
      <c r="P220" s="1311"/>
      <c r="Q220" s="1311"/>
      <c r="R220" s="1311"/>
      <c r="S220" s="1311"/>
      <c r="T220" s="1311"/>
      <c r="U220" s="1311"/>
      <c r="V220" s="1311"/>
      <c r="W220" s="1311"/>
      <c r="X220" s="1311"/>
      <c r="Y220" s="1311"/>
      <c r="Z220" s="1394"/>
      <c r="AA220" s="8"/>
      <c r="AB220" s="8"/>
      <c r="AC220" s="184"/>
      <c r="AD220" s="184"/>
      <c r="AE220" s="184"/>
      <c r="AF220" s="184"/>
      <c r="AG220" s="184"/>
      <c r="AH220" s="184"/>
      <c r="AI220" s="184"/>
      <c r="AJ220" s="184"/>
      <c r="AK220" s="184"/>
      <c r="AL220" s="185"/>
      <c r="AM220" s="185"/>
      <c r="AN220" s="185"/>
      <c r="AO220" s="8"/>
      <c r="AP220" s="8"/>
      <c r="AQ220" s="8"/>
      <c r="AR220" s="8"/>
      <c r="AS220" s="8"/>
      <c r="AT220" s="8"/>
      <c r="AU220" s="8"/>
    </row>
    <row r="221" spans="1:47" ht="6" customHeight="1" x14ac:dyDescent="0.25">
      <c r="A221" s="1416"/>
      <c r="B221" s="1419"/>
      <c r="C221" s="1311"/>
      <c r="D221" s="1311"/>
      <c r="E221" s="1317"/>
      <c r="F221" s="1311"/>
      <c r="G221" s="1311"/>
      <c r="H221" s="1311"/>
      <c r="I221" s="906"/>
      <c r="J221" s="1311"/>
      <c r="K221" s="1311"/>
      <c r="L221" s="1421"/>
      <c r="M221" s="1311"/>
      <c r="N221" s="1311"/>
      <c r="O221" s="1311"/>
      <c r="P221" s="1311"/>
      <c r="Q221" s="1311"/>
      <c r="R221" s="1311"/>
      <c r="S221" s="1311"/>
      <c r="T221" s="1311"/>
      <c r="U221" s="1311"/>
      <c r="V221" s="1311"/>
      <c r="W221" s="1311"/>
      <c r="X221" s="1311"/>
      <c r="Y221" s="1311"/>
      <c r="Z221" s="1394"/>
      <c r="AA221" s="8"/>
      <c r="AB221" s="8"/>
      <c r="AC221" s="184"/>
      <c r="AD221" s="184"/>
      <c r="AE221" s="184"/>
      <c r="AF221" s="184"/>
      <c r="AG221" s="184"/>
      <c r="AH221" s="184"/>
      <c r="AI221" s="184"/>
      <c r="AJ221" s="184"/>
      <c r="AK221" s="184"/>
      <c r="AL221" s="185"/>
      <c r="AM221" s="185"/>
      <c r="AN221" s="185"/>
      <c r="AO221" s="8"/>
      <c r="AP221" s="8"/>
      <c r="AQ221" s="8"/>
      <c r="AR221" s="8"/>
      <c r="AS221" s="8"/>
      <c r="AT221" s="8"/>
      <c r="AU221" s="8"/>
    </row>
    <row r="222" spans="1:47" ht="10.5" hidden="1" customHeight="1" x14ac:dyDescent="0.25">
      <c r="A222" s="1416"/>
      <c r="B222" s="1419"/>
      <c r="C222" s="1318" t="s">
        <v>340</v>
      </c>
      <c r="D222" s="290" t="s">
        <v>288</v>
      </c>
      <c r="E222" s="919"/>
      <c r="F222" s="919"/>
      <c r="G222" s="919"/>
      <c r="H222" s="919"/>
      <c r="I222" s="919"/>
      <c r="J222" s="919"/>
      <c r="K222" s="919"/>
      <c r="L222" s="919"/>
      <c r="M222" s="919"/>
      <c r="N222" s="919"/>
      <c r="O222" s="1317" t="s">
        <v>297</v>
      </c>
      <c r="P222" s="1318" t="s">
        <v>341</v>
      </c>
      <c r="Q222" s="1310" t="s">
        <v>342</v>
      </c>
      <c r="R222" s="1318" t="s">
        <v>328</v>
      </c>
      <c r="S222" s="1310" t="s">
        <v>290</v>
      </c>
      <c r="T222" s="1310">
        <v>66622</v>
      </c>
      <c r="U222" s="1310">
        <v>74145</v>
      </c>
      <c r="V222" s="1310"/>
      <c r="W222" s="1310" t="s">
        <v>291</v>
      </c>
      <c r="X222" s="1310" t="s">
        <v>292</v>
      </c>
      <c r="Y222" s="1310" t="s">
        <v>293</v>
      </c>
      <c r="Z222" s="1315">
        <f>T222+U222</f>
        <v>140767</v>
      </c>
      <c r="AA222" s="8"/>
      <c r="AB222" s="8"/>
      <c r="AC222" s="184">
        <v>12</v>
      </c>
      <c r="AD222" s="184" t="s">
        <v>294</v>
      </c>
      <c r="AE222" s="184"/>
      <c r="AF222" s="184"/>
      <c r="AG222" s="184"/>
      <c r="AH222" s="184" t="s">
        <v>295</v>
      </c>
      <c r="AI222" s="184"/>
      <c r="AJ222" s="184"/>
      <c r="AK222" s="184"/>
      <c r="AL222" s="185"/>
      <c r="AM222" s="185"/>
      <c r="AN222" s="185"/>
      <c r="AO222" s="8"/>
      <c r="AP222" s="8"/>
      <c r="AQ222" s="8"/>
      <c r="AR222" s="8"/>
      <c r="AS222" s="8"/>
      <c r="AT222" s="8"/>
      <c r="AU222" s="8"/>
    </row>
    <row r="223" spans="1:47" ht="10.5" hidden="1" customHeight="1" x14ac:dyDescent="0.25">
      <c r="A223" s="1416"/>
      <c r="B223" s="1419"/>
      <c r="C223" s="1311"/>
      <c r="D223" s="922" t="s">
        <v>296</v>
      </c>
      <c r="E223" s="919"/>
      <c r="F223" s="289"/>
      <c r="G223" s="289"/>
      <c r="H223" s="289"/>
      <c r="I223" s="289"/>
      <c r="J223" s="289"/>
      <c r="K223" s="919"/>
      <c r="L223" s="289"/>
      <c r="M223" s="919"/>
      <c r="N223" s="919"/>
      <c r="O223" s="1311"/>
      <c r="P223" s="1311"/>
      <c r="Q223" s="1311"/>
      <c r="R223" s="1311"/>
      <c r="S223" s="1311"/>
      <c r="T223" s="1311"/>
      <c r="U223" s="1311"/>
      <c r="V223" s="1311"/>
      <c r="W223" s="1311"/>
      <c r="X223" s="1311"/>
      <c r="Y223" s="1311"/>
      <c r="Z223" s="1394"/>
      <c r="AA223" s="8"/>
      <c r="AB223" s="8"/>
      <c r="AC223" s="184">
        <v>13</v>
      </c>
      <c r="AD223" s="184" t="s">
        <v>297</v>
      </c>
      <c r="AE223" s="184"/>
      <c r="AF223" s="184"/>
      <c r="AG223" s="184"/>
      <c r="AH223" s="184" t="s">
        <v>298</v>
      </c>
      <c r="AI223" s="184"/>
      <c r="AJ223" s="184"/>
      <c r="AK223" s="184"/>
      <c r="AL223" s="185"/>
      <c r="AM223" s="185"/>
      <c r="AN223" s="185"/>
      <c r="AO223" s="8"/>
      <c r="AP223" s="8"/>
      <c r="AQ223" s="8"/>
      <c r="AR223" s="8"/>
      <c r="AS223" s="8"/>
      <c r="AT223" s="8"/>
      <c r="AU223" s="8"/>
    </row>
    <row r="224" spans="1:47" ht="10.5" hidden="1" customHeight="1" x14ac:dyDescent="0.25">
      <c r="A224" s="1416"/>
      <c r="B224" s="1419"/>
      <c r="C224" s="1311"/>
      <c r="D224" s="922" t="s">
        <v>299</v>
      </c>
      <c r="E224" s="919"/>
      <c r="F224" s="919"/>
      <c r="G224" s="919"/>
      <c r="H224" s="919"/>
      <c r="I224" s="919"/>
      <c r="J224" s="919"/>
      <c r="K224" s="919"/>
      <c r="L224" s="919"/>
      <c r="M224" s="919"/>
      <c r="N224" s="919"/>
      <c r="O224" s="1311"/>
      <c r="P224" s="1311"/>
      <c r="Q224" s="1311"/>
      <c r="R224" s="1311"/>
      <c r="S224" s="1311"/>
      <c r="T224" s="1311"/>
      <c r="U224" s="1311"/>
      <c r="V224" s="1311"/>
      <c r="W224" s="1311"/>
      <c r="X224" s="1311"/>
      <c r="Y224" s="1311"/>
      <c r="Z224" s="1394"/>
      <c r="AA224" s="8"/>
      <c r="AB224" s="8"/>
      <c r="AC224" s="184">
        <v>14</v>
      </c>
      <c r="AD224" s="184" t="s">
        <v>300</v>
      </c>
      <c r="AE224" s="184"/>
      <c r="AF224" s="184"/>
      <c r="AG224" s="184"/>
      <c r="AH224" s="184" t="s">
        <v>301</v>
      </c>
      <c r="AI224" s="184"/>
      <c r="AJ224" s="184"/>
      <c r="AK224" s="184"/>
      <c r="AL224" s="185"/>
      <c r="AM224" s="185"/>
      <c r="AN224" s="185"/>
      <c r="AO224" s="8"/>
      <c r="AP224" s="8"/>
      <c r="AQ224" s="8"/>
      <c r="AR224" s="8"/>
      <c r="AS224" s="8"/>
      <c r="AT224" s="8"/>
      <c r="AU224" s="8"/>
    </row>
    <row r="225" spans="1:47" ht="10.5" hidden="1" customHeight="1" x14ac:dyDescent="0.25">
      <c r="A225" s="1416"/>
      <c r="B225" s="1419"/>
      <c r="C225" s="1311"/>
      <c r="D225" s="1396" t="s">
        <v>302</v>
      </c>
      <c r="E225" s="1317"/>
      <c r="F225" s="919"/>
      <c r="G225" s="919"/>
      <c r="H225" s="919"/>
      <c r="I225" s="919"/>
      <c r="J225" s="919"/>
      <c r="K225" s="1317"/>
      <c r="L225" s="932"/>
      <c r="M225" s="1421"/>
      <c r="N225" s="1421"/>
      <c r="O225" s="1311"/>
      <c r="P225" s="1311"/>
      <c r="Q225" s="1311"/>
      <c r="R225" s="1311"/>
      <c r="S225" s="1311"/>
      <c r="T225" s="1311"/>
      <c r="U225" s="1311"/>
      <c r="V225" s="1311"/>
      <c r="W225" s="1311"/>
      <c r="X225" s="1311"/>
      <c r="Y225" s="1311"/>
      <c r="Z225" s="1394"/>
      <c r="AA225" s="8"/>
      <c r="AB225" s="8"/>
      <c r="AC225" s="184"/>
      <c r="AD225" s="184"/>
      <c r="AE225" s="184"/>
      <c r="AF225" s="184"/>
      <c r="AG225" s="184"/>
      <c r="AH225" s="184"/>
      <c r="AI225" s="184"/>
      <c r="AJ225" s="184"/>
      <c r="AK225" s="184"/>
      <c r="AL225" s="185"/>
      <c r="AM225" s="185"/>
      <c r="AN225" s="185"/>
      <c r="AO225" s="8"/>
      <c r="AP225" s="8"/>
      <c r="AQ225" s="8"/>
      <c r="AR225" s="8"/>
      <c r="AS225" s="8"/>
      <c r="AT225" s="8"/>
      <c r="AU225" s="8"/>
    </row>
    <row r="226" spans="1:47" ht="11.25" hidden="1" customHeight="1" x14ac:dyDescent="0.25">
      <c r="A226" s="1416"/>
      <c r="B226" s="1419"/>
      <c r="C226" s="1311"/>
      <c r="D226" s="1311"/>
      <c r="E226" s="1317"/>
      <c r="F226" s="919"/>
      <c r="G226" s="919"/>
      <c r="H226" s="919"/>
      <c r="I226" s="919"/>
      <c r="J226" s="919"/>
      <c r="K226" s="1311"/>
      <c r="L226" s="906"/>
      <c r="M226" s="1311"/>
      <c r="N226" s="1311"/>
      <c r="O226" s="1311"/>
      <c r="P226" s="1311"/>
      <c r="Q226" s="1311"/>
      <c r="R226" s="1311"/>
      <c r="S226" s="1311"/>
      <c r="T226" s="1311"/>
      <c r="U226" s="1311"/>
      <c r="V226" s="1311"/>
      <c r="W226" s="1311"/>
      <c r="X226" s="1311"/>
      <c r="Y226" s="1311"/>
      <c r="Z226" s="1394"/>
      <c r="AA226" s="8"/>
      <c r="AB226" s="8"/>
      <c r="AC226" s="184"/>
      <c r="AD226" s="184"/>
      <c r="AE226" s="184"/>
      <c r="AF226" s="184"/>
      <c r="AG226" s="184"/>
      <c r="AH226" s="184"/>
      <c r="AI226" s="184"/>
      <c r="AJ226" s="184"/>
      <c r="AK226" s="184"/>
      <c r="AL226" s="185"/>
      <c r="AM226" s="185"/>
      <c r="AN226" s="185"/>
      <c r="AO226" s="8"/>
      <c r="AP226" s="8"/>
      <c r="AQ226" s="8"/>
      <c r="AR226" s="8"/>
      <c r="AS226" s="8"/>
      <c r="AT226" s="8"/>
      <c r="AU226" s="8"/>
    </row>
    <row r="227" spans="1:47" ht="8.25" hidden="1" customHeight="1" x14ac:dyDescent="0.25">
      <c r="A227" s="1416"/>
      <c r="B227" s="1419"/>
      <c r="C227" s="1311"/>
      <c r="D227" s="1311"/>
      <c r="E227" s="1317"/>
      <c r="F227" s="919"/>
      <c r="G227" s="919"/>
      <c r="H227" s="919"/>
      <c r="I227" s="919"/>
      <c r="J227" s="919"/>
      <c r="K227" s="1311"/>
      <c r="L227" s="906"/>
      <c r="M227" s="1311"/>
      <c r="N227" s="1311"/>
      <c r="O227" s="1311"/>
      <c r="P227" s="1311"/>
      <c r="Q227" s="1311"/>
      <c r="R227" s="1311"/>
      <c r="S227" s="1311"/>
      <c r="T227" s="1311"/>
      <c r="U227" s="1311"/>
      <c r="V227" s="1311"/>
      <c r="W227" s="1311"/>
      <c r="X227" s="1311"/>
      <c r="Y227" s="1311"/>
      <c r="Z227" s="1394"/>
      <c r="AA227" s="8"/>
      <c r="AB227" s="8"/>
      <c r="AC227" s="184"/>
      <c r="AD227" s="184"/>
      <c r="AE227" s="184"/>
      <c r="AF227" s="184"/>
      <c r="AG227" s="184"/>
      <c r="AH227" s="184"/>
      <c r="AI227" s="184"/>
      <c r="AJ227" s="184"/>
      <c r="AK227" s="184"/>
      <c r="AL227" s="185"/>
      <c r="AM227" s="185"/>
      <c r="AN227" s="185"/>
      <c r="AO227" s="8"/>
      <c r="AP227" s="8"/>
      <c r="AQ227" s="8"/>
      <c r="AR227" s="8"/>
      <c r="AS227" s="8"/>
      <c r="AT227" s="8"/>
      <c r="AU227" s="8"/>
    </row>
    <row r="228" spans="1:47" ht="6" hidden="1" customHeight="1" x14ac:dyDescent="0.25">
      <c r="A228" s="1416"/>
      <c r="B228" s="1419"/>
      <c r="C228" s="1311"/>
      <c r="D228" s="1311"/>
      <c r="E228" s="1317"/>
      <c r="F228" s="919"/>
      <c r="G228" s="919"/>
      <c r="H228" s="919"/>
      <c r="I228" s="919"/>
      <c r="J228" s="919"/>
      <c r="K228" s="1311"/>
      <c r="L228" s="906"/>
      <c r="M228" s="1311"/>
      <c r="N228" s="1311"/>
      <c r="O228" s="1311"/>
      <c r="P228" s="1311"/>
      <c r="Q228" s="1311"/>
      <c r="R228" s="1311"/>
      <c r="S228" s="1311"/>
      <c r="T228" s="1311"/>
      <c r="U228" s="1311"/>
      <c r="V228" s="1311"/>
      <c r="W228" s="1311"/>
      <c r="X228" s="1311"/>
      <c r="Y228" s="1311"/>
      <c r="Z228" s="1394"/>
      <c r="AA228" s="8"/>
      <c r="AB228" s="8"/>
      <c r="AC228" s="184"/>
      <c r="AD228" s="184"/>
      <c r="AE228" s="184"/>
      <c r="AF228" s="184"/>
      <c r="AG228" s="184"/>
      <c r="AH228" s="184"/>
      <c r="AI228" s="184"/>
      <c r="AJ228" s="184"/>
      <c r="AK228" s="184"/>
      <c r="AL228" s="185"/>
      <c r="AM228" s="185"/>
      <c r="AN228" s="185"/>
      <c r="AO228" s="8"/>
      <c r="AP228" s="8"/>
      <c r="AQ228" s="8"/>
      <c r="AR228" s="8"/>
      <c r="AS228" s="8"/>
      <c r="AT228" s="8"/>
      <c r="AU228" s="8"/>
    </row>
    <row r="229" spans="1:47" ht="10.5" hidden="1" customHeight="1" x14ac:dyDescent="0.25">
      <c r="A229" s="1416"/>
      <c r="B229" s="1419"/>
      <c r="C229" s="1318" t="s">
        <v>340</v>
      </c>
      <c r="D229" s="290" t="s">
        <v>288</v>
      </c>
      <c r="E229" s="919"/>
      <c r="F229" s="919"/>
      <c r="G229" s="919"/>
      <c r="H229" s="919"/>
      <c r="I229" s="919"/>
      <c r="J229" s="919"/>
      <c r="K229" s="919"/>
      <c r="L229" s="919"/>
      <c r="M229" s="919"/>
      <c r="N229" s="919"/>
      <c r="O229" s="1317" t="s">
        <v>306</v>
      </c>
      <c r="P229" s="1318" t="s">
        <v>343</v>
      </c>
      <c r="Q229" s="1310" t="s">
        <v>344</v>
      </c>
      <c r="R229" s="1318" t="s">
        <v>328</v>
      </c>
      <c r="S229" s="1310" t="s">
        <v>290</v>
      </c>
      <c r="T229" s="1310">
        <v>219459</v>
      </c>
      <c r="U229" s="1310">
        <v>253449</v>
      </c>
      <c r="V229" s="1310"/>
      <c r="W229" s="1310" t="s">
        <v>291</v>
      </c>
      <c r="X229" s="1310" t="s">
        <v>292</v>
      </c>
      <c r="Y229" s="1310" t="s">
        <v>293</v>
      </c>
      <c r="Z229" s="1315">
        <f>T229+U229</f>
        <v>472908</v>
      </c>
      <c r="AA229" s="8"/>
      <c r="AB229" s="8"/>
      <c r="AC229" s="184">
        <v>12</v>
      </c>
      <c r="AD229" s="184" t="s">
        <v>294</v>
      </c>
      <c r="AE229" s="184"/>
      <c r="AF229" s="184"/>
      <c r="AG229" s="184"/>
      <c r="AH229" s="184" t="s">
        <v>295</v>
      </c>
      <c r="AI229" s="184"/>
      <c r="AJ229" s="184"/>
      <c r="AK229" s="184"/>
      <c r="AL229" s="185"/>
      <c r="AM229" s="185"/>
      <c r="AN229" s="185"/>
      <c r="AO229" s="8"/>
      <c r="AP229" s="8"/>
      <c r="AQ229" s="8"/>
      <c r="AR229" s="8"/>
      <c r="AS229" s="8"/>
      <c r="AT229" s="8"/>
      <c r="AU229" s="8"/>
    </row>
    <row r="230" spans="1:47" ht="10.5" hidden="1" customHeight="1" x14ac:dyDescent="0.25">
      <c r="A230" s="1416"/>
      <c r="B230" s="1419"/>
      <c r="C230" s="1311"/>
      <c r="D230" s="922" t="s">
        <v>296</v>
      </c>
      <c r="E230" s="919"/>
      <c r="F230" s="289"/>
      <c r="G230" s="289"/>
      <c r="H230" s="289"/>
      <c r="I230" s="289"/>
      <c r="J230" s="289"/>
      <c r="K230" s="919"/>
      <c r="L230" s="289"/>
      <c r="M230" s="919"/>
      <c r="N230" s="919"/>
      <c r="O230" s="1311"/>
      <c r="P230" s="1311"/>
      <c r="Q230" s="1311"/>
      <c r="R230" s="1311"/>
      <c r="S230" s="1311"/>
      <c r="T230" s="1311"/>
      <c r="U230" s="1311"/>
      <c r="V230" s="1311"/>
      <c r="W230" s="1311"/>
      <c r="X230" s="1311"/>
      <c r="Y230" s="1311"/>
      <c r="Z230" s="1394"/>
      <c r="AA230" s="8"/>
      <c r="AB230" s="8"/>
      <c r="AC230" s="184">
        <v>13</v>
      </c>
      <c r="AD230" s="184" t="s">
        <v>297</v>
      </c>
      <c r="AE230" s="184"/>
      <c r="AF230" s="184"/>
      <c r="AG230" s="184"/>
      <c r="AH230" s="184" t="s">
        <v>298</v>
      </c>
      <c r="AI230" s="184"/>
      <c r="AJ230" s="184"/>
      <c r="AK230" s="184"/>
      <c r="AL230" s="185"/>
      <c r="AM230" s="185"/>
      <c r="AN230" s="185"/>
      <c r="AO230" s="8"/>
      <c r="AP230" s="8"/>
      <c r="AQ230" s="8"/>
      <c r="AR230" s="8"/>
      <c r="AS230" s="8"/>
      <c r="AT230" s="8"/>
      <c r="AU230" s="8"/>
    </row>
    <row r="231" spans="1:47" ht="10.5" hidden="1" customHeight="1" x14ac:dyDescent="0.25">
      <c r="A231" s="1416"/>
      <c r="B231" s="1419"/>
      <c r="C231" s="1311"/>
      <c r="D231" s="922" t="s">
        <v>299</v>
      </c>
      <c r="E231" s="919"/>
      <c r="F231" s="919"/>
      <c r="G231" s="919"/>
      <c r="H231" s="919"/>
      <c r="I231" s="919"/>
      <c r="J231" s="919"/>
      <c r="K231" s="919"/>
      <c r="L231" s="919"/>
      <c r="M231" s="919"/>
      <c r="N231" s="919"/>
      <c r="O231" s="1311"/>
      <c r="P231" s="1311"/>
      <c r="Q231" s="1311"/>
      <c r="R231" s="1311"/>
      <c r="S231" s="1311"/>
      <c r="T231" s="1311"/>
      <c r="U231" s="1311"/>
      <c r="V231" s="1311"/>
      <c r="W231" s="1311"/>
      <c r="X231" s="1311"/>
      <c r="Y231" s="1311"/>
      <c r="Z231" s="1394"/>
      <c r="AA231" s="8"/>
      <c r="AB231" s="8"/>
      <c r="AC231" s="184">
        <v>14</v>
      </c>
      <c r="AD231" s="184" t="s">
        <v>300</v>
      </c>
      <c r="AE231" s="184"/>
      <c r="AF231" s="184"/>
      <c r="AG231" s="184"/>
      <c r="AH231" s="184" t="s">
        <v>301</v>
      </c>
      <c r="AI231" s="184"/>
      <c r="AJ231" s="184"/>
      <c r="AK231" s="184"/>
      <c r="AL231" s="185"/>
      <c r="AM231" s="185"/>
      <c r="AN231" s="185"/>
      <c r="AO231" s="8"/>
      <c r="AP231" s="8"/>
      <c r="AQ231" s="8"/>
      <c r="AR231" s="8"/>
      <c r="AS231" s="8"/>
      <c r="AT231" s="8"/>
      <c r="AU231" s="8"/>
    </row>
    <row r="232" spans="1:47" ht="10.5" hidden="1" customHeight="1" x14ac:dyDescent="0.25">
      <c r="A232" s="1416"/>
      <c r="B232" s="1419"/>
      <c r="C232" s="1311"/>
      <c r="D232" s="1396" t="s">
        <v>302</v>
      </c>
      <c r="E232" s="1317"/>
      <c r="F232" s="919"/>
      <c r="G232" s="919"/>
      <c r="H232" s="919"/>
      <c r="I232" s="919"/>
      <c r="J232" s="919"/>
      <c r="K232" s="1317"/>
      <c r="L232" s="932"/>
      <c r="M232" s="1421"/>
      <c r="N232" s="1421"/>
      <c r="O232" s="1311"/>
      <c r="P232" s="1311"/>
      <c r="Q232" s="1311"/>
      <c r="R232" s="1311"/>
      <c r="S232" s="1311"/>
      <c r="T232" s="1311"/>
      <c r="U232" s="1311"/>
      <c r="V232" s="1311"/>
      <c r="W232" s="1311"/>
      <c r="X232" s="1311"/>
      <c r="Y232" s="1311"/>
      <c r="Z232" s="1394"/>
      <c r="AA232" s="8"/>
      <c r="AB232" s="8"/>
      <c r="AC232" s="184"/>
      <c r="AD232" s="184"/>
      <c r="AE232" s="184"/>
      <c r="AF232" s="184"/>
      <c r="AG232" s="184"/>
      <c r="AH232" s="184"/>
      <c r="AI232" s="184"/>
      <c r="AJ232" s="184"/>
      <c r="AK232" s="184"/>
      <c r="AL232" s="185"/>
      <c r="AM232" s="185"/>
      <c r="AN232" s="185"/>
      <c r="AO232" s="8"/>
      <c r="AP232" s="8"/>
      <c r="AQ232" s="8"/>
      <c r="AR232" s="8"/>
      <c r="AS232" s="8"/>
      <c r="AT232" s="8"/>
      <c r="AU232" s="8"/>
    </row>
    <row r="233" spans="1:47" ht="11.25" hidden="1" customHeight="1" x14ac:dyDescent="0.25">
      <c r="A233" s="1416"/>
      <c r="B233" s="1419"/>
      <c r="C233" s="1311"/>
      <c r="D233" s="1311"/>
      <c r="E233" s="1317"/>
      <c r="F233" s="919"/>
      <c r="G233" s="919"/>
      <c r="H233" s="919"/>
      <c r="I233" s="919"/>
      <c r="J233" s="919"/>
      <c r="K233" s="1311"/>
      <c r="L233" s="906"/>
      <c r="M233" s="1311"/>
      <c r="N233" s="1311"/>
      <c r="O233" s="1311"/>
      <c r="P233" s="1311"/>
      <c r="Q233" s="1311"/>
      <c r="R233" s="1311"/>
      <c r="S233" s="1311"/>
      <c r="T233" s="1311"/>
      <c r="U233" s="1311"/>
      <c r="V233" s="1311"/>
      <c r="W233" s="1311"/>
      <c r="X233" s="1311"/>
      <c r="Y233" s="1311"/>
      <c r="Z233" s="1394"/>
      <c r="AA233" s="8"/>
      <c r="AB233" s="8"/>
      <c r="AC233" s="184"/>
      <c r="AD233" s="184"/>
      <c r="AE233" s="184"/>
      <c r="AF233" s="184"/>
      <c r="AG233" s="184"/>
      <c r="AH233" s="184"/>
      <c r="AI233" s="184"/>
      <c r="AJ233" s="184"/>
      <c r="AK233" s="184"/>
      <c r="AL233" s="185"/>
      <c r="AM233" s="185"/>
      <c r="AN233" s="185"/>
      <c r="AO233" s="8"/>
      <c r="AP233" s="8"/>
      <c r="AQ233" s="8"/>
      <c r="AR233" s="8"/>
      <c r="AS233" s="8"/>
      <c r="AT233" s="8"/>
      <c r="AU233" s="8"/>
    </row>
    <row r="234" spans="1:47" ht="8.25" hidden="1" customHeight="1" x14ac:dyDescent="0.25">
      <c r="A234" s="1416"/>
      <c r="B234" s="1419"/>
      <c r="C234" s="1311"/>
      <c r="D234" s="1311"/>
      <c r="E234" s="1317"/>
      <c r="F234" s="919"/>
      <c r="G234" s="919"/>
      <c r="H234" s="919"/>
      <c r="I234" s="919"/>
      <c r="J234" s="919"/>
      <c r="K234" s="1311"/>
      <c r="L234" s="906"/>
      <c r="M234" s="1311"/>
      <c r="N234" s="1311"/>
      <c r="O234" s="1311"/>
      <c r="P234" s="1311"/>
      <c r="Q234" s="1311"/>
      <c r="R234" s="1311"/>
      <c r="S234" s="1311"/>
      <c r="T234" s="1311"/>
      <c r="U234" s="1311"/>
      <c r="V234" s="1311"/>
      <c r="W234" s="1311"/>
      <c r="X234" s="1311"/>
      <c r="Y234" s="1311"/>
      <c r="Z234" s="1394"/>
      <c r="AA234" s="8"/>
      <c r="AB234" s="8"/>
      <c r="AC234" s="184"/>
      <c r="AD234" s="184"/>
      <c r="AE234" s="184"/>
      <c r="AF234" s="184"/>
      <c r="AG234" s="184"/>
      <c r="AH234" s="184"/>
      <c r="AI234" s="184"/>
      <c r="AJ234" s="184"/>
      <c r="AK234" s="184"/>
      <c r="AL234" s="185"/>
      <c r="AM234" s="185"/>
      <c r="AN234" s="185"/>
      <c r="AO234" s="8"/>
      <c r="AP234" s="8"/>
      <c r="AQ234" s="8"/>
      <c r="AR234" s="8"/>
      <c r="AS234" s="8"/>
      <c r="AT234" s="8"/>
      <c r="AU234" s="8"/>
    </row>
    <row r="235" spans="1:47" ht="6" hidden="1" customHeight="1" x14ac:dyDescent="0.25">
      <c r="A235" s="1416"/>
      <c r="B235" s="1419"/>
      <c r="C235" s="1311"/>
      <c r="D235" s="1311"/>
      <c r="E235" s="1317"/>
      <c r="F235" s="919"/>
      <c r="G235" s="919"/>
      <c r="H235" s="919"/>
      <c r="I235" s="919"/>
      <c r="J235" s="919"/>
      <c r="K235" s="1311"/>
      <c r="L235" s="906"/>
      <c r="M235" s="1311"/>
      <c r="N235" s="1311"/>
      <c r="O235" s="1311"/>
      <c r="P235" s="1311"/>
      <c r="Q235" s="1311"/>
      <c r="R235" s="1311"/>
      <c r="S235" s="1311"/>
      <c r="T235" s="1311"/>
      <c r="U235" s="1311"/>
      <c r="V235" s="1311"/>
      <c r="W235" s="1311"/>
      <c r="X235" s="1311"/>
      <c r="Y235" s="1311"/>
      <c r="Z235" s="1394"/>
      <c r="AA235" s="8"/>
      <c r="AB235" s="8"/>
      <c r="AC235" s="184"/>
      <c r="AD235" s="184"/>
      <c r="AE235" s="184"/>
      <c r="AF235" s="184"/>
      <c r="AG235" s="184"/>
      <c r="AH235" s="184"/>
      <c r="AI235" s="184"/>
      <c r="AJ235" s="184"/>
      <c r="AK235" s="184"/>
      <c r="AL235" s="185"/>
      <c r="AM235" s="185"/>
      <c r="AN235" s="185"/>
      <c r="AO235" s="8"/>
      <c r="AP235" s="8"/>
      <c r="AQ235" s="8"/>
      <c r="AR235" s="8"/>
      <c r="AS235" s="8"/>
      <c r="AT235" s="8"/>
      <c r="AU235" s="8"/>
    </row>
    <row r="236" spans="1:47" ht="10.5" hidden="1" customHeight="1" x14ac:dyDescent="0.25">
      <c r="A236" s="1416"/>
      <c r="B236" s="1419"/>
      <c r="C236" s="1318" t="s">
        <v>340</v>
      </c>
      <c r="D236" s="290" t="s">
        <v>288</v>
      </c>
      <c r="E236" s="919"/>
      <c r="F236" s="919"/>
      <c r="G236" s="919"/>
      <c r="H236" s="919"/>
      <c r="I236" s="919"/>
      <c r="J236" s="919"/>
      <c r="K236" s="919"/>
      <c r="L236" s="919"/>
      <c r="M236" s="919"/>
      <c r="N236" s="919"/>
      <c r="O236" s="1317" t="s">
        <v>309</v>
      </c>
      <c r="P236" s="1318" t="s">
        <v>345</v>
      </c>
      <c r="Q236" s="1310" t="s">
        <v>346</v>
      </c>
      <c r="R236" s="1318" t="s">
        <v>328</v>
      </c>
      <c r="S236" s="1310" t="s">
        <v>290</v>
      </c>
      <c r="T236" s="1310">
        <v>60502</v>
      </c>
      <c r="U236" s="1310">
        <v>66449</v>
      </c>
      <c r="V236" s="1310"/>
      <c r="W236" s="1310" t="s">
        <v>291</v>
      </c>
      <c r="X236" s="1310" t="s">
        <v>292</v>
      </c>
      <c r="Y236" s="1310" t="s">
        <v>293</v>
      </c>
      <c r="Z236" s="1315">
        <f>T236+U236</f>
        <v>126951</v>
      </c>
      <c r="AA236" s="8"/>
      <c r="AB236" s="8"/>
      <c r="AC236" s="184"/>
      <c r="AD236" s="184"/>
      <c r="AE236" s="184"/>
      <c r="AF236" s="184"/>
      <c r="AG236" s="184"/>
      <c r="AH236" s="184"/>
      <c r="AI236" s="184"/>
      <c r="AJ236" s="184"/>
      <c r="AK236" s="184"/>
      <c r="AL236" s="185"/>
      <c r="AM236" s="185"/>
      <c r="AN236" s="185"/>
      <c r="AO236" s="8"/>
      <c r="AP236" s="8"/>
      <c r="AQ236" s="8"/>
      <c r="AR236" s="8"/>
      <c r="AS236" s="8"/>
      <c r="AT236" s="8"/>
      <c r="AU236" s="8"/>
    </row>
    <row r="237" spans="1:47" ht="10.5" hidden="1" customHeight="1" x14ac:dyDescent="0.25">
      <c r="A237" s="1416"/>
      <c r="B237" s="1419"/>
      <c r="C237" s="1311"/>
      <c r="D237" s="922" t="s">
        <v>296</v>
      </c>
      <c r="E237" s="919"/>
      <c r="F237" s="289"/>
      <c r="G237" s="289"/>
      <c r="H237" s="289"/>
      <c r="I237" s="289"/>
      <c r="J237" s="289"/>
      <c r="K237" s="919"/>
      <c r="L237" s="289"/>
      <c r="M237" s="919"/>
      <c r="N237" s="919"/>
      <c r="O237" s="1311"/>
      <c r="P237" s="1311"/>
      <c r="Q237" s="1311"/>
      <c r="R237" s="1311"/>
      <c r="S237" s="1311"/>
      <c r="T237" s="1311"/>
      <c r="U237" s="1311"/>
      <c r="V237" s="1311"/>
      <c r="W237" s="1311"/>
      <c r="X237" s="1311"/>
      <c r="Y237" s="1311"/>
      <c r="Z237" s="1394"/>
      <c r="AA237" s="8"/>
      <c r="AB237" s="8"/>
      <c r="AC237" s="184"/>
      <c r="AD237" s="184"/>
      <c r="AE237" s="184"/>
      <c r="AF237" s="184"/>
      <c r="AG237" s="184"/>
      <c r="AH237" s="184"/>
      <c r="AI237" s="184"/>
      <c r="AJ237" s="184"/>
      <c r="AK237" s="184"/>
      <c r="AL237" s="185"/>
      <c r="AM237" s="185"/>
      <c r="AN237" s="185"/>
      <c r="AO237" s="8"/>
      <c r="AP237" s="8"/>
      <c r="AQ237" s="8"/>
      <c r="AR237" s="8"/>
      <c r="AS237" s="8"/>
      <c r="AT237" s="8"/>
      <c r="AU237" s="8"/>
    </row>
    <row r="238" spans="1:47" ht="10.5" hidden="1" customHeight="1" x14ac:dyDescent="0.25">
      <c r="A238" s="1416"/>
      <c r="B238" s="1419"/>
      <c r="C238" s="1311"/>
      <c r="D238" s="922" t="s">
        <v>299</v>
      </c>
      <c r="E238" s="919"/>
      <c r="F238" s="919"/>
      <c r="G238" s="919"/>
      <c r="H238" s="919"/>
      <c r="I238" s="919"/>
      <c r="J238" s="919"/>
      <c r="K238" s="919"/>
      <c r="L238" s="919"/>
      <c r="M238" s="919"/>
      <c r="N238" s="919"/>
      <c r="O238" s="1311"/>
      <c r="P238" s="1311"/>
      <c r="Q238" s="1311"/>
      <c r="R238" s="1311"/>
      <c r="S238" s="1311"/>
      <c r="T238" s="1311"/>
      <c r="U238" s="1311"/>
      <c r="V238" s="1311"/>
      <c r="W238" s="1311"/>
      <c r="X238" s="1311"/>
      <c r="Y238" s="1311"/>
      <c r="Z238" s="1394"/>
      <c r="AA238" s="8"/>
      <c r="AB238" s="8"/>
      <c r="AC238" s="184"/>
      <c r="AD238" s="184"/>
      <c r="AE238" s="184"/>
      <c r="AF238" s="184"/>
      <c r="AG238" s="184"/>
      <c r="AH238" s="184"/>
      <c r="AI238" s="184"/>
      <c r="AJ238" s="184"/>
      <c r="AK238" s="184"/>
      <c r="AL238" s="185"/>
      <c r="AM238" s="185"/>
      <c r="AN238" s="185"/>
      <c r="AO238" s="8"/>
      <c r="AP238" s="8"/>
      <c r="AQ238" s="8"/>
      <c r="AR238" s="8"/>
      <c r="AS238" s="8"/>
      <c r="AT238" s="8"/>
      <c r="AU238" s="8"/>
    </row>
    <row r="239" spans="1:47" ht="10.5" hidden="1" customHeight="1" x14ac:dyDescent="0.25">
      <c r="A239" s="1416"/>
      <c r="B239" s="1419"/>
      <c r="C239" s="1311"/>
      <c r="D239" s="1396" t="s">
        <v>302</v>
      </c>
      <c r="E239" s="1317"/>
      <c r="F239" s="919"/>
      <c r="G239" s="919"/>
      <c r="H239" s="919"/>
      <c r="I239" s="919"/>
      <c r="J239" s="919"/>
      <c r="K239" s="1317"/>
      <c r="L239" s="932"/>
      <c r="M239" s="1421"/>
      <c r="N239" s="1421"/>
      <c r="O239" s="1311"/>
      <c r="P239" s="1311"/>
      <c r="Q239" s="1311"/>
      <c r="R239" s="1311"/>
      <c r="S239" s="1311"/>
      <c r="T239" s="1311"/>
      <c r="U239" s="1311"/>
      <c r="V239" s="1311"/>
      <c r="W239" s="1311"/>
      <c r="X239" s="1311"/>
      <c r="Y239" s="1311"/>
      <c r="Z239" s="1394"/>
      <c r="AA239" s="8"/>
      <c r="AB239" s="8"/>
      <c r="AC239" s="184"/>
      <c r="AD239" s="184"/>
      <c r="AE239" s="184"/>
      <c r="AF239" s="184"/>
      <c r="AG239" s="184"/>
      <c r="AH239" s="184"/>
      <c r="AI239" s="184"/>
      <c r="AJ239" s="184"/>
      <c r="AK239" s="184"/>
      <c r="AL239" s="185"/>
      <c r="AM239" s="185"/>
      <c r="AN239" s="185"/>
      <c r="AO239" s="8"/>
      <c r="AP239" s="8"/>
      <c r="AQ239" s="8"/>
      <c r="AR239" s="8"/>
      <c r="AS239" s="8"/>
      <c r="AT239" s="8"/>
      <c r="AU239" s="8"/>
    </row>
    <row r="240" spans="1:47" ht="11.25" hidden="1" customHeight="1" x14ac:dyDescent="0.25">
      <c r="A240" s="1416"/>
      <c r="B240" s="1419"/>
      <c r="C240" s="1311"/>
      <c r="D240" s="1311"/>
      <c r="E240" s="1317"/>
      <c r="F240" s="919"/>
      <c r="G240" s="919"/>
      <c r="H240" s="919"/>
      <c r="I240" s="919"/>
      <c r="J240" s="919"/>
      <c r="K240" s="1311"/>
      <c r="L240" s="906"/>
      <c r="M240" s="1311"/>
      <c r="N240" s="1311"/>
      <c r="O240" s="1311"/>
      <c r="P240" s="1311"/>
      <c r="Q240" s="1311"/>
      <c r="R240" s="1311"/>
      <c r="S240" s="1311"/>
      <c r="T240" s="1311"/>
      <c r="U240" s="1311"/>
      <c r="V240" s="1311"/>
      <c r="W240" s="1311"/>
      <c r="X240" s="1311"/>
      <c r="Y240" s="1311"/>
      <c r="Z240" s="1394"/>
      <c r="AA240" s="8"/>
      <c r="AB240" s="8"/>
      <c r="AC240" s="184"/>
      <c r="AD240" s="184"/>
      <c r="AE240" s="184"/>
      <c r="AF240" s="184"/>
      <c r="AG240" s="184"/>
      <c r="AH240" s="184"/>
      <c r="AI240" s="184"/>
      <c r="AJ240" s="184"/>
      <c r="AK240" s="184"/>
      <c r="AL240" s="185"/>
      <c r="AM240" s="185"/>
      <c r="AN240" s="185"/>
      <c r="AO240" s="8"/>
      <c r="AP240" s="8"/>
      <c r="AQ240" s="8"/>
      <c r="AR240" s="8"/>
      <c r="AS240" s="8"/>
      <c r="AT240" s="8"/>
      <c r="AU240" s="8"/>
    </row>
    <row r="241" spans="1:47" ht="8.25" hidden="1" customHeight="1" x14ac:dyDescent="0.25">
      <c r="A241" s="1416"/>
      <c r="B241" s="1419"/>
      <c r="C241" s="1311"/>
      <c r="D241" s="1311"/>
      <c r="E241" s="1317"/>
      <c r="F241" s="919"/>
      <c r="G241" s="919"/>
      <c r="H241" s="919"/>
      <c r="I241" s="919"/>
      <c r="J241" s="919"/>
      <c r="K241" s="1311"/>
      <c r="L241" s="906"/>
      <c r="M241" s="1311"/>
      <c r="N241" s="1311"/>
      <c r="O241" s="1311"/>
      <c r="P241" s="1311"/>
      <c r="Q241" s="1311"/>
      <c r="R241" s="1311"/>
      <c r="S241" s="1311"/>
      <c r="T241" s="1311"/>
      <c r="U241" s="1311"/>
      <c r="V241" s="1311"/>
      <c r="W241" s="1311"/>
      <c r="X241" s="1311"/>
      <c r="Y241" s="1311"/>
      <c r="Z241" s="1394"/>
      <c r="AA241" s="8"/>
      <c r="AB241" s="8"/>
      <c r="AC241" s="184"/>
      <c r="AD241" s="184"/>
      <c r="AE241" s="184"/>
      <c r="AF241" s="184"/>
      <c r="AG241" s="184"/>
      <c r="AH241" s="184"/>
      <c r="AI241" s="184"/>
      <c r="AJ241" s="184"/>
      <c r="AK241" s="184"/>
      <c r="AL241" s="185"/>
      <c r="AM241" s="185"/>
      <c r="AN241" s="185"/>
      <c r="AO241" s="8"/>
      <c r="AP241" s="8"/>
      <c r="AQ241" s="8"/>
      <c r="AR241" s="8"/>
      <c r="AS241" s="8"/>
      <c r="AT241" s="8"/>
      <c r="AU241" s="8"/>
    </row>
    <row r="242" spans="1:47" ht="6" hidden="1" customHeight="1" x14ac:dyDescent="0.25">
      <c r="A242" s="1416"/>
      <c r="B242" s="1419"/>
      <c r="C242" s="1311"/>
      <c r="D242" s="1311"/>
      <c r="E242" s="1317"/>
      <c r="F242" s="919"/>
      <c r="G242" s="919"/>
      <c r="H242" s="919"/>
      <c r="I242" s="919"/>
      <c r="J242" s="919"/>
      <c r="K242" s="1311"/>
      <c r="L242" s="906"/>
      <c r="M242" s="1311"/>
      <c r="N242" s="1311"/>
      <c r="O242" s="1311"/>
      <c r="P242" s="1311"/>
      <c r="Q242" s="1311"/>
      <c r="R242" s="1311"/>
      <c r="S242" s="1311"/>
      <c r="T242" s="1311"/>
      <c r="U242" s="1311"/>
      <c r="V242" s="1311"/>
      <c r="W242" s="1311"/>
      <c r="X242" s="1311"/>
      <c r="Y242" s="1311"/>
      <c r="Z242" s="1394"/>
      <c r="AA242" s="8"/>
      <c r="AB242" s="8"/>
      <c r="AC242" s="184"/>
      <c r="AD242" s="184"/>
      <c r="AE242" s="184"/>
      <c r="AF242" s="184"/>
      <c r="AG242" s="184"/>
      <c r="AH242" s="184"/>
      <c r="AI242" s="184"/>
      <c r="AJ242" s="184"/>
      <c r="AK242" s="184"/>
      <c r="AL242" s="185"/>
      <c r="AM242" s="185"/>
      <c r="AN242" s="185"/>
      <c r="AO242" s="8"/>
      <c r="AP242" s="8"/>
      <c r="AQ242" s="8"/>
      <c r="AR242" s="8"/>
      <c r="AS242" s="8"/>
      <c r="AT242" s="8"/>
      <c r="AU242" s="8"/>
    </row>
    <row r="243" spans="1:47" ht="10.5" hidden="1" customHeight="1" x14ac:dyDescent="0.25">
      <c r="A243" s="1416"/>
      <c r="B243" s="1419"/>
      <c r="C243" s="1318" t="s">
        <v>340</v>
      </c>
      <c r="D243" s="290" t="s">
        <v>288</v>
      </c>
      <c r="E243" s="919"/>
      <c r="F243" s="919"/>
      <c r="G243" s="919"/>
      <c r="H243" s="919"/>
      <c r="I243" s="919"/>
      <c r="J243" s="919"/>
      <c r="K243" s="919"/>
      <c r="L243" s="919"/>
      <c r="M243" s="919"/>
      <c r="N243" s="919"/>
      <c r="O243" s="1317" t="s">
        <v>321</v>
      </c>
      <c r="P243" s="1318" t="s">
        <v>347</v>
      </c>
      <c r="Q243" s="1310" t="s">
        <v>348</v>
      </c>
      <c r="R243" s="1318" t="s">
        <v>328</v>
      </c>
      <c r="S243" s="1310" t="s">
        <v>290</v>
      </c>
      <c r="T243" s="1310">
        <v>578977</v>
      </c>
      <c r="U243" s="1310">
        <v>608338</v>
      </c>
      <c r="V243" s="1310"/>
      <c r="W243" s="1310" t="s">
        <v>291</v>
      </c>
      <c r="X243" s="1310" t="s">
        <v>292</v>
      </c>
      <c r="Y243" s="1310" t="s">
        <v>293</v>
      </c>
      <c r="Z243" s="1315">
        <f>T243+U243</f>
        <v>1187315</v>
      </c>
      <c r="AA243" s="8"/>
      <c r="AB243" s="8"/>
      <c r="AC243" s="184">
        <v>12</v>
      </c>
      <c r="AD243" s="184" t="s">
        <v>294</v>
      </c>
      <c r="AE243" s="184"/>
      <c r="AF243" s="184"/>
      <c r="AG243" s="184"/>
      <c r="AH243" s="184" t="s">
        <v>295</v>
      </c>
      <c r="AI243" s="184"/>
      <c r="AJ243" s="184"/>
      <c r="AK243" s="184"/>
      <c r="AL243" s="185"/>
      <c r="AM243" s="185"/>
      <c r="AN243" s="185"/>
      <c r="AO243" s="8"/>
      <c r="AP243" s="8"/>
      <c r="AQ243" s="8"/>
      <c r="AR243" s="8"/>
      <c r="AS243" s="8"/>
      <c r="AT243" s="8"/>
      <c r="AU243" s="8"/>
    </row>
    <row r="244" spans="1:47" ht="10.5" hidden="1" customHeight="1" x14ac:dyDescent="0.25">
      <c r="A244" s="1416"/>
      <c r="B244" s="1419"/>
      <c r="C244" s="1311"/>
      <c r="D244" s="922" t="s">
        <v>296</v>
      </c>
      <c r="E244" s="919"/>
      <c r="F244" s="289"/>
      <c r="G244" s="289"/>
      <c r="H244" s="289"/>
      <c r="I244" s="289"/>
      <c r="J244" s="289"/>
      <c r="K244" s="919"/>
      <c r="L244" s="289"/>
      <c r="M244" s="919"/>
      <c r="N244" s="919"/>
      <c r="O244" s="1311"/>
      <c r="P244" s="1311"/>
      <c r="Q244" s="1311"/>
      <c r="R244" s="1311"/>
      <c r="S244" s="1311"/>
      <c r="T244" s="1311"/>
      <c r="U244" s="1311"/>
      <c r="V244" s="1311"/>
      <c r="W244" s="1311"/>
      <c r="X244" s="1311"/>
      <c r="Y244" s="1311"/>
      <c r="Z244" s="1394"/>
      <c r="AA244" s="8"/>
      <c r="AB244" s="8"/>
      <c r="AC244" s="184">
        <v>13</v>
      </c>
      <c r="AD244" s="184" t="s">
        <v>297</v>
      </c>
      <c r="AE244" s="184"/>
      <c r="AF244" s="184"/>
      <c r="AG244" s="184"/>
      <c r="AH244" s="184" t="s">
        <v>298</v>
      </c>
      <c r="AI244" s="184"/>
      <c r="AJ244" s="184"/>
      <c r="AK244" s="184"/>
      <c r="AL244" s="185"/>
      <c r="AM244" s="185"/>
      <c r="AN244" s="185"/>
      <c r="AO244" s="8"/>
      <c r="AP244" s="8"/>
      <c r="AQ244" s="8"/>
      <c r="AR244" s="8"/>
      <c r="AS244" s="8"/>
      <c r="AT244" s="8"/>
      <c r="AU244" s="8"/>
    </row>
    <row r="245" spans="1:47" ht="10.5" hidden="1" customHeight="1" x14ac:dyDescent="0.25">
      <c r="A245" s="1416"/>
      <c r="B245" s="1419"/>
      <c r="C245" s="1311"/>
      <c r="D245" s="922" t="s">
        <v>299</v>
      </c>
      <c r="E245" s="919"/>
      <c r="F245" s="919"/>
      <c r="G245" s="919"/>
      <c r="H245" s="919"/>
      <c r="I245" s="919"/>
      <c r="J245" s="919"/>
      <c r="K245" s="919"/>
      <c r="L245" s="919"/>
      <c r="M245" s="919"/>
      <c r="N245" s="919"/>
      <c r="O245" s="1311"/>
      <c r="P245" s="1311"/>
      <c r="Q245" s="1311"/>
      <c r="R245" s="1311"/>
      <c r="S245" s="1311"/>
      <c r="T245" s="1311"/>
      <c r="U245" s="1311"/>
      <c r="V245" s="1311"/>
      <c r="W245" s="1311"/>
      <c r="X245" s="1311"/>
      <c r="Y245" s="1311"/>
      <c r="Z245" s="1394"/>
      <c r="AA245" s="8"/>
      <c r="AB245" s="8"/>
      <c r="AC245" s="184">
        <v>14</v>
      </c>
      <c r="AD245" s="184" t="s">
        <v>300</v>
      </c>
      <c r="AE245" s="184"/>
      <c r="AF245" s="184"/>
      <c r="AG245" s="184"/>
      <c r="AH245" s="184" t="s">
        <v>301</v>
      </c>
      <c r="AI245" s="184"/>
      <c r="AJ245" s="184"/>
      <c r="AK245" s="184"/>
      <c r="AL245" s="185"/>
      <c r="AM245" s="185"/>
      <c r="AN245" s="185"/>
      <c r="AO245" s="8"/>
      <c r="AP245" s="8"/>
      <c r="AQ245" s="8"/>
      <c r="AR245" s="8"/>
      <c r="AS245" s="8"/>
      <c r="AT245" s="8"/>
      <c r="AU245" s="8"/>
    </row>
    <row r="246" spans="1:47" ht="10.5" hidden="1" customHeight="1" x14ac:dyDescent="0.25">
      <c r="A246" s="1416"/>
      <c r="B246" s="1419"/>
      <c r="C246" s="1311"/>
      <c r="D246" s="1396" t="s">
        <v>302</v>
      </c>
      <c r="E246" s="1317"/>
      <c r="F246" s="919"/>
      <c r="G246" s="919"/>
      <c r="H246" s="919"/>
      <c r="I246" s="919"/>
      <c r="J246" s="919"/>
      <c r="K246" s="1317"/>
      <c r="L246" s="932"/>
      <c r="M246" s="1421"/>
      <c r="N246" s="1421"/>
      <c r="O246" s="1311"/>
      <c r="P246" s="1311"/>
      <c r="Q246" s="1311"/>
      <c r="R246" s="1311"/>
      <c r="S246" s="1311"/>
      <c r="T246" s="1311"/>
      <c r="U246" s="1311"/>
      <c r="V246" s="1311"/>
      <c r="W246" s="1311"/>
      <c r="X246" s="1311"/>
      <c r="Y246" s="1311"/>
      <c r="Z246" s="1394"/>
      <c r="AA246" s="8"/>
      <c r="AB246" s="8"/>
      <c r="AC246" s="184"/>
      <c r="AD246" s="184"/>
      <c r="AE246" s="184"/>
      <c r="AF246" s="184"/>
      <c r="AG246" s="184"/>
      <c r="AH246" s="184"/>
      <c r="AI246" s="184"/>
      <c r="AJ246" s="184"/>
      <c r="AK246" s="184"/>
      <c r="AL246" s="185"/>
      <c r="AM246" s="185"/>
      <c r="AN246" s="185"/>
      <c r="AO246" s="8"/>
      <c r="AP246" s="8"/>
      <c r="AQ246" s="8"/>
      <c r="AR246" s="8"/>
      <c r="AS246" s="8"/>
      <c r="AT246" s="8"/>
      <c r="AU246" s="8"/>
    </row>
    <row r="247" spans="1:47" ht="11.25" hidden="1" customHeight="1" x14ac:dyDescent="0.25">
      <c r="A247" s="1416"/>
      <c r="B247" s="1419"/>
      <c r="C247" s="1311"/>
      <c r="D247" s="1311"/>
      <c r="E247" s="1317"/>
      <c r="F247" s="919"/>
      <c r="G247" s="919"/>
      <c r="H247" s="919"/>
      <c r="I247" s="919"/>
      <c r="J247" s="919"/>
      <c r="K247" s="1311"/>
      <c r="L247" s="906"/>
      <c r="M247" s="1311"/>
      <c r="N247" s="1311"/>
      <c r="O247" s="1311"/>
      <c r="P247" s="1311"/>
      <c r="Q247" s="1311"/>
      <c r="R247" s="1311"/>
      <c r="S247" s="1311"/>
      <c r="T247" s="1311"/>
      <c r="U247" s="1311"/>
      <c r="V247" s="1311"/>
      <c r="W247" s="1311"/>
      <c r="X247" s="1311"/>
      <c r="Y247" s="1311"/>
      <c r="Z247" s="1394"/>
      <c r="AA247" s="8"/>
      <c r="AB247" s="8"/>
      <c r="AC247" s="184"/>
      <c r="AD247" s="184"/>
      <c r="AE247" s="184"/>
      <c r="AF247" s="184"/>
      <c r="AG247" s="184"/>
      <c r="AH247" s="184"/>
      <c r="AI247" s="184"/>
      <c r="AJ247" s="184"/>
      <c r="AK247" s="184"/>
      <c r="AL247" s="185"/>
      <c r="AM247" s="185"/>
      <c r="AN247" s="185"/>
      <c r="AO247" s="8"/>
      <c r="AP247" s="8"/>
      <c r="AQ247" s="8"/>
      <c r="AR247" s="8"/>
      <c r="AS247" s="8"/>
      <c r="AT247" s="8"/>
      <c r="AU247" s="8"/>
    </row>
    <row r="248" spans="1:47" ht="8.25" hidden="1" customHeight="1" x14ac:dyDescent="0.25">
      <c r="A248" s="1416"/>
      <c r="B248" s="1419"/>
      <c r="C248" s="1311"/>
      <c r="D248" s="1311"/>
      <c r="E248" s="1317"/>
      <c r="F248" s="919"/>
      <c r="G248" s="919"/>
      <c r="H248" s="919"/>
      <c r="I248" s="919"/>
      <c r="J248" s="919"/>
      <c r="K248" s="1311"/>
      <c r="L248" s="906"/>
      <c r="M248" s="1311"/>
      <c r="N248" s="1311"/>
      <c r="O248" s="1311"/>
      <c r="P248" s="1311"/>
      <c r="Q248" s="1311"/>
      <c r="R248" s="1311"/>
      <c r="S248" s="1311"/>
      <c r="T248" s="1311"/>
      <c r="U248" s="1311"/>
      <c r="V248" s="1311"/>
      <c r="W248" s="1311"/>
      <c r="X248" s="1311"/>
      <c r="Y248" s="1311"/>
      <c r="Z248" s="1394"/>
      <c r="AA248" s="8"/>
      <c r="AB248" s="8"/>
      <c r="AC248" s="184"/>
      <c r="AD248" s="184"/>
      <c r="AE248" s="184"/>
      <c r="AF248" s="184"/>
      <c r="AG248" s="184"/>
      <c r="AH248" s="184"/>
      <c r="AI248" s="184"/>
      <c r="AJ248" s="184"/>
      <c r="AK248" s="184"/>
      <c r="AL248" s="185"/>
      <c r="AM248" s="185"/>
      <c r="AN248" s="185"/>
      <c r="AO248" s="8"/>
      <c r="AP248" s="8"/>
      <c r="AQ248" s="8"/>
      <c r="AR248" s="8"/>
      <c r="AS248" s="8"/>
      <c r="AT248" s="8"/>
      <c r="AU248" s="8"/>
    </row>
    <row r="249" spans="1:47" ht="6" hidden="1" customHeight="1" x14ac:dyDescent="0.25">
      <c r="A249" s="1416"/>
      <c r="B249" s="1419"/>
      <c r="C249" s="1311"/>
      <c r="D249" s="1311"/>
      <c r="E249" s="1317"/>
      <c r="F249" s="919"/>
      <c r="G249" s="919"/>
      <c r="H249" s="919"/>
      <c r="I249" s="919"/>
      <c r="J249" s="919"/>
      <c r="K249" s="1311"/>
      <c r="L249" s="906"/>
      <c r="M249" s="1311"/>
      <c r="N249" s="1311"/>
      <c r="O249" s="1311"/>
      <c r="P249" s="1311"/>
      <c r="Q249" s="1311"/>
      <c r="R249" s="1311"/>
      <c r="S249" s="1311"/>
      <c r="T249" s="1311"/>
      <c r="U249" s="1311"/>
      <c r="V249" s="1311"/>
      <c r="W249" s="1311"/>
      <c r="X249" s="1311"/>
      <c r="Y249" s="1311"/>
      <c r="Z249" s="1394"/>
      <c r="AA249" s="8"/>
      <c r="AB249" s="8"/>
      <c r="AC249" s="184"/>
      <c r="AD249" s="184"/>
      <c r="AE249" s="184"/>
      <c r="AF249" s="184"/>
      <c r="AG249" s="184"/>
      <c r="AH249" s="184"/>
      <c r="AI249" s="184"/>
      <c r="AJ249" s="184"/>
      <c r="AK249" s="184"/>
      <c r="AL249" s="185"/>
      <c r="AM249" s="185"/>
      <c r="AN249" s="185"/>
      <c r="AO249" s="8"/>
      <c r="AP249" s="8"/>
      <c r="AQ249" s="8"/>
      <c r="AR249" s="8"/>
      <c r="AS249" s="8"/>
      <c r="AT249" s="8"/>
      <c r="AU249" s="8"/>
    </row>
    <row r="250" spans="1:47" ht="10.5" hidden="1" customHeight="1" x14ac:dyDescent="0.25">
      <c r="A250" s="1416"/>
      <c r="B250" s="1419"/>
      <c r="C250" s="1318" t="s">
        <v>340</v>
      </c>
      <c r="D250" s="290" t="s">
        <v>288</v>
      </c>
      <c r="E250" s="919"/>
      <c r="F250" s="919"/>
      <c r="G250" s="919"/>
      <c r="H250" s="919"/>
      <c r="I250" s="919"/>
      <c r="J250" s="919"/>
      <c r="K250" s="919"/>
      <c r="L250" s="919"/>
      <c r="M250" s="919"/>
      <c r="N250" s="919"/>
      <c r="O250" s="1317" t="s">
        <v>315</v>
      </c>
      <c r="P250" s="1318" t="s">
        <v>349</v>
      </c>
      <c r="Q250" s="1310" t="s">
        <v>350</v>
      </c>
      <c r="R250" s="1318" t="s">
        <v>328</v>
      </c>
      <c r="S250" s="1310" t="s">
        <v>290</v>
      </c>
      <c r="T250" s="1310">
        <v>595157</v>
      </c>
      <c r="U250" s="1310">
        <v>655577</v>
      </c>
      <c r="V250" s="1310"/>
      <c r="W250" s="1310" t="s">
        <v>291</v>
      </c>
      <c r="X250" s="1310" t="s">
        <v>292</v>
      </c>
      <c r="Y250" s="1310" t="s">
        <v>293</v>
      </c>
      <c r="Z250" s="1315">
        <f>T250+U250</f>
        <v>1250734</v>
      </c>
      <c r="AA250" s="8"/>
      <c r="AB250" s="8"/>
      <c r="AC250" s="184">
        <v>12</v>
      </c>
      <c r="AD250" s="184" t="s">
        <v>294</v>
      </c>
      <c r="AE250" s="184"/>
      <c r="AF250" s="184"/>
      <c r="AG250" s="184"/>
      <c r="AH250" s="184" t="s">
        <v>295</v>
      </c>
      <c r="AI250" s="184"/>
      <c r="AJ250" s="184"/>
      <c r="AK250" s="184"/>
      <c r="AL250" s="185"/>
      <c r="AM250" s="185"/>
      <c r="AN250" s="185"/>
      <c r="AO250" s="8"/>
      <c r="AP250" s="8"/>
      <c r="AQ250" s="8"/>
      <c r="AR250" s="8"/>
      <c r="AS250" s="8"/>
      <c r="AT250" s="8"/>
      <c r="AU250" s="8"/>
    </row>
    <row r="251" spans="1:47" ht="10.5" hidden="1" customHeight="1" x14ac:dyDescent="0.25">
      <c r="A251" s="1416"/>
      <c r="B251" s="1419"/>
      <c r="C251" s="1311"/>
      <c r="D251" s="922" t="s">
        <v>296</v>
      </c>
      <c r="E251" s="919"/>
      <c r="F251" s="289"/>
      <c r="G251" s="289"/>
      <c r="H251" s="289"/>
      <c r="I251" s="289"/>
      <c r="J251" s="289"/>
      <c r="K251" s="919"/>
      <c r="L251" s="289"/>
      <c r="M251" s="919"/>
      <c r="N251" s="919"/>
      <c r="O251" s="1311"/>
      <c r="P251" s="1311"/>
      <c r="Q251" s="1311"/>
      <c r="R251" s="1311"/>
      <c r="S251" s="1311"/>
      <c r="T251" s="1311"/>
      <c r="U251" s="1311"/>
      <c r="V251" s="1311"/>
      <c r="W251" s="1311"/>
      <c r="X251" s="1311"/>
      <c r="Y251" s="1311"/>
      <c r="Z251" s="1394"/>
      <c r="AA251" s="8"/>
      <c r="AB251" s="8"/>
      <c r="AC251" s="184">
        <v>13</v>
      </c>
      <c r="AD251" s="184" t="s">
        <v>297</v>
      </c>
      <c r="AE251" s="184"/>
      <c r="AF251" s="184"/>
      <c r="AG251" s="184"/>
      <c r="AH251" s="184" t="s">
        <v>298</v>
      </c>
      <c r="AI251" s="184"/>
      <c r="AJ251" s="184"/>
      <c r="AK251" s="184"/>
      <c r="AL251" s="185"/>
      <c r="AM251" s="185"/>
      <c r="AN251" s="185"/>
      <c r="AO251" s="8"/>
      <c r="AP251" s="8"/>
      <c r="AQ251" s="8"/>
      <c r="AR251" s="8"/>
      <c r="AS251" s="8"/>
      <c r="AT251" s="8"/>
      <c r="AU251" s="8"/>
    </row>
    <row r="252" spans="1:47" ht="10.5" hidden="1" customHeight="1" x14ac:dyDescent="0.25">
      <c r="A252" s="1416"/>
      <c r="B252" s="1419"/>
      <c r="C252" s="1311"/>
      <c r="D252" s="922" t="s">
        <v>299</v>
      </c>
      <c r="E252" s="919"/>
      <c r="F252" s="919"/>
      <c r="G252" s="919"/>
      <c r="H252" s="919"/>
      <c r="I252" s="919"/>
      <c r="J252" s="919"/>
      <c r="K252" s="919"/>
      <c r="L252" s="919"/>
      <c r="M252" s="919"/>
      <c r="N252" s="919"/>
      <c r="O252" s="1311"/>
      <c r="P252" s="1311"/>
      <c r="Q252" s="1311"/>
      <c r="R252" s="1311"/>
      <c r="S252" s="1311"/>
      <c r="T252" s="1311"/>
      <c r="U252" s="1311"/>
      <c r="V252" s="1311"/>
      <c r="W252" s="1311"/>
      <c r="X252" s="1311"/>
      <c r="Y252" s="1311"/>
      <c r="Z252" s="1394"/>
      <c r="AA252" s="8"/>
      <c r="AB252" s="8"/>
      <c r="AC252" s="184">
        <v>14</v>
      </c>
      <c r="AD252" s="184" t="s">
        <v>300</v>
      </c>
      <c r="AE252" s="184"/>
      <c r="AF252" s="184"/>
      <c r="AG252" s="184"/>
      <c r="AH252" s="184" t="s">
        <v>301</v>
      </c>
      <c r="AI252" s="184"/>
      <c r="AJ252" s="184"/>
      <c r="AK252" s="184"/>
      <c r="AL252" s="185"/>
      <c r="AM252" s="185"/>
      <c r="AN252" s="185"/>
      <c r="AO252" s="8"/>
      <c r="AP252" s="8"/>
      <c r="AQ252" s="8"/>
      <c r="AR252" s="8"/>
      <c r="AS252" s="8"/>
      <c r="AT252" s="8"/>
      <c r="AU252" s="8"/>
    </row>
    <row r="253" spans="1:47" ht="10.5" hidden="1" customHeight="1" x14ac:dyDescent="0.25">
      <c r="A253" s="1416"/>
      <c r="B253" s="1419"/>
      <c r="C253" s="1311"/>
      <c r="D253" s="1396" t="s">
        <v>302</v>
      </c>
      <c r="E253" s="1317"/>
      <c r="F253" s="919"/>
      <c r="G253" s="919"/>
      <c r="H253" s="919"/>
      <c r="I253" s="919"/>
      <c r="J253" s="919"/>
      <c r="K253" s="1317"/>
      <c r="L253" s="932"/>
      <c r="M253" s="1421"/>
      <c r="N253" s="1421"/>
      <c r="O253" s="1311"/>
      <c r="P253" s="1311"/>
      <c r="Q253" s="1311"/>
      <c r="R253" s="1311"/>
      <c r="S253" s="1311"/>
      <c r="T253" s="1311"/>
      <c r="U253" s="1311"/>
      <c r="V253" s="1311"/>
      <c r="W253" s="1311"/>
      <c r="X253" s="1311"/>
      <c r="Y253" s="1311"/>
      <c r="Z253" s="1394"/>
      <c r="AA253" s="8"/>
      <c r="AB253" s="8"/>
      <c r="AC253" s="184"/>
      <c r="AD253" s="184"/>
      <c r="AE253" s="184"/>
      <c r="AF253" s="184"/>
      <c r="AG253" s="184"/>
      <c r="AH253" s="184"/>
      <c r="AI253" s="184"/>
      <c r="AJ253" s="184"/>
      <c r="AK253" s="184"/>
      <c r="AL253" s="185"/>
      <c r="AM253" s="185"/>
      <c r="AN253" s="185"/>
      <c r="AO253" s="8"/>
      <c r="AP253" s="8"/>
      <c r="AQ253" s="8"/>
      <c r="AR253" s="8"/>
      <c r="AS253" s="8"/>
      <c r="AT253" s="8"/>
      <c r="AU253" s="8"/>
    </row>
    <row r="254" spans="1:47" ht="11.25" hidden="1" customHeight="1" x14ac:dyDescent="0.25">
      <c r="A254" s="1416"/>
      <c r="B254" s="1419"/>
      <c r="C254" s="1311"/>
      <c r="D254" s="1311"/>
      <c r="E254" s="1317"/>
      <c r="F254" s="919"/>
      <c r="G254" s="919"/>
      <c r="H254" s="919"/>
      <c r="I254" s="919"/>
      <c r="J254" s="919"/>
      <c r="K254" s="1311"/>
      <c r="L254" s="906"/>
      <c r="M254" s="1311"/>
      <c r="N254" s="1311"/>
      <c r="O254" s="1311"/>
      <c r="P254" s="1311"/>
      <c r="Q254" s="1311"/>
      <c r="R254" s="1311"/>
      <c r="S254" s="1311"/>
      <c r="T254" s="1311"/>
      <c r="U254" s="1311"/>
      <c r="V254" s="1311"/>
      <c r="W254" s="1311"/>
      <c r="X254" s="1311"/>
      <c r="Y254" s="1311"/>
      <c r="Z254" s="1394"/>
      <c r="AA254" s="8"/>
      <c r="AB254" s="8"/>
      <c r="AC254" s="184"/>
      <c r="AD254" s="184"/>
      <c r="AE254" s="184"/>
      <c r="AF254" s="184"/>
      <c r="AG254" s="184"/>
      <c r="AH254" s="184"/>
      <c r="AI254" s="184"/>
      <c r="AJ254" s="184"/>
      <c r="AK254" s="184"/>
      <c r="AL254" s="185"/>
      <c r="AM254" s="185"/>
      <c r="AN254" s="185"/>
      <c r="AO254" s="8"/>
      <c r="AP254" s="8"/>
      <c r="AQ254" s="8"/>
      <c r="AR254" s="8"/>
      <c r="AS254" s="8"/>
      <c r="AT254" s="8"/>
      <c r="AU254" s="8"/>
    </row>
    <row r="255" spans="1:47" ht="8.25" hidden="1" customHeight="1" x14ac:dyDescent="0.25">
      <c r="A255" s="1416"/>
      <c r="B255" s="1419"/>
      <c r="C255" s="1311"/>
      <c r="D255" s="1311"/>
      <c r="E255" s="1317"/>
      <c r="F255" s="919"/>
      <c r="G255" s="919"/>
      <c r="H255" s="919"/>
      <c r="I255" s="919"/>
      <c r="J255" s="919"/>
      <c r="K255" s="1311"/>
      <c r="L255" s="906"/>
      <c r="M255" s="1311"/>
      <c r="N255" s="1311"/>
      <c r="O255" s="1311"/>
      <c r="P255" s="1311"/>
      <c r="Q255" s="1311"/>
      <c r="R255" s="1311"/>
      <c r="S255" s="1311"/>
      <c r="T255" s="1311"/>
      <c r="U255" s="1311"/>
      <c r="V255" s="1311"/>
      <c r="W255" s="1311"/>
      <c r="X255" s="1311"/>
      <c r="Y255" s="1311"/>
      <c r="Z255" s="1394"/>
      <c r="AA255" s="8"/>
      <c r="AB255" s="8"/>
      <c r="AC255" s="184"/>
      <c r="AD255" s="184"/>
      <c r="AE255" s="184"/>
      <c r="AF255" s="184"/>
      <c r="AG255" s="184"/>
      <c r="AH255" s="184"/>
      <c r="AI255" s="184"/>
      <c r="AJ255" s="184"/>
      <c r="AK255" s="184"/>
      <c r="AL255" s="185"/>
      <c r="AM255" s="185"/>
      <c r="AN255" s="185"/>
      <c r="AO255" s="8"/>
      <c r="AP255" s="8"/>
      <c r="AQ255" s="8"/>
      <c r="AR255" s="8"/>
      <c r="AS255" s="8"/>
      <c r="AT255" s="8"/>
      <c r="AU255" s="8"/>
    </row>
    <row r="256" spans="1:47" ht="6" hidden="1" customHeight="1" x14ac:dyDescent="0.25">
      <c r="A256" s="1416"/>
      <c r="B256" s="1419"/>
      <c r="C256" s="1311"/>
      <c r="D256" s="1311"/>
      <c r="E256" s="1317"/>
      <c r="F256" s="919"/>
      <c r="G256" s="919"/>
      <c r="H256" s="919"/>
      <c r="I256" s="919"/>
      <c r="J256" s="919"/>
      <c r="K256" s="1311"/>
      <c r="L256" s="906"/>
      <c r="M256" s="1311"/>
      <c r="N256" s="1311"/>
      <c r="O256" s="1311"/>
      <c r="P256" s="1311"/>
      <c r="Q256" s="1311"/>
      <c r="R256" s="1311"/>
      <c r="S256" s="1311"/>
      <c r="T256" s="1311"/>
      <c r="U256" s="1311"/>
      <c r="V256" s="1311"/>
      <c r="W256" s="1311"/>
      <c r="X256" s="1311"/>
      <c r="Y256" s="1311"/>
      <c r="Z256" s="1394"/>
      <c r="AA256" s="8"/>
      <c r="AB256" s="8"/>
      <c r="AC256" s="184"/>
      <c r="AD256" s="184"/>
      <c r="AE256" s="184"/>
      <c r="AF256" s="184"/>
      <c r="AG256" s="184"/>
      <c r="AH256" s="184"/>
      <c r="AI256" s="184"/>
      <c r="AJ256" s="184"/>
      <c r="AK256" s="184"/>
      <c r="AL256" s="185"/>
      <c r="AM256" s="185"/>
      <c r="AN256" s="185"/>
      <c r="AO256" s="8"/>
      <c r="AP256" s="8"/>
      <c r="AQ256" s="8"/>
      <c r="AR256" s="8"/>
      <c r="AS256" s="8"/>
      <c r="AT256" s="8"/>
      <c r="AU256" s="8"/>
    </row>
    <row r="257" spans="1:47" ht="10.5" hidden="1" customHeight="1" x14ac:dyDescent="0.25">
      <c r="A257" s="1416"/>
      <c r="B257" s="1419"/>
      <c r="C257" s="1318" t="s">
        <v>340</v>
      </c>
      <c r="D257" s="290" t="s">
        <v>288</v>
      </c>
      <c r="E257" s="919"/>
      <c r="F257" s="919"/>
      <c r="G257" s="919"/>
      <c r="H257" s="919"/>
      <c r="I257" s="919"/>
      <c r="J257" s="919"/>
      <c r="K257" s="919"/>
      <c r="L257" s="919"/>
      <c r="M257" s="919"/>
      <c r="N257" s="919"/>
      <c r="O257" s="1317" t="s">
        <v>303</v>
      </c>
      <c r="P257" s="1318" t="s">
        <v>351</v>
      </c>
      <c r="Q257" s="1310" t="s">
        <v>352</v>
      </c>
      <c r="R257" s="1318" t="s">
        <v>328</v>
      </c>
      <c r="S257" s="1310" t="s">
        <v>290</v>
      </c>
      <c r="T257" s="1310">
        <v>345676</v>
      </c>
      <c r="U257" s="1310">
        <v>363363</v>
      </c>
      <c r="V257" s="1310"/>
      <c r="W257" s="1310" t="s">
        <v>291</v>
      </c>
      <c r="X257" s="1310" t="s">
        <v>292</v>
      </c>
      <c r="Y257" s="1310" t="s">
        <v>293</v>
      </c>
      <c r="Z257" s="1315">
        <f>T257+U257</f>
        <v>709039</v>
      </c>
      <c r="AA257" s="8"/>
      <c r="AB257" s="8"/>
      <c r="AC257" s="184"/>
      <c r="AD257" s="184"/>
      <c r="AE257" s="184"/>
      <c r="AF257" s="184"/>
      <c r="AG257" s="184"/>
      <c r="AH257" s="184"/>
      <c r="AI257" s="184"/>
      <c r="AJ257" s="184"/>
      <c r="AK257" s="184"/>
      <c r="AL257" s="185"/>
      <c r="AM257" s="185"/>
      <c r="AN257" s="185"/>
      <c r="AO257" s="8"/>
      <c r="AP257" s="8"/>
      <c r="AQ257" s="8"/>
      <c r="AR257" s="8"/>
      <c r="AS257" s="8"/>
      <c r="AT257" s="8"/>
      <c r="AU257" s="8"/>
    </row>
    <row r="258" spans="1:47" ht="10.5" hidden="1" customHeight="1" x14ac:dyDescent="0.25">
      <c r="A258" s="1416"/>
      <c r="B258" s="1419"/>
      <c r="C258" s="1311"/>
      <c r="D258" s="922" t="s">
        <v>296</v>
      </c>
      <c r="E258" s="919"/>
      <c r="F258" s="289"/>
      <c r="G258" s="289"/>
      <c r="H258" s="289"/>
      <c r="I258" s="289"/>
      <c r="J258" s="289"/>
      <c r="K258" s="919"/>
      <c r="L258" s="289"/>
      <c r="M258" s="919"/>
      <c r="N258" s="919"/>
      <c r="O258" s="1311"/>
      <c r="P258" s="1311"/>
      <c r="Q258" s="1311"/>
      <c r="R258" s="1311"/>
      <c r="S258" s="1311"/>
      <c r="T258" s="1311"/>
      <c r="U258" s="1311"/>
      <c r="V258" s="1311"/>
      <c r="W258" s="1311"/>
      <c r="X258" s="1311"/>
      <c r="Y258" s="1311"/>
      <c r="Z258" s="1394"/>
      <c r="AA258" s="8"/>
      <c r="AB258" s="8"/>
      <c r="AC258" s="184"/>
      <c r="AD258" s="184"/>
      <c r="AE258" s="184"/>
      <c r="AF258" s="184"/>
      <c r="AG258" s="184"/>
      <c r="AH258" s="184"/>
      <c r="AI258" s="184"/>
      <c r="AJ258" s="184"/>
      <c r="AK258" s="184"/>
      <c r="AL258" s="185"/>
      <c r="AM258" s="185"/>
      <c r="AN258" s="185"/>
      <c r="AO258" s="8"/>
      <c r="AP258" s="8"/>
      <c r="AQ258" s="8"/>
      <c r="AR258" s="8"/>
      <c r="AS258" s="8"/>
      <c r="AT258" s="8"/>
      <c r="AU258" s="8"/>
    </row>
    <row r="259" spans="1:47" ht="10.5" hidden="1" customHeight="1" x14ac:dyDescent="0.25">
      <c r="A259" s="1416"/>
      <c r="B259" s="1419"/>
      <c r="C259" s="1311"/>
      <c r="D259" s="922" t="s">
        <v>299</v>
      </c>
      <c r="E259" s="919"/>
      <c r="F259" s="919"/>
      <c r="G259" s="919"/>
      <c r="H259" s="919"/>
      <c r="I259" s="919"/>
      <c r="J259" s="919"/>
      <c r="K259" s="919"/>
      <c r="L259" s="919"/>
      <c r="M259" s="919"/>
      <c r="N259" s="919"/>
      <c r="O259" s="1311"/>
      <c r="P259" s="1311"/>
      <c r="Q259" s="1311"/>
      <c r="R259" s="1311"/>
      <c r="S259" s="1311"/>
      <c r="T259" s="1311"/>
      <c r="U259" s="1311"/>
      <c r="V259" s="1311"/>
      <c r="W259" s="1311"/>
      <c r="X259" s="1311"/>
      <c r="Y259" s="1311"/>
      <c r="Z259" s="1394"/>
      <c r="AA259" s="8"/>
      <c r="AB259" s="8"/>
      <c r="AC259" s="184"/>
      <c r="AD259" s="184"/>
      <c r="AE259" s="184"/>
      <c r="AF259" s="184"/>
      <c r="AG259" s="184"/>
      <c r="AH259" s="184"/>
      <c r="AI259" s="184"/>
      <c r="AJ259" s="184"/>
      <c r="AK259" s="184"/>
      <c r="AL259" s="185"/>
      <c r="AM259" s="185"/>
      <c r="AN259" s="185"/>
      <c r="AO259" s="8"/>
      <c r="AP259" s="8"/>
      <c r="AQ259" s="8"/>
      <c r="AR259" s="8"/>
      <c r="AS259" s="8"/>
      <c r="AT259" s="8"/>
      <c r="AU259" s="8"/>
    </row>
    <row r="260" spans="1:47" ht="10.5" hidden="1" customHeight="1" x14ac:dyDescent="0.25">
      <c r="A260" s="1416"/>
      <c r="B260" s="1419"/>
      <c r="C260" s="1311"/>
      <c r="D260" s="1396" t="s">
        <v>302</v>
      </c>
      <c r="E260" s="1317"/>
      <c r="F260" s="919"/>
      <c r="G260" s="919"/>
      <c r="H260" s="919"/>
      <c r="I260" s="919"/>
      <c r="J260" s="919"/>
      <c r="K260" s="1317"/>
      <c r="L260" s="932"/>
      <c r="M260" s="1421"/>
      <c r="N260" s="1421"/>
      <c r="O260" s="1311"/>
      <c r="P260" s="1311"/>
      <c r="Q260" s="1311"/>
      <c r="R260" s="1311"/>
      <c r="S260" s="1311"/>
      <c r="T260" s="1311"/>
      <c r="U260" s="1311"/>
      <c r="V260" s="1311"/>
      <c r="W260" s="1311"/>
      <c r="X260" s="1311"/>
      <c r="Y260" s="1311"/>
      <c r="Z260" s="1394"/>
      <c r="AA260" s="8"/>
      <c r="AB260" s="8"/>
      <c r="AC260" s="184"/>
      <c r="AD260" s="184"/>
      <c r="AE260" s="184"/>
      <c r="AF260" s="184"/>
      <c r="AG260" s="184"/>
      <c r="AH260" s="184"/>
      <c r="AI260" s="184"/>
      <c r="AJ260" s="184"/>
      <c r="AK260" s="184"/>
      <c r="AL260" s="185"/>
      <c r="AM260" s="185"/>
      <c r="AN260" s="185"/>
      <c r="AO260" s="8"/>
      <c r="AP260" s="8"/>
      <c r="AQ260" s="8"/>
      <c r="AR260" s="8"/>
      <c r="AS260" s="8"/>
      <c r="AT260" s="8"/>
      <c r="AU260" s="8"/>
    </row>
    <row r="261" spans="1:47" ht="11.25" hidden="1" customHeight="1" x14ac:dyDescent="0.25">
      <c r="A261" s="1416"/>
      <c r="B261" s="1419"/>
      <c r="C261" s="1311"/>
      <c r="D261" s="1311"/>
      <c r="E261" s="1317"/>
      <c r="F261" s="919"/>
      <c r="G261" s="919"/>
      <c r="H261" s="919"/>
      <c r="I261" s="919"/>
      <c r="J261" s="919"/>
      <c r="K261" s="1311"/>
      <c r="L261" s="906"/>
      <c r="M261" s="1311"/>
      <c r="N261" s="1311"/>
      <c r="O261" s="1311"/>
      <c r="P261" s="1311"/>
      <c r="Q261" s="1311"/>
      <c r="R261" s="1311"/>
      <c r="S261" s="1311"/>
      <c r="T261" s="1311"/>
      <c r="U261" s="1311"/>
      <c r="V261" s="1311"/>
      <c r="W261" s="1311"/>
      <c r="X261" s="1311"/>
      <c r="Y261" s="1311"/>
      <c r="Z261" s="1394"/>
      <c r="AA261" s="8"/>
      <c r="AB261" s="8"/>
      <c r="AC261" s="184"/>
      <c r="AD261" s="184"/>
      <c r="AE261" s="184"/>
      <c r="AF261" s="184"/>
      <c r="AG261" s="184"/>
      <c r="AH261" s="184"/>
      <c r="AI261" s="184"/>
      <c r="AJ261" s="184"/>
      <c r="AK261" s="184"/>
      <c r="AL261" s="185"/>
      <c r="AM261" s="185"/>
      <c r="AN261" s="185"/>
      <c r="AO261" s="8"/>
      <c r="AP261" s="8"/>
      <c r="AQ261" s="8"/>
      <c r="AR261" s="8"/>
      <c r="AS261" s="8"/>
      <c r="AT261" s="8"/>
      <c r="AU261" s="8"/>
    </row>
    <row r="262" spans="1:47" ht="8.25" hidden="1" customHeight="1" x14ac:dyDescent="0.25">
      <c r="A262" s="1416"/>
      <c r="B262" s="1419"/>
      <c r="C262" s="1311"/>
      <c r="D262" s="1311"/>
      <c r="E262" s="1317"/>
      <c r="F262" s="919"/>
      <c r="G262" s="919"/>
      <c r="H262" s="919"/>
      <c r="I262" s="919"/>
      <c r="J262" s="919"/>
      <c r="K262" s="1311"/>
      <c r="L262" s="906"/>
      <c r="M262" s="1311"/>
      <c r="N262" s="1311"/>
      <c r="O262" s="1311"/>
      <c r="P262" s="1311"/>
      <c r="Q262" s="1311"/>
      <c r="R262" s="1311"/>
      <c r="S262" s="1311"/>
      <c r="T262" s="1311"/>
      <c r="U262" s="1311"/>
      <c r="V262" s="1311"/>
      <c r="W262" s="1311"/>
      <c r="X262" s="1311"/>
      <c r="Y262" s="1311"/>
      <c r="Z262" s="1394"/>
      <c r="AA262" s="8"/>
      <c r="AB262" s="8"/>
      <c r="AC262" s="184"/>
      <c r="AD262" s="184"/>
      <c r="AE262" s="184"/>
      <c r="AF262" s="184"/>
      <c r="AG262" s="184"/>
      <c r="AH262" s="184"/>
      <c r="AI262" s="184"/>
      <c r="AJ262" s="184"/>
      <c r="AK262" s="184"/>
      <c r="AL262" s="185"/>
      <c r="AM262" s="185"/>
      <c r="AN262" s="185"/>
      <c r="AO262" s="8"/>
      <c r="AP262" s="8"/>
      <c r="AQ262" s="8"/>
      <c r="AR262" s="8"/>
      <c r="AS262" s="8"/>
      <c r="AT262" s="8"/>
      <c r="AU262" s="8"/>
    </row>
    <row r="263" spans="1:47" ht="6" hidden="1" customHeight="1" x14ac:dyDescent="0.25">
      <c r="A263" s="1416"/>
      <c r="B263" s="1419"/>
      <c r="C263" s="1311"/>
      <c r="D263" s="1311"/>
      <c r="E263" s="1317"/>
      <c r="F263" s="919"/>
      <c r="G263" s="919"/>
      <c r="H263" s="919"/>
      <c r="I263" s="919"/>
      <c r="J263" s="919"/>
      <c r="K263" s="1311"/>
      <c r="L263" s="906"/>
      <c r="M263" s="1311"/>
      <c r="N263" s="1311"/>
      <c r="O263" s="1311"/>
      <c r="P263" s="1311"/>
      <c r="Q263" s="1311"/>
      <c r="R263" s="1311"/>
      <c r="S263" s="1311"/>
      <c r="T263" s="1311"/>
      <c r="U263" s="1311"/>
      <c r="V263" s="1311"/>
      <c r="W263" s="1311"/>
      <c r="X263" s="1311"/>
      <c r="Y263" s="1311"/>
      <c r="Z263" s="1394"/>
      <c r="AA263" s="8"/>
      <c r="AB263" s="8"/>
      <c r="AC263" s="184"/>
      <c r="AD263" s="184"/>
      <c r="AE263" s="184"/>
      <c r="AF263" s="184"/>
      <c r="AG263" s="184"/>
      <c r="AH263" s="184"/>
      <c r="AI263" s="184"/>
      <c r="AJ263" s="184"/>
      <c r="AK263" s="184"/>
      <c r="AL263" s="185"/>
      <c r="AM263" s="185"/>
      <c r="AN263" s="185"/>
      <c r="AO263" s="8"/>
      <c r="AP263" s="8"/>
      <c r="AQ263" s="8"/>
      <c r="AR263" s="8"/>
      <c r="AS263" s="8"/>
      <c r="AT263" s="8"/>
      <c r="AU263" s="8"/>
    </row>
    <row r="264" spans="1:47" ht="15.75" hidden="1" customHeight="1" x14ac:dyDescent="0.25">
      <c r="A264" s="1416"/>
      <c r="B264" s="1419"/>
      <c r="C264" s="1318" t="s">
        <v>324</v>
      </c>
      <c r="D264" s="290" t="s">
        <v>137</v>
      </c>
      <c r="E264" s="919" t="s">
        <v>353</v>
      </c>
      <c r="F264" s="919"/>
      <c r="G264" s="919"/>
      <c r="H264" s="919"/>
      <c r="I264" s="919"/>
      <c r="J264" s="919"/>
      <c r="K264" s="919" t="s">
        <v>353</v>
      </c>
      <c r="L264" s="919"/>
      <c r="M264" s="919"/>
      <c r="N264" s="919"/>
      <c r="O264" s="919"/>
      <c r="P264" s="911"/>
      <c r="Q264" s="934"/>
      <c r="R264" s="911"/>
      <c r="S264" s="934"/>
      <c r="T264" s="919">
        <v>3365892</v>
      </c>
      <c r="U264" s="919">
        <v>3612236</v>
      </c>
      <c r="V264" s="934"/>
      <c r="W264" s="934"/>
      <c r="X264" s="934"/>
      <c r="Y264" s="934"/>
      <c r="Z264" s="949">
        <v>6978128</v>
      </c>
      <c r="AA264" s="8"/>
      <c r="AB264" s="8"/>
      <c r="AC264" s="184"/>
      <c r="AD264" s="184"/>
      <c r="AE264" s="184"/>
      <c r="AF264" s="184"/>
      <c r="AG264" s="184"/>
      <c r="AH264" s="184"/>
      <c r="AI264" s="184"/>
      <c r="AJ264" s="184"/>
      <c r="AK264" s="184"/>
      <c r="AL264" s="185"/>
      <c r="AM264" s="185"/>
      <c r="AN264" s="185"/>
      <c r="AO264" s="8"/>
      <c r="AP264" s="8"/>
      <c r="AQ264" s="8"/>
      <c r="AR264" s="8"/>
      <c r="AS264" s="8"/>
      <c r="AT264" s="8"/>
      <c r="AU264" s="8"/>
    </row>
    <row r="265" spans="1:47" ht="18.75" hidden="1" customHeight="1" x14ac:dyDescent="0.25">
      <c r="A265" s="1416"/>
      <c r="B265" s="1419"/>
      <c r="C265" s="1311"/>
      <c r="D265" s="290" t="s">
        <v>143</v>
      </c>
      <c r="E265" s="919" t="s">
        <v>353</v>
      </c>
      <c r="F265" s="287"/>
      <c r="G265" s="919"/>
      <c r="H265" s="919"/>
      <c r="I265" s="919"/>
      <c r="J265" s="919"/>
      <c r="K265" s="919" t="s">
        <v>353</v>
      </c>
      <c r="L265" s="919"/>
      <c r="M265" s="917"/>
      <c r="N265" s="919"/>
      <c r="O265" s="911"/>
      <c r="P265" s="911"/>
      <c r="Q265" s="934"/>
      <c r="R265" s="911"/>
      <c r="S265" s="934"/>
      <c r="T265" s="919"/>
      <c r="U265" s="919"/>
      <c r="V265" s="934"/>
      <c r="W265" s="934"/>
      <c r="X265" s="934"/>
      <c r="Y265" s="934"/>
      <c r="Z265" s="949"/>
      <c r="AA265" s="8"/>
      <c r="AB265" s="8"/>
      <c r="AC265" s="184"/>
      <c r="AD265" s="184"/>
      <c r="AE265" s="184"/>
      <c r="AF265" s="184"/>
      <c r="AG265" s="184"/>
      <c r="AH265" s="184"/>
      <c r="AI265" s="184"/>
      <c r="AJ265" s="184"/>
      <c r="AK265" s="184"/>
      <c r="AL265" s="185"/>
      <c r="AM265" s="185"/>
      <c r="AN265" s="185"/>
      <c r="AO265" s="8"/>
      <c r="AP265" s="8"/>
      <c r="AQ265" s="8"/>
      <c r="AR265" s="8"/>
      <c r="AS265" s="8"/>
      <c r="AT265" s="8"/>
      <c r="AU265" s="8"/>
    </row>
    <row r="266" spans="1:47" ht="10.5" customHeight="1" x14ac:dyDescent="0.25">
      <c r="A266" s="1416"/>
      <c r="B266" s="1419"/>
      <c r="C266" s="1318" t="s">
        <v>289</v>
      </c>
      <c r="D266" s="290" t="s">
        <v>288</v>
      </c>
      <c r="E266" s="939">
        <v>2255.09</v>
      </c>
      <c r="F266" s="919"/>
      <c r="G266" s="919"/>
      <c r="H266" s="919">
        <v>227</v>
      </c>
      <c r="I266" s="919">
        <v>2380</v>
      </c>
      <c r="J266" s="919">
        <v>2298</v>
      </c>
      <c r="K266" s="919">
        <v>2153</v>
      </c>
      <c r="L266" s="919">
        <v>1279</v>
      </c>
      <c r="M266" s="933">
        <f>1393-41</f>
        <v>1352</v>
      </c>
      <c r="N266" s="919">
        <v>2298</v>
      </c>
      <c r="O266" s="1318" t="s">
        <v>354</v>
      </c>
      <c r="P266" s="1318" t="s">
        <v>86</v>
      </c>
      <c r="Q266" s="1310" t="s">
        <v>86</v>
      </c>
      <c r="R266" s="1318" t="s">
        <v>446</v>
      </c>
      <c r="S266" s="1310" t="s">
        <v>290</v>
      </c>
      <c r="T266" s="1317">
        <v>3810013</v>
      </c>
      <c r="U266" s="1317">
        <v>4068770</v>
      </c>
      <c r="V266" s="1310"/>
      <c r="W266" s="1310" t="s">
        <v>291</v>
      </c>
      <c r="X266" s="1310" t="s">
        <v>292</v>
      </c>
      <c r="Y266" s="1310" t="s">
        <v>293</v>
      </c>
      <c r="Z266" s="1413">
        <v>7878783</v>
      </c>
      <c r="AA266" s="8"/>
      <c r="AB266" s="8"/>
      <c r="AC266" s="184">
        <v>12</v>
      </c>
      <c r="AD266" s="184" t="s">
        <v>294</v>
      </c>
      <c r="AE266" s="184"/>
      <c r="AF266" s="184"/>
      <c r="AG266" s="184"/>
      <c r="AH266" s="184" t="s">
        <v>295</v>
      </c>
      <c r="AI266" s="184"/>
      <c r="AJ266" s="184"/>
      <c r="AK266" s="184"/>
      <c r="AL266" s="185"/>
      <c r="AM266" s="185"/>
      <c r="AN266" s="185"/>
      <c r="AO266" s="8"/>
      <c r="AP266" s="8"/>
      <c r="AQ266" s="8"/>
      <c r="AR266" s="8"/>
      <c r="AS266" s="8"/>
      <c r="AT266" s="8"/>
      <c r="AU266" s="8"/>
    </row>
    <row r="267" spans="1:47" ht="10.5" customHeight="1" x14ac:dyDescent="0.25">
      <c r="A267" s="1416"/>
      <c r="B267" s="1419"/>
      <c r="C267" s="1311"/>
      <c r="D267" s="922" t="s">
        <v>296</v>
      </c>
      <c r="E267" s="325">
        <v>102839000</v>
      </c>
      <c r="F267" s="289"/>
      <c r="G267" s="289"/>
      <c r="H267" s="919">
        <v>134459645.97157499</v>
      </c>
      <c r="I267" s="37"/>
      <c r="J267" s="919">
        <v>79753239</v>
      </c>
      <c r="K267" s="325"/>
      <c r="L267" s="919">
        <v>10606714.870395601</v>
      </c>
      <c r="M267" s="919">
        <v>42765450.643776797</v>
      </c>
      <c r="N267" s="919">
        <v>79753239</v>
      </c>
      <c r="O267" s="1311"/>
      <c r="P267" s="1311"/>
      <c r="Q267" s="1311"/>
      <c r="R267" s="1311"/>
      <c r="S267" s="1311"/>
      <c r="T267" s="1311"/>
      <c r="U267" s="1311"/>
      <c r="V267" s="1311"/>
      <c r="W267" s="1311"/>
      <c r="X267" s="1311"/>
      <c r="Y267" s="1311"/>
      <c r="Z267" s="1394"/>
      <c r="AA267" s="8"/>
      <c r="AB267" s="8"/>
      <c r="AC267" s="184">
        <v>13</v>
      </c>
      <c r="AD267" s="184" t="s">
        <v>297</v>
      </c>
      <c r="AE267" s="184"/>
      <c r="AF267" s="184"/>
      <c r="AG267" s="184"/>
      <c r="AH267" s="184" t="s">
        <v>298</v>
      </c>
      <c r="AI267" s="184"/>
      <c r="AJ267" s="184"/>
      <c r="AK267" s="184"/>
      <c r="AL267" s="185"/>
      <c r="AM267" s="185"/>
      <c r="AN267" s="185"/>
      <c r="AO267" s="8"/>
      <c r="AP267" s="8"/>
      <c r="AQ267" s="8"/>
      <c r="AR267" s="8"/>
      <c r="AS267" s="8"/>
      <c r="AT267" s="8"/>
      <c r="AU267" s="8"/>
    </row>
    <row r="268" spans="1:47" ht="10.5" customHeight="1" x14ac:dyDescent="0.25">
      <c r="A268" s="1416"/>
      <c r="B268" s="1419"/>
      <c r="C268" s="1311"/>
      <c r="D268" s="922" t="s">
        <v>299</v>
      </c>
      <c r="E268" s="939"/>
      <c r="F268" s="919"/>
      <c r="G268" s="919"/>
      <c r="H268" s="919"/>
      <c r="I268" s="919">
        <f>H273-I273</f>
        <v>0</v>
      </c>
      <c r="J268" s="919"/>
      <c r="K268" s="919"/>
      <c r="L268" s="919"/>
      <c r="M268" s="919"/>
      <c r="N268" s="919"/>
      <c r="O268" s="1311"/>
      <c r="P268" s="1311"/>
      <c r="Q268" s="1311"/>
      <c r="R268" s="1311"/>
      <c r="S268" s="1311"/>
      <c r="T268" s="1311"/>
      <c r="U268" s="1311"/>
      <c r="V268" s="1311"/>
      <c r="W268" s="1311"/>
      <c r="X268" s="1311"/>
      <c r="Y268" s="1311"/>
      <c r="Z268" s="1394"/>
      <c r="AA268" s="8"/>
      <c r="AB268" s="8"/>
      <c r="AC268" s="184">
        <v>14</v>
      </c>
      <c r="AD268" s="184" t="s">
        <v>300</v>
      </c>
      <c r="AE268" s="184"/>
      <c r="AF268" s="184"/>
      <c r="AG268" s="184"/>
      <c r="AH268" s="184" t="s">
        <v>301</v>
      </c>
      <c r="AI268" s="184"/>
      <c r="AJ268" s="184"/>
      <c r="AK268" s="184"/>
      <c r="AL268" s="185"/>
      <c r="AM268" s="185"/>
      <c r="AN268" s="185"/>
      <c r="AO268" s="8"/>
      <c r="AP268" s="8"/>
      <c r="AQ268" s="8"/>
      <c r="AR268" s="8"/>
      <c r="AS268" s="8"/>
      <c r="AT268" s="8"/>
      <c r="AU268" s="8"/>
    </row>
    <row r="269" spans="1:47" x14ac:dyDescent="0.25">
      <c r="A269" s="1416"/>
      <c r="B269" s="1419"/>
      <c r="C269" s="1311"/>
      <c r="D269" s="1396" t="s">
        <v>302</v>
      </c>
      <c r="E269" s="1414"/>
      <c r="F269" s="1317"/>
      <c r="G269" s="1317"/>
      <c r="H269" s="1317"/>
      <c r="I269" s="324"/>
      <c r="J269" s="1317"/>
      <c r="K269" s="1317"/>
      <c r="L269" s="1317">
        <v>47533097</v>
      </c>
      <c r="M269" s="1421"/>
      <c r="N269" s="1421">
        <v>57533097</v>
      </c>
      <c r="O269" s="1311"/>
      <c r="P269" s="1311"/>
      <c r="Q269" s="1311"/>
      <c r="R269" s="1311"/>
      <c r="S269" s="1311"/>
      <c r="T269" s="1311"/>
      <c r="U269" s="1311"/>
      <c r="V269" s="1311"/>
      <c r="W269" s="1311"/>
      <c r="X269" s="1311"/>
      <c r="Y269" s="1311"/>
      <c r="Z269" s="1394"/>
      <c r="AA269" s="8"/>
      <c r="AB269" s="8"/>
      <c r="AC269" s="184"/>
      <c r="AD269" s="184"/>
      <c r="AE269" s="184"/>
      <c r="AF269" s="184"/>
      <c r="AG269" s="184"/>
      <c r="AH269" s="184"/>
      <c r="AI269" s="184"/>
      <c r="AJ269" s="184"/>
      <c r="AK269" s="184"/>
      <c r="AL269" s="185"/>
      <c r="AM269" s="185"/>
      <c r="AN269" s="185"/>
      <c r="AO269" s="8"/>
      <c r="AP269" s="8"/>
      <c r="AQ269" s="8"/>
      <c r="AR269" s="8"/>
      <c r="AS269" s="8"/>
      <c r="AT269" s="8"/>
      <c r="AU269" s="8"/>
    </row>
    <row r="270" spans="1:47" ht="14.25" customHeight="1" x14ac:dyDescent="0.25">
      <c r="A270" s="1416"/>
      <c r="B270" s="1419"/>
      <c r="C270" s="1311"/>
      <c r="D270" s="1311"/>
      <c r="E270" s="1414"/>
      <c r="F270" s="1311"/>
      <c r="G270" s="1311"/>
      <c r="H270" s="1311"/>
      <c r="I270" s="323"/>
      <c r="J270" s="1311"/>
      <c r="K270" s="1311"/>
      <c r="L270" s="1317"/>
      <c r="M270" s="1311"/>
      <c r="N270" s="1311"/>
      <c r="O270" s="1311"/>
      <c r="P270" s="1311"/>
      <c r="Q270" s="1311"/>
      <c r="R270" s="1311"/>
      <c r="S270" s="1311"/>
      <c r="T270" s="1311"/>
      <c r="U270" s="1311"/>
      <c r="V270" s="1311"/>
      <c r="W270" s="1311"/>
      <c r="X270" s="1311"/>
      <c r="Y270" s="1311"/>
      <c r="Z270" s="1394"/>
      <c r="AA270" s="8"/>
      <c r="AB270" s="8"/>
      <c r="AC270" s="184"/>
      <c r="AD270" s="184"/>
      <c r="AE270" s="184"/>
      <c r="AF270" s="184"/>
      <c r="AG270" s="184"/>
      <c r="AH270" s="184"/>
      <c r="AI270" s="184"/>
      <c r="AJ270" s="184"/>
      <c r="AK270" s="184"/>
      <c r="AL270" s="185"/>
      <c r="AM270" s="185"/>
      <c r="AN270" s="185"/>
      <c r="AO270" s="8"/>
      <c r="AP270" s="8"/>
      <c r="AQ270" s="8"/>
      <c r="AR270" s="8"/>
      <c r="AS270" s="8"/>
      <c r="AT270" s="8"/>
      <c r="AU270" s="8"/>
    </row>
    <row r="271" spans="1:47" ht="7.5" customHeight="1" x14ac:dyDescent="0.25">
      <c r="A271" s="1416"/>
      <c r="B271" s="1419"/>
      <c r="C271" s="1311"/>
      <c r="D271" s="1311"/>
      <c r="E271" s="1414"/>
      <c r="F271" s="1311"/>
      <c r="G271" s="1311"/>
      <c r="H271" s="1311"/>
      <c r="I271" s="906"/>
      <c r="J271" s="1311"/>
      <c r="K271" s="1311"/>
      <c r="L271" s="1317"/>
      <c r="M271" s="1311"/>
      <c r="N271" s="1311"/>
      <c r="O271" s="1311"/>
      <c r="P271" s="1311"/>
      <c r="Q271" s="1311"/>
      <c r="R271" s="1311"/>
      <c r="S271" s="1311"/>
      <c r="T271" s="1311"/>
      <c r="U271" s="1311"/>
      <c r="V271" s="1311"/>
      <c r="W271" s="1311"/>
      <c r="X271" s="1311"/>
      <c r="Y271" s="1311"/>
      <c r="Z271" s="1394"/>
      <c r="AA271" s="8"/>
      <c r="AB271" s="8"/>
      <c r="AC271" s="184"/>
      <c r="AD271" s="184"/>
      <c r="AE271" s="184"/>
      <c r="AF271" s="184"/>
      <c r="AG271" s="184"/>
      <c r="AH271" s="184"/>
      <c r="AI271" s="184"/>
      <c r="AJ271" s="184"/>
      <c r="AK271" s="184"/>
      <c r="AL271" s="185"/>
      <c r="AM271" s="185"/>
      <c r="AN271" s="185"/>
      <c r="AO271" s="8"/>
      <c r="AP271" s="8"/>
      <c r="AQ271" s="8"/>
      <c r="AR271" s="8"/>
      <c r="AS271" s="8"/>
      <c r="AT271" s="8"/>
      <c r="AU271" s="8"/>
    </row>
    <row r="272" spans="1:47" ht="7.5" customHeight="1" x14ac:dyDescent="0.25">
      <c r="A272" s="1416"/>
      <c r="B272" s="1419"/>
      <c r="C272" s="1311"/>
      <c r="D272" s="1311"/>
      <c r="E272" s="1414"/>
      <c r="F272" s="1311"/>
      <c r="G272" s="1311"/>
      <c r="H272" s="1311"/>
      <c r="I272" s="906"/>
      <c r="J272" s="1311"/>
      <c r="K272" s="1311"/>
      <c r="L272" s="1317"/>
      <c r="M272" s="1311"/>
      <c r="N272" s="1311"/>
      <c r="O272" s="1311"/>
      <c r="P272" s="1311"/>
      <c r="Q272" s="1311"/>
      <c r="R272" s="1311"/>
      <c r="S272" s="1311"/>
      <c r="T272" s="1311"/>
      <c r="U272" s="1311"/>
      <c r="V272" s="1311"/>
      <c r="W272" s="1311"/>
      <c r="X272" s="1311"/>
      <c r="Y272" s="1311"/>
      <c r="Z272" s="1394"/>
      <c r="AA272" s="8"/>
      <c r="AB272" s="8"/>
      <c r="AC272" s="184"/>
      <c r="AD272" s="184"/>
      <c r="AE272" s="184"/>
      <c r="AF272" s="184"/>
      <c r="AG272" s="184"/>
      <c r="AH272" s="184"/>
      <c r="AI272" s="184"/>
      <c r="AJ272" s="184"/>
      <c r="AK272" s="184"/>
      <c r="AL272" s="185"/>
      <c r="AM272" s="185"/>
      <c r="AN272" s="185"/>
      <c r="AO272" s="8"/>
      <c r="AP272" s="8"/>
      <c r="AQ272" s="8"/>
      <c r="AR272" s="8"/>
      <c r="AS272" s="8"/>
      <c r="AT272" s="8"/>
      <c r="AU272" s="8"/>
    </row>
    <row r="273" spans="1:47" ht="30" customHeight="1" x14ac:dyDescent="0.25">
      <c r="A273" s="1416"/>
      <c r="B273" s="1419"/>
      <c r="C273" s="1318" t="s">
        <v>324</v>
      </c>
      <c r="D273" s="290" t="s">
        <v>137</v>
      </c>
      <c r="E273" s="919">
        <f>+E160+E167+E174+E181+E187+E194+E201+E208+E215+E266</f>
        <v>5000</v>
      </c>
      <c r="F273" s="919">
        <f>+F160+F167+F174+F181+F187+F194+F201+F208+F215+F266</f>
        <v>0</v>
      </c>
      <c r="G273" s="919">
        <f>+G160+G167+G174+G181+G187+G194+G201+G208+G215+G266</f>
        <v>0</v>
      </c>
      <c r="H273" s="919">
        <v>5000</v>
      </c>
      <c r="I273" s="919">
        <f>I266+I215+I208+I201+I194+I187+I181+I174+I167+I160</f>
        <v>5000</v>
      </c>
      <c r="J273" s="919">
        <f>+J266+J215+J208+J201+J194+J187+J181+J174+J167+J160</f>
        <v>5000</v>
      </c>
      <c r="K273" s="919">
        <f>+K160+K167+K174</f>
        <v>1278.9099999999999</v>
      </c>
      <c r="L273" s="919">
        <v>2745</v>
      </c>
      <c r="M273" s="919">
        <f>M160+M167+M174+M181+M187+M194+M201+M208+M215+M266</f>
        <v>2568</v>
      </c>
      <c r="N273" s="919">
        <f>N266+N215+N208+N201+N194+N187+N181+N174+N167+N160</f>
        <v>5000</v>
      </c>
      <c r="O273" s="919"/>
      <c r="P273" s="911"/>
      <c r="Q273" s="934"/>
      <c r="R273" s="911"/>
      <c r="S273" s="934"/>
      <c r="T273" s="919"/>
      <c r="U273" s="919"/>
      <c r="V273" s="919"/>
      <c r="W273" s="934"/>
      <c r="X273" s="934"/>
      <c r="Y273" s="934"/>
      <c r="Z273" s="949"/>
      <c r="AA273" s="8"/>
      <c r="AB273" s="8"/>
      <c r="AC273" s="184"/>
      <c r="AD273" s="184"/>
      <c r="AE273" s="184"/>
      <c r="AF273" s="184"/>
      <c r="AG273" s="184"/>
      <c r="AH273" s="184"/>
      <c r="AI273" s="184"/>
      <c r="AJ273" s="184"/>
      <c r="AK273" s="184"/>
      <c r="AL273" s="185"/>
      <c r="AM273" s="185"/>
      <c r="AN273" s="185"/>
      <c r="AO273" s="8"/>
      <c r="AP273" s="8"/>
      <c r="AQ273" s="8"/>
      <c r="AR273" s="8"/>
      <c r="AS273" s="8"/>
      <c r="AT273" s="8"/>
      <c r="AU273" s="8"/>
    </row>
    <row r="274" spans="1:47" ht="28.5" customHeight="1" x14ac:dyDescent="0.25">
      <c r="A274" s="1416"/>
      <c r="B274" s="1419"/>
      <c r="C274" s="1311"/>
      <c r="D274" s="290" t="s">
        <v>355</v>
      </c>
      <c r="E274" s="919">
        <f>E267+E216+E202+E195+E188+E182+E175+E168+E161</f>
        <v>207768999.99999994</v>
      </c>
      <c r="F274" s="919"/>
      <c r="G274" s="919"/>
      <c r="H274" s="919">
        <v>207769000</v>
      </c>
      <c r="I274" s="919">
        <v>207769000</v>
      </c>
      <c r="J274" s="919">
        <f>J267+J216+J209+J202+J195+J188+J182+J175+J168+J161</f>
        <v>173527500</v>
      </c>
      <c r="K274" s="289">
        <f>+[4]INVERSIÓN!AF28</f>
        <v>43220000</v>
      </c>
      <c r="L274" s="289">
        <f>+[4]INVERSIÓN!AG28</f>
        <v>61710000</v>
      </c>
      <c r="M274" s="289">
        <v>61710000</v>
      </c>
      <c r="N274" s="919">
        <f>N267+N216+N209+N202+N195+N188+N182+N175+N168+N161</f>
        <v>173527500</v>
      </c>
      <c r="O274" s="919"/>
      <c r="P274" s="911"/>
      <c r="Q274" s="934"/>
      <c r="R274" s="911"/>
      <c r="S274" s="934"/>
      <c r="T274" s="919"/>
      <c r="U274" s="919"/>
      <c r="V274" s="919"/>
      <c r="W274" s="934"/>
      <c r="X274" s="934"/>
      <c r="Y274" s="934"/>
      <c r="Z274" s="949"/>
      <c r="AA274" s="8"/>
      <c r="AB274" s="8"/>
      <c r="AC274" s="184"/>
      <c r="AD274" s="184"/>
      <c r="AE274" s="184"/>
      <c r="AF274" s="184"/>
      <c r="AG274" s="184"/>
      <c r="AH274" s="184"/>
      <c r="AI274" s="184"/>
      <c r="AJ274" s="184"/>
      <c r="AK274" s="184"/>
      <c r="AL274" s="185"/>
      <c r="AM274" s="185"/>
      <c r="AN274" s="185"/>
      <c r="AO274" s="8"/>
      <c r="AP274" s="8"/>
      <c r="AQ274" s="8"/>
      <c r="AR274" s="8"/>
      <c r="AS274" s="8"/>
      <c r="AT274" s="8"/>
      <c r="AU274" s="8"/>
    </row>
    <row r="275" spans="1:47" ht="33.75" customHeight="1" thickBot="1" x14ac:dyDescent="0.3">
      <c r="A275" s="1417"/>
      <c r="B275" s="1420"/>
      <c r="C275" s="1389"/>
      <c r="D275" s="322" t="s">
        <v>356</v>
      </c>
      <c r="E275" s="917"/>
      <c r="F275" s="284"/>
      <c r="G275" s="917"/>
      <c r="H275" s="917"/>
      <c r="I275" s="917">
        <v>57533097</v>
      </c>
      <c r="J275" s="917"/>
      <c r="K275" s="917">
        <f>+[4]INVERSIÓN!AF30</f>
        <v>17533097</v>
      </c>
      <c r="L275" s="917">
        <f>+[4]INVERSIÓN!AG30</f>
        <v>47533097</v>
      </c>
      <c r="M275" s="917">
        <v>57533097</v>
      </c>
      <c r="N275" s="917" t="e">
        <f>#REF!</f>
        <v>#REF!</v>
      </c>
      <c r="O275" s="937"/>
      <c r="P275" s="937"/>
      <c r="Q275" s="953"/>
      <c r="R275" s="937"/>
      <c r="S275" s="953"/>
      <c r="T275" s="917"/>
      <c r="U275" s="917"/>
      <c r="V275" s="917"/>
      <c r="W275" s="953"/>
      <c r="X275" s="953"/>
      <c r="Y275" s="953"/>
      <c r="Z275" s="950"/>
      <c r="AA275" s="8"/>
      <c r="AB275" s="8"/>
      <c r="AC275" s="184"/>
      <c r="AD275" s="184"/>
      <c r="AE275" s="184"/>
      <c r="AF275" s="184"/>
      <c r="AG275" s="184"/>
      <c r="AH275" s="184"/>
      <c r="AI275" s="184"/>
      <c r="AJ275" s="184"/>
      <c r="AK275" s="184"/>
      <c r="AL275" s="185"/>
      <c r="AM275" s="185"/>
      <c r="AN275" s="185"/>
      <c r="AO275" s="8"/>
      <c r="AP275" s="8"/>
      <c r="AQ275" s="8"/>
      <c r="AR275" s="8"/>
      <c r="AS275" s="8"/>
      <c r="AT275" s="8"/>
      <c r="AU275" s="8"/>
    </row>
    <row r="276" spans="1:47" ht="12.75" customHeight="1" x14ac:dyDescent="0.25">
      <c r="A276" s="1405">
        <v>4</v>
      </c>
      <c r="B276" s="1322" t="s">
        <v>108</v>
      </c>
      <c r="C276" s="1322" t="s">
        <v>445</v>
      </c>
      <c r="D276" s="292" t="s">
        <v>288</v>
      </c>
      <c r="E276" s="931">
        <v>120</v>
      </c>
      <c r="F276" s="931"/>
      <c r="G276" s="931"/>
      <c r="H276" s="931">
        <v>120</v>
      </c>
      <c r="I276" s="931"/>
      <c r="J276" s="931">
        <f>+[2]INVERSIÓN!Q27</f>
        <v>120</v>
      </c>
      <c r="K276" s="321">
        <v>0</v>
      </c>
      <c r="L276" s="931">
        <v>0</v>
      </c>
      <c r="M276" s="954">
        <v>11</v>
      </c>
      <c r="N276" s="943">
        <v>103</v>
      </c>
      <c r="O276" s="1327" t="s">
        <v>290</v>
      </c>
      <c r="P276" s="1322" t="s">
        <v>86</v>
      </c>
      <c r="Q276" s="1320" t="s">
        <v>86</v>
      </c>
      <c r="R276" s="1322" t="s">
        <v>86</v>
      </c>
      <c r="S276" s="1320" t="s">
        <v>290</v>
      </c>
      <c r="T276" s="1320">
        <v>7878783</v>
      </c>
      <c r="U276" s="1323"/>
      <c r="V276" s="1320"/>
      <c r="W276" s="1320" t="s">
        <v>291</v>
      </c>
      <c r="X276" s="1320" t="s">
        <v>292</v>
      </c>
      <c r="Y276" s="1320" t="s">
        <v>293</v>
      </c>
      <c r="Z276" s="1321">
        <v>7878783</v>
      </c>
      <c r="AA276" s="195"/>
      <c r="AB276" s="195"/>
      <c r="AC276" s="196"/>
      <c r="AD276" s="196"/>
      <c r="AE276" s="196"/>
      <c r="AF276" s="196"/>
      <c r="AG276" s="196"/>
      <c r="AH276" s="196"/>
      <c r="AI276" s="196"/>
      <c r="AJ276" s="196"/>
      <c r="AK276" s="196"/>
      <c r="AL276" s="197"/>
      <c r="AM276" s="197"/>
      <c r="AN276" s="197"/>
      <c r="AO276" s="195"/>
      <c r="AP276" s="195"/>
      <c r="AQ276" s="195"/>
      <c r="AR276" s="195"/>
      <c r="AS276" s="195"/>
      <c r="AT276" s="195"/>
      <c r="AU276" s="195"/>
    </row>
    <row r="277" spans="1:47" ht="12.75" customHeight="1" thickBot="1" x14ac:dyDescent="0.3">
      <c r="A277" s="1406"/>
      <c r="B277" s="1311"/>
      <c r="C277" s="1311"/>
      <c r="D277" s="922" t="s">
        <v>296</v>
      </c>
      <c r="E277" s="919">
        <v>1159424000</v>
      </c>
      <c r="F277" s="919"/>
      <c r="G277" s="919"/>
      <c r="H277" s="919">
        <v>1159424000</v>
      </c>
      <c r="I277" s="919"/>
      <c r="J277" s="919">
        <f>+[2]INVERSIÓN!Q28</f>
        <v>996271850</v>
      </c>
      <c r="K277" s="932">
        <f>+[4]INVERSIÓN!AF34</f>
        <v>263232000</v>
      </c>
      <c r="L277" s="932">
        <f>+[4]INVERSIÓN!AG34</f>
        <v>698210500</v>
      </c>
      <c r="M277" s="932">
        <v>866344417</v>
      </c>
      <c r="N277" s="919">
        <v>996271849</v>
      </c>
      <c r="O277" s="1311"/>
      <c r="P277" s="1311"/>
      <c r="Q277" s="1311"/>
      <c r="R277" s="1311"/>
      <c r="S277" s="1311"/>
      <c r="T277" s="1311"/>
      <c r="U277" s="1311"/>
      <c r="V277" s="1311"/>
      <c r="W277" s="1311"/>
      <c r="X277" s="1311"/>
      <c r="Y277" s="1311"/>
      <c r="Z277" s="1394"/>
      <c r="AA277" s="195"/>
      <c r="AB277" s="195"/>
      <c r="AC277" s="196"/>
      <c r="AD277" s="196"/>
      <c r="AE277" s="196"/>
      <c r="AF277" s="196"/>
      <c r="AG277" s="196"/>
      <c r="AH277" s="196"/>
      <c r="AI277" s="196"/>
      <c r="AJ277" s="196"/>
      <c r="AK277" s="196"/>
      <c r="AL277" s="197"/>
      <c r="AM277" s="197"/>
      <c r="AN277" s="197"/>
      <c r="AO277" s="195"/>
      <c r="AP277" s="195"/>
      <c r="AQ277" s="195"/>
      <c r="AR277" s="195"/>
      <c r="AS277" s="195"/>
      <c r="AT277" s="195"/>
      <c r="AU277" s="195"/>
    </row>
    <row r="278" spans="1:47" ht="12.75" customHeight="1" x14ac:dyDescent="0.25">
      <c r="A278" s="1406"/>
      <c r="B278" s="1311"/>
      <c r="C278" s="1311"/>
      <c r="D278" s="922" t="s">
        <v>299</v>
      </c>
      <c r="E278" s="919">
        <v>47</v>
      </c>
      <c r="F278" s="919"/>
      <c r="G278" s="919"/>
      <c r="H278" s="919">
        <v>47</v>
      </c>
      <c r="I278" s="919"/>
      <c r="J278" s="919">
        <f>+[2]INVERSIÓN!Q29</f>
        <v>47</v>
      </c>
      <c r="K278" s="304">
        <v>0</v>
      </c>
      <c r="L278" s="932"/>
      <c r="M278" s="932"/>
      <c r="N278" s="943">
        <v>47</v>
      </c>
      <c r="O278" s="1311"/>
      <c r="P278" s="1311"/>
      <c r="Q278" s="1311"/>
      <c r="R278" s="1311"/>
      <c r="S278" s="1311"/>
      <c r="T278" s="1311"/>
      <c r="U278" s="1311"/>
      <c r="V278" s="1311"/>
      <c r="W278" s="1311"/>
      <c r="X278" s="1311"/>
      <c r="Y278" s="1311"/>
      <c r="Z278" s="1394"/>
      <c r="AA278" s="195"/>
      <c r="AB278" s="195"/>
      <c r="AC278" s="196"/>
      <c r="AD278" s="196"/>
      <c r="AE278" s="196"/>
      <c r="AF278" s="196"/>
      <c r="AG278" s="196"/>
      <c r="AH278" s="196"/>
      <c r="AI278" s="196"/>
      <c r="AJ278" s="196"/>
      <c r="AK278" s="196"/>
      <c r="AL278" s="197"/>
      <c r="AM278" s="197"/>
      <c r="AN278" s="197"/>
      <c r="AO278" s="195"/>
      <c r="AP278" s="195"/>
      <c r="AQ278" s="195"/>
      <c r="AR278" s="195"/>
      <c r="AS278" s="195"/>
      <c r="AT278" s="195"/>
      <c r="AU278" s="195"/>
    </row>
    <row r="279" spans="1:47" ht="12.75" customHeight="1" x14ac:dyDescent="0.25">
      <c r="A279" s="1406"/>
      <c r="B279" s="1311"/>
      <c r="C279" s="1311"/>
      <c r="D279" s="1396" t="s">
        <v>302</v>
      </c>
      <c r="E279" s="1317">
        <v>263795085</v>
      </c>
      <c r="F279" s="1317"/>
      <c r="G279" s="1317"/>
      <c r="H279" s="1317">
        <v>263795085</v>
      </c>
      <c r="I279" s="919"/>
      <c r="J279" s="1317">
        <f>+[2]INVERSIÓN!Q30</f>
        <v>263795085</v>
      </c>
      <c r="K279" s="1317">
        <f>+[4]INVERSIÓN!AF36</f>
        <v>257556993</v>
      </c>
      <c r="L279" s="1317">
        <f>+[4]INVERSIÓN!AG36</f>
        <v>263795085</v>
      </c>
      <c r="M279" s="1317">
        <v>263795085</v>
      </c>
      <c r="N279" s="1317">
        <v>263795085</v>
      </c>
      <c r="O279" s="1311"/>
      <c r="P279" s="1311"/>
      <c r="Q279" s="1311"/>
      <c r="R279" s="1311"/>
      <c r="S279" s="1311"/>
      <c r="T279" s="1311"/>
      <c r="U279" s="1311"/>
      <c r="V279" s="1311"/>
      <c r="W279" s="1311"/>
      <c r="X279" s="1311"/>
      <c r="Y279" s="1311"/>
      <c r="Z279" s="1394"/>
      <c r="AA279" s="195"/>
      <c r="AB279" s="195"/>
      <c r="AC279" s="196"/>
      <c r="AD279" s="196"/>
      <c r="AE279" s="196"/>
      <c r="AF279" s="196"/>
      <c r="AG279" s="196"/>
      <c r="AH279" s="196"/>
      <c r="AI279" s="196"/>
      <c r="AJ279" s="196"/>
      <c r="AK279" s="196"/>
      <c r="AL279" s="197"/>
      <c r="AM279" s="197"/>
      <c r="AN279" s="197"/>
      <c r="AO279" s="195"/>
      <c r="AP279" s="195"/>
      <c r="AQ279" s="195"/>
      <c r="AR279" s="195"/>
      <c r="AS279" s="195"/>
      <c r="AT279" s="195"/>
      <c r="AU279" s="195"/>
    </row>
    <row r="280" spans="1:47" ht="12.75" customHeight="1" x14ac:dyDescent="0.25">
      <c r="A280" s="1406"/>
      <c r="B280" s="1311"/>
      <c r="C280" s="1311"/>
      <c r="D280" s="1311"/>
      <c r="E280" s="1317"/>
      <c r="F280" s="1311"/>
      <c r="G280" s="1311"/>
      <c r="H280" s="1317"/>
      <c r="I280" s="919"/>
      <c r="J280" s="1311"/>
      <c r="K280" s="1311"/>
      <c r="L280" s="1311"/>
      <c r="M280" s="1311"/>
      <c r="N280" s="1311"/>
      <c r="O280" s="1311"/>
      <c r="P280" s="1311"/>
      <c r="Q280" s="1311"/>
      <c r="R280" s="1311"/>
      <c r="S280" s="1311"/>
      <c r="T280" s="1311"/>
      <c r="U280" s="1311"/>
      <c r="V280" s="1311"/>
      <c r="W280" s="1311"/>
      <c r="X280" s="1311"/>
      <c r="Y280" s="1311"/>
      <c r="Z280" s="1394"/>
      <c r="AA280" s="195"/>
      <c r="AB280" s="195"/>
      <c r="AC280" s="196"/>
      <c r="AD280" s="196"/>
      <c r="AE280" s="196"/>
      <c r="AF280" s="196"/>
      <c r="AG280" s="196"/>
      <c r="AH280" s="196"/>
      <c r="AI280" s="196"/>
      <c r="AJ280" s="196"/>
      <c r="AK280" s="196"/>
      <c r="AL280" s="197"/>
      <c r="AM280" s="197"/>
      <c r="AN280" s="197"/>
      <c r="AO280" s="195"/>
      <c r="AP280" s="195"/>
      <c r="AQ280" s="195"/>
      <c r="AR280" s="195"/>
      <c r="AS280" s="195"/>
      <c r="AT280" s="195"/>
      <c r="AU280" s="195"/>
    </row>
    <row r="281" spans="1:47" ht="12.75" customHeight="1" x14ac:dyDescent="0.25">
      <c r="A281" s="1406"/>
      <c r="B281" s="1311"/>
      <c r="C281" s="1311"/>
      <c r="D281" s="1311"/>
      <c r="E281" s="1317"/>
      <c r="F281" s="1311"/>
      <c r="G281" s="1311"/>
      <c r="H281" s="1317"/>
      <c r="I281" s="919"/>
      <c r="J281" s="1311"/>
      <c r="K281" s="1311"/>
      <c r="L281" s="1311"/>
      <c r="M281" s="1311"/>
      <c r="N281" s="1311"/>
      <c r="O281" s="1311"/>
      <c r="P281" s="1311"/>
      <c r="Q281" s="1311"/>
      <c r="R281" s="1311"/>
      <c r="S281" s="1311"/>
      <c r="T281" s="1311"/>
      <c r="U281" s="1311"/>
      <c r="V281" s="1311"/>
      <c r="W281" s="1311"/>
      <c r="X281" s="1311"/>
      <c r="Y281" s="1311"/>
      <c r="Z281" s="1394"/>
      <c r="AA281" s="195"/>
      <c r="AB281" s="195"/>
      <c r="AC281" s="196"/>
      <c r="AD281" s="196"/>
      <c r="AE281" s="196"/>
      <c r="AF281" s="196"/>
      <c r="AG281" s="196"/>
      <c r="AH281" s="196"/>
      <c r="AI281" s="196"/>
      <c r="AJ281" s="196"/>
      <c r="AK281" s="196"/>
      <c r="AL281" s="197"/>
      <c r="AM281" s="197"/>
      <c r="AN281" s="197"/>
      <c r="AO281" s="195"/>
      <c r="AP281" s="195"/>
      <c r="AQ281" s="195"/>
      <c r="AR281" s="195"/>
      <c r="AS281" s="195"/>
      <c r="AT281" s="195"/>
      <c r="AU281" s="195"/>
    </row>
    <row r="282" spans="1:47" ht="6" customHeight="1" thickBot="1" x14ac:dyDescent="0.3">
      <c r="A282" s="1406"/>
      <c r="B282" s="1311"/>
      <c r="C282" s="1311"/>
      <c r="D282" s="1311"/>
      <c r="E282" s="1317"/>
      <c r="F282" s="1311"/>
      <c r="G282" s="1311"/>
      <c r="H282" s="1317"/>
      <c r="I282" s="919"/>
      <c r="J282" s="1311"/>
      <c r="K282" s="1311"/>
      <c r="L282" s="1311"/>
      <c r="M282" s="1311"/>
      <c r="N282" s="1311"/>
      <c r="O282" s="1311"/>
      <c r="P282" s="1311"/>
      <c r="Q282" s="1311"/>
      <c r="R282" s="1311"/>
      <c r="S282" s="1311"/>
      <c r="T282" s="1311"/>
      <c r="U282" s="1311"/>
      <c r="V282" s="1311"/>
      <c r="W282" s="1311"/>
      <c r="X282" s="1311"/>
      <c r="Y282" s="1311"/>
      <c r="Z282" s="1394"/>
      <c r="AA282" s="195"/>
      <c r="AB282" s="195"/>
      <c r="AC282" s="196"/>
      <c r="AD282" s="196"/>
      <c r="AE282" s="196"/>
      <c r="AF282" s="196"/>
      <c r="AG282" s="196"/>
      <c r="AH282" s="196"/>
      <c r="AI282" s="196"/>
      <c r="AJ282" s="196"/>
      <c r="AK282" s="196"/>
      <c r="AL282" s="197"/>
      <c r="AM282" s="197"/>
      <c r="AN282" s="197"/>
      <c r="AO282" s="195"/>
      <c r="AP282" s="195"/>
      <c r="AQ282" s="195"/>
      <c r="AR282" s="195"/>
      <c r="AS282" s="195"/>
      <c r="AT282" s="195"/>
      <c r="AU282" s="195"/>
    </row>
    <row r="283" spans="1:47" ht="12.75" hidden="1" customHeight="1" x14ac:dyDescent="0.25">
      <c r="A283" s="955"/>
      <c r="B283" s="956"/>
      <c r="C283" s="1318" t="s">
        <v>287</v>
      </c>
      <c r="D283" s="290" t="s">
        <v>288</v>
      </c>
      <c r="E283" s="919"/>
      <c r="F283" s="919"/>
      <c r="G283" s="919"/>
      <c r="H283" s="919"/>
      <c r="I283" s="919"/>
      <c r="J283" s="919"/>
      <c r="K283" s="932"/>
      <c r="L283" s="932"/>
      <c r="M283" s="316"/>
      <c r="N283" s="919"/>
      <c r="O283" s="1317" t="s">
        <v>357</v>
      </c>
      <c r="P283" s="1318" t="s">
        <v>86</v>
      </c>
      <c r="Q283" s="1310" t="s">
        <v>86</v>
      </c>
      <c r="R283" s="1318" t="s">
        <v>86</v>
      </c>
      <c r="S283" s="1310" t="s">
        <v>290</v>
      </c>
      <c r="T283" s="1310">
        <v>7878783</v>
      </c>
      <c r="U283" s="1311"/>
      <c r="V283" s="906"/>
      <c r="W283" s="1310" t="s">
        <v>291</v>
      </c>
      <c r="X283" s="1310" t="s">
        <v>292</v>
      </c>
      <c r="Y283" s="1310" t="s">
        <v>293</v>
      </c>
      <c r="Z283" s="1315">
        <v>7878783</v>
      </c>
      <c r="AA283" s="195"/>
      <c r="AB283" s="195"/>
      <c r="AC283" s="196"/>
      <c r="AD283" s="196"/>
      <c r="AE283" s="196"/>
      <c r="AF283" s="196"/>
      <c r="AG283" s="196"/>
      <c r="AH283" s="196"/>
      <c r="AI283" s="196"/>
      <c r="AJ283" s="196"/>
      <c r="AK283" s="196"/>
      <c r="AL283" s="197"/>
      <c r="AM283" s="197"/>
      <c r="AN283" s="197"/>
      <c r="AO283" s="195"/>
      <c r="AP283" s="195"/>
      <c r="AQ283" s="195"/>
      <c r="AR283" s="195"/>
      <c r="AS283" s="195"/>
      <c r="AT283" s="195"/>
      <c r="AU283" s="195"/>
    </row>
    <row r="284" spans="1:47" ht="12.75" hidden="1" customHeight="1" x14ac:dyDescent="0.25">
      <c r="A284" s="955"/>
      <c r="B284" s="956"/>
      <c r="C284" s="1311"/>
      <c r="D284" s="922" t="s">
        <v>296</v>
      </c>
      <c r="E284" s="919"/>
      <c r="F284" s="919"/>
      <c r="G284" s="919"/>
      <c r="H284" s="289"/>
      <c r="I284" s="289"/>
      <c r="J284" s="919"/>
      <c r="K284" s="932"/>
      <c r="L284" s="932"/>
      <c r="M284" s="932"/>
      <c r="N284" s="932"/>
      <c r="O284" s="1311"/>
      <c r="P284" s="1311"/>
      <c r="Q284" s="1311"/>
      <c r="R284" s="1311"/>
      <c r="S284" s="1311"/>
      <c r="T284" s="1311"/>
      <c r="U284" s="1311"/>
      <c r="V284" s="906"/>
      <c r="W284" s="1311"/>
      <c r="X284" s="1311"/>
      <c r="Y284" s="1311"/>
      <c r="Z284" s="1394"/>
      <c r="AA284" s="195"/>
      <c r="AB284" s="195"/>
      <c r="AC284" s="196"/>
      <c r="AD284" s="196"/>
      <c r="AE284" s="196"/>
      <c r="AF284" s="196"/>
      <c r="AG284" s="196"/>
      <c r="AH284" s="196"/>
      <c r="AI284" s="196"/>
      <c r="AJ284" s="196"/>
      <c r="AK284" s="196"/>
      <c r="AL284" s="197"/>
      <c r="AM284" s="197"/>
      <c r="AN284" s="197"/>
      <c r="AO284" s="195"/>
      <c r="AP284" s="195"/>
      <c r="AQ284" s="195"/>
      <c r="AR284" s="195"/>
      <c r="AS284" s="195"/>
      <c r="AT284" s="195"/>
      <c r="AU284" s="195"/>
    </row>
    <row r="285" spans="1:47" ht="12.75" hidden="1" customHeight="1" x14ac:dyDescent="0.25">
      <c r="A285" s="955"/>
      <c r="B285" s="956"/>
      <c r="C285" s="1311"/>
      <c r="D285" s="922" t="s">
        <v>299</v>
      </c>
      <c r="E285" s="919"/>
      <c r="F285" s="919"/>
      <c r="G285" s="919"/>
      <c r="H285" s="919"/>
      <c r="I285" s="919"/>
      <c r="J285" s="919"/>
      <c r="K285" s="932"/>
      <c r="L285" s="932"/>
      <c r="M285" s="932"/>
      <c r="N285" s="932"/>
      <c r="O285" s="1311"/>
      <c r="P285" s="1311"/>
      <c r="Q285" s="1311"/>
      <c r="R285" s="1311"/>
      <c r="S285" s="1311"/>
      <c r="T285" s="1311"/>
      <c r="U285" s="1311"/>
      <c r="V285" s="906"/>
      <c r="W285" s="1311"/>
      <c r="X285" s="1311"/>
      <c r="Y285" s="1311"/>
      <c r="Z285" s="1394"/>
      <c r="AA285" s="195"/>
      <c r="AB285" s="195"/>
      <c r="AC285" s="196"/>
      <c r="AD285" s="196"/>
      <c r="AE285" s="196"/>
      <c r="AF285" s="196"/>
      <c r="AG285" s="196"/>
      <c r="AH285" s="196"/>
      <c r="AI285" s="196"/>
      <c r="AJ285" s="196"/>
      <c r="AK285" s="196"/>
      <c r="AL285" s="197"/>
      <c r="AM285" s="197"/>
      <c r="AN285" s="197"/>
      <c r="AO285" s="195"/>
      <c r="AP285" s="195"/>
      <c r="AQ285" s="195"/>
      <c r="AR285" s="195"/>
      <c r="AS285" s="195"/>
      <c r="AT285" s="195"/>
      <c r="AU285" s="195"/>
    </row>
    <row r="286" spans="1:47" ht="12.75" hidden="1" customHeight="1" x14ac:dyDescent="0.25">
      <c r="A286" s="955"/>
      <c r="B286" s="956"/>
      <c r="C286" s="1311"/>
      <c r="D286" s="1396" t="s">
        <v>302</v>
      </c>
      <c r="E286" s="1317"/>
      <c r="F286" s="1317"/>
      <c r="G286" s="1317"/>
      <c r="H286" s="1317"/>
      <c r="I286" s="919"/>
      <c r="J286" s="1317"/>
      <c r="K286" s="1317"/>
      <c r="L286" s="919"/>
      <c r="M286" s="1317"/>
      <c r="N286" s="1317"/>
      <c r="O286" s="1311"/>
      <c r="P286" s="1311"/>
      <c r="Q286" s="1311"/>
      <c r="R286" s="1311"/>
      <c r="S286" s="1311"/>
      <c r="T286" s="1311"/>
      <c r="U286" s="1311"/>
      <c r="V286" s="906"/>
      <c r="W286" s="1311"/>
      <c r="X286" s="1311"/>
      <c r="Y286" s="1311"/>
      <c r="Z286" s="1394"/>
      <c r="AA286" s="195"/>
      <c r="AB286" s="195"/>
      <c r="AC286" s="196"/>
      <c r="AD286" s="196"/>
      <c r="AE286" s="196"/>
      <c r="AF286" s="196"/>
      <c r="AG286" s="196"/>
      <c r="AH286" s="196"/>
      <c r="AI286" s="196"/>
      <c r="AJ286" s="196"/>
      <c r="AK286" s="196"/>
      <c r="AL286" s="197"/>
      <c r="AM286" s="197"/>
      <c r="AN286" s="197"/>
      <c r="AO286" s="195"/>
      <c r="AP286" s="195"/>
      <c r="AQ286" s="195"/>
      <c r="AR286" s="195"/>
      <c r="AS286" s="195"/>
      <c r="AT286" s="195"/>
      <c r="AU286" s="195"/>
    </row>
    <row r="287" spans="1:47" ht="12.75" hidden="1" customHeight="1" x14ac:dyDescent="0.25">
      <c r="A287" s="955"/>
      <c r="B287" s="956"/>
      <c r="C287" s="1311"/>
      <c r="D287" s="1311"/>
      <c r="E287" s="1317"/>
      <c r="F287" s="1311"/>
      <c r="G287" s="1311"/>
      <c r="H287" s="1311"/>
      <c r="I287" s="906"/>
      <c r="J287" s="1311"/>
      <c r="K287" s="1311"/>
      <c r="L287" s="906"/>
      <c r="M287" s="1311"/>
      <c r="N287" s="1311"/>
      <c r="O287" s="1311"/>
      <c r="P287" s="1311"/>
      <c r="Q287" s="1311"/>
      <c r="R287" s="1311"/>
      <c r="S287" s="1311"/>
      <c r="T287" s="1311"/>
      <c r="U287" s="1311"/>
      <c r="V287" s="906"/>
      <c r="W287" s="1311"/>
      <c r="X287" s="1311"/>
      <c r="Y287" s="1311"/>
      <c r="Z287" s="1394"/>
      <c r="AA287" s="195"/>
      <c r="AB287" s="195"/>
      <c r="AC287" s="196"/>
      <c r="AD287" s="196"/>
      <c r="AE287" s="196"/>
      <c r="AF287" s="196"/>
      <c r="AG287" s="196"/>
      <c r="AH287" s="196"/>
      <c r="AI287" s="196"/>
      <c r="AJ287" s="196"/>
      <c r="AK287" s="196"/>
      <c r="AL287" s="197"/>
      <c r="AM287" s="197"/>
      <c r="AN287" s="197"/>
      <c r="AO287" s="195"/>
      <c r="AP287" s="195"/>
      <c r="AQ287" s="195"/>
      <c r="AR287" s="195"/>
      <c r="AS287" s="195"/>
      <c r="AT287" s="195"/>
      <c r="AU287" s="195"/>
    </row>
    <row r="288" spans="1:47" ht="12.75" hidden="1" customHeight="1" x14ac:dyDescent="0.25">
      <c r="A288" s="955"/>
      <c r="B288" s="956"/>
      <c r="C288" s="1311"/>
      <c r="D288" s="1311"/>
      <c r="E288" s="1317"/>
      <c r="F288" s="1311"/>
      <c r="G288" s="1311"/>
      <c r="H288" s="1311"/>
      <c r="I288" s="906"/>
      <c r="J288" s="1311"/>
      <c r="K288" s="1311"/>
      <c r="L288" s="906"/>
      <c r="M288" s="1311"/>
      <c r="N288" s="1311"/>
      <c r="O288" s="1311"/>
      <c r="P288" s="1311"/>
      <c r="Q288" s="1311"/>
      <c r="R288" s="1311"/>
      <c r="S288" s="1311"/>
      <c r="T288" s="1311"/>
      <c r="U288" s="1311"/>
      <c r="V288" s="906"/>
      <c r="W288" s="1311"/>
      <c r="X288" s="1311"/>
      <c r="Y288" s="1311"/>
      <c r="Z288" s="1394"/>
      <c r="AA288" s="195"/>
      <c r="AB288" s="195"/>
      <c r="AC288" s="196"/>
      <c r="AD288" s="196"/>
      <c r="AE288" s="196"/>
      <c r="AF288" s="196"/>
      <c r="AG288" s="196"/>
      <c r="AH288" s="196"/>
      <c r="AI288" s="196"/>
      <c r="AJ288" s="196"/>
      <c r="AK288" s="196"/>
      <c r="AL288" s="197"/>
      <c r="AM288" s="197"/>
      <c r="AN288" s="197"/>
      <c r="AO288" s="195"/>
      <c r="AP288" s="195"/>
      <c r="AQ288" s="195"/>
      <c r="AR288" s="195"/>
      <c r="AS288" s="195"/>
      <c r="AT288" s="195"/>
      <c r="AU288" s="195"/>
    </row>
    <row r="289" spans="1:47" ht="6" hidden="1" customHeight="1" x14ac:dyDescent="0.25">
      <c r="A289" s="955"/>
      <c r="B289" s="956"/>
      <c r="C289" s="1311"/>
      <c r="D289" s="1311"/>
      <c r="E289" s="1317"/>
      <c r="F289" s="1311"/>
      <c r="G289" s="1311"/>
      <c r="H289" s="1311"/>
      <c r="I289" s="906"/>
      <c r="J289" s="1311"/>
      <c r="K289" s="1311"/>
      <c r="L289" s="906"/>
      <c r="M289" s="1311"/>
      <c r="N289" s="1311"/>
      <c r="O289" s="1311"/>
      <c r="P289" s="1311"/>
      <c r="Q289" s="1311"/>
      <c r="R289" s="1311"/>
      <c r="S289" s="1311"/>
      <c r="T289" s="1311"/>
      <c r="U289" s="1311"/>
      <c r="V289" s="906"/>
      <c r="W289" s="1311"/>
      <c r="X289" s="1311"/>
      <c r="Y289" s="1311"/>
      <c r="Z289" s="1394"/>
      <c r="AA289" s="195"/>
      <c r="AB289" s="195"/>
      <c r="AC289" s="196"/>
      <c r="AD289" s="196"/>
      <c r="AE289" s="196"/>
      <c r="AF289" s="196"/>
      <c r="AG289" s="196"/>
      <c r="AH289" s="196"/>
      <c r="AI289" s="196"/>
      <c r="AJ289" s="196"/>
      <c r="AK289" s="196"/>
      <c r="AL289" s="197"/>
      <c r="AM289" s="197"/>
      <c r="AN289" s="197"/>
      <c r="AO289" s="195"/>
      <c r="AP289" s="195"/>
      <c r="AQ289" s="195"/>
      <c r="AR289" s="195"/>
      <c r="AS289" s="195"/>
      <c r="AT289" s="195"/>
      <c r="AU289" s="195"/>
    </row>
    <row r="290" spans="1:47" ht="12.75" hidden="1" customHeight="1" x14ac:dyDescent="0.25">
      <c r="A290" s="955"/>
      <c r="B290" s="956"/>
      <c r="C290" s="1318" t="s">
        <v>287</v>
      </c>
      <c r="D290" s="290" t="s">
        <v>288</v>
      </c>
      <c r="E290" s="919"/>
      <c r="F290" s="919"/>
      <c r="G290" s="919"/>
      <c r="H290" s="919"/>
      <c r="I290" s="919"/>
      <c r="J290" s="919"/>
      <c r="K290" s="932"/>
      <c r="L290" s="932"/>
      <c r="M290" s="316"/>
      <c r="N290" s="919"/>
      <c r="O290" s="1317" t="s">
        <v>358</v>
      </c>
      <c r="P290" s="1318" t="s">
        <v>86</v>
      </c>
      <c r="Q290" s="1310" t="s">
        <v>86</v>
      </c>
      <c r="R290" s="1318" t="s">
        <v>86</v>
      </c>
      <c r="S290" s="1310" t="s">
        <v>290</v>
      </c>
      <c r="T290" s="1310">
        <v>7878783</v>
      </c>
      <c r="U290" s="1311"/>
      <c r="V290" s="906"/>
      <c r="W290" s="1310" t="s">
        <v>291</v>
      </c>
      <c r="X290" s="1310" t="s">
        <v>292</v>
      </c>
      <c r="Y290" s="1310" t="s">
        <v>293</v>
      </c>
      <c r="Z290" s="1315">
        <v>7878783</v>
      </c>
      <c r="AA290" s="195"/>
      <c r="AB290" s="195"/>
      <c r="AC290" s="196"/>
      <c r="AD290" s="196"/>
      <c r="AE290" s="196"/>
      <c r="AF290" s="196"/>
      <c r="AG290" s="196"/>
      <c r="AH290" s="196"/>
      <c r="AI290" s="196"/>
      <c r="AJ290" s="196"/>
      <c r="AK290" s="196"/>
      <c r="AL290" s="197"/>
      <c r="AM290" s="197"/>
      <c r="AN290" s="197"/>
      <c r="AO290" s="195"/>
      <c r="AP290" s="195"/>
      <c r="AQ290" s="195"/>
      <c r="AR290" s="195"/>
      <c r="AS290" s="195"/>
      <c r="AT290" s="195"/>
      <c r="AU290" s="195"/>
    </row>
    <row r="291" spans="1:47" ht="12.75" hidden="1" customHeight="1" x14ac:dyDescent="0.25">
      <c r="A291" s="955"/>
      <c r="B291" s="956"/>
      <c r="C291" s="1311"/>
      <c r="D291" s="922" t="s">
        <v>296</v>
      </c>
      <c r="E291" s="919"/>
      <c r="F291" s="919"/>
      <c r="G291" s="919"/>
      <c r="H291" s="289"/>
      <c r="I291" s="289"/>
      <c r="J291" s="919"/>
      <c r="K291" s="932"/>
      <c r="L291" s="932"/>
      <c r="M291" s="932"/>
      <c r="N291" s="932"/>
      <c r="O291" s="1311"/>
      <c r="P291" s="1311"/>
      <c r="Q291" s="1311"/>
      <c r="R291" s="1311"/>
      <c r="S291" s="1311"/>
      <c r="T291" s="1311"/>
      <c r="U291" s="1311"/>
      <c r="V291" s="906"/>
      <c r="W291" s="1311"/>
      <c r="X291" s="1311"/>
      <c r="Y291" s="1311"/>
      <c r="Z291" s="1394"/>
      <c r="AA291" s="195"/>
      <c r="AB291" s="195"/>
      <c r="AC291" s="196"/>
      <c r="AD291" s="196"/>
      <c r="AE291" s="196"/>
      <c r="AF291" s="196"/>
      <c r="AG291" s="196"/>
      <c r="AH291" s="196"/>
      <c r="AI291" s="196"/>
      <c r="AJ291" s="196"/>
      <c r="AK291" s="196"/>
      <c r="AL291" s="197"/>
      <c r="AM291" s="197"/>
      <c r="AN291" s="197"/>
      <c r="AO291" s="195"/>
      <c r="AP291" s="195"/>
      <c r="AQ291" s="195"/>
      <c r="AR291" s="195"/>
      <c r="AS291" s="195"/>
      <c r="AT291" s="195"/>
      <c r="AU291" s="195"/>
    </row>
    <row r="292" spans="1:47" ht="12.75" hidden="1" customHeight="1" x14ac:dyDescent="0.25">
      <c r="A292" s="955"/>
      <c r="B292" s="956"/>
      <c r="C292" s="1311"/>
      <c r="D292" s="922" t="s">
        <v>299</v>
      </c>
      <c r="E292" s="919"/>
      <c r="F292" s="919"/>
      <c r="G292" s="919"/>
      <c r="H292" s="919"/>
      <c r="I292" s="919"/>
      <c r="J292" s="919"/>
      <c r="K292" s="932"/>
      <c r="L292" s="932"/>
      <c r="M292" s="932"/>
      <c r="N292" s="932"/>
      <c r="O292" s="1311"/>
      <c r="P292" s="1311"/>
      <c r="Q292" s="1311"/>
      <c r="R292" s="1311"/>
      <c r="S292" s="1311"/>
      <c r="T292" s="1311"/>
      <c r="U292" s="1311"/>
      <c r="V292" s="906"/>
      <c r="W292" s="1311"/>
      <c r="X292" s="1311"/>
      <c r="Y292" s="1311"/>
      <c r="Z292" s="1394"/>
      <c r="AA292" s="195"/>
      <c r="AB292" s="195"/>
      <c r="AC292" s="196"/>
      <c r="AD292" s="196"/>
      <c r="AE292" s="196"/>
      <c r="AF292" s="196"/>
      <c r="AG292" s="196"/>
      <c r="AH292" s="196"/>
      <c r="AI292" s="196"/>
      <c r="AJ292" s="196"/>
      <c r="AK292" s="196"/>
      <c r="AL292" s="197"/>
      <c r="AM292" s="197"/>
      <c r="AN292" s="197"/>
      <c r="AO292" s="195"/>
      <c r="AP292" s="195"/>
      <c r="AQ292" s="195"/>
      <c r="AR292" s="195"/>
      <c r="AS292" s="195"/>
      <c r="AT292" s="195"/>
      <c r="AU292" s="195"/>
    </row>
    <row r="293" spans="1:47" ht="12.75" hidden="1" customHeight="1" x14ac:dyDescent="0.25">
      <c r="A293" s="955"/>
      <c r="B293" s="956"/>
      <c r="C293" s="1311"/>
      <c r="D293" s="1396" t="s">
        <v>302</v>
      </c>
      <c r="E293" s="1317"/>
      <c r="F293" s="1317"/>
      <c r="G293" s="1317"/>
      <c r="H293" s="1317"/>
      <c r="I293" s="919"/>
      <c r="J293" s="1317"/>
      <c r="K293" s="1317"/>
      <c r="L293" s="919"/>
      <c r="M293" s="1317"/>
      <c r="N293" s="1317"/>
      <c r="O293" s="1311"/>
      <c r="P293" s="1311"/>
      <c r="Q293" s="1311"/>
      <c r="R293" s="1311"/>
      <c r="S293" s="1311"/>
      <c r="T293" s="1311"/>
      <c r="U293" s="1311"/>
      <c r="V293" s="906"/>
      <c r="W293" s="1311"/>
      <c r="X293" s="1311"/>
      <c r="Y293" s="1311"/>
      <c r="Z293" s="1394"/>
      <c r="AA293" s="195"/>
      <c r="AB293" s="195"/>
      <c r="AC293" s="196"/>
      <c r="AD293" s="196"/>
      <c r="AE293" s="196"/>
      <c r="AF293" s="196"/>
      <c r="AG293" s="196"/>
      <c r="AH293" s="196"/>
      <c r="AI293" s="196"/>
      <c r="AJ293" s="196"/>
      <c r="AK293" s="196"/>
      <c r="AL293" s="197"/>
      <c r="AM293" s="197"/>
      <c r="AN293" s="197"/>
      <c r="AO293" s="195"/>
      <c r="AP293" s="195"/>
      <c r="AQ293" s="195"/>
      <c r="AR293" s="195"/>
      <c r="AS293" s="195"/>
      <c r="AT293" s="195"/>
      <c r="AU293" s="195"/>
    </row>
    <row r="294" spans="1:47" ht="12.75" hidden="1" customHeight="1" x14ac:dyDescent="0.25">
      <c r="A294" s="955"/>
      <c r="B294" s="956"/>
      <c r="C294" s="1311"/>
      <c r="D294" s="1311"/>
      <c r="E294" s="1317"/>
      <c r="F294" s="1311"/>
      <c r="G294" s="1311"/>
      <c r="H294" s="1311"/>
      <c r="I294" s="906"/>
      <c r="J294" s="1311"/>
      <c r="K294" s="1311"/>
      <c r="L294" s="906"/>
      <c r="M294" s="1311"/>
      <c r="N294" s="1311"/>
      <c r="O294" s="1311"/>
      <c r="P294" s="1311"/>
      <c r="Q294" s="1311"/>
      <c r="R294" s="1311"/>
      <c r="S294" s="1311"/>
      <c r="T294" s="1311"/>
      <c r="U294" s="1311"/>
      <c r="V294" s="906"/>
      <c r="W294" s="1311"/>
      <c r="X294" s="1311"/>
      <c r="Y294" s="1311"/>
      <c r="Z294" s="1394"/>
      <c r="AA294" s="195"/>
      <c r="AB294" s="195"/>
      <c r="AC294" s="196"/>
      <c r="AD294" s="196"/>
      <c r="AE294" s="196"/>
      <c r="AF294" s="196"/>
      <c r="AG294" s="196"/>
      <c r="AH294" s="196"/>
      <c r="AI294" s="196"/>
      <c r="AJ294" s="196"/>
      <c r="AK294" s="196"/>
      <c r="AL294" s="197"/>
      <c r="AM294" s="197"/>
      <c r="AN294" s="197"/>
      <c r="AO294" s="195"/>
      <c r="AP294" s="195"/>
      <c r="AQ294" s="195"/>
      <c r="AR294" s="195"/>
      <c r="AS294" s="195"/>
      <c r="AT294" s="195"/>
      <c r="AU294" s="195"/>
    </row>
    <row r="295" spans="1:47" ht="12.75" hidden="1" customHeight="1" x14ac:dyDescent="0.25">
      <c r="A295" s="955"/>
      <c r="B295" s="956"/>
      <c r="C295" s="1311"/>
      <c r="D295" s="1311"/>
      <c r="E295" s="1317"/>
      <c r="F295" s="1311"/>
      <c r="G295" s="1311"/>
      <c r="H295" s="1311"/>
      <c r="I295" s="906"/>
      <c r="J295" s="1311"/>
      <c r="K295" s="1311"/>
      <c r="L295" s="906"/>
      <c r="M295" s="1311"/>
      <c r="N295" s="1311"/>
      <c r="O295" s="1311"/>
      <c r="P295" s="1311"/>
      <c r="Q295" s="1311"/>
      <c r="R295" s="1311"/>
      <c r="S295" s="1311"/>
      <c r="T295" s="1311"/>
      <c r="U295" s="1311"/>
      <c r="V295" s="906"/>
      <c r="W295" s="1311"/>
      <c r="X295" s="1311"/>
      <c r="Y295" s="1311"/>
      <c r="Z295" s="1394"/>
      <c r="AA295" s="195"/>
      <c r="AB295" s="195"/>
      <c r="AC295" s="196"/>
      <c r="AD295" s="196"/>
      <c r="AE295" s="196"/>
      <c r="AF295" s="196"/>
      <c r="AG295" s="196"/>
      <c r="AH295" s="196"/>
      <c r="AI295" s="196"/>
      <c r="AJ295" s="196"/>
      <c r="AK295" s="196"/>
      <c r="AL295" s="197"/>
      <c r="AM295" s="197"/>
      <c r="AN295" s="197"/>
      <c r="AO295" s="195"/>
      <c r="AP295" s="195"/>
      <c r="AQ295" s="195"/>
      <c r="AR295" s="195"/>
      <c r="AS295" s="195"/>
      <c r="AT295" s="195"/>
      <c r="AU295" s="195"/>
    </row>
    <row r="296" spans="1:47" ht="6" hidden="1" customHeight="1" x14ac:dyDescent="0.25">
      <c r="A296" s="955"/>
      <c r="B296" s="956"/>
      <c r="C296" s="1311"/>
      <c r="D296" s="1311"/>
      <c r="E296" s="1317"/>
      <c r="F296" s="1311"/>
      <c r="G296" s="1311"/>
      <c r="H296" s="1311"/>
      <c r="I296" s="906"/>
      <c r="J296" s="1311"/>
      <c r="K296" s="1311"/>
      <c r="L296" s="906"/>
      <c r="M296" s="1311"/>
      <c r="N296" s="1311"/>
      <c r="O296" s="1311"/>
      <c r="P296" s="1311"/>
      <c r="Q296" s="1311"/>
      <c r="R296" s="1311"/>
      <c r="S296" s="1311"/>
      <c r="T296" s="1311"/>
      <c r="U296" s="1311"/>
      <c r="V296" s="906"/>
      <c r="W296" s="1311"/>
      <c r="X296" s="1311"/>
      <c r="Y296" s="1311"/>
      <c r="Z296" s="1394"/>
      <c r="AA296" s="195"/>
      <c r="AB296" s="195"/>
      <c r="AC296" s="196"/>
      <c r="AD296" s="196"/>
      <c r="AE296" s="196"/>
      <c r="AF296" s="196"/>
      <c r="AG296" s="196"/>
      <c r="AH296" s="196"/>
      <c r="AI296" s="196"/>
      <c r="AJ296" s="196"/>
      <c r="AK296" s="196"/>
      <c r="AL296" s="197"/>
      <c r="AM296" s="197"/>
      <c r="AN296" s="197"/>
      <c r="AO296" s="195"/>
      <c r="AP296" s="195"/>
      <c r="AQ296" s="195"/>
      <c r="AR296" s="195"/>
      <c r="AS296" s="195"/>
      <c r="AT296" s="195"/>
      <c r="AU296" s="195"/>
    </row>
    <row r="297" spans="1:47" ht="12.75" hidden="1" customHeight="1" x14ac:dyDescent="0.25">
      <c r="A297" s="955"/>
      <c r="B297" s="956"/>
      <c r="C297" s="1318" t="s">
        <v>287</v>
      </c>
      <c r="D297" s="290" t="s">
        <v>288</v>
      </c>
      <c r="E297" s="919"/>
      <c r="F297" s="919"/>
      <c r="G297" s="919"/>
      <c r="H297" s="919"/>
      <c r="I297" s="919"/>
      <c r="J297" s="919"/>
      <c r="K297" s="932"/>
      <c r="L297" s="932"/>
      <c r="M297" s="316"/>
      <c r="N297" s="919"/>
      <c r="O297" s="1317" t="s">
        <v>359</v>
      </c>
      <c r="P297" s="1318" t="s">
        <v>86</v>
      </c>
      <c r="Q297" s="1310" t="s">
        <v>86</v>
      </c>
      <c r="R297" s="1318" t="s">
        <v>86</v>
      </c>
      <c r="S297" s="1310" t="s">
        <v>290</v>
      </c>
      <c r="T297" s="1310">
        <v>7878783</v>
      </c>
      <c r="U297" s="1311"/>
      <c r="V297" s="906"/>
      <c r="W297" s="1310" t="s">
        <v>291</v>
      </c>
      <c r="X297" s="1310" t="s">
        <v>292</v>
      </c>
      <c r="Y297" s="1310" t="s">
        <v>293</v>
      </c>
      <c r="Z297" s="1315">
        <v>7878783</v>
      </c>
      <c r="AA297" s="195"/>
      <c r="AB297" s="195"/>
      <c r="AC297" s="196"/>
      <c r="AD297" s="196"/>
      <c r="AE297" s="196"/>
      <c r="AF297" s="196"/>
      <c r="AG297" s="196"/>
      <c r="AH297" s="196"/>
      <c r="AI297" s="196"/>
      <c r="AJ297" s="196"/>
      <c r="AK297" s="196"/>
      <c r="AL297" s="197"/>
      <c r="AM297" s="197"/>
      <c r="AN297" s="197"/>
      <c r="AO297" s="195"/>
      <c r="AP297" s="195"/>
      <c r="AQ297" s="195"/>
      <c r="AR297" s="195"/>
      <c r="AS297" s="195"/>
      <c r="AT297" s="195"/>
      <c r="AU297" s="195"/>
    </row>
    <row r="298" spans="1:47" ht="12.75" hidden="1" customHeight="1" x14ac:dyDescent="0.25">
      <c r="A298" s="955"/>
      <c r="B298" s="956"/>
      <c r="C298" s="1311"/>
      <c r="D298" s="922" t="s">
        <v>296</v>
      </c>
      <c r="E298" s="919"/>
      <c r="F298" s="919"/>
      <c r="G298" s="919"/>
      <c r="H298" s="289"/>
      <c r="I298" s="289"/>
      <c r="J298" s="919"/>
      <c r="K298" s="932"/>
      <c r="L298" s="932"/>
      <c r="M298" s="932"/>
      <c r="N298" s="932"/>
      <c r="O298" s="1311"/>
      <c r="P298" s="1311"/>
      <c r="Q298" s="1311"/>
      <c r="R298" s="1311"/>
      <c r="S298" s="1311"/>
      <c r="T298" s="1311"/>
      <c r="U298" s="1311"/>
      <c r="V298" s="906"/>
      <c r="W298" s="1311"/>
      <c r="X298" s="1311"/>
      <c r="Y298" s="1311"/>
      <c r="Z298" s="1394"/>
      <c r="AA298" s="195"/>
      <c r="AB298" s="195"/>
      <c r="AC298" s="196"/>
      <c r="AD298" s="196"/>
      <c r="AE298" s="196"/>
      <c r="AF298" s="196"/>
      <c r="AG298" s="196"/>
      <c r="AH298" s="196"/>
      <c r="AI298" s="196"/>
      <c r="AJ298" s="196"/>
      <c r="AK298" s="196"/>
      <c r="AL298" s="197"/>
      <c r="AM298" s="197"/>
      <c r="AN298" s="197"/>
      <c r="AO298" s="195"/>
      <c r="AP298" s="195"/>
      <c r="AQ298" s="195"/>
      <c r="AR298" s="195"/>
      <c r="AS298" s="195"/>
      <c r="AT298" s="195"/>
      <c r="AU298" s="195"/>
    </row>
    <row r="299" spans="1:47" ht="12.75" hidden="1" customHeight="1" x14ac:dyDescent="0.25">
      <c r="A299" s="955"/>
      <c r="B299" s="956"/>
      <c r="C299" s="1311"/>
      <c r="D299" s="922" t="s">
        <v>299</v>
      </c>
      <c r="E299" s="919"/>
      <c r="F299" s="919"/>
      <c r="G299" s="919"/>
      <c r="H299" s="919"/>
      <c r="I299" s="919"/>
      <c r="J299" s="919"/>
      <c r="K299" s="932"/>
      <c r="L299" s="932"/>
      <c r="M299" s="932"/>
      <c r="N299" s="932"/>
      <c r="O299" s="1311"/>
      <c r="P299" s="1311"/>
      <c r="Q299" s="1311"/>
      <c r="R299" s="1311"/>
      <c r="S299" s="1311"/>
      <c r="T299" s="1311"/>
      <c r="U299" s="1311"/>
      <c r="V299" s="906"/>
      <c r="W299" s="1311"/>
      <c r="X299" s="1311"/>
      <c r="Y299" s="1311"/>
      <c r="Z299" s="1394"/>
      <c r="AA299" s="195"/>
      <c r="AB299" s="195"/>
      <c r="AC299" s="196"/>
      <c r="AD299" s="196"/>
      <c r="AE299" s="196"/>
      <c r="AF299" s="196"/>
      <c r="AG299" s="196"/>
      <c r="AH299" s="196"/>
      <c r="AI299" s="196"/>
      <c r="AJ299" s="196"/>
      <c r="AK299" s="196"/>
      <c r="AL299" s="197"/>
      <c r="AM299" s="197"/>
      <c r="AN299" s="197"/>
      <c r="AO299" s="195"/>
      <c r="AP299" s="195"/>
      <c r="AQ299" s="195"/>
      <c r="AR299" s="195"/>
      <c r="AS299" s="195"/>
      <c r="AT299" s="195"/>
      <c r="AU299" s="195"/>
    </row>
    <row r="300" spans="1:47" ht="12.75" hidden="1" customHeight="1" x14ac:dyDescent="0.25">
      <c r="A300" s="955"/>
      <c r="B300" s="956"/>
      <c r="C300" s="1311"/>
      <c r="D300" s="1396" t="s">
        <v>302</v>
      </c>
      <c r="E300" s="1317"/>
      <c r="F300" s="1317"/>
      <c r="G300" s="1317"/>
      <c r="H300" s="1317"/>
      <c r="I300" s="919"/>
      <c r="J300" s="1317"/>
      <c r="K300" s="1317"/>
      <c r="L300" s="919"/>
      <c r="M300" s="1317"/>
      <c r="N300" s="1317"/>
      <c r="O300" s="1311"/>
      <c r="P300" s="1311"/>
      <c r="Q300" s="1311"/>
      <c r="R300" s="1311"/>
      <c r="S300" s="1311"/>
      <c r="T300" s="1311"/>
      <c r="U300" s="1311"/>
      <c r="V300" s="906"/>
      <c r="W300" s="1311"/>
      <c r="X300" s="1311"/>
      <c r="Y300" s="1311"/>
      <c r="Z300" s="1394"/>
      <c r="AA300" s="195"/>
      <c r="AB300" s="195"/>
      <c r="AC300" s="196"/>
      <c r="AD300" s="196"/>
      <c r="AE300" s="196"/>
      <c r="AF300" s="196"/>
      <c r="AG300" s="196"/>
      <c r="AH300" s="196"/>
      <c r="AI300" s="196"/>
      <c r="AJ300" s="196"/>
      <c r="AK300" s="196"/>
      <c r="AL300" s="197"/>
      <c r="AM300" s="197"/>
      <c r="AN300" s="197"/>
      <c r="AO300" s="195"/>
      <c r="AP300" s="195"/>
      <c r="AQ300" s="195"/>
      <c r="AR300" s="195"/>
      <c r="AS300" s="195"/>
      <c r="AT300" s="195"/>
      <c r="AU300" s="195"/>
    </row>
    <row r="301" spans="1:47" ht="12.75" hidden="1" customHeight="1" x14ac:dyDescent="0.25">
      <c r="A301" s="955"/>
      <c r="B301" s="956"/>
      <c r="C301" s="1311"/>
      <c r="D301" s="1311"/>
      <c r="E301" s="1317"/>
      <c r="F301" s="1311"/>
      <c r="G301" s="1311"/>
      <c r="H301" s="1311"/>
      <c r="I301" s="906"/>
      <c r="J301" s="1311"/>
      <c r="K301" s="1311"/>
      <c r="L301" s="906"/>
      <c r="M301" s="1311"/>
      <c r="N301" s="1311"/>
      <c r="O301" s="1311"/>
      <c r="P301" s="1311"/>
      <c r="Q301" s="1311"/>
      <c r="R301" s="1311"/>
      <c r="S301" s="1311"/>
      <c r="T301" s="1311"/>
      <c r="U301" s="1311"/>
      <c r="V301" s="906"/>
      <c r="W301" s="1311"/>
      <c r="X301" s="1311"/>
      <c r="Y301" s="1311"/>
      <c r="Z301" s="1394"/>
      <c r="AA301" s="195"/>
      <c r="AB301" s="195"/>
      <c r="AC301" s="196"/>
      <c r="AD301" s="196"/>
      <c r="AE301" s="196"/>
      <c r="AF301" s="196"/>
      <c r="AG301" s="196"/>
      <c r="AH301" s="196"/>
      <c r="AI301" s="196"/>
      <c r="AJ301" s="196"/>
      <c r="AK301" s="196"/>
      <c r="AL301" s="197"/>
      <c r="AM301" s="197"/>
      <c r="AN301" s="197"/>
      <c r="AO301" s="195"/>
      <c r="AP301" s="195"/>
      <c r="AQ301" s="195"/>
      <c r="AR301" s="195"/>
      <c r="AS301" s="195"/>
      <c r="AT301" s="195"/>
      <c r="AU301" s="195"/>
    </row>
    <row r="302" spans="1:47" ht="12.75" hidden="1" customHeight="1" x14ac:dyDescent="0.25">
      <c r="A302" s="955"/>
      <c r="B302" s="956"/>
      <c r="C302" s="1311"/>
      <c r="D302" s="1311"/>
      <c r="E302" s="1317"/>
      <c r="F302" s="1311"/>
      <c r="G302" s="1311"/>
      <c r="H302" s="1311"/>
      <c r="I302" s="906"/>
      <c r="J302" s="1311"/>
      <c r="K302" s="1311"/>
      <c r="L302" s="906"/>
      <c r="M302" s="1311"/>
      <c r="N302" s="1311"/>
      <c r="O302" s="1311"/>
      <c r="P302" s="1311"/>
      <c r="Q302" s="1311"/>
      <c r="R302" s="1311"/>
      <c r="S302" s="1311"/>
      <c r="T302" s="1311"/>
      <c r="U302" s="1311"/>
      <c r="V302" s="906"/>
      <c r="W302" s="1311"/>
      <c r="X302" s="1311"/>
      <c r="Y302" s="1311"/>
      <c r="Z302" s="1394"/>
      <c r="AA302" s="195"/>
      <c r="AB302" s="195"/>
      <c r="AC302" s="196"/>
      <c r="AD302" s="196"/>
      <c r="AE302" s="196"/>
      <c r="AF302" s="196"/>
      <c r="AG302" s="196"/>
      <c r="AH302" s="196"/>
      <c r="AI302" s="196"/>
      <c r="AJ302" s="196"/>
      <c r="AK302" s="196"/>
      <c r="AL302" s="197"/>
      <c r="AM302" s="197"/>
      <c r="AN302" s="197"/>
      <c r="AO302" s="195"/>
      <c r="AP302" s="195"/>
      <c r="AQ302" s="195"/>
      <c r="AR302" s="195"/>
      <c r="AS302" s="195"/>
      <c r="AT302" s="195"/>
      <c r="AU302" s="195"/>
    </row>
    <row r="303" spans="1:47" ht="6" hidden="1" customHeight="1" x14ac:dyDescent="0.25">
      <c r="A303" s="955"/>
      <c r="B303" s="956"/>
      <c r="C303" s="1311"/>
      <c r="D303" s="1311"/>
      <c r="E303" s="1317"/>
      <c r="F303" s="1311"/>
      <c r="G303" s="1311"/>
      <c r="H303" s="1311"/>
      <c r="I303" s="906"/>
      <c r="J303" s="1311"/>
      <c r="K303" s="1311"/>
      <c r="L303" s="906"/>
      <c r="M303" s="1311"/>
      <c r="N303" s="1311"/>
      <c r="O303" s="1311"/>
      <c r="P303" s="1311"/>
      <c r="Q303" s="1311"/>
      <c r="R303" s="1311"/>
      <c r="S303" s="1311"/>
      <c r="T303" s="1311"/>
      <c r="U303" s="1311"/>
      <c r="V303" s="906"/>
      <c r="W303" s="1311"/>
      <c r="X303" s="1311"/>
      <c r="Y303" s="1311"/>
      <c r="Z303" s="1394"/>
      <c r="AA303" s="195"/>
      <c r="AB303" s="195"/>
      <c r="AC303" s="196"/>
      <c r="AD303" s="196"/>
      <c r="AE303" s="196"/>
      <c r="AF303" s="196"/>
      <c r="AG303" s="196"/>
      <c r="AH303" s="196"/>
      <c r="AI303" s="196"/>
      <c r="AJ303" s="196"/>
      <c r="AK303" s="196"/>
      <c r="AL303" s="197"/>
      <c r="AM303" s="197"/>
      <c r="AN303" s="197"/>
      <c r="AO303" s="195"/>
      <c r="AP303" s="195"/>
      <c r="AQ303" s="195"/>
      <c r="AR303" s="195"/>
      <c r="AS303" s="195"/>
      <c r="AT303" s="195"/>
      <c r="AU303" s="195"/>
    </row>
    <row r="304" spans="1:47" ht="12.75" hidden="1" customHeight="1" x14ac:dyDescent="0.25">
      <c r="A304" s="955"/>
      <c r="B304" s="956"/>
      <c r="C304" s="1318" t="s">
        <v>287</v>
      </c>
      <c r="D304" s="290" t="s">
        <v>288</v>
      </c>
      <c r="E304" s="919"/>
      <c r="F304" s="919"/>
      <c r="G304" s="919"/>
      <c r="H304" s="919"/>
      <c r="I304" s="919"/>
      <c r="J304" s="919"/>
      <c r="K304" s="932"/>
      <c r="L304" s="932"/>
      <c r="M304" s="316"/>
      <c r="N304" s="919"/>
      <c r="O304" s="1317" t="s">
        <v>360</v>
      </c>
      <c r="P304" s="1318" t="s">
        <v>86</v>
      </c>
      <c r="Q304" s="1310" t="s">
        <v>86</v>
      </c>
      <c r="R304" s="1318" t="s">
        <v>86</v>
      </c>
      <c r="S304" s="1310" t="s">
        <v>290</v>
      </c>
      <c r="T304" s="1310">
        <v>7878783</v>
      </c>
      <c r="U304" s="1311"/>
      <c r="V304" s="906"/>
      <c r="W304" s="1310" t="s">
        <v>291</v>
      </c>
      <c r="X304" s="1310" t="s">
        <v>292</v>
      </c>
      <c r="Y304" s="1310" t="s">
        <v>293</v>
      </c>
      <c r="Z304" s="1315">
        <v>7878783</v>
      </c>
      <c r="AA304" s="195"/>
      <c r="AB304" s="195"/>
      <c r="AC304" s="196"/>
      <c r="AD304" s="196"/>
      <c r="AE304" s="196"/>
      <c r="AF304" s="196"/>
      <c r="AG304" s="196"/>
      <c r="AH304" s="196"/>
      <c r="AI304" s="196"/>
      <c r="AJ304" s="196"/>
      <c r="AK304" s="196"/>
      <c r="AL304" s="197"/>
      <c r="AM304" s="197"/>
      <c r="AN304" s="197"/>
      <c r="AO304" s="195"/>
      <c r="AP304" s="195"/>
      <c r="AQ304" s="195"/>
      <c r="AR304" s="195"/>
      <c r="AS304" s="195"/>
      <c r="AT304" s="195"/>
      <c r="AU304" s="195"/>
    </row>
    <row r="305" spans="1:47" ht="12.75" hidden="1" customHeight="1" x14ac:dyDescent="0.25">
      <c r="A305" s="955"/>
      <c r="B305" s="956"/>
      <c r="C305" s="1311"/>
      <c r="D305" s="922" t="s">
        <v>296</v>
      </c>
      <c r="E305" s="919"/>
      <c r="F305" s="919"/>
      <c r="G305" s="919"/>
      <c r="H305" s="289"/>
      <c r="I305" s="289"/>
      <c r="J305" s="919"/>
      <c r="K305" s="932"/>
      <c r="L305" s="932"/>
      <c r="M305" s="932"/>
      <c r="N305" s="932"/>
      <c r="O305" s="1311"/>
      <c r="P305" s="1311"/>
      <c r="Q305" s="1311"/>
      <c r="R305" s="1311"/>
      <c r="S305" s="1311"/>
      <c r="T305" s="1311"/>
      <c r="U305" s="1311"/>
      <c r="V305" s="906"/>
      <c r="W305" s="1311"/>
      <c r="X305" s="1311"/>
      <c r="Y305" s="1311"/>
      <c r="Z305" s="1394"/>
      <c r="AA305" s="195"/>
      <c r="AB305" s="195"/>
      <c r="AC305" s="196"/>
      <c r="AD305" s="196"/>
      <c r="AE305" s="196"/>
      <c r="AF305" s="196"/>
      <c r="AG305" s="196"/>
      <c r="AH305" s="196"/>
      <c r="AI305" s="196"/>
      <c r="AJ305" s="196"/>
      <c r="AK305" s="196"/>
      <c r="AL305" s="197"/>
      <c r="AM305" s="197"/>
      <c r="AN305" s="197"/>
      <c r="AO305" s="195"/>
      <c r="AP305" s="195"/>
      <c r="AQ305" s="195"/>
      <c r="AR305" s="195"/>
      <c r="AS305" s="195"/>
      <c r="AT305" s="195"/>
      <c r="AU305" s="195"/>
    </row>
    <row r="306" spans="1:47" ht="12.75" hidden="1" customHeight="1" x14ac:dyDescent="0.25">
      <c r="A306" s="955"/>
      <c r="B306" s="956"/>
      <c r="C306" s="1311"/>
      <c r="D306" s="922" t="s">
        <v>299</v>
      </c>
      <c r="E306" s="919"/>
      <c r="F306" s="919"/>
      <c r="G306" s="919"/>
      <c r="H306" s="919"/>
      <c r="I306" s="919"/>
      <c r="J306" s="919"/>
      <c r="K306" s="932"/>
      <c r="L306" s="932"/>
      <c r="M306" s="932"/>
      <c r="N306" s="932"/>
      <c r="O306" s="1311"/>
      <c r="P306" s="1311"/>
      <c r="Q306" s="1311"/>
      <c r="R306" s="1311"/>
      <c r="S306" s="1311"/>
      <c r="T306" s="1311"/>
      <c r="U306" s="1311"/>
      <c r="V306" s="906"/>
      <c r="W306" s="1311"/>
      <c r="X306" s="1311"/>
      <c r="Y306" s="1311"/>
      <c r="Z306" s="1394"/>
      <c r="AA306" s="195"/>
      <c r="AB306" s="195"/>
      <c r="AC306" s="196"/>
      <c r="AD306" s="196"/>
      <c r="AE306" s="196"/>
      <c r="AF306" s="196"/>
      <c r="AG306" s="196"/>
      <c r="AH306" s="196"/>
      <c r="AI306" s="196"/>
      <c r="AJ306" s="196"/>
      <c r="AK306" s="196"/>
      <c r="AL306" s="197"/>
      <c r="AM306" s="197"/>
      <c r="AN306" s="197"/>
      <c r="AO306" s="195"/>
      <c r="AP306" s="195"/>
      <c r="AQ306" s="195"/>
      <c r="AR306" s="195"/>
      <c r="AS306" s="195"/>
      <c r="AT306" s="195"/>
      <c r="AU306" s="195"/>
    </row>
    <row r="307" spans="1:47" ht="12.75" hidden="1" customHeight="1" x14ac:dyDescent="0.25">
      <c r="A307" s="955"/>
      <c r="B307" s="956"/>
      <c r="C307" s="1311"/>
      <c r="D307" s="1396" t="s">
        <v>302</v>
      </c>
      <c r="E307" s="1317"/>
      <c r="F307" s="1317"/>
      <c r="G307" s="1317"/>
      <c r="H307" s="1317"/>
      <c r="I307" s="919"/>
      <c r="J307" s="1317"/>
      <c r="K307" s="1317"/>
      <c r="L307" s="919"/>
      <c r="M307" s="1317"/>
      <c r="N307" s="1317"/>
      <c r="O307" s="1311"/>
      <c r="P307" s="1311"/>
      <c r="Q307" s="1311"/>
      <c r="R307" s="1311"/>
      <c r="S307" s="1311"/>
      <c r="T307" s="1311"/>
      <c r="U307" s="1311"/>
      <c r="V307" s="906"/>
      <c r="W307" s="1311"/>
      <c r="X307" s="1311"/>
      <c r="Y307" s="1311"/>
      <c r="Z307" s="1394"/>
      <c r="AA307" s="195"/>
      <c r="AB307" s="195"/>
      <c r="AC307" s="196"/>
      <c r="AD307" s="196"/>
      <c r="AE307" s="196"/>
      <c r="AF307" s="196"/>
      <c r="AG307" s="196"/>
      <c r="AH307" s="196"/>
      <c r="AI307" s="196"/>
      <c r="AJ307" s="196"/>
      <c r="AK307" s="196"/>
      <c r="AL307" s="197"/>
      <c r="AM307" s="197"/>
      <c r="AN307" s="197"/>
      <c r="AO307" s="195"/>
      <c r="AP307" s="195"/>
      <c r="AQ307" s="195"/>
      <c r="AR307" s="195"/>
      <c r="AS307" s="195"/>
      <c r="AT307" s="195"/>
      <c r="AU307" s="195"/>
    </row>
    <row r="308" spans="1:47" ht="12.75" hidden="1" customHeight="1" x14ac:dyDescent="0.25">
      <c r="A308" s="955"/>
      <c r="B308" s="956"/>
      <c r="C308" s="1311"/>
      <c r="D308" s="1311"/>
      <c r="E308" s="1317"/>
      <c r="F308" s="1311"/>
      <c r="G308" s="1311"/>
      <c r="H308" s="1311"/>
      <c r="I308" s="906"/>
      <c r="J308" s="1311"/>
      <c r="K308" s="1311"/>
      <c r="L308" s="906"/>
      <c r="M308" s="1311"/>
      <c r="N308" s="1311"/>
      <c r="O308" s="1311"/>
      <c r="P308" s="1311"/>
      <c r="Q308" s="1311"/>
      <c r="R308" s="1311"/>
      <c r="S308" s="1311"/>
      <c r="T308" s="1311"/>
      <c r="U308" s="1311"/>
      <c r="V308" s="906"/>
      <c r="W308" s="1311"/>
      <c r="X308" s="1311"/>
      <c r="Y308" s="1311"/>
      <c r="Z308" s="1394"/>
      <c r="AA308" s="195"/>
      <c r="AB308" s="195"/>
      <c r="AC308" s="196"/>
      <c r="AD308" s="196"/>
      <c r="AE308" s="196"/>
      <c r="AF308" s="196"/>
      <c r="AG308" s="196"/>
      <c r="AH308" s="196"/>
      <c r="AI308" s="196"/>
      <c r="AJ308" s="196"/>
      <c r="AK308" s="196"/>
      <c r="AL308" s="197"/>
      <c r="AM308" s="197"/>
      <c r="AN308" s="197"/>
      <c r="AO308" s="195"/>
      <c r="AP308" s="195"/>
      <c r="AQ308" s="195"/>
      <c r="AR308" s="195"/>
      <c r="AS308" s="195"/>
      <c r="AT308" s="195"/>
      <c r="AU308" s="195"/>
    </row>
    <row r="309" spans="1:47" ht="12.75" hidden="1" customHeight="1" x14ac:dyDescent="0.25">
      <c r="A309" s="955"/>
      <c r="B309" s="956"/>
      <c r="C309" s="1311"/>
      <c r="D309" s="1311"/>
      <c r="E309" s="1317"/>
      <c r="F309" s="1311"/>
      <c r="G309" s="1311"/>
      <c r="H309" s="1311"/>
      <c r="I309" s="906"/>
      <c r="J309" s="1311"/>
      <c r="K309" s="1311"/>
      <c r="L309" s="906"/>
      <c r="M309" s="1311"/>
      <c r="N309" s="1311"/>
      <c r="O309" s="1311"/>
      <c r="P309" s="1311"/>
      <c r="Q309" s="1311"/>
      <c r="R309" s="1311"/>
      <c r="S309" s="1311"/>
      <c r="T309" s="1311"/>
      <c r="U309" s="1311"/>
      <c r="V309" s="906"/>
      <c r="W309" s="1311"/>
      <c r="X309" s="1311"/>
      <c r="Y309" s="1311"/>
      <c r="Z309" s="1394"/>
      <c r="AA309" s="195"/>
      <c r="AB309" s="195"/>
      <c r="AC309" s="196"/>
      <c r="AD309" s="196"/>
      <c r="AE309" s="196"/>
      <c r="AF309" s="196"/>
      <c r="AG309" s="196"/>
      <c r="AH309" s="196"/>
      <c r="AI309" s="196"/>
      <c r="AJ309" s="196"/>
      <c r="AK309" s="196"/>
      <c r="AL309" s="197"/>
      <c r="AM309" s="197"/>
      <c r="AN309" s="197"/>
      <c r="AO309" s="195"/>
      <c r="AP309" s="195"/>
      <c r="AQ309" s="195"/>
      <c r="AR309" s="195"/>
      <c r="AS309" s="195"/>
      <c r="AT309" s="195"/>
      <c r="AU309" s="195"/>
    </row>
    <row r="310" spans="1:47" ht="6" hidden="1" customHeight="1" x14ac:dyDescent="0.25">
      <c r="A310" s="955"/>
      <c r="B310" s="956"/>
      <c r="C310" s="1311"/>
      <c r="D310" s="1311"/>
      <c r="E310" s="1317"/>
      <c r="F310" s="1311"/>
      <c r="G310" s="1311"/>
      <c r="H310" s="1311"/>
      <c r="I310" s="906"/>
      <c r="J310" s="1311"/>
      <c r="K310" s="1311"/>
      <c r="L310" s="906"/>
      <c r="M310" s="1311"/>
      <c r="N310" s="1311"/>
      <c r="O310" s="1311"/>
      <c r="P310" s="1311"/>
      <c r="Q310" s="1311"/>
      <c r="R310" s="1311"/>
      <c r="S310" s="1311"/>
      <c r="T310" s="1311"/>
      <c r="U310" s="1311"/>
      <c r="V310" s="906"/>
      <c r="W310" s="1311"/>
      <c r="X310" s="1311"/>
      <c r="Y310" s="1311"/>
      <c r="Z310" s="1394"/>
      <c r="AA310" s="195"/>
      <c r="AB310" s="195"/>
      <c r="AC310" s="196"/>
      <c r="AD310" s="196"/>
      <c r="AE310" s="196"/>
      <c r="AF310" s="196"/>
      <c r="AG310" s="196"/>
      <c r="AH310" s="196"/>
      <c r="AI310" s="196"/>
      <c r="AJ310" s="196"/>
      <c r="AK310" s="196"/>
      <c r="AL310" s="197"/>
      <c r="AM310" s="197"/>
      <c r="AN310" s="197"/>
      <c r="AO310" s="195"/>
      <c r="AP310" s="195"/>
      <c r="AQ310" s="195"/>
      <c r="AR310" s="195"/>
      <c r="AS310" s="195"/>
      <c r="AT310" s="195"/>
      <c r="AU310" s="195"/>
    </row>
    <row r="311" spans="1:47" ht="15" hidden="1" customHeight="1" x14ac:dyDescent="0.25">
      <c r="A311" s="955"/>
      <c r="B311" s="956"/>
      <c r="C311" s="1318" t="s">
        <v>324</v>
      </c>
      <c r="D311" s="290" t="s">
        <v>137</v>
      </c>
      <c r="E311" s="919" t="s">
        <v>353</v>
      </c>
      <c r="F311" s="919"/>
      <c r="G311" s="919"/>
      <c r="H311" s="919"/>
      <c r="I311" s="919"/>
      <c r="J311" s="919"/>
      <c r="K311" s="919" t="s">
        <v>353</v>
      </c>
      <c r="L311" s="919"/>
      <c r="M311" s="919"/>
      <c r="N311" s="919"/>
      <c r="O311" s="1317"/>
      <c r="P311" s="1311"/>
      <c r="Q311" s="1311"/>
      <c r="R311" s="1311"/>
      <c r="S311" s="1311"/>
      <c r="T311" s="1311"/>
      <c r="U311" s="1311"/>
      <c r="V311" s="1311"/>
      <c r="W311" s="1311"/>
      <c r="X311" s="1311"/>
      <c r="Y311" s="1311"/>
      <c r="Z311" s="1394"/>
      <c r="AA311" s="195"/>
      <c r="AB311" s="195"/>
      <c r="AC311" s="196"/>
      <c r="AD311" s="196"/>
      <c r="AE311" s="196"/>
      <c r="AF311" s="196"/>
      <c r="AG311" s="196"/>
      <c r="AH311" s="196"/>
      <c r="AI311" s="196"/>
      <c r="AJ311" s="196"/>
      <c r="AK311" s="196"/>
      <c r="AL311" s="197"/>
      <c r="AM311" s="197"/>
      <c r="AN311" s="197"/>
      <c r="AO311" s="195"/>
      <c r="AP311" s="195"/>
      <c r="AQ311" s="195"/>
      <c r="AR311" s="195"/>
      <c r="AS311" s="195"/>
      <c r="AT311" s="195"/>
      <c r="AU311" s="195"/>
    </row>
    <row r="312" spans="1:47" ht="15.75" hidden="1" customHeight="1" x14ac:dyDescent="0.25">
      <c r="A312" s="957"/>
      <c r="B312" s="958"/>
      <c r="C312" s="1389"/>
      <c r="D312" s="322" t="s">
        <v>143</v>
      </c>
      <c r="E312" s="917" t="s">
        <v>353</v>
      </c>
      <c r="F312" s="917"/>
      <c r="G312" s="917"/>
      <c r="H312" s="917"/>
      <c r="I312" s="917"/>
      <c r="J312" s="917"/>
      <c r="K312" s="917" t="s">
        <v>353</v>
      </c>
      <c r="L312" s="917"/>
      <c r="M312" s="917"/>
      <c r="N312" s="917"/>
      <c r="O312" s="1389"/>
      <c r="P312" s="1389"/>
      <c r="Q312" s="1389"/>
      <c r="R312" s="1389"/>
      <c r="S312" s="1389"/>
      <c r="T312" s="1389"/>
      <c r="U312" s="1389"/>
      <c r="V312" s="1389"/>
      <c r="W312" s="1389"/>
      <c r="X312" s="1389"/>
      <c r="Y312" s="1389"/>
      <c r="Z312" s="1395"/>
      <c r="AA312" s="195"/>
      <c r="AB312" s="195"/>
      <c r="AC312" s="196"/>
      <c r="AD312" s="196"/>
      <c r="AE312" s="196"/>
      <c r="AF312" s="196"/>
      <c r="AG312" s="196"/>
      <c r="AH312" s="196"/>
      <c r="AI312" s="196"/>
      <c r="AJ312" s="196"/>
      <c r="AK312" s="196"/>
      <c r="AL312" s="197"/>
      <c r="AM312" s="197"/>
      <c r="AN312" s="197"/>
      <c r="AO312" s="195"/>
      <c r="AP312" s="195"/>
      <c r="AQ312" s="195"/>
      <c r="AR312" s="195"/>
      <c r="AS312" s="195"/>
      <c r="AT312" s="195"/>
      <c r="AU312" s="195"/>
    </row>
    <row r="313" spans="1:47" ht="12.75" customHeight="1" x14ac:dyDescent="0.25">
      <c r="A313" s="1405">
        <v>5</v>
      </c>
      <c r="B313" s="1322" t="s">
        <v>118</v>
      </c>
      <c r="C313" s="1411" t="s">
        <v>361</v>
      </c>
      <c r="D313" s="292" t="s">
        <v>288</v>
      </c>
      <c r="E313" s="931">
        <v>30</v>
      </c>
      <c r="F313" s="931"/>
      <c r="G313" s="931"/>
      <c r="H313" s="931">
        <v>30</v>
      </c>
      <c r="I313" s="931"/>
      <c r="J313" s="931">
        <v>30</v>
      </c>
      <c r="K313" s="931">
        <v>3</v>
      </c>
      <c r="L313" s="931">
        <v>16</v>
      </c>
      <c r="M313" s="954">
        <v>24</v>
      </c>
      <c r="N313" s="943">
        <v>24</v>
      </c>
      <c r="O313" s="1327" t="s">
        <v>290</v>
      </c>
      <c r="P313" s="1322" t="s">
        <v>86</v>
      </c>
      <c r="Q313" s="1320" t="s">
        <v>86</v>
      </c>
      <c r="R313" s="1322" t="s">
        <v>86</v>
      </c>
      <c r="S313" s="1320" t="s">
        <v>290</v>
      </c>
      <c r="T313" s="1320">
        <v>7878783</v>
      </c>
      <c r="U313" s="1323"/>
      <c r="V313" s="1320"/>
      <c r="W313" s="1320" t="s">
        <v>291</v>
      </c>
      <c r="X313" s="1320" t="s">
        <v>292</v>
      </c>
      <c r="Y313" s="1320" t="s">
        <v>293</v>
      </c>
      <c r="Z313" s="1321">
        <v>7878783</v>
      </c>
      <c r="AA313" s="195"/>
      <c r="AB313" s="195"/>
      <c r="AC313" s="196"/>
      <c r="AD313" s="196"/>
      <c r="AE313" s="196"/>
      <c r="AF313" s="196"/>
      <c r="AG313" s="196"/>
      <c r="AH313" s="196"/>
      <c r="AI313" s="196"/>
      <c r="AJ313" s="196"/>
      <c r="AK313" s="196"/>
      <c r="AL313" s="197"/>
      <c r="AM313" s="197"/>
      <c r="AN313" s="197"/>
      <c r="AO313" s="195"/>
      <c r="AP313" s="195"/>
      <c r="AQ313" s="195"/>
      <c r="AR313" s="195"/>
      <c r="AS313" s="195"/>
      <c r="AT313" s="195"/>
      <c r="AU313" s="195"/>
    </row>
    <row r="314" spans="1:47" ht="12.75" customHeight="1" x14ac:dyDescent="0.25">
      <c r="A314" s="1406"/>
      <c r="B314" s="1311"/>
      <c r="C314" s="1398"/>
      <c r="D314" s="922" t="s">
        <v>296</v>
      </c>
      <c r="E314" s="919">
        <v>318016000</v>
      </c>
      <c r="F314" s="919"/>
      <c r="G314" s="919"/>
      <c r="H314" s="919">
        <v>318016000</v>
      </c>
      <c r="I314" s="919"/>
      <c r="J314" s="919">
        <f>+[2]INVERSIÓN!Q34</f>
        <v>298569621</v>
      </c>
      <c r="K314" s="932">
        <f>+[4]INVERSIÓN!AF40</f>
        <v>235666500</v>
      </c>
      <c r="L314" s="932">
        <f>+[4]INVERSIÓN!AG40</f>
        <v>315121500</v>
      </c>
      <c r="M314" s="932">
        <v>298569549</v>
      </c>
      <c r="N314" s="919">
        <v>298525101</v>
      </c>
      <c r="O314" s="1311"/>
      <c r="P314" s="1311"/>
      <c r="Q314" s="1311"/>
      <c r="R314" s="1311"/>
      <c r="S314" s="1311"/>
      <c r="T314" s="1311"/>
      <c r="U314" s="1311"/>
      <c r="V314" s="1311"/>
      <c r="W314" s="1311"/>
      <c r="X314" s="1311"/>
      <c r="Y314" s="1311"/>
      <c r="Z314" s="1394"/>
      <c r="AA314" s="195"/>
      <c r="AB314" s="195"/>
      <c r="AC314" s="196"/>
      <c r="AD314" s="196"/>
      <c r="AE314" s="196"/>
      <c r="AF314" s="196"/>
      <c r="AG314" s="196"/>
      <c r="AH314" s="196"/>
      <c r="AI314" s="196"/>
      <c r="AJ314" s="196"/>
      <c r="AK314" s="196"/>
      <c r="AL314" s="197"/>
      <c r="AM314" s="197"/>
      <c r="AN314" s="197"/>
      <c r="AO314" s="195"/>
      <c r="AP314" s="195"/>
      <c r="AQ314" s="195"/>
      <c r="AR314" s="195"/>
      <c r="AS314" s="195"/>
      <c r="AT314" s="195"/>
      <c r="AU314" s="195"/>
    </row>
    <row r="315" spans="1:47" ht="12.75" customHeight="1" x14ac:dyDescent="0.25">
      <c r="A315" s="1406"/>
      <c r="B315" s="1311"/>
      <c r="C315" s="1398"/>
      <c r="D315" s="922" t="s">
        <v>299</v>
      </c>
      <c r="E315" s="919"/>
      <c r="F315" s="919"/>
      <c r="G315" s="919"/>
      <c r="H315" s="919"/>
      <c r="I315" s="919"/>
      <c r="J315" s="919"/>
      <c r="K315" s="919"/>
      <c r="L315" s="932"/>
      <c r="M315" s="932"/>
      <c r="N315" s="932"/>
      <c r="O315" s="1311"/>
      <c r="P315" s="1311"/>
      <c r="Q315" s="1311"/>
      <c r="R315" s="1311"/>
      <c r="S315" s="1311"/>
      <c r="T315" s="1311"/>
      <c r="U315" s="1311"/>
      <c r="V315" s="1311"/>
      <c r="W315" s="1311"/>
      <c r="X315" s="1311"/>
      <c r="Y315" s="1311"/>
      <c r="Z315" s="1394"/>
      <c r="AA315" s="195"/>
      <c r="AB315" s="195"/>
      <c r="AC315" s="196"/>
      <c r="AD315" s="196"/>
      <c r="AE315" s="196"/>
      <c r="AF315" s="196"/>
      <c r="AG315" s="196"/>
      <c r="AH315" s="196"/>
      <c r="AI315" s="196"/>
      <c r="AJ315" s="196"/>
      <c r="AK315" s="196"/>
      <c r="AL315" s="197"/>
      <c r="AM315" s="197"/>
      <c r="AN315" s="197"/>
      <c r="AO315" s="195"/>
      <c r="AP315" s="195"/>
      <c r="AQ315" s="195"/>
      <c r="AR315" s="195"/>
      <c r="AS315" s="195"/>
      <c r="AT315" s="195"/>
      <c r="AU315" s="195"/>
    </row>
    <row r="316" spans="1:47" ht="12.75" customHeight="1" x14ac:dyDescent="0.25">
      <c r="A316" s="1406"/>
      <c r="B316" s="1311"/>
      <c r="C316" s="1398"/>
      <c r="D316" s="1396" t="s">
        <v>302</v>
      </c>
      <c r="E316" s="1317">
        <v>65573517</v>
      </c>
      <c r="F316" s="1317"/>
      <c r="G316" s="1317"/>
      <c r="H316" s="1317">
        <v>65573517</v>
      </c>
      <c r="I316" s="919"/>
      <c r="J316" s="1317">
        <f>+[2]INVERSIÓN!Q36</f>
        <v>65573517</v>
      </c>
      <c r="K316" s="1317">
        <f>+[4]INVERSIÓN!AF42</f>
        <v>65573517</v>
      </c>
      <c r="L316" s="1317">
        <f>+[4]INVERSIÓN!AG42</f>
        <v>65573517</v>
      </c>
      <c r="M316" s="1317">
        <v>65573517</v>
      </c>
      <c r="N316" s="1317">
        <v>65573517</v>
      </c>
      <c r="O316" s="1311"/>
      <c r="P316" s="1311"/>
      <c r="Q316" s="1311"/>
      <c r="R316" s="1311"/>
      <c r="S316" s="1311"/>
      <c r="T316" s="1311"/>
      <c r="U316" s="1311"/>
      <c r="V316" s="1311"/>
      <c r="W316" s="1311"/>
      <c r="X316" s="1311"/>
      <c r="Y316" s="1311"/>
      <c r="Z316" s="1394"/>
      <c r="AA316" s="195"/>
      <c r="AB316" s="195"/>
      <c r="AC316" s="196"/>
      <c r="AD316" s="196"/>
      <c r="AE316" s="196"/>
      <c r="AF316" s="196"/>
      <c r="AG316" s="196"/>
      <c r="AH316" s="196"/>
      <c r="AI316" s="196"/>
      <c r="AJ316" s="196"/>
      <c r="AK316" s="196"/>
      <c r="AL316" s="197"/>
      <c r="AM316" s="197"/>
      <c r="AN316" s="197"/>
      <c r="AO316" s="195"/>
      <c r="AP316" s="195"/>
      <c r="AQ316" s="195"/>
      <c r="AR316" s="195"/>
      <c r="AS316" s="195"/>
      <c r="AT316" s="195"/>
      <c r="AU316" s="195"/>
    </row>
    <row r="317" spans="1:47" ht="12.75" customHeight="1" x14ac:dyDescent="0.25">
      <c r="A317" s="1406"/>
      <c r="B317" s="1311"/>
      <c r="C317" s="1398"/>
      <c r="D317" s="1311"/>
      <c r="E317" s="1317"/>
      <c r="F317" s="1311"/>
      <c r="G317" s="1311"/>
      <c r="H317" s="1317"/>
      <c r="I317" s="919"/>
      <c r="J317" s="1311"/>
      <c r="K317" s="1311"/>
      <c r="L317" s="1311"/>
      <c r="M317" s="1311"/>
      <c r="N317" s="1311"/>
      <c r="O317" s="1311"/>
      <c r="P317" s="1311"/>
      <c r="Q317" s="1311"/>
      <c r="R317" s="1311"/>
      <c r="S317" s="1311"/>
      <c r="T317" s="1311"/>
      <c r="U317" s="1311"/>
      <c r="V317" s="1311"/>
      <c r="W317" s="1311"/>
      <c r="X317" s="1311"/>
      <c r="Y317" s="1311"/>
      <c r="Z317" s="1394"/>
      <c r="AA317" s="195"/>
      <c r="AB317" s="195"/>
      <c r="AC317" s="196"/>
      <c r="AD317" s="196"/>
      <c r="AE317" s="196"/>
      <c r="AF317" s="196"/>
      <c r="AG317" s="196"/>
      <c r="AH317" s="196"/>
      <c r="AI317" s="196"/>
      <c r="AJ317" s="196"/>
      <c r="AK317" s="196"/>
      <c r="AL317" s="197"/>
      <c r="AM317" s="197"/>
      <c r="AN317" s="197"/>
      <c r="AO317" s="195"/>
      <c r="AP317" s="195"/>
      <c r="AQ317" s="195"/>
      <c r="AR317" s="195"/>
      <c r="AS317" s="195"/>
      <c r="AT317" s="195"/>
      <c r="AU317" s="195"/>
    </row>
    <row r="318" spans="1:47" ht="12.75" customHeight="1" x14ac:dyDescent="0.25">
      <c r="A318" s="1406"/>
      <c r="B318" s="1311"/>
      <c r="C318" s="1398"/>
      <c r="D318" s="1311"/>
      <c r="E318" s="1317"/>
      <c r="F318" s="1311"/>
      <c r="G318" s="1311"/>
      <c r="H318" s="1317"/>
      <c r="I318" s="919"/>
      <c r="J318" s="1311"/>
      <c r="K318" s="1311"/>
      <c r="L318" s="1311"/>
      <c r="M318" s="1311"/>
      <c r="N318" s="1311"/>
      <c r="O318" s="1311"/>
      <c r="P318" s="1311"/>
      <c r="Q318" s="1311"/>
      <c r="R318" s="1311"/>
      <c r="S318" s="1311"/>
      <c r="T318" s="1311"/>
      <c r="U318" s="1311"/>
      <c r="V318" s="1311"/>
      <c r="W318" s="1311"/>
      <c r="X318" s="1311"/>
      <c r="Y318" s="1311"/>
      <c r="Z318" s="1394"/>
      <c r="AA318" s="195"/>
      <c r="AB318" s="195"/>
      <c r="AC318" s="196"/>
      <c r="AD318" s="196"/>
      <c r="AE318" s="196"/>
      <c r="AF318" s="196"/>
      <c r="AG318" s="196"/>
      <c r="AH318" s="196"/>
      <c r="AI318" s="196"/>
      <c r="AJ318" s="196"/>
      <c r="AK318" s="196"/>
      <c r="AL318" s="197"/>
      <c r="AM318" s="197"/>
      <c r="AN318" s="197"/>
      <c r="AO318" s="195"/>
      <c r="AP318" s="195"/>
      <c r="AQ318" s="195"/>
      <c r="AR318" s="195"/>
      <c r="AS318" s="195"/>
      <c r="AT318" s="195"/>
      <c r="AU318" s="195"/>
    </row>
    <row r="319" spans="1:47" ht="6" customHeight="1" thickBot="1" x14ac:dyDescent="0.3">
      <c r="A319" s="1407"/>
      <c r="B319" s="1389"/>
      <c r="C319" s="1412"/>
      <c r="D319" s="1389"/>
      <c r="E319" s="1390"/>
      <c r="F319" s="1389"/>
      <c r="G319" s="1389"/>
      <c r="H319" s="1390"/>
      <c r="I319" s="917"/>
      <c r="J319" s="1389"/>
      <c r="K319" s="1389"/>
      <c r="L319" s="1389"/>
      <c r="M319" s="1389"/>
      <c r="N319" s="1389"/>
      <c r="O319" s="1389"/>
      <c r="P319" s="1389"/>
      <c r="Q319" s="1389"/>
      <c r="R319" s="1389"/>
      <c r="S319" s="1389"/>
      <c r="T319" s="1389"/>
      <c r="U319" s="1389"/>
      <c r="V319" s="1389"/>
      <c r="W319" s="1389"/>
      <c r="X319" s="1389"/>
      <c r="Y319" s="1389"/>
      <c r="Z319" s="1395"/>
      <c r="AA319" s="195"/>
      <c r="AB319" s="195"/>
      <c r="AC319" s="196"/>
      <c r="AD319" s="196"/>
      <c r="AE319" s="196"/>
      <c r="AF319" s="196"/>
      <c r="AG319" s="196"/>
      <c r="AH319" s="196"/>
      <c r="AI319" s="196"/>
      <c r="AJ319" s="196"/>
      <c r="AK319" s="196"/>
      <c r="AL319" s="197"/>
      <c r="AM319" s="197"/>
      <c r="AN319" s="197"/>
      <c r="AO319" s="195"/>
      <c r="AP319" s="195"/>
      <c r="AQ319" s="195"/>
      <c r="AR319" s="195"/>
      <c r="AS319" s="195"/>
      <c r="AT319" s="195"/>
      <c r="AU319" s="195"/>
    </row>
    <row r="320" spans="1:47" ht="12.75" customHeight="1" thickBot="1" x14ac:dyDescent="0.3">
      <c r="A320" s="1405">
        <v>6</v>
      </c>
      <c r="B320" s="1322" t="s">
        <v>190</v>
      </c>
      <c r="C320" s="1322" t="s">
        <v>444</v>
      </c>
      <c r="D320" s="292" t="s">
        <v>288</v>
      </c>
      <c r="E320" s="931">
        <v>70</v>
      </c>
      <c r="F320" s="931"/>
      <c r="G320" s="931"/>
      <c r="H320" s="931">
        <v>70</v>
      </c>
      <c r="I320" s="931"/>
      <c r="J320" s="931">
        <v>70</v>
      </c>
      <c r="K320" s="959">
        <v>17.5</v>
      </c>
      <c r="L320" s="960">
        <v>52</v>
      </c>
      <c r="M320" s="961">
        <v>61</v>
      </c>
      <c r="N320" s="931">
        <v>70</v>
      </c>
      <c r="O320" s="1327" t="s">
        <v>443</v>
      </c>
      <c r="P320" s="1322" t="s">
        <v>86</v>
      </c>
      <c r="Q320" s="1320" t="s">
        <v>442</v>
      </c>
      <c r="R320" s="1322" t="s">
        <v>86</v>
      </c>
      <c r="S320" s="1320" t="s">
        <v>290</v>
      </c>
      <c r="T320" s="1320">
        <v>7878783</v>
      </c>
      <c r="U320" s="1323"/>
      <c r="V320" s="1320"/>
      <c r="W320" s="1320" t="s">
        <v>291</v>
      </c>
      <c r="X320" s="1320" t="s">
        <v>292</v>
      </c>
      <c r="Y320" s="1320" t="s">
        <v>293</v>
      </c>
      <c r="Z320" s="1321">
        <v>7878783</v>
      </c>
      <c r="AA320" s="195"/>
      <c r="AB320" s="195"/>
      <c r="AC320" s="196"/>
      <c r="AD320" s="196"/>
      <c r="AE320" s="196"/>
      <c r="AF320" s="196"/>
      <c r="AG320" s="196"/>
      <c r="AH320" s="196"/>
      <c r="AI320" s="196"/>
      <c r="AJ320" s="196"/>
      <c r="AK320" s="196"/>
      <c r="AL320" s="197"/>
      <c r="AM320" s="197"/>
      <c r="AN320" s="197"/>
      <c r="AO320" s="195"/>
      <c r="AP320" s="195"/>
      <c r="AQ320" s="195"/>
      <c r="AR320" s="195"/>
      <c r="AS320" s="195"/>
      <c r="AT320" s="195"/>
      <c r="AU320" s="195"/>
    </row>
    <row r="321" spans="1:84" ht="12.75" customHeight="1" x14ac:dyDescent="0.25">
      <c r="A321" s="1406"/>
      <c r="B321" s="1311"/>
      <c r="C321" s="1311"/>
      <c r="D321" s="922" t="s">
        <v>296</v>
      </c>
      <c r="E321" s="919">
        <v>200000000</v>
      </c>
      <c r="F321" s="919"/>
      <c r="G321" s="919"/>
      <c r="H321" s="919">
        <v>200000000</v>
      </c>
      <c r="I321" s="919"/>
      <c r="J321" s="919">
        <f>+[2]INVERSIÓN!Q40</f>
        <v>102639067</v>
      </c>
      <c r="K321" s="932">
        <f>+[4]INVERSIÓN!AF46</f>
        <v>0</v>
      </c>
      <c r="L321" s="932">
        <f>+[4]INVERSIÓN!AG46</f>
        <v>113400000</v>
      </c>
      <c r="M321" s="932">
        <v>102639067</v>
      </c>
      <c r="N321" s="931">
        <v>91224934</v>
      </c>
      <c r="O321" s="1311"/>
      <c r="P321" s="1311"/>
      <c r="Q321" s="1311"/>
      <c r="R321" s="1311"/>
      <c r="S321" s="1311"/>
      <c r="T321" s="1311"/>
      <c r="U321" s="1311"/>
      <c r="V321" s="1311"/>
      <c r="W321" s="1311"/>
      <c r="X321" s="1311"/>
      <c r="Y321" s="1311"/>
      <c r="Z321" s="1394"/>
      <c r="AA321" s="195"/>
      <c r="AB321" s="195"/>
      <c r="AC321" s="196"/>
      <c r="AD321" s="196"/>
      <c r="AE321" s="196"/>
      <c r="AF321" s="196"/>
      <c r="AG321" s="196"/>
      <c r="AH321" s="196"/>
      <c r="AI321" s="196"/>
      <c r="AJ321" s="196"/>
      <c r="AK321" s="196"/>
      <c r="AL321" s="197"/>
      <c r="AM321" s="197"/>
      <c r="AN321" s="197"/>
      <c r="AO321" s="195"/>
      <c r="AP321" s="195"/>
      <c r="AQ321" s="195"/>
      <c r="AR321" s="195"/>
      <c r="AS321" s="195"/>
      <c r="AT321" s="195"/>
      <c r="AU321" s="195"/>
    </row>
    <row r="322" spans="1:84" ht="12.75" customHeight="1" x14ac:dyDescent="0.25">
      <c r="A322" s="1406"/>
      <c r="B322" s="1311"/>
      <c r="C322" s="1311"/>
      <c r="D322" s="922" t="s">
        <v>299</v>
      </c>
      <c r="E322" s="919"/>
      <c r="F322" s="919"/>
      <c r="G322" s="919"/>
      <c r="H322" s="919"/>
      <c r="I322" s="919"/>
      <c r="J322" s="919"/>
      <c r="K322" s="932"/>
      <c r="L322" s="932"/>
      <c r="M322" s="932"/>
      <c r="N322" s="932"/>
      <c r="O322" s="1311"/>
      <c r="P322" s="1311"/>
      <c r="Q322" s="1311"/>
      <c r="R322" s="1311"/>
      <c r="S322" s="1311"/>
      <c r="T322" s="1311"/>
      <c r="U322" s="1311"/>
      <c r="V322" s="1311"/>
      <c r="W322" s="1311"/>
      <c r="X322" s="1311"/>
      <c r="Y322" s="1311"/>
      <c r="Z322" s="1394"/>
      <c r="AA322" s="195"/>
      <c r="AB322" s="195"/>
      <c r="AC322" s="196"/>
      <c r="AD322" s="196"/>
      <c r="AE322" s="196"/>
      <c r="AF322" s="196"/>
      <c r="AG322" s="196"/>
      <c r="AH322" s="196"/>
      <c r="AI322" s="196"/>
      <c r="AJ322" s="196"/>
      <c r="AK322" s="196"/>
      <c r="AL322" s="197"/>
      <c r="AM322" s="197"/>
      <c r="AN322" s="197"/>
      <c r="AO322" s="195"/>
      <c r="AP322" s="195"/>
      <c r="AQ322" s="195"/>
      <c r="AR322" s="195"/>
      <c r="AS322" s="195"/>
      <c r="AT322" s="195"/>
      <c r="AU322" s="195"/>
    </row>
    <row r="323" spans="1:84" ht="12.75" customHeight="1" x14ac:dyDescent="0.25">
      <c r="A323" s="1406"/>
      <c r="B323" s="1311"/>
      <c r="C323" s="1311"/>
      <c r="D323" s="1396" t="s">
        <v>302</v>
      </c>
      <c r="E323" s="1317">
        <v>14704074</v>
      </c>
      <c r="F323" s="1317"/>
      <c r="G323" s="1317"/>
      <c r="H323" s="1317">
        <v>14704074</v>
      </c>
      <c r="I323" s="919"/>
      <c r="J323" s="1317">
        <f>+[2]INVERSIÓN!Q42</f>
        <v>14704074</v>
      </c>
      <c r="K323" s="1317">
        <f>+[4]INVERSIÓN!AF48</f>
        <v>6683670</v>
      </c>
      <c r="L323" s="1317">
        <f>+[4]INVERSIÓN!AG48</f>
        <v>14704074</v>
      </c>
      <c r="M323" s="1317">
        <v>14704074</v>
      </c>
      <c r="N323" s="1317">
        <v>14704074</v>
      </c>
      <c r="O323" s="1311"/>
      <c r="P323" s="1311"/>
      <c r="Q323" s="1311"/>
      <c r="R323" s="1311"/>
      <c r="S323" s="1311"/>
      <c r="T323" s="1311"/>
      <c r="U323" s="1311"/>
      <c r="V323" s="1311"/>
      <c r="W323" s="1311"/>
      <c r="X323" s="1311"/>
      <c r="Y323" s="1311"/>
      <c r="Z323" s="1394"/>
      <c r="AA323" s="195"/>
      <c r="AB323" s="195"/>
      <c r="AC323" s="196"/>
      <c r="AD323" s="196"/>
      <c r="AE323" s="196"/>
      <c r="AF323" s="196"/>
      <c r="AG323" s="196"/>
      <c r="AH323" s="196"/>
      <c r="AI323" s="196"/>
      <c r="AJ323" s="196"/>
      <c r="AK323" s="196"/>
      <c r="AL323" s="197"/>
      <c r="AM323" s="197"/>
      <c r="AN323" s="197"/>
      <c r="AO323" s="195"/>
      <c r="AP323" s="195"/>
      <c r="AQ323" s="195"/>
      <c r="AR323" s="195"/>
      <c r="AS323" s="195"/>
      <c r="AT323" s="195"/>
      <c r="AU323" s="195"/>
    </row>
    <row r="324" spans="1:84" ht="12.75" customHeight="1" x14ac:dyDescent="0.25">
      <c r="A324" s="1406"/>
      <c r="B324" s="1311"/>
      <c r="C324" s="1311"/>
      <c r="D324" s="1311"/>
      <c r="E324" s="1317"/>
      <c r="F324" s="1311"/>
      <c r="G324" s="1311"/>
      <c r="H324" s="1317"/>
      <c r="I324" s="919"/>
      <c r="J324" s="1311"/>
      <c r="K324" s="1311"/>
      <c r="L324" s="1311"/>
      <c r="M324" s="1311"/>
      <c r="N324" s="1311"/>
      <c r="O324" s="1311"/>
      <c r="P324" s="1311"/>
      <c r="Q324" s="1311"/>
      <c r="R324" s="1311"/>
      <c r="S324" s="1311"/>
      <c r="T324" s="1311"/>
      <c r="U324" s="1311"/>
      <c r="V324" s="1311"/>
      <c r="W324" s="1311"/>
      <c r="X324" s="1311"/>
      <c r="Y324" s="1311"/>
      <c r="Z324" s="1394"/>
      <c r="AA324" s="195"/>
      <c r="AB324" s="195"/>
      <c r="AC324" s="196"/>
      <c r="AD324" s="196"/>
      <c r="AE324" s="196"/>
      <c r="AF324" s="196"/>
      <c r="AG324" s="196"/>
      <c r="AH324" s="196"/>
      <c r="AI324" s="196"/>
      <c r="AJ324" s="196"/>
      <c r="AK324" s="196"/>
      <c r="AL324" s="197"/>
      <c r="AM324" s="197"/>
      <c r="AN324" s="197"/>
      <c r="AO324" s="195"/>
      <c r="AP324" s="195"/>
      <c r="AQ324" s="195"/>
      <c r="AR324" s="195"/>
      <c r="AS324" s="195"/>
      <c r="AT324" s="195"/>
      <c r="AU324" s="195"/>
    </row>
    <row r="325" spans="1:84" ht="12.75" customHeight="1" x14ac:dyDescent="0.25">
      <c r="A325" s="1406"/>
      <c r="B325" s="1311"/>
      <c r="C325" s="1311"/>
      <c r="D325" s="1311"/>
      <c r="E325" s="1317"/>
      <c r="F325" s="1311"/>
      <c r="G325" s="1311"/>
      <c r="H325" s="1317"/>
      <c r="I325" s="919"/>
      <c r="J325" s="1311"/>
      <c r="K325" s="1311"/>
      <c r="L325" s="1311"/>
      <c r="M325" s="1311"/>
      <c r="N325" s="1311"/>
      <c r="O325" s="1311"/>
      <c r="P325" s="1311"/>
      <c r="Q325" s="1311"/>
      <c r="R325" s="1311"/>
      <c r="S325" s="1311"/>
      <c r="T325" s="1311"/>
      <c r="U325" s="1311"/>
      <c r="V325" s="1311"/>
      <c r="W325" s="1311"/>
      <c r="X325" s="1311"/>
      <c r="Y325" s="1311"/>
      <c r="Z325" s="1394"/>
      <c r="AA325" s="195"/>
      <c r="AB325" s="195"/>
      <c r="AC325" s="196"/>
      <c r="AD325" s="196"/>
      <c r="AE325" s="196"/>
      <c r="AF325" s="196"/>
      <c r="AG325" s="196"/>
      <c r="AH325" s="196"/>
      <c r="AI325" s="196"/>
      <c r="AJ325" s="196"/>
      <c r="AK325" s="196"/>
      <c r="AL325" s="197"/>
      <c r="AM325" s="197"/>
      <c r="AN325" s="197"/>
      <c r="AO325" s="195"/>
      <c r="AP325" s="195"/>
      <c r="AQ325" s="195"/>
      <c r="AR325" s="195"/>
      <c r="AS325" s="195"/>
      <c r="AT325" s="195"/>
      <c r="AU325" s="195"/>
    </row>
    <row r="326" spans="1:84" ht="11.25" customHeight="1" thickBot="1" x14ac:dyDescent="0.3">
      <c r="A326" s="1407"/>
      <c r="B326" s="1389"/>
      <c r="C326" s="1389"/>
      <c r="D326" s="1389"/>
      <c r="E326" s="1390"/>
      <c r="F326" s="1389"/>
      <c r="G326" s="1389"/>
      <c r="H326" s="1390"/>
      <c r="I326" s="917"/>
      <c r="J326" s="1389"/>
      <c r="K326" s="1389"/>
      <c r="L326" s="1389"/>
      <c r="M326" s="1389"/>
      <c r="N326" s="1389"/>
      <c r="O326" s="1389"/>
      <c r="P326" s="1389"/>
      <c r="Q326" s="1389"/>
      <c r="R326" s="1389"/>
      <c r="S326" s="1389"/>
      <c r="T326" s="1389"/>
      <c r="U326" s="1389"/>
      <c r="V326" s="1389"/>
      <c r="W326" s="1389"/>
      <c r="X326" s="1389"/>
      <c r="Y326" s="1389"/>
      <c r="Z326" s="1395"/>
      <c r="AA326" s="195"/>
      <c r="AB326" s="195"/>
      <c r="AC326" s="196"/>
      <c r="AD326" s="196"/>
      <c r="AE326" s="196"/>
      <c r="AF326" s="196"/>
      <c r="AG326" s="196"/>
      <c r="AH326" s="196"/>
      <c r="AI326" s="196"/>
      <c r="AJ326" s="196"/>
      <c r="AK326" s="196"/>
      <c r="AL326" s="197"/>
      <c r="AM326" s="197"/>
      <c r="AN326" s="197"/>
      <c r="AO326" s="195"/>
      <c r="AP326" s="195"/>
      <c r="AQ326" s="195"/>
      <c r="AR326" s="195"/>
      <c r="AS326" s="195"/>
      <c r="AT326" s="195"/>
      <c r="AU326" s="195"/>
    </row>
    <row r="327" spans="1:84" ht="11.25" customHeight="1" x14ac:dyDescent="0.25">
      <c r="A327" s="1405">
        <v>7</v>
      </c>
      <c r="B327" s="1322" t="s">
        <v>128</v>
      </c>
      <c r="C327" s="1322" t="s">
        <v>362</v>
      </c>
      <c r="D327" s="292" t="s">
        <v>288</v>
      </c>
      <c r="E327" s="931">
        <v>2250</v>
      </c>
      <c r="F327" s="291"/>
      <c r="G327" s="291"/>
      <c r="H327" s="931">
        <v>2250</v>
      </c>
      <c r="I327" s="931"/>
      <c r="J327" s="931">
        <f>+[2]INVERSIÓN!Q45</f>
        <v>2627</v>
      </c>
      <c r="K327" s="321">
        <f>+K341+K348+K355+K362+K369+K376+K383+K390+K397+K404+K411+K418+K425+K432+K439+K446+K453+K460+K467+K474</f>
        <v>363.2</v>
      </c>
      <c r="L327" s="320">
        <v>1021.48</v>
      </c>
      <c r="M327" s="943">
        <f>+M334+M341+M348+M355+M362+M369+M376+M383+M390+M397+M404+M411+M418+M425+M432+M439+M446+M453+M460+M467+M474</f>
        <v>1592.211</v>
      </c>
      <c r="N327" s="943">
        <v>2427</v>
      </c>
      <c r="O327" s="1327" t="s">
        <v>290</v>
      </c>
      <c r="P327" s="1322" t="s">
        <v>86</v>
      </c>
      <c r="Q327" s="1320" t="s">
        <v>86</v>
      </c>
      <c r="R327" s="1322" t="s">
        <v>86</v>
      </c>
      <c r="S327" s="1320" t="s">
        <v>290</v>
      </c>
      <c r="T327" s="1320">
        <v>7878783</v>
      </c>
      <c r="U327" s="1323"/>
      <c r="V327" s="1320"/>
      <c r="W327" s="1320" t="s">
        <v>291</v>
      </c>
      <c r="X327" s="1320" t="s">
        <v>292</v>
      </c>
      <c r="Y327" s="1320" t="s">
        <v>293</v>
      </c>
      <c r="Z327" s="1321">
        <v>7878783</v>
      </c>
      <c r="AA327" s="195"/>
      <c r="AB327" s="195"/>
      <c r="AC327" s="196"/>
      <c r="AD327" s="196"/>
      <c r="AE327" s="196"/>
      <c r="AF327" s="196"/>
      <c r="AG327" s="196"/>
      <c r="AH327" s="196"/>
      <c r="AI327" s="196"/>
      <c r="AJ327" s="196"/>
      <c r="AK327" s="196"/>
      <c r="AL327" s="197"/>
      <c r="AM327" s="197"/>
      <c r="AN327" s="197"/>
      <c r="AO327" s="195"/>
      <c r="AP327" s="195"/>
      <c r="AQ327" s="195"/>
      <c r="AR327" s="195"/>
      <c r="AS327" s="195"/>
      <c r="AT327" s="195"/>
      <c r="AU327" s="195"/>
    </row>
    <row r="328" spans="1:84" ht="11.25" customHeight="1" x14ac:dyDescent="0.25">
      <c r="A328" s="1406"/>
      <c r="B328" s="1311"/>
      <c r="C328" s="1311"/>
      <c r="D328" s="922" t="s">
        <v>296</v>
      </c>
      <c r="E328" s="919">
        <v>605318000</v>
      </c>
      <c r="F328" s="919"/>
      <c r="G328" s="919"/>
      <c r="H328" s="919">
        <v>605318000</v>
      </c>
      <c r="I328" s="919"/>
      <c r="J328" s="919">
        <f>+[2]INVERSIÓN!Q46</f>
        <v>804524633</v>
      </c>
      <c r="K328" s="304">
        <f>+[3]INVERSIÓN!AF52</f>
        <v>196390000</v>
      </c>
      <c r="L328" s="319">
        <v>247700000</v>
      </c>
      <c r="M328" s="919">
        <v>237021500</v>
      </c>
      <c r="N328" s="919">
        <v>801616488</v>
      </c>
      <c r="O328" s="1311"/>
      <c r="P328" s="1311"/>
      <c r="Q328" s="1311"/>
      <c r="R328" s="1311"/>
      <c r="S328" s="1311"/>
      <c r="T328" s="1311"/>
      <c r="U328" s="1311"/>
      <c r="V328" s="1311"/>
      <c r="W328" s="1311"/>
      <c r="X328" s="1311"/>
      <c r="Y328" s="1311"/>
      <c r="Z328" s="1394"/>
      <c r="AA328" s="195"/>
      <c r="AB328" s="195"/>
      <c r="AC328" s="196"/>
      <c r="AD328" s="196"/>
      <c r="AE328" s="196"/>
      <c r="AF328" s="196"/>
      <c r="AG328" s="196"/>
      <c r="AH328" s="196"/>
      <c r="AI328" s="196"/>
      <c r="AJ328" s="196"/>
      <c r="AK328" s="196"/>
      <c r="AL328" s="197"/>
      <c r="AM328" s="197"/>
      <c r="AN328" s="197"/>
      <c r="AO328" s="195"/>
      <c r="AP328" s="195"/>
      <c r="AQ328" s="195"/>
      <c r="AR328" s="195"/>
      <c r="AS328" s="195"/>
      <c r="AT328" s="195"/>
      <c r="AU328" s="195"/>
    </row>
    <row r="329" spans="1:84" ht="11.25" customHeight="1" x14ac:dyDescent="0.25">
      <c r="A329" s="1406"/>
      <c r="B329" s="1311"/>
      <c r="C329" s="1311"/>
      <c r="D329" s="922" t="s">
        <v>299</v>
      </c>
      <c r="E329" s="919"/>
      <c r="F329" s="289"/>
      <c r="G329" s="289"/>
      <c r="H329" s="919"/>
      <c r="I329" s="919"/>
      <c r="J329" s="919"/>
      <c r="K329" s="305"/>
      <c r="L329" s="932"/>
      <c r="M329" s="932"/>
      <c r="N329" s="932"/>
      <c r="O329" s="1311"/>
      <c r="P329" s="1311"/>
      <c r="Q329" s="1311"/>
      <c r="R329" s="1311"/>
      <c r="S329" s="1311"/>
      <c r="T329" s="1311"/>
      <c r="U329" s="1311"/>
      <c r="V329" s="1311"/>
      <c r="W329" s="1311"/>
      <c r="X329" s="1311"/>
      <c r="Y329" s="1311"/>
      <c r="Z329" s="1394"/>
      <c r="AA329" s="195"/>
      <c r="AB329" s="195"/>
      <c r="AC329" s="196"/>
      <c r="AD329" s="196"/>
      <c r="AE329" s="196"/>
      <c r="AF329" s="196"/>
      <c r="AG329" s="196"/>
      <c r="AH329" s="196"/>
      <c r="AI329" s="196"/>
      <c r="AJ329" s="196"/>
      <c r="AK329" s="196"/>
      <c r="AL329" s="197"/>
      <c r="AM329" s="197"/>
      <c r="AN329" s="197"/>
      <c r="AO329" s="195"/>
      <c r="AP329" s="195"/>
      <c r="AQ329" s="195"/>
      <c r="AR329" s="195"/>
      <c r="AS329" s="195"/>
      <c r="AT329" s="195"/>
      <c r="AU329" s="195"/>
    </row>
    <row r="330" spans="1:84" ht="11.25" customHeight="1" x14ac:dyDescent="0.25">
      <c r="A330" s="1406"/>
      <c r="B330" s="1311"/>
      <c r="C330" s="1311"/>
      <c r="D330" s="1396" t="s">
        <v>302</v>
      </c>
      <c r="E330" s="1317">
        <v>105773637</v>
      </c>
      <c r="F330" s="1317"/>
      <c r="G330" s="1317"/>
      <c r="H330" s="1317">
        <v>105773637</v>
      </c>
      <c r="I330" s="919"/>
      <c r="J330" s="1317">
        <f>+[2]INVERSIÓN!Q48</f>
        <v>105773637</v>
      </c>
      <c r="K330" s="1317">
        <f>+[3]INVERSIÓN!AF54</f>
        <v>42892971</v>
      </c>
      <c r="L330" s="1390">
        <v>59661260</v>
      </c>
      <c r="M330" s="1317">
        <v>80371846</v>
      </c>
      <c r="N330" s="1317">
        <v>105773637</v>
      </c>
      <c r="O330" s="1311"/>
      <c r="P330" s="1311"/>
      <c r="Q330" s="1311"/>
      <c r="R330" s="1311"/>
      <c r="S330" s="1311"/>
      <c r="T330" s="1311"/>
      <c r="U330" s="1311"/>
      <c r="V330" s="1311"/>
      <c r="W330" s="1311"/>
      <c r="X330" s="1311"/>
      <c r="Y330" s="1311"/>
      <c r="Z330" s="1394"/>
      <c r="AA330" s="195"/>
      <c r="AB330" s="195"/>
      <c r="AC330" s="196"/>
      <c r="AD330" s="196"/>
      <c r="AE330" s="196"/>
      <c r="AF330" s="196"/>
      <c r="AG330" s="196"/>
      <c r="AH330" s="196"/>
      <c r="AI330" s="196"/>
      <c r="AJ330" s="196"/>
      <c r="AK330" s="196"/>
      <c r="AL330" s="197"/>
      <c r="AM330" s="197"/>
      <c r="AN330" s="197"/>
      <c r="AO330" s="195"/>
      <c r="AP330" s="195"/>
      <c r="AQ330" s="195"/>
      <c r="AR330" s="195"/>
      <c r="AS330" s="195"/>
      <c r="AT330" s="195"/>
      <c r="AU330" s="195"/>
    </row>
    <row r="331" spans="1:84" ht="9.75" customHeight="1" x14ac:dyDescent="0.25">
      <c r="A331" s="1406"/>
      <c r="B331" s="1311"/>
      <c r="C331" s="1311"/>
      <c r="D331" s="1311"/>
      <c r="E331" s="1317"/>
      <c r="F331" s="1311"/>
      <c r="G331" s="1311"/>
      <c r="H331" s="1317"/>
      <c r="I331" s="919"/>
      <c r="J331" s="1311"/>
      <c r="K331" s="1311"/>
      <c r="L331" s="1391"/>
      <c r="M331" s="1311"/>
      <c r="N331" s="1311"/>
      <c r="O331" s="1311"/>
      <c r="P331" s="1311"/>
      <c r="Q331" s="1311"/>
      <c r="R331" s="1311"/>
      <c r="S331" s="1311"/>
      <c r="T331" s="1311"/>
      <c r="U331" s="1311"/>
      <c r="V331" s="1311"/>
      <c r="W331" s="1311"/>
      <c r="X331" s="1311"/>
      <c r="Y331" s="1311"/>
      <c r="Z331" s="1394"/>
      <c r="AA331" s="195"/>
      <c r="AB331" s="195"/>
      <c r="AC331" s="196"/>
      <c r="AD331" s="196"/>
      <c r="AE331" s="196"/>
      <c r="AF331" s="196"/>
      <c r="AG331" s="196"/>
      <c r="AH331" s="196"/>
      <c r="AI331" s="196"/>
      <c r="AJ331" s="196"/>
      <c r="AK331" s="196"/>
      <c r="AL331" s="197"/>
      <c r="AM331" s="197"/>
      <c r="AN331" s="197"/>
      <c r="AO331" s="195"/>
      <c r="AP331" s="195"/>
      <c r="AQ331" s="195"/>
      <c r="AR331" s="195"/>
      <c r="AS331" s="195"/>
      <c r="AT331" s="195"/>
      <c r="AU331" s="195"/>
    </row>
    <row r="332" spans="1:84" ht="8.25" customHeight="1" x14ac:dyDescent="0.25">
      <c r="A332" s="1406"/>
      <c r="B332" s="1311"/>
      <c r="C332" s="1311"/>
      <c r="D332" s="1311"/>
      <c r="E332" s="1317"/>
      <c r="F332" s="1311"/>
      <c r="G332" s="1311"/>
      <c r="H332" s="1317"/>
      <c r="I332" s="919"/>
      <c r="J332" s="1311"/>
      <c r="K332" s="1311"/>
      <c r="L332" s="1391"/>
      <c r="M332" s="1311"/>
      <c r="N332" s="1311"/>
      <c r="O332" s="1311"/>
      <c r="P332" s="1311"/>
      <c r="Q332" s="1311"/>
      <c r="R332" s="1311"/>
      <c r="S332" s="1311"/>
      <c r="T332" s="1311"/>
      <c r="U332" s="1311"/>
      <c r="V332" s="1311"/>
      <c r="W332" s="1311"/>
      <c r="X332" s="1311"/>
      <c r="Y332" s="1311"/>
      <c r="Z332" s="1394"/>
      <c r="AA332" s="195"/>
      <c r="AB332" s="195"/>
      <c r="AC332" s="196"/>
      <c r="AD332" s="196"/>
      <c r="AE332" s="196"/>
      <c r="AF332" s="196"/>
      <c r="AG332" s="196"/>
      <c r="AH332" s="196"/>
      <c r="AI332" s="196"/>
      <c r="AJ332" s="196"/>
      <c r="AK332" s="196"/>
      <c r="AL332" s="197"/>
      <c r="AM332" s="197"/>
      <c r="AN332" s="197"/>
      <c r="AO332" s="195"/>
      <c r="AP332" s="195"/>
      <c r="AQ332" s="195"/>
      <c r="AR332" s="195"/>
      <c r="AS332" s="195"/>
      <c r="AT332" s="195"/>
      <c r="AU332" s="195"/>
    </row>
    <row r="333" spans="1:84" ht="11.25" customHeight="1" x14ac:dyDescent="0.25">
      <c r="A333" s="1406"/>
      <c r="B333" s="1311"/>
      <c r="C333" s="1311"/>
      <c r="D333" s="1311"/>
      <c r="E333" s="1317"/>
      <c r="F333" s="1311"/>
      <c r="G333" s="1311"/>
      <c r="H333" s="1317"/>
      <c r="I333" s="919"/>
      <c r="J333" s="1311"/>
      <c r="K333" s="1311"/>
      <c r="L333" s="1392"/>
      <c r="M333" s="1311"/>
      <c r="N333" s="1311"/>
      <c r="O333" s="1311"/>
      <c r="P333" s="1311"/>
      <c r="Q333" s="1311"/>
      <c r="R333" s="1311"/>
      <c r="S333" s="1311"/>
      <c r="T333" s="1311"/>
      <c r="U333" s="1311"/>
      <c r="V333" s="1311"/>
      <c r="W333" s="1311"/>
      <c r="X333" s="1311"/>
      <c r="Y333" s="1311"/>
      <c r="Z333" s="1394"/>
      <c r="AA333" s="195"/>
      <c r="AB333" s="195"/>
      <c r="AC333" s="196"/>
      <c r="AD333" s="196"/>
      <c r="AE333" s="196"/>
      <c r="AF333" s="196"/>
      <c r="AG333" s="196"/>
      <c r="AH333" s="196"/>
      <c r="AI333" s="196"/>
      <c r="AJ333" s="196"/>
      <c r="AK333" s="196"/>
      <c r="AL333" s="197"/>
      <c r="AM333" s="197"/>
      <c r="AN333" s="197"/>
      <c r="AO333" s="195"/>
      <c r="AP333" s="195"/>
      <c r="AQ333" s="195"/>
      <c r="AR333" s="195"/>
      <c r="AS333" s="195"/>
      <c r="AT333" s="195"/>
      <c r="AU333" s="195"/>
    </row>
    <row r="334" spans="1:84" s="294" customFormat="1" ht="11.25" customHeight="1" x14ac:dyDescent="0.2">
      <c r="A334" s="1406"/>
      <c r="B334" s="1311"/>
      <c r="C334" s="1318" t="s">
        <v>441</v>
      </c>
      <c r="D334" s="318" t="s">
        <v>288</v>
      </c>
      <c r="E334" s="317">
        <v>1886.85</v>
      </c>
      <c r="F334" s="921"/>
      <c r="G334" s="921"/>
      <c r="H334" s="921">
        <v>1125.58</v>
      </c>
      <c r="I334" s="921"/>
      <c r="J334" s="924">
        <f>1085+200</f>
        <v>1285</v>
      </c>
      <c r="K334" s="313">
        <f>M334+M341+M348+M355+M362+M369+M376+M383+M390+M397+M404+M411+M418+M425+M432+M439+M446+M453+M460+M467+M474+M481+M488+M495+M502+M509+M516+M523+M530+M537+M544+M551+M558</f>
        <v>1639.8520000000001</v>
      </c>
      <c r="L334" s="921">
        <v>419.58</v>
      </c>
      <c r="M334" s="921">
        <v>467.58</v>
      </c>
      <c r="N334" s="924">
        <v>1082.78</v>
      </c>
      <c r="O334" s="1401" t="s">
        <v>290</v>
      </c>
      <c r="P334" s="1402" t="s">
        <v>86</v>
      </c>
      <c r="Q334" s="1397" t="s">
        <v>86</v>
      </c>
      <c r="R334" s="1402" t="s">
        <v>86</v>
      </c>
      <c r="S334" s="1397" t="s">
        <v>290</v>
      </c>
      <c r="T334" s="1397">
        <v>7878783</v>
      </c>
      <c r="U334" s="1398"/>
      <c r="V334" s="1397"/>
      <c r="W334" s="1397" t="s">
        <v>291</v>
      </c>
      <c r="X334" s="1397" t="s">
        <v>292</v>
      </c>
      <c r="Y334" s="1397" t="s">
        <v>293</v>
      </c>
      <c r="Z334" s="1399">
        <v>7878783</v>
      </c>
      <c r="AA334" s="296"/>
      <c r="AB334" s="296"/>
      <c r="AC334" s="298"/>
      <c r="AD334" s="298"/>
      <c r="AE334" s="298"/>
      <c r="AF334" s="298"/>
      <c r="AG334" s="298"/>
      <c r="AH334" s="298"/>
      <c r="AI334" s="298"/>
      <c r="AJ334" s="298"/>
      <c r="AK334" s="298"/>
      <c r="AL334" s="297"/>
      <c r="AM334" s="297"/>
      <c r="AN334" s="297"/>
      <c r="AO334" s="296"/>
      <c r="AP334" s="296"/>
      <c r="AQ334" s="296"/>
      <c r="AR334" s="296"/>
      <c r="AS334" s="296"/>
      <c r="AT334" s="296"/>
      <c r="AU334" s="296"/>
      <c r="AV334" s="295"/>
      <c r="AW334" s="295"/>
      <c r="AX334" s="295"/>
      <c r="AY334" s="295"/>
      <c r="AZ334" s="295"/>
      <c r="BA334" s="295"/>
      <c r="BB334" s="295"/>
      <c r="BC334" s="295"/>
      <c r="BD334" s="295"/>
      <c r="BE334" s="295"/>
      <c r="BF334" s="295"/>
      <c r="BG334" s="295"/>
      <c r="BH334" s="295"/>
      <c r="BI334" s="295"/>
      <c r="BJ334" s="295"/>
      <c r="BK334" s="295"/>
      <c r="BL334" s="295"/>
      <c r="BM334" s="295"/>
      <c r="BN334" s="295"/>
      <c r="BO334" s="295"/>
      <c r="BP334" s="295"/>
      <c r="BQ334" s="295"/>
      <c r="BR334" s="295"/>
      <c r="BS334" s="295"/>
      <c r="BT334" s="295"/>
      <c r="BU334" s="295"/>
      <c r="BV334" s="295"/>
      <c r="BW334" s="295"/>
      <c r="BX334" s="295"/>
      <c r="BY334" s="295"/>
      <c r="BZ334" s="295"/>
      <c r="CA334" s="295"/>
      <c r="CB334" s="295"/>
      <c r="CC334" s="295"/>
      <c r="CD334" s="295"/>
      <c r="CE334" s="295"/>
      <c r="CF334" s="295"/>
    </row>
    <row r="335" spans="1:84" s="294" customFormat="1" ht="11.25" customHeight="1" x14ac:dyDescent="0.2">
      <c r="A335" s="1406"/>
      <c r="B335" s="1311"/>
      <c r="C335" s="1311"/>
      <c r="D335" s="923" t="s">
        <v>296</v>
      </c>
      <c r="E335" s="317">
        <v>507622371</v>
      </c>
      <c r="F335" s="921"/>
      <c r="G335" s="921"/>
      <c r="H335" s="306">
        <v>302815037.52888888</v>
      </c>
      <c r="I335" s="306"/>
      <c r="J335" s="962">
        <f>+J334*$J$328/$J$327</f>
        <v>393534127.67605633</v>
      </c>
      <c r="K335" s="921"/>
      <c r="L335" s="313">
        <v>1749488.7223276496</v>
      </c>
      <c r="M335" s="315">
        <v>62474074.832333699</v>
      </c>
      <c r="N335" s="962">
        <v>288659458</v>
      </c>
      <c r="O335" s="1401"/>
      <c r="P335" s="1398"/>
      <c r="Q335" s="1398"/>
      <c r="R335" s="1398"/>
      <c r="S335" s="1398"/>
      <c r="T335" s="1398"/>
      <c r="U335" s="1398"/>
      <c r="V335" s="1398"/>
      <c r="W335" s="1398"/>
      <c r="X335" s="1398"/>
      <c r="Y335" s="1398"/>
      <c r="Z335" s="1400"/>
      <c r="AA335" s="296"/>
      <c r="AB335" s="296"/>
      <c r="AC335" s="298"/>
      <c r="AD335" s="298"/>
      <c r="AE335" s="298"/>
      <c r="AF335" s="298"/>
      <c r="AG335" s="298"/>
      <c r="AH335" s="298"/>
      <c r="AI335" s="298"/>
      <c r="AJ335" s="298"/>
      <c r="AK335" s="298"/>
      <c r="AL335" s="297"/>
      <c r="AM335" s="297"/>
      <c r="AN335" s="297"/>
      <c r="AO335" s="296"/>
      <c r="AP335" s="296"/>
      <c r="AQ335" s="296"/>
      <c r="AR335" s="296"/>
      <c r="AS335" s="296"/>
      <c r="AT335" s="296"/>
      <c r="AU335" s="296"/>
      <c r="AV335" s="295"/>
      <c r="AW335" s="295"/>
      <c r="AX335" s="295"/>
      <c r="AY335" s="295"/>
      <c r="AZ335" s="295"/>
      <c r="BA335" s="295"/>
      <c r="BB335" s="295"/>
      <c r="BC335" s="295"/>
      <c r="BD335" s="295"/>
      <c r="BE335" s="295"/>
      <c r="BF335" s="295"/>
      <c r="BG335" s="295"/>
      <c r="BH335" s="295"/>
      <c r="BI335" s="295"/>
      <c r="BJ335" s="295"/>
      <c r="BK335" s="295"/>
      <c r="BL335" s="295"/>
      <c r="BM335" s="295"/>
      <c r="BN335" s="295"/>
      <c r="BO335" s="295"/>
      <c r="BP335" s="295"/>
      <c r="BQ335" s="295"/>
      <c r="BR335" s="295"/>
      <c r="BS335" s="295"/>
      <c r="BT335" s="295"/>
      <c r="BU335" s="295"/>
      <c r="BV335" s="295"/>
      <c r="BW335" s="295"/>
      <c r="BX335" s="295"/>
      <c r="BY335" s="295"/>
      <c r="BZ335" s="295"/>
      <c r="CA335" s="295"/>
      <c r="CB335" s="295"/>
      <c r="CC335" s="295"/>
      <c r="CD335" s="295"/>
      <c r="CE335" s="295"/>
      <c r="CF335" s="295"/>
    </row>
    <row r="336" spans="1:84" s="294" customFormat="1" ht="11.25" customHeight="1" x14ac:dyDescent="0.2">
      <c r="A336" s="1406"/>
      <c r="B336" s="1311"/>
      <c r="C336" s="1311"/>
      <c r="D336" s="923" t="s">
        <v>299</v>
      </c>
      <c r="E336" s="921"/>
      <c r="F336" s="921"/>
      <c r="G336" s="921"/>
      <c r="H336" s="921"/>
      <c r="I336" s="921"/>
      <c r="J336" s="921"/>
      <c r="K336" s="921"/>
      <c r="L336" s="921"/>
      <c r="M336" s="921"/>
      <c r="N336" s="921"/>
      <c r="O336" s="1401"/>
      <c r="P336" s="1398"/>
      <c r="Q336" s="1398"/>
      <c r="R336" s="1398"/>
      <c r="S336" s="1398"/>
      <c r="T336" s="1398"/>
      <c r="U336" s="1398"/>
      <c r="V336" s="1398"/>
      <c r="W336" s="1398"/>
      <c r="X336" s="1398"/>
      <c r="Y336" s="1398"/>
      <c r="Z336" s="1400"/>
      <c r="AA336" s="296"/>
      <c r="AB336" s="296"/>
      <c r="AC336" s="298"/>
      <c r="AD336" s="298"/>
      <c r="AE336" s="298"/>
      <c r="AF336" s="298"/>
      <c r="AG336" s="298"/>
      <c r="AH336" s="298"/>
      <c r="AI336" s="298"/>
      <c r="AJ336" s="298"/>
      <c r="AK336" s="298"/>
      <c r="AL336" s="297"/>
      <c r="AM336" s="297"/>
      <c r="AN336" s="297"/>
      <c r="AO336" s="296"/>
      <c r="AP336" s="296"/>
      <c r="AQ336" s="296"/>
      <c r="AR336" s="296"/>
      <c r="AS336" s="296"/>
      <c r="AT336" s="296"/>
      <c r="AU336" s="296"/>
      <c r="AV336" s="295"/>
      <c r="AW336" s="295"/>
      <c r="AX336" s="295"/>
      <c r="AY336" s="295"/>
      <c r="AZ336" s="295"/>
      <c r="BA336" s="295"/>
      <c r="BB336" s="295"/>
      <c r="BC336" s="295"/>
      <c r="BD336" s="295"/>
      <c r="BE336" s="295"/>
      <c r="BF336" s="295"/>
      <c r="BG336" s="295"/>
      <c r="BH336" s="295"/>
      <c r="BI336" s="295"/>
      <c r="BJ336" s="295"/>
      <c r="BK336" s="295"/>
      <c r="BL336" s="295"/>
      <c r="BM336" s="295"/>
      <c r="BN336" s="295"/>
      <c r="BO336" s="295"/>
      <c r="BP336" s="295"/>
      <c r="BQ336" s="295"/>
      <c r="BR336" s="295"/>
      <c r="BS336" s="295"/>
      <c r="BT336" s="295"/>
      <c r="BU336" s="295"/>
      <c r="BV336" s="295"/>
      <c r="BW336" s="295"/>
      <c r="BX336" s="295"/>
      <c r="BY336" s="295"/>
      <c r="BZ336" s="295"/>
      <c r="CA336" s="295"/>
      <c r="CB336" s="295"/>
      <c r="CC336" s="295"/>
      <c r="CD336" s="295"/>
      <c r="CE336" s="295"/>
      <c r="CF336" s="295"/>
    </row>
    <row r="337" spans="1:84" s="294" customFormat="1" ht="11.25" customHeight="1" x14ac:dyDescent="0.2">
      <c r="A337" s="1406"/>
      <c r="B337" s="1311"/>
      <c r="C337" s="1311"/>
      <c r="D337" s="1403" t="s">
        <v>302</v>
      </c>
      <c r="E337" s="1404"/>
      <c r="F337" s="1401"/>
      <c r="G337" s="1401"/>
      <c r="H337" s="1401"/>
      <c r="I337" s="920"/>
      <c r="J337" s="1401"/>
      <c r="K337" s="1401"/>
      <c r="L337" s="1408"/>
      <c r="M337" s="1401"/>
      <c r="N337" s="1401"/>
      <c r="O337" s="1401"/>
      <c r="P337" s="1398"/>
      <c r="Q337" s="1398"/>
      <c r="R337" s="1398"/>
      <c r="S337" s="1398"/>
      <c r="T337" s="1398"/>
      <c r="U337" s="1398"/>
      <c r="V337" s="1398"/>
      <c r="W337" s="1398"/>
      <c r="X337" s="1398"/>
      <c r="Y337" s="1398"/>
      <c r="Z337" s="1400"/>
      <c r="AA337" s="296"/>
      <c r="AB337" s="296"/>
      <c r="AC337" s="298"/>
      <c r="AD337" s="298"/>
      <c r="AE337" s="298"/>
      <c r="AF337" s="298"/>
      <c r="AG337" s="298"/>
      <c r="AH337" s="298"/>
      <c r="AI337" s="298"/>
      <c r="AJ337" s="298"/>
      <c r="AK337" s="298"/>
      <c r="AL337" s="297"/>
      <c r="AM337" s="297"/>
      <c r="AN337" s="297"/>
      <c r="AO337" s="296"/>
      <c r="AP337" s="296"/>
      <c r="AQ337" s="296"/>
      <c r="AR337" s="296"/>
      <c r="AS337" s="296"/>
      <c r="AT337" s="296"/>
      <c r="AU337" s="296"/>
      <c r="AV337" s="295"/>
      <c r="AW337" s="295"/>
      <c r="AX337" s="295"/>
      <c r="AY337" s="295"/>
      <c r="AZ337" s="295"/>
      <c r="BA337" s="295"/>
      <c r="BB337" s="295"/>
      <c r="BC337" s="295"/>
      <c r="BD337" s="295"/>
      <c r="BE337" s="295"/>
      <c r="BF337" s="295"/>
      <c r="BG337" s="295"/>
      <c r="BH337" s="295"/>
      <c r="BI337" s="295"/>
      <c r="BJ337" s="295"/>
      <c r="BK337" s="295"/>
      <c r="BL337" s="295"/>
      <c r="BM337" s="295"/>
      <c r="BN337" s="295"/>
      <c r="BO337" s="295"/>
      <c r="BP337" s="295"/>
      <c r="BQ337" s="295"/>
      <c r="BR337" s="295"/>
      <c r="BS337" s="295"/>
      <c r="BT337" s="295"/>
      <c r="BU337" s="295"/>
      <c r="BV337" s="295"/>
      <c r="BW337" s="295"/>
      <c r="BX337" s="295"/>
      <c r="BY337" s="295"/>
      <c r="BZ337" s="295"/>
      <c r="CA337" s="295"/>
      <c r="CB337" s="295"/>
      <c r="CC337" s="295"/>
      <c r="CD337" s="295"/>
      <c r="CE337" s="295"/>
      <c r="CF337" s="295"/>
    </row>
    <row r="338" spans="1:84" s="294" customFormat="1" ht="11.25" customHeight="1" x14ac:dyDescent="0.2">
      <c r="A338" s="1406"/>
      <c r="B338" s="1311"/>
      <c r="C338" s="1311"/>
      <c r="D338" s="1398"/>
      <c r="E338" s="1404"/>
      <c r="F338" s="1398"/>
      <c r="G338" s="1398"/>
      <c r="H338" s="1398"/>
      <c r="I338" s="921"/>
      <c r="J338" s="1398"/>
      <c r="K338" s="1398"/>
      <c r="L338" s="1409"/>
      <c r="M338" s="1398"/>
      <c r="N338" s="1398"/>
      <c r="O338" s="1401"/>
      <c r="P338" s="1398"/>
      <c r="Q338" s="1398"/>
      <c r="R338" s="1398"/>
      <c r="S338" s="1398"/>
      <c r="T338" s="1398"/>
      <c r="U338" s="1398"/>
      <c r="V338" s="1398"/>
      <c r="W338" s="1398"/>
      <c r="X338" s="1398"/>
      <c r="Y338" s="1398"/>
      <c r="Z338" s="1400"/>
      <c r="AA338" s="296"/>
      <c r="AB338" s="296"/>
      <c r="AC338" s="298"/>
      <c r="AD338" s="298"/>
      <c r="AE338" s="298"/>
      <c r="AF338" s="298"/>
      <c r="AG338" s="298"/>
      <c r="AH338" s="298"/>
      <c r="AI338" s="298"/>
      <c r="AJ338" s="298"/>
      <c r="AK338" s="298"/>
      <c r="AL338" s="297"/>
      <c r="AM338" s="297"/>
      <c r="AN338" s="297"/>
      <c r="AO338" s="296"/>
      <c r="AP338" s="296"/>
      <c r="AQ338" s="296"/>
      <c r="AR338" s="296"/>
      <c r="AS338" s="296"/>
      <c r="AT338" s="296"/>
      <c r="AU338" s="296"/>
      <c r="AV338" s="295"/>
      <c r="AW338" s="295"/>
      <c r="AX338" s="295"/>
      <c r="AY338" s="295"/>
      <c r="AZ338" s="295"/>
      <c r="BA338" s="295"/>
      <c r="BB338" s="295"/>
      <c r="BC338" s="295"/>
      <c r="BD338" s="295"/>
      <c r="BE338" s="295"/>
      <c r="BF338" s="295"/>
      <c r="BG338" s="295"/>
      <c r="BH338" s="295"/>
      <c r="BI338" s="295"/>
      <c r="BJ338" s="295"/>
      <c r="BK338" s="295"/>
      <c r="BL338" s="295"/>
      <c r="BM338" s="295"/>
      <c r="BN338" s="295"/>
      <c r="BO338" s="295"/>
      <c r="BP338" s="295"/>
      <c r="BQ338" s="295"/>
      <c r="BR338" s="295"/>
      <c r="BS338" s="295"/>
      <c r="BT338" s="295"/>
      <c r="BU338" s="295"/>
      <c r="BV338" s="295"/>
      <c r="BW338" s="295"/>
      <c r="BX338" s="295"/>
      <c r="BY338" s="295"/>
      <c r="BZ338" s="295"/>
      <c r="CA338" s="295"/>
      <c r="CB338" s="295"/>
      <c r="CC338" s="295"/>
      <c r="CD338" s="295"/>
      <c r="CE338" s="295"/>
      <c r="CF338" s="295"/>
    </row>
    <row r="339" spans="1:84" s="294" customFormat="1" ht="11.25" customHeight="1" x14ac:dyDescent="0.2">
      <c r="A339" s="1406"/>
      <c r="B339" s="1311"/>
      <c r="C339" s="1311"/>
      <c r="D339" s="1398"/>
      <c r="E339" s="1404"/>
      <c r="F339" s="1398"/>
      <c r="G339" s="1398"/>
      <c r="H339" s="1398"/>
      <c r="I339" s="921"/>
      <c r="J339" s="1398"/>
      <c r="K339" s="1398"/>
      <c r="L339" s="1409"/>
      <c r="M339" s="1398"/>
      <c r="N339" s="1398"/>
      <c r="O339" s="1401"/>
      <c r="P339" s="1398"/>
      <c r="Q339" s="1398"/>
      <c r="R339" s="1398"/>
      <c r="S339" s="1398"/>
      <c r="T339" s="1398"/>
      <c r="U339" s="1398"/>
      <c r="V339" s="1398"/>
      <c r="W339" s="1398"/>
      <c r="X339" s="1398"/>
      <c r="Y339" s="1398"/>
      <c r="Z339" s="1400"/>
      <c r="AA339" s="296"/>
      <c r="AB339" s="296"/>
      <c r="AC339" s="298"/>
      <c r="AD339" s="298"/>
      <c r="AE339" s="298"/>
      <c r="AF339" s="298"/>
      <c r="AG339" s="298"/>
      <c r="AH339" s="298"/>
      <c r="AI339" s="298"/>
      <c r="AJ339" s="298"/>
      <c r="AK339" s="298"/>
      <c r="AL339" s="297"/>
      <c r="AM339" s="297"/>
      <c r="AN339" s="297"/>
      <c r="AO339" s="296"/>
      <c r="AP339" s="296"/>
      <c r="AQ339" s="296"/>
      <c r="AR339" s="296"/>
      <c r="AS339" s="296"/>
      <c r="AT339" s="296"/>
      <c r="AU339" s="296"/>
      <c r="AV339" s="295"/>
      <c r="AW339" s="295"/>
      <c r="AX339" s="295"/>
      <c r="AY339" s="295"/>
      <c r="AZ339" s="295"/>
      <c r="BA339" s="295"/>
      <c r="BB339" s="295"/>
      <c r="BC339" s="295"/>
      <c r="BD339" s="295"/>
      <c r="BE339" s="295"/>
      <c r="BF339" s="295"/>
      <c r="BG339" s="295"/>
      <c r="BH339" s="295"/>
      <c r="BI339" s="295"/>
      <c r="BJ339" s="295"/>
      <c r="BK339" s="295"/>
      <c r="BL339" s="295"/>
      <c r="BM339" s="295"/>
      <c r="BN339" s="295"/>
      <c r="BO339" s="295"/>
      <c r="BP339" s="295"/>
      <c r="BQ339" s="295"/>
      <c r="BR339" s="295"/>
      <c r="BS339" s="295"/>
      <c r="BT339" s="295"/>
      <c r="BU339" s="295"/>
      <c r="BV339" s="295"/>
      <c r="BW339" s="295"/>
      <c r="BX339" s="295"/>
      <c r="BY339" s="295"/>
      <c r="BZ339" s="295"/>
      <c r="CA339" s="295"/>
      <c r="CB339" s="295"/>
      <c r="CC339" s="295"/>
      <c r="CD339" s="295"/>
      <c r="CE339" s="295"/>
      <c r="CF339" s="295"/>
    </row>
    <row r="340" spans="1:84" s="294" customFormat="1" ht="11.25" customHeight="1" x14ac:dyDescent="0.2">
      <c r="A340" s="1406"/>
      <c r="B340" s="1311"/>
      <c r="C340" s="1311"/>
      <c r="D340" s="1398"/>
      <c r="E340" s="1404"/>
      <c r="F340" s="1398"/>
      <c r="G340" s="1398"/>
      <c r="H340" s="1398"/>
      <c r="I340" s="921"/>
      <c r="J340" s="1398"/>
      <c r="K340" s="1398"/>
      <c r="L340" s="1410"/>
      <c r="M340" s="1398"/>
      <c r="N340" s="1398"/>
      <c r="O340" s="1401"/>
      <c r="P340" s="1398"/>
      <c r="Q340" s="1398"/>
      <c r="R340" s="1398"/>
      <c r="S340" s="1398"/>
      <c r="T340" s="1398"/>
      <c r="U340" s="1398"/>
      <c r="V340" s="1398"/>
      <c r="W340" s="1398"/>
      <c r="X340" s="1398"/>
      <c r="Y340" s="1398"/>
      <c r="Z340" s="1400"/>
      <c r="AA340" s="296"/>
      <c r="AB340" s="296"/>
      <c r="AC340" s="298"/>
      <c r="AD340" s="298"/>
      <c r="AE340" s="298"/>
      <c r="AF340" s="298"/>
      <c r="AG340" s="298"/>
      <c r="AH340" s="298"/>
      <c r="AI340" s="298"/>
      <c r="AJ340" s="298"/>
      <c r="AK340" s="298"/>
      <c r="AL340" s="297"/>
      <c r="AM340" s="297"/>
      <c r="AN340" s="297"/>
      <c r="AO340" s="296"/>
      <c r="AP340" s="296"/>
      <c r="AQ340" s="296"/>
      <c r="AR340" s="296"/>
      <c r="AS340" s="296"/>
      <c r="AT340" s="296"/>
      <c r="AU340" s="296"/>
      <c r="AV340" s="295"/>
      <c r="AW340" s="295"/>
      <c r="AX340" s="295"/>
      <c r="AY340" s="295"/>
      <c r="AZ340" s="295"/>
      <c r="BA340" s="295"/>
      <c r="BB340" s="295"/>
      <c r="BC340" s="295"/>
      <c r="BD340" s="295"/>
      <c r="BE340" s="295"/>
      <c r="BF340" s="295"/>
      <c r="BG340" s="295"/>
      <c r="BH340" s="295"/>
      <c r="BI340" s="295"/>
      <c r="BJ340" s="295"/>
      <c r="BK340" s="295"/>
      <c r="BL340" s="295"/>
      <c r="BM340" s="295"/>
      <c r="BN340" s="295"/>
      <c r="BO340" s="295"/>
      <c r="BP340" s="295"/>
      <c r="BQ340" s="295"/>
      <c r="BR340" s="295"/>
      <c r="BS340" s="295"/>
      <c r="BT340" s="295"/>
      <c r="BU340" s="295"/>
      <c r="BV340" s="295"/>
      <c r="BW340" s="295"/>
      <c r="BX340" s="295"/>
      <c r="BY340" s="295"/>
      <c r="BZ340" s="295"/>
      <c r="CA340" s="295"/>
      <c r="CB340" s="295"/>
      <c r="CC340" s="295"/>
      <c r="CD340" s="295"/>
      <c r="CE340" s="295"/>
      <c r="CF340" s="295"/>
    </row>
    <row r="341" spans="1:84" ht="11.25" customHeight="1" x14ac:dyDescent="0.25">
      <c r="A341" s="1406"/>
      <c r="B341" s="1311"/>
      <c r="C341" s="1318" t="s">
        <v>363</v>
      </c>
      <c r="D341" s="290" t="s">
        <v>288</v>
      </c>
      <c r="E341" s="304">
        <v>28.97</v>
      </c>
      <c r="F341" s="289"/>
      <c r="G341" s="289"/>
      <c r="H341" s="933">
        <v>103.72</v>
      </c>
      <c r="I341" s="933"/>
      <c r="J341" s="933">
        <v>119.97</v>
      </c>
      <c r="K341" s="307">
        <f>E341</f>
        <v>28.97</v>
      </c>
      <c r="L341" s="303">
        <v>60.94</v>
      </c>
      <c r="M341" s="316">
        <v>103.72</v>
      </c>
      <c r="N341" s="933">
        <v>119.899</v>
      </c>
      <c r="O341" s="1317" t="s">
        <v>364</v>
      </c>
      <c r="P341" s="1318" t="s">
        <v>86</v>
      </c>
      <c r="Q341" s="1310" t="s">
        <v>86</v>
      </c>
      <c r="R341" s="1318" t="s">
        <v>86</v>
      </c>
      <c r="S341" s="1310" t="s">
        <v>290</v>
      </c>
      <c r="T341" s="1393">
        <v>419262</v>
      </c>
      <c r="U341" s="1393">
        <v>453981</v>
      </c>
      <c r="V341" s="1310"/>
      <c r="W341" s="1310" t="s">
        <v>291</v>
      </c>
      <c r="X341" s="1310" t="s">
        <v>292</v>
      </c>
      <c r="Y341" s="1310" t="s">
        <v>293</v>
      </c>
      <c r="Z341" s="1315">
        <v>7878783</v>
      </c>
      <c r="AA341" s="195"/>
      <c r="AB341" s="195"/>
      <c r="AC341" s="196"/>
      <c r="AD341" s="196"/>
      <c r="AE341" s="196"/>
      <c r="AF341" s="196"/>
      <c r="AG341" s="196"/>
      <c r="AH341" s="196"/>
      <c r="AI341" s="196"/>
      <c r="AJ341" s="196"/>
      <c r="AK341" s="196"/>
      <c r="AL341" s="197"/>
      <c r="AM341" s="197"/>
      <c r="AN341" s="197"/>
      <c r="AO341" s="195"/>
      <c r="AP341" s="195"/>
      <c r="AQ341" s="195"/>
      <c r="AR341" s="195"/>
      <c r="AS341" s="195"/>
      <c r="AT341" s="195"/>
      <c r="AU341" s="195"/>
    </row>
    <row r="342" spans="1:84" ht="11.25" customHeight="1" x14ac:dyDescent="0.25">
      <c r="A342" s="1406"/>
      <c r="B342" s="1311"/>
      <c r="C342" s="1311"/>
      <c r="D342" s="922" t="s">
        <v>296</v>
      </c>
      <c r="E342" s="314">
        <v>7793214</v>
      </c>
      <c r="F342" s="919"/>
      <c r="G342" s="919"/>
      <c r="H342" s="306">
        <v>27903814.64888889</v>
      </c>
      <c r="I342" s="306"/>
      <c r="J342" s="962">
        <f>+J341*$J$328/$J$327</f>
        <v>36741081.165211268</v>
      </c>
      <c r="K342" s="919">
        <f>+K341*K328/K327</f>
        <v>15664697.962555066</v>
      </c>
      <c r="L342" s="313">
        <v>22927939.1214533</v>
      </c>
      <c r="M342" s="315">
        <v>15443565.092734801</v>
      </c>
      <c r="N342" s="962">
        <v>39601572.0208949</v>
      </c>
      <c r="O342" s="1311"/>
      <c r="P342" s="1311"/>
      <c r="Q342" s="1311"/>
      <c r="R342" s="1311"/>
      <c r="S342" s="1311"/>
      <c r="T342" s="1311"/>
      <c r="U342" s="1311"/>
      <c r="V342" s="1311"/>
      <c r="W342" s="1311"/>
      <c r="X342" s="1311"/>
      <c r="Y342" s="1311"/>
      <c r="Z342" s="1394"/>
      <c r="AA342" s="195"/>
      <c r="AB342" s="195"/>
      <c r="AC342" s="196"/>
      <c r="AD342" s="196"/>
      <c r="AE342" s="196"/>
      <c r="AF342" s="196"/>
      <c r="AG342" s="196"/>
      <c r="AH342" s="196"/>
      <c r="AI342" s="196"/>
      <c r="AJ342" s="196"/>
      <c r="AK342" s="196"/>
      <c r="AL342" s="197"/>
      <c r="AM342" s="197"/>
      <c r="AN342" s="197"/>
      <c r="AO342" s="195"/>
      <c r="AP342" s="195"/>
      <c r="AQ342" s="195"/>
      <c r="AR342" s="195"/>
      <c r="AS342" s="195"/>
      <c r="AT342" s="195"/>
      <c r="AU342" s="195"/>
    </row>
    <row r="343" spans="1:84" ht="11.25" customHeight="1" x14ac:dyDescent="0.25">
      <c r="A343" s="1406"/>
      <c r="B343" s="1311"/>
      <c r="C343" s="1311"/>
      <c r="D343" s="922" t="s">
        <v>299</v>
      </c>
      <c r="E343" s="919"/>
      <c r="F343" s="289"/>
      <c r="G343" s="289"/>
      <c r="H343" s="289"/>
      <c r="I343" s="289"/>
      <c r="J343" s="919"/>
      <c r="K343" s="305"/>
      <c r="L343" s="932"/>
      <c r="M343" s="932"/>
      <c r="N343" s="932"/>
      <c r="O343" s="1311"/>
      <c r="P343" s="1311"/>
      <c r="Q343" s="1311"/>
      <c r="R343" s="1311"/>
      <c r="S343" s="1311"/>
      <c r="T343" s="1311"/>
      <c r="U343" s="1311"/>
      <c r="V343" s="1311"/>
      <c r="W343" s="1311"/>
      <c r="X343" s="1311"/>
      <c r="Y343" s="1311"/>
      <c r="Z343" s="1394"/>
      <c r="AA343" s="195"/>
      <c r="AB343" s="195"/>
      <c r="AC343" s="196"/>
      <c r="AD343" s="196"/>
      <c r="AE343" s="196"/>
      <c r="AF343" s="196"/>
      <c r="AG343" s="196"/>
      <c r="AH343" s="196"/>
      <c r="AI343" s="196"/>
      <c r="AJ343" s="196"/>
      <c r="AK343" s="196"/>
      <c r="AL343" s="197"/>
      <c r="AM343" s="197"/>
      <c r="AN343" s="197"/>
      <c r="AO343" s="195"/>
      <c r="AP343" s="195"/>
      <c r="AQ343" s="195"/>
      <c r="AR343" s="195"/>
      <c r="AS343" s="195"/>
      <c r="AT343" s="195"/>
      <c r="AU343" s="195"/>
    </row>
    <row r="344" spans="1:84" ht="9" customHeight="1" x14ac:dyDescent="0.25">
      <c r="A344" s="1406"/>
      <c r="B344" s="1311"/>
      <c r="C344" s="1311"/>
      <c r="D344" s="1396" t="s">
        <v>302</v>
      </c>
      <c r="E344" s="1317"/>
      <c r="F344" s="1317"/>
      <c r="G344" s="1317"/>
      <c r="H344" s="1317"/>
      <c r="I344" s="919"/>
      <c r="J344" s="1317"/>
      <c r="K344" s="1317"/>
      <c r="L344" s="1390"/>
      <c r="M344" s="1317"/>
      <c r="N344" s="1317"/>
      <c r="O344" s="1311"/>
      <c r="P344" s="1311"/>
      <c r="Q344" s="1311"/>
      <c r="R344" s="1311"/>
      <c r="S344" s="1311"/>
      <c r="T344" s="1311"/>
      <c r="U344" s="1311"/>
      <c r="V344" s="1311"/>
      <c r="W344" s="1311"/>
      <c r="X344" s="1311"/>
      <c r="Y344" s="1311"/>
      <c r="Z344" s="1394"/>
      <c r="AA344" s="195"/>
      <c r="AB344" s="195"/>
      <c r="AC344" s="196"/>
      <c r="AD344" s="196"/>
      <c r="AE344" s="196"/>
      <c r="AF344" s="196"/>
      <c r="AG344" s="196"/>
      <c r="AH344" s="196"/>
      <c r="AI344" s="196"/>
      <c r="AJ344" s="196"/>
      <c r="AK344" s="196"/>
      <c r="AL344" s="197"/>
      <c r="AM344" s="197"/>
      <c r="AN344" s="197"/>
      <c r="AO344" s="195"/>
      <c r="AP344" s="195"/>
      <c r="AQ344" s="195"/>
      <c r="AR344" s="195"/>
      <c r="AS344" s="195"/>
      <c r="AT344" s="195"/>
      <c r="AU344" s="195"/>
    </row>
    <row r="345" spans="1:84" ht="9.75" customHeight="1" x14ac:dyDescent="0.25">
      <c r="A345" s="1406"/>
      <c r="B345" s="1311"/>
      <c r="C345" s="1311"/>
      <c r="D345" s="1311"/>
      <c r="E345" s="1317"/>
      <c r="F345" s="1311"/>
      <c r="G345" s="1311"/>
      <c r="H345" s="1311"/>
      <c r="I345" s="906"/>
      <c r="J345" s="1311"/>
      <c r="K345" s="1311"/>
      <c r="L345" s="1391"/>
      <c r="M345" s="1311"/>
      <c r="N345" s="1311"/>
      <c r="O345" s="1311"/>
      <c r="P345" s="1311"/>
      <c r="Q345" s="1311"/>
      <c r="R345" s="1311"/>
      <c r="S345" s="1311"/>
      <c r="T345" s="1311"/>
      <c r="U345" s="1311"/>
      <c r="V345" s="1311"/>
      <c r="W345" s="1311"/>
      <c r="X345" s="1311"/>
      <c r="Y345" s="1311"/>
      <c r="Z345" s="1394"/>
      <c r="AA345" s="195"/>
      <c r="AB345" s="195"/>
      <c r="AC345" s="196"/>
      <c r="AD345" s="196"/>
      <c r="AE345" s="196"/>
      <c r="AF345" s="196"/>
      <c r="AG345" s="196"/>
      <c r="AH345" s="196"/>
      <c r="AI345" s="196"/>
      <c r="AJ345" s="196"/>
      <c r="AK345" s="196"/>
      <c r="AL345" s="197"/>
      <c r="AM345" s="197"/>
      <c r="AN345" s="197"/>
      <c r="AO345" s="195"/>
      <c r="AP345" s="195"/>
      <c r="AQ345" s="195"/>
      <c r="AR345" s="195"/>
      <c r="AS345" s="195"/>
      <c r="AT345" s="195"/>
      <c r="AU345" s="195"/>
    </row>
    <row r="346" spans="1:84" ht="8.25" customHeight="1" x14ac:dyDescent="0.25">
      <c r="A346" s="1406"/>
      <c r="B346" s="1311"/>
      <c r="C346" s="1311"/>
      <c r="D346" s="1311"/>
      <c r="E346" s="1317"/>
      <c r="F346" s="1311"/>
      <c r="G346" s="1311"/>
      <c r="H346" s="1311"/>
      <c r="I346" s="906"/>
      <c r="J346" s="1311"/>
      <c r="K346" s="1311"/>
      <c r="L346" s="1391"/>
      <c r="M346" s="1311"/>
      <c r="N346" s="1311"/>
      <c r="O346" s="1311"/>
      <c r="P346" s="1311"/>
      <c r="Q346" s="1311"/>
      <c r="R346" s="1311"/>
      <c r="S346" s="1311"/>
      <c r="T346" s="1311"/>
      <c r="U346" s="1311"/>
      <c r="V346" s="1311"/>
      <c r="W346" s="1311"/>
      <c r="X346" s="1311"/>
      <c r="Y346" s="1311"/>
      <c r="Z346" s="1394"/>
      <c r="AA346" s="195"/>
      <c r="AB346" s="195"/>
      <c r="AC346" s="196"/>
      <c r="AD346" s="196"/>
      <c r="AE346" s="196"/>
      <c r="AF346" s="196"/>
      <c r="AG346" s="196"/>
      <c r="AH346" s="196"/>
      <c r="AI346" s="196"/>
      <c r="AJ346" s="196"/>
      <c r="AK346" s="196"/>
      <c r="AL346" s="197"/>
      <c r="AM346" s="197"/>
      <c r="AN346" s="197"/>
      <c r="AO346" s="195"/>
      <c r="AP346" s="195"/>
      <c r="AQ346" s="195"/>
      <c r="AR346" s="195"/>
      <c r="AS346" s="195"/>
      <c r="AT346" s="195"/>
      <c r="AU346" s="195"/>
    </row>
    <row r="347" spans="1:84" ht="11.25" customHeight="1" x14ac:dyDescent="0.25">
      <c r="A347" s="1406"/>
      <c r="B347" s="1311"/>
      <c r="C347" s="1311"/>
      <c r="D347" s="1311"/>
      <c r="E347" s="1317"/>
      <c r="F347" s="1311"/>
      <c r="G347" s="1311"/>
      <c r="H347" s="1311"/>
      <c r="I347" s="906"/>
      <c r="J347" s="1311"/>
      <c r="K347" s="1311"/>
      <c r="L347" s="1392"/>
      <c r="M347" s="1311"/>
      <c r="N347" s="1311"/>
      <c r="O347" s="1311"/>
      <c r="P347" s="1311"/>
      <c r="Q347" s="1311"/>
      <c r="R347" s="1311"/>
      <c r="S347" s="1311"/>
      <c r="T347" s="1311"/>
      <c r="U347" s="1311"/>
      <c r="V347" s="1311"/>
      <c r="W347" s="1311"/>
      <c r="X347" s="1311"/>
      <c r="Y347" s="1311"/>
      <c r="Z347" s="1394"/>
      <c r="AA347" s="195"/>
      <c r="AB347" s="195"/>
      <c r="AC347" s="196"/>
      <c r="AD347" s="196"/>
      <c r="AE347" s="196"/>
      <c r="AF347" s="196"/>
      <c r="AG347" s="196"/>
      <c r="AH347" s="196"/>
      <c r="AI347" s="196"/>
      <c r="AJ347" s="196"/>
      <c r="AK347" s="196"/>
      <c r="AL347" s="197"/>
      <c r="AM347" s="197"/>
      <c r="AN347" s="197"/>
      <c r="AO347" s="195"/>
      <c r="AP347" s="195"/>
      <c r="AQ347" s="195"/>
      <c r="AR347" s="195"/>
      <c r="AS347" s="195"/>
      <c r="AT347" s="195"/>
      <c r="AU347" s="195"/>
    </row>
    <row r="348" spans="1:84" ht="11.25" customHeight="1" x14ac:dyDescent="0.25">
      <c r="A348" s="1406"/>
      <c r="B348" s="1311"/>
      <c r="C348" s="1318" t="s">
        <v>363</v>
      </c>
      <c r="D348" s="290" t="s">
        <v>288</v>
      </c>
      <c r="E348" s="304">
        <v>20.04</v>
      </c>
      <c r="F348" s="289"/>
      <c r="G348" s="289"/>
      <c r="H348" s="933">
        <v>67.680000000000007</v>
      </c>
      <c r="I348" s="933"/>
      <c r="J348" s="933">
        <v>85.22</v>
      </c>
      <c r="K348" s="307">
        <f>E348</f>
        <v>20.04</v>
      </c>
      <c r="L348" s="303">
        <v>38.770000000000003</v>
      </c>
      <c r="M348" s="316">
        <v>67.680000000000007</v>
      </c>
      <c r="N348" s="933">
        <v>85.22</v>
      </c>
      <c r="O348" s="1317" t="s">
        <v>365</v>
      </c>
      <c r="P348" s="1318" t="s">
        <v>86</v>
      </c>
      <c r="Q348" s="1310" t="s">
        <v>86</v>
      </c>
      <c r="R348" s="1318" t="s">
        <v>86</v>
      </c>
      <c r="S348" s="1310" t="s">
        <v>290</v>
      </c>
      <c r="T348" s="1393">
        <v>595157</v>
      </c>
      <c r="U348" s="1393">
        <v>655577</v>
      </c>
      <c r="V348" s="1310"/>
      <c r="W348" s="1310" t="s">
        <v>291</v>
      </c>
      <c r="X348" s="1310" t="s">
        <v>292</v>
      </c>
      <c r="Y348" s="1310" t="s">
        <v>293</v>
      </c>
      <c r="Z348" s="1315">
        <v>7878783</v>
      </c>
      <c r="AA348" s="195"/>
      <c r="AB348" s="195"/>
      <c r="AC348" s="196"/>
      <c r="AD348" s="196"/>
      <c r="AE348" s="196"/>
      <c r="AF348" s="196"/>
      <c r="AG348" s="196"/>
      <c r="AH348" s="196"/>
      <c r="AI348" s="196"/>
      <c r="AJ348" s="196"/>
      <c r="AK348" s="196"/>
      <c r="AL348" s="197"/>
      <c r="AM348" s="197"/>
      <c r="AN348" s="197"/>
      <c r="AO348" s="195"/>
      <c r="AP348" s="195"/>
      <c r="AQ348" s="195"/>
      <c r="AR348" s="195"/>
      <c r="AS348" s="195"/>
      <c r="AT348" s="195"/>
      <c r="AU348" s="195"/>
    </row>
    <row r="349" spans="1:84" ht="11.25" customHeight="1" x14ac:dyDescent="0.25">
      <c r="A349" s="1406"/>
      <c r="B349" s="1311"/>
      <c r="C349" s="1311"/>
      <c r="D349" s="922" t="s">
        <v>296</v>
      </c>
      <c r="E349" s="314">
        <v>5390801</v>
      </c>
      <c r="F349" s="919"/>
      <c r="G349" s="919"/>
      <c r="H349" s="306">
        <v>18207965.440000005</v>
      </c>
      <c r="I349" s="306"/>
      <c r="J349" s="962">
        <f>+J348*$J$328/$J$327</f>
        <v>26098815.844788734</v>
      </c>
      <c r="K349" s="919">
        <f>+K348*K328/K327</f>
        <v>10836056.167400882</v>
      </c>
      <c r="L349" s="313">
        <v>14586744.3344067</v>
      </c>
      <c r="M349" s="315">
        <v>10077328.244083</v>
      </c>
      <c r="N349" s="962">
        <v>28147407.1311743</v>
      </c>
      <c r="O349" s="1311"/>
      <c r="P349" s="1311"/>
      <c r="Q349" s="1311"/>
      <c r="R349" s="1311"/>
      <c r="S349" s="1311"/>
      <c r="T349" s="1311"/>
      <c r="U349" s="1311"/>
      <c r="V349" s="1311"/>
      <c r="W349" s="1311"/>
      <c r="X349" s="1311"/>
      <c r="Y349" s="1311"/>
      <c r="Z349" s="1394"/>
      <c r="AA349" s="195"/>
      <c r="AB349" s="195"/>
      <c r="AC349" s="196"/>
      <c r="AD349" s="196"/>
      <c r="AE349" s="196"/>
      <c r="AF349" s="196"/>
      <c r="AG349" s="196"/>
      <c r="AH349" s="196"/>
      <c r="AI349" s="196"/>
      <c r="AJ349" s="196"/>
      <c r="AK349" s="196"/>
      <c r="AL349" s="197"/>
      <c r="AM349" s="197"/>
      <c r="AN349" s="197"/>
      <c r="AO349" s="195"/>
      <c r="AP349" s="195"/>
      <c r="AQ349" s="195"/>
      <c r="AR349" s="195"/>
      <c r="AS349" s="195"/>
      <c r="AT349" s="195"/>
      <c r="AU349" s="195"/>
    </row>
    <row r="350" spans="1:84" ht="11.25" customHeight="1" x14ac:dyDescent="0.25">
      <c r="A350" s="1406"/>
      <c r="B350" s="1311"/>
      <c r="C350" s="1311"/>
      <c r="D350" s="922" t="s">
        <v>299</v>
      </c>
      <c r="E350" s="919"/>
      <c r="F350" s="289"/>
      <c r="G350" s="289"/>
      <c r="H350" s="289"/>
      <c r="I350" s="289"/>
      <c r="J350" s="919"/>
      <c r="K350" s="305"/>
      <c r="L350" s="932"/>
      <c r="M350" s="932"/>
      <c r="N350" s="932"/>
      <c r="O350" s="1311"/>
      <c r="P350" s="1311"/>
      <c r="Q350" s="1311"/>
      <c r="R350" s="1311"/>
      <c r="S350" s="1311"/>
      <c r="T350" s="1311"/>
      <c r="U350" s="1311"/>
      <c r="V350" s="1311"/>
      <c r="W350" s="1311"/>
      <c r="X350" s="1311"/>
      <c r="Y350" s="1311"/>
      <c r="Z350" s="1394"/>
      <c r="AA350" s="195"/>
      <c r="AB350" s="195"/>
      <c r="AC350" s="196"/>
      <c r="AD350" s="196"/>
      <c r="AE350" s="196"/>
      <c r="AF350" s="196"/>
      <c r="AG350" s="196"/>
      <c r="AH350" s="196"/>
      <c r="AI350" s="196"/>
      <c r="AJ350" s="196"/>
      <c r="AK350" s="196"/>
      <c r="AL350" s="197"/>
      <c r="AM350" s="197"/>
      <c r="AN350" s="197"/>
      <c r="AO350" s="195"/>
      <c r="AP350" s="195"/>
      <c r="AQ350" s="195"/>
      <c r="AR350" s="195"/>
      <c r="AS350" s="195"/>
      <c r="AT350" s="195"/>
      <c r="AU350" s="195"/>
    </row>
    <row r="351" spans="1:84" ht="11.25" customHeight="1" x14ac:dyDescent="0.25">
      <c r="A351" s="1406"/>
      <c r="B351" s="1311"/>
      <c r="C351" s="1311"/>
      <c r="D351" s="1396" t="s">
        <v>302</v>
      </c>
      <c r="E351" s="1317"/>
      <c r="F351" s="1317"/>
      <c r="G351" s="1317"/>
      <c r="H351" s="1317"/>
      <c r="I351" s="919"/>
      <c r="J351" s="1317"/>
      <c r="K351" s="1317"/>
      <c r="L351" s="1390"/>
      <c r="M351" s="1317"/>
      <c r="N351" s="1317"/>
      <c r="O351" s="1311"/>
      <c r="P351" s="1311"/>
      <c r="Q351" s="1311"/>
      <c r="R351" s="1311"/>
      <c r="S351" s="1311"/>
      <c r="T351" s="1311"/>
      <c r="U351" s="1311"/>
      <c r="V351" s="1311"/>
      <c r="W351" s="1311"/>
      <c r="X351" s="1311"/>
      <c r="Y351" s="1311"/>
      <c r="Z351" s="1394"/>
      <c r="AA351" s="195"/>
      <c r="AB351" s="195"/>
      <c r="AC351" s="196"/>
      <c r="AD351" s="196"/>
      <c r="AE351" s="196"/>
      <c r="AF351" s="196"/>
      <c r="AG351" s="196"/>
      <c r="AH351" s="196"/>
      <c r="AI351" s="196"/>
      <c r="AJ351" s="196"/>
      <c r="AK351" s="196"/>
      <c r="AL351" s="197"/>
      <c r="AM351" s="197"/>
      <c r="AN351" s="197"/>
      <c r="AO351" s="195"/>
      <c r="AP351" s="195"/>
      <c r="AQ351" s="195"/>
      <c r="AR351" s="195"/>
      <c r="AS351" s="195"/>
      <c r="AT351" s="195"/>
      <c r="AU351" s="195"/>
    </row>
    <row r="352" spans="1:84" ht="8.25" customHeight="1" x14ac:dyDescent="0.25">
      <c r="A352" s="1406"/>
      <c r="B352" s="1311"/>
      <c r="C352" s="1311"/>
      <c r="D352" s="1311"/>
      <c r="E352" s="1317"/>
      <c r="F352" s="1311"/>
      <c r="G352" s="1311"/>
      <c r="H352" s="1311"/>
      <c r="I352" s="906"/>
      <c r="J352" s="1311"/>
      <c r="K352" s="1311"/>
      <c r="L352" s="1391"/>
      <c r="M352" s="1311"/>
      <c r="N352" s="1311"/>
      <c r="O352" s="1311"/>
      <c r="P352" s="1311"/>
      <c r="Q352" s="1311"/>
      <c r="R352" s="1311"/>
      <c r="S352" s="1311"/>
      <c r="T352" s="1311"/>
      <c r="U352" s="1311"/>
      <c r="V352" s="1311"/>
      <c r="W352" s="1311"/>
      <c r="X352" s="1311"/>
      <c r="Y352" s="1311"/>
      <c r="Z352" s="1394"/>
      <c r="AA352" s="195"/>
      <c r="AB352" s="195"/>
      <c r="AC352" s="196"/>
      <c r="AD352" s="196"/>
      <c r="AE352" s="196"/>
      <c r="AF352" s="196"/>
      <c r="AG352" s="196"/>
      <c r="AH352" s="196"/>
      <c r="AI352" s="196"/>
      <c r="AJ352" s="196"/>
      <c r="AK352" s="196"/>
      <c r="AL352" s="197"/>
      <c r="AM352" s="197"/>
      <c r="AN352" s="197"/>
      <c r="AO352" s="195"/>
      <c r="AP352" s="195"/>
      <c r="AQ352" s="195"/>
      <c r="AR352" s="195"/>
      <c r="AS352" s="195"/>
      <c r="AT352" s="195"/>
      <c r="AU352" s="195"/>
    </row>
    <row r="353" spans="1:47" ht="8.25" customHeight="1" x14ac:dyDescent="0.25">
      <c r="A353" s="1406"/>
      <c r="B353" s="1311"/>
      <c r="C353" s="1311"/>
      <c r="D353" s="1311"/>
      <c r="E353" s="1317"/>
      <c r="F353" s="1311"/>
      <c r="G353" s="1311"/>
      <c r="H353" s="1311"/>
      <c r="I353" s="906"/>
      <c r="J353" s="1311"/>
      <c r="K353" s="1311"/>
      <c r="L353" s="1391"/>
      <c r="M353" s="1311"/>
      <c r="N353" s="1311"/>
      <c r="O353" s="1311"/>
      <c r="P353" s="1311"/>
      <c r="Q353" s="1311"/>
      <c r="R353" s="1311"/>
      <c r="S353" s="1311"/>
      <c r="T353" s="1311"/>
      <c r="U353" s="1311"/>
      <c r="V353" s="1311"/>
      <c r="W353" s="1311"/>
      <c r="X353" s="1311"/>
      <c r="Y353" s="1311"/>
      <c r="Z353" s="1394"/>
      <c r="AA353" s="195"/>
      <c r="AB353" s="195"/>
      <c r="AC353" s="196"/>
      <c r="AD353" s="196"/>
      <c r="AE353" s="196"/>
      <c r="AF353" s="196"/>
      <c r="AG353" s="196"/>
      <c r="AH353" s="196"/>
      <c r="AI353" s="196"/>
      <c r="AJ353" s="196"/>
      <c r="AK353" s="196"/>
      <c r="AL353" s="197"/>
      <c r="AM353" s="197"/>
      <c r="AN353" s="197"/>
      <c r="AO353" s="195"/>
      <c r="AP353" s="195"/>
      <c r="AQ353" s="195"/>
      <c r="AR353" s="195"/>
      <c r="AS353" s="195"/>
      <c r="AT353" s="195"/>
      <c r="AU353" s="195"/>
    </row>
    <row r="354" spans="1:47" ht="11.25" customHeight="1" x14ac:dyDescent="0.25">
      <c r="A354" s="1406"/>
      <c r="B354" s="1311"/>
      <c r="C354" s="1311"/>
      <c r="D354" s="1311"/>
      <c r="E354" s="1317"/>
      <c r="F354" s="1311"/>
      <c r="G354" s="1311"/>
      <c r="H354" s="1311"/>
      <c r="I354" s="906"/>
      <c r="J354" s="1311"/>
      <c r="K354" s="1311"/>
      <c r="L354" s="1392"/>
      <c r="M354" s="1311"/>
      <c r="N354" s="1311"/>
      <c r="O354" s="1311"/>
      <c r="P354" s="1311"/>
      <c r="Q354" s="1311"/>
      <c r="R354" s="1311"/>
      <c r="S354" s="1311"/>
      <c r="T354" s="1311"/>
      <c r="U354" s="1311"/>
      <c r="V354" s="1311"/>
      <c r="W354" s="1311"/>
      <c r="X354" s="1311"/>
      <c r="Y354" s="1311"/>
      <c r="Z354" s="1394"/>
      <c r="AA354" s="195"/>
      <c r="AB354" s="195"/>
      <c r="AC354" s="196"/>
      <c r="AD354" s="196"/>
      <c r="AE354" s="196"/>
      <c r="AF354" s="196"/>
      <c r="AG354" s="196"/>
      <c r="AH354" s="196"/>
      <c r="AI354" s="196"/>
      <c r="AJ354" s="196"/>
      <c r="AK354" s="196"/>
      <c r="AL354" s="197"/>
      <c r="AM354" s="197"/>
      <c r="AN354" s="197"/>
      <c r="AO354" s="195"/>
      <c r="AP354" s="195"/>
      <c r="AQ354" s="195"/>
      <c r="AR354" s="195"/>
      <c r="AS354" s="195"/>
      <c r="AT354" s="195"/>
      <c r="AU354" s="195"/>
    </row>
    <row r="355" spans="1:47" ht="11.25" customHeight="1" x14ac:dyDescent="0.25">
      <c r="A355" s="1406"/>
      <c r="B355" s="1311"/>
      <c r="C355" s="1318" t="s">
        <v>363</v>
      </c>
      <c r="D355" s="290" t="s">
        <v>288</v>
      </c>
      <c r="E355" s="304">
        <v>14.63</v>
      </c>
      <c r="F355" s="289"/>
      <c r="G355" s="289"/>
      <c r="H355" s="933">
        <v>40.450000000000003</v>
      </c>
      <c r="I355" s="933"/>
      <c r="J355" s="933">
        <v>54.050000000000004</v>
      </c>
      <c r="K355" s="307">
        <f>E355</f>
        <v>14.63</v>
      </c>
      <c r="L355" s="303">
        <v>14.63</v>
      </c>
      <c r="M355" s="316">
        <v>40.450000000000003</v>
      </c>
      <c r="N355" s="933">
        <v>54.050000000000004</v>
      </c>
      <c r="O355" s="1317" t="s">
        <v>359</v>
      </c>
      <c r="P355" s="1318" t="s">
        <v>86</v>
      </c>
      <c r="Q355" s="1310" t="s">
        <v>86</v>
      </c>
      <c r="R355" s="1318" t="s">
        <v>86</v>
      </c>
      <c r="S355" s="1310" t="s">
        <v>290</v>
      </c>
      <c r="T355" s="1393">
        <v>132267</v>
      </c>
      <c r="U355" s="1393">
        <v>131616</v>
      </c>
      <c r="V355" s="1310"/>
      <c r="W355" s="1310" t="s">
        <v>291</v>
      </c>
      <c r="X355" s="1310" t="s">
        <v>292</v>
      </c>
      <c r="Y355" s="1310" t="s">
        <v>293</v>
      </c>
      <c r="Z355" s="1315">
        <v>7878783</v>
      </c>
      <c r="AA355" s="195"/>
      <c r="AB355" s="195"/>
      <c r="AC355" s="196"/>
      <c r="AD355" s="196"/>
      <c r="AE355" s="196"/>
      <c r="AF355" s="196"/>
      <c r="AG355" s="196"/>
      <c r="AH355" s="196"/>
      <c r="AI355" s="196"/>
      <c r="AJ355" s="196"/>
      <c r="AK355" s="196"/>
      <c r="AL355" s="197"/>
      <c r="AM355" s="197"/>
      <c r="AN355" s="197"/>
      <c r="AO355" s="195"/>
      <c r="AP355" s="195"/>
      <c r="AQ355" s="195"/>
      <c r="AR355" s="195"/>
      <c r="AS355" s="195"/>
      <c r="AT355" s="195"/>
      <c r="AU355" s="195"/>
    </row>
    <row r="356" spans="1:47" ht="11.25" customHeight="1" x14ac:dyDescent="0.25">
      <c r="A356" s="1406"/>
      <c r="B356" s="1311"/>
      <c r="C356" s="1311"/>
      <c r="D356" s="922" t="s">
        <v>296</v>
      </c>
      <c r="E356" s="314">
        <v>3934817</v>
      </c>
      <c r="F356" s="919"/>
      <c r="G356" s="919"/>
      <c r="H356" s="306">
        <v>10882272.48888889</v>
      </c>
      <c r="I356" s="306"/>
      <c r="J356" s="962">
        <f>+J355*$J$328/$J$327</f>
        <v>16552933.541549297</v>
      </c>
      <c r="K356" s="919">
        <f>+K355*K328/K327</f>
        <v>7910753.5792951547</v>
      </c>
      <c r="L356" s="313">
        <v>7910753.5792951547</v>
      </c>
      <c r="M356" s="315">
        <v>6022871.2688114196</v>
      </c>
      <c r="N356" s="962">
        <v>17852233.694437601</v>
      </c>
      <c r="O356" s="1311"/>
      <c r="P356" s="1311"/>
      <c r="Q356" s="1311"/>
      <c r="R356" s="1311"/>
      <c r="S356" s="1311"/>
      <c r="T356" s="1311"/>
      <c r="U356" s="1311"/>
      <c r="V356" s="1311"/>
      <c r="W356" s="1311"/>
      <c r="X356" s="1311"/>
      <c r="Y356" s="1311"/>
      <c r="Z356" s="1394"/>
      <c r="AA356" s="195"/>
      <c r="AB356" s="195"/>
      <c r="AC356" s="196"/>
      <c r="AD356" s="196"/>
      <c r="AE356" s="196"/>
      <c r="AF356" s="196"/>
      <c r="AG356" s="196"/>
      <c r="AH356" s="196"/>
      <c r="AI356" s="196"/>
      <c r="AJ356" s="196"/>
      <c r="AK356" s="196"/>
      <c r="AL356" s="197"/>
      <c r="AM356" s="197"/>
      <c r="AN356" s="197"/>
      <c r="AO356" s="195"/>
      <c r="AP356" s="195"/>
      <c r="AQ356" s="195"/>
      <c r="AR356" s="195"/>
      <c r="AS356" s="195"/>
      <c r="AT356" s="195"/>
      <c r="AU356" s="195"/>
    </row>
    <row r="357" spans="1:47" ht="11.25" customHeight="1" x14ac:dyDescent="0.25">
      <c r="A357" s="1406"/>
      <c r="B357" s="1311"/>
      <c r="C357" s="1311"/>
      <c r="D357" s="922" t="s">
        <v>299</v>
      </c>
      <c r="E357" s="919"/>
      <c r="F357" s="289"/>
      <c r="G357" s="289"/>
      <c r="H357" s="289"/>
      <c r="I357" s="289"/>
      <c r="J357" s="919"/>
      <c r="K357" s="305"/>
      <c r="L357" s="932"/>
      <c r="M357" s="932"/>
      <c r="N357" s="932"/>
      <c r="O357" s="1311"/>
      <c r="P357" s="1311"/>
      <c r="Q357" s="1311"/>
      <c r="R357" s="1311"/>
      <c r="S357" s="1311"/>
      <c r="T357" s="1311"/>
      <c r="U357" s="1311"/>
      <c r="V357" s="1311"/>
      <c r="W357" s="1311"/>
      <c r="X357" s="1311"/>
      <c r="Y357" s="1311"/>
      <c r="Z357" s="1394"/>
      <c r="AA357" s="195"/>
      <c r="AB357" s="195"/>
      <c r="AC357" s="196"/>
      <c r="AD357" s="196"/>
      <c r="AE357" s="196"/>
      <c r="AF357" s="196"/>
      <c r="AG357" s="196"/>
      <c r="AH357" s="196"/>
      <c r="AI357" s="196"/>
      <c r="AJ357" s="196"/>
      <c r="AK357" s="196"/>
      <c r="AL357" s="197"/>
      <c r="AM357" s="197"/>
      <c r="AN357" s="197"/>
      <c r="AO357" s="195"/>
      <c r="AP357" s="195"/>
      <c r="AQ357" s="195"/>
      <c r="AR357" s="195"/>
      <c r="AS357" s="195"/>
      <c r="AT357" s="195"/>
      <c r="AU357" s="195"/>
    </row>
    <row r="358" spans="1:47" ht="11.25" customHeight="1" x14ac:dyDescent="0.25">
      <c r="A358" s="1406"/>
      <c r="B358" s="1311"/>
      <c r="C358" s="1311"/>
      <c r="D358" s="1396" t="s">
        <v>302</v>
      </c>
      <c r="E358" s="1317"/>
      <c r="F358" s="1317"/>
      <c r="G358" s="1317"/>
      <c r="H358" s="1317"/>
      <c r="I358" s="919"/>
      <c r="J358" s="1317"/>
      <c r="K358" s="1317"/>
      <c r="L358" s="1390"/>
      <c r="M358" s="1317"/>
      <c r="N358" s="1317"/>
      <c r="O358" s="1311"/>
      <c r="P358" s="1311"/>
      <c r="Q358" s="1311"/>
      <c r="R358" s="1311"/>
      <c r="S358" s="1311"/>
      <c r="T358" s="1311"/>
      <c r="U358" s="1311"/>
      <c r="V358" s="1311"/>
      <c r="W358" s="1311"/>
      <c r="X358" s="1311"/>
      <c r="Y358" s="1311"/>
      <c r="Z358" s="1394"/>
      <c r="AA358" s="195"/>
      <c r="AB358" s="195"/>
      <c r="AC358" s="196"/>
      <c r="AD358" s="196"/>
      <c r="AE358" s="196"/>
      <c r="AF358" s="196"/>
      <c r="AG358" s="196"/>
      <c r="AH358" s="196"/>
      <c r="AI358" s="196"/>
      <c r="AJ358" s="196"/>
      <c r="AK358" s="196"/>
      <c r="AL358" s="197"/>
      <c r="AM358" s="197"/>
      <c r="AN358" s="197"/>
      <c r="AO358" s="195"/>
      <c r="AP358" s="195"/>
      <c r="AQ358" s="195"/>
      <c r="AR358" s="195"/>
      <c r="AS358" s="195"/>
      <c r="AT358" s="195"/>
      <c r="AU358" s="195"/>
    </row>
    <row r="359" spans="1:47" ht="6" customHeight="1" x14ac:dyDescent="0.25">
      <c r="A359" s="1406"/>
      <c r="B359" s="1311"/>
      <c r="C359" s="1311"/>
      <c r="D359" s="1311"/>
      <c r="E359" s="1317"/>
      <c r="F359" s="1311"/>
      <c r="G359" s="1311"/>
      <c r="H359" s="1311"/>
      <c r="I359" s="906"/>
      <c r="J359" s="1311"/>
      <c r="K359" s="1311"/>
      <c r="L359" s="1391"/>
      <c r="M359" s="1311"/>
      <c r="N359" s="1311"/>
      <c r="O359" s="1311"/>
      <c r="P359" s="1311"/>
      <c r="Q359" s="1311"/>
      <c r="R359" s="1311"/>
      <c r="S359" s="1311"/>
      <c r="T359" s="1311"/>
      <c r="U359" s="1311"/>
      <c r="V359" s="1311"/>
      <c r="W359" s="1311"/>
      <c r="X359" s="1311"/>
      <c r="Y359" s="1311"/>
      <c r="Z359" s="1394"/>
      <c r="AA359" s="195"/>
      <c r="AB359" s="195"/>
      <c r="AC359" s="196"/>
      <c r="AD359" s="196"/>
      <c r="AE359" s="196"/>
      <c r="AF359" s="196"/>
      <c r="AG359" s="196"/>
      <c r="AH359" s="196"/>
      <c r="AI359" s="196"/>
      <c r="AJ359" s="196"/>
      <c r="AK359" s="196"/>
      <c r="AL359" s="197"/>
      <c r="AM359" s="197"/>
      <c r="AN359" s="197"/>
      <c r="AO359" s="195"/>
      <c r="AP359" s="195"/>
      <c r="AQ359" s="195"/>
      <c r="AR359" s="195"/>
      <c r="AS359" s="195"/>
      <c r="AT359" s="195"/>
      <c r="AU359" s="195"/>
    </row>
    <row r="360" spans="1:47" ht="8.25" customHeight="1" x14ac:dyDescent="0.25">
      <c r="A360" s="1406"/>
      <c r="B360" s="1311"/>
      <c r="C360" s="1311"/>
      <c r="D360" s="1311"/>
      <c r="E360" s="1317"/>
      <c r="F360" s="1311"/>
      <c r="G360" s="1311"/>
      <c r="H360" s="1311"/>
      <c r="I360" s="906"/>
      <c r="J360" s="1311"/>
      <c r="K360" s="1311"/>
      <c r="L360" s="1391"/>
      <c r="M360" s="1311"/>
      <c r="N360" s="1311"/>
      <c r="O360" s="1311"/>
      <c r="P360" s="1311"/>
      <c r="Q360" s="1311"/>
      <c r="R360" s="1311"/>
      <c r="S360" s="1311"/>
      <c r="T360" s="1311"/>
      <c r="U360" s="1311"/>
      <c r="V360" s="1311"/>
      <c r="W360" s="1311"/>
      <c r="X360" s="1311"/>
      <c r="Y360" s="1311"/>
      <c r="Z360" s="1394"/>
      <c r="AA360" s="195"/>
      <c r="AB360" s="195"/>
      <c r="AC360" s="196"/>
      <c r="AD360" s="196"/>
      <c r="AE360" s="196"/>
      <c r="AF360" s="196"/>
      <c r="AG360" s="196"/>
      <c r="AH360" s="196"/>
      <c r="AI360" s="196"/>
      <c r="AJ360" s="196"/>
      <c r="AK360" s="196"/>
      <c r="AL360" s="197"/>
      <c r="AM360" s="197"/>
      <c r="AN360" s="197"/>
      <c r="AO360" s="195"/>
      <c r="AP360" s="195"/>
      <c r="AQ360" s="195"/>
      <c r="AR360" s="195"/>
      <c r="AS360" s="195"/>
      <c r="AT360" s="195"/>
      <c r="AU360" s="195"/>
    </row>
    <row r="361" spans="1:47" ht="6.75" customHeight="1" x14ac:dyDescent="0.25">
      <c r="A361" s="1406"/>
      <c r="B361" s="1311"/>
      <c r="C361" s="1311"/>
      <c r="D361" s="1311"/>
      <c r="E361" s="1317"/>
      <c r="F361" s="1311"/>
      <c r="G361" s="1311"/>
      <c r="H361" s="1311"/>
      <c r="I361" s="906"/>
      <c r="J361" s="1311"/>
      <c r="K361" s="1311"/>
      <c r="L361" s="1392"/>
      <c r="M361" s="1311"/>
      <c r="N361" s="1311"/>
      <c r="O361" s="1311"/>
      <c r="P361" s="1311"/>
      <c r="Q361" s="1311"/>
      <c r="R361" s="1311"/>
      <c r="S361" s="1311"/>
      <c r="T361" s="1311"/>
      <c r="U361" s="1311"/>
      <c r="V361" s="1311"/>
      <c r="W361" s="1311"/>
      <c r="X361" s="1311"/>
      <c r="Y361" s="1311"/>
      <c r="Z361" s="1394"/>
      <c r="AA361" s="195"/>
      <c r="AB361" s="195"/>
      <c r="AC361" s="196"/>
      <c r="AD361" s="196"/>
      <c r="AE361" s="196"/>
      <c r="AF361" s="196"/>
      <c r="AG361" s="196"/>
      <c r="AH361" s="196"/>
      <c r="AI361" s="196"/>
      <c r="AJ361" s="196"/>
      <c r="AK361" s="196"/>
      <c r="AL361" s="197"/>
      <c r="AM361" s="197"/>
      <c r="AN361" s="197"/>
      <c r="AO361" s="195"/>
      <c r="AP361" s="195"/>
      <c r="AQ361" s="195"/>
      <c r="AR361" s="195"/>
      <c r="AS361" s="195"/>
      <c r="AT361" s="195"/>
      <c r="AU361" s="195"/>
    </row>
    <row r="362" spans="1:47" ht="11.25" customHeight="1" x14ac:dyDescent="0.25">
      <c r="A362" s="1406"/>
      <c r="B362" s="1311"/>
      <c r="C362" s="1318" t="s">
        <v>363</v>
      </c>
      <c r="D362" s="290" t="s">
        <v>288</v>
      </c>
      <c r="E362" s="919">
        <v>17</v>
      </c>
      <c r="F362" s="289"/>
      <c r="G362" s="289"/>
      <c r="H362" s="933">
        <v>54.11</v>
      </c>
      <c r="I362" s="933"/>
      <c r="J362" s="933">
        <v>67.09</v>
      </c>
      <c r="K362" s="307">
        <f>E362</f>
        <v>17</v>
      </c>
      <c r="L362" s="303">
        <v>17</v>
      </c>
      <c r="M362" s="316">
        <v>54.11</v>
      </c>
      <c r="N362" s="933">
        <v>67.09</v>
      </c>
      <c r="O362" s="1317" t="s">
        <v>366</v>
      </c>
      <c r="P362" s="1318" t="s">
        <v>86</v>
      </c>
      <c r="Q362" s="1310" t="s">
        <v>86</v>
      </c>
      <c r="R362" s="1318" t="s">
        <v>86</v>
      </c>
      <c r="S362" s="1310" t="s">
        <v>290</v>
      </c>
      <c r="T362" s="1393">
        <v>66622</v>
      </c>
      <c r="U362" s="1393">
        <v>74145</v>
      </c>
      <c r="V362" s="1310"/>
      <c r="W362" s="1310" t="s">
        <v>291</v>
      </c>
      <c r="X362" s="1310" t="s">
        <v>292</v>
      </c>
      <c r="Y362" s="1310" t="s">
        <v>293</v>
      </c>
      <c r="Z362" s="1315">
        <v>7878783</v>
      </c>
      <c r="AA362" s="195"/>
      <c r="AB362" s="195"/>
      <c r="AC362" s="196"/>
      <c r="AD362" s="196"/>
      <c r="AE362" s="196"/>
      <c r="AF362" s="196"/>
      <c r="AG362" s="196"/>
      <c r="AH362" s="196"/>
      <c r="AI362" s="196"/>
      <c r="AJ362" s="196"/>
      <c r="AK362" s="196"/>
      <c r="AL362" s="197"/>
      <c r="AM362" s="197"/>
      <c r="AN362" s="197"/>
      <c r="AO362" s="195"/>
      <c r="AP362" s="195"/>
      <c r="AQ362" s="195"/>
      <c r="AR362" s="195"/>
      <c r="AS362" s="195"/>
      <c r="AT362" s="195"/>
      <c r="AU362" s="195"/>
    </row>
    <row r="363" spans="1:47" ht="11.25" customHeight="1" x14ac:dyDescent="0.25">
      <c r="A363" s="1406"/>
      <c r="B363" s="1311"/>
      <c r="C363" s="1311"/>
      <c r="D363" s="922" t="s">
        <v>296</v>
      </c>
      <c r="E363" s="314">
        <v>4573998</v>
      </c>
      <c r="F363" s="919"/>
      <c r="G363" s="919"/>
      <c r="H363" s="306">
        <v>14557225.324444445</v>
      </c>
      <c r="I363" s="306"/>
      <c r="J363" s="962">
        <f>+J362*$J$328/$J$327</f>
        <v>20546462.743802816</v>
      </c>
      <c r="K363" s="919">
        <f>+K362*K328/K327</f>
        <v>9192263.2158590313</v>
      </c>
      <c r="L363" s="313">
        <v>9192263.2158590313</v>
      </c>
      <c r="M363" s="315">
        <v>8056800.1076733302</v>
      </c>
      <c r="N363" s="962">
        <v>22159229.5755748</v>
      </c>
      <c r="O363" s="1311"/>
      <c r="P363" s="1311"/>
      <c r="Q363" s="1311"/>
      <c r="R363" s="1311"/>
      <c r="S363" s="1311"/>
      <c r="T363" s="1311"/>
      <c r="U363" s="1311"/>
      <c r="V363" s="1311"/>
      <c r="W363" s="1311"/>
      <c r="X363" s="1311"/>
      <c r="Y363" s="1311"/>
      <c r="Z363" s="1394"/>
      <c r="AA363" s="195"/>
      <c r="AB363" s="195"/>
      <c r="AC363" s="196"/>
      <c r="AD363" s="196"/>
      <c r="AE363" s="196"/>
      <c r="AF363" s="196"/>
      <c r="AG363" s="196"/>
      <c r="AH363" s="196"/>
      <c r="AI363" s="196"/>
      <c r="AJ363" s="196"/>
      <c r="AK363" s="196"/>
      <c r="AL363" s="197"/>
      <c r="AM363" s="197"/>
      <c r="AN363" s="197"/>
      <c r="AO363" s="195"/>
      <c r="AP363" s="195"/>
      <c r="AQ363" s="195"/>
      <c r="AR363" s="195"/>
      <c r="AS363" s="195"/>
      <c r="AT363" s="195"/>
      <c r="AU363" s="195"/>
    </row>
    <row r="364" spans="1:47" ht="11.25" customHeight="1" x14ac:dyDescent="0.25">
      <c r="A364" s="1406"/>
      <c r="B364" s="1311"/>
      <c r="C364" s="1311"/>
      <c r="D364" s="922" t="s">
        <v>299</v>
      </c>
      <c r="E364" s="919"/>
      <c r="F364" s="289"/>
      <c r="G364" s="289"/>
      <c r="H364" s="289"/>
      <c r="I364" s="289"/>
      <c r="J364" s="919"/>
      <c r="K364" s="305"/>
      <c r="L364" s="932"/>
      <c r="M364" s="932"/>
      <c r="N364" s="932"/>
      <c r="O364" s="1311"/>
      <c r="P364" s="1311"/>
      <c r="Q364" s="1311"/>
      <c r="R364" s="1311"/>
      <c r="S364" s="1311"/>
      <c r="T364" s="1311"/>
      <c r="U364" s="1311"/>
      <c r="V364" s="1311"/>
      <c r="W364" s="1311"/>
      <c r="X364" s="1311"/>
      <c r="Y364" s="1311"/>
      <c r="Z364" s="1394"/>
      <c r="AA364" s="195"/>
      <c r="AB364" s="195"/>
      <c r="AC364" s="196"/>
      <c r="AD364" s="196"/>
      <c r="AE364" s="196"/>
      <c r="AF364" s="196"/>
      <c r="AG364" s="196"/>
      <c r="AH364" s="196"/>
      <c r="AI364" s="196"/>
      <c r="AJ364" s="196"/>
      <c r="AK364" s="196"/>
      <c r="AL364" s="197"/>
      <c r="AM364" s="197"/>
      <c r="AN364" s="197"/>
      <c r="AO364" s="195"/>
      <c r="AP364" s="195"/>
      <c r="AQ364" s="195"/>
      <c r="AR364" s="195"/>
      <c r="AS364" s="195"/>
      <c r="AT364" s="195"/>
      <c r="AU364" s="195"/>
    </row>
    <row r="365" spans="1:47" ht="11.25" customHeight="1" x14ac:dyDescent="0.25">
      <c r="A365" s="1406"/>
      <c r="B365" s="1311"/>
      <c r="C365" s="1311"/>
      <c r="D365" s="1396" t="s">
        <v>302</v>
      </c>
      <c r="E365" s="1317"/>
      <c r="F365" s="1317"/>
      <c r="G365" s="1317"/>
      <c r="H365" s="1317"/>
      <c r="I365" s="919"/>
      <c r="J365" s="1317"/>
      <c r="K365" s="1317"/>
      <c r="L365" s="1390"/>
      <c r="M365" s="1317"/>
      <c r="N365" s="1317"/>
      <c r="O365" s="1311"/>
      <c r="P365" s="1311"/>
      <c r="Q365" s="1311"/>
      <c r="R365" s="1311"/>
      <c r="S365" s="1311"/>
      <c r="T365" s="1311"/>
      <c r="U365" s="1311"/>
      <c r="V365" s="1311"/>
      <c r="W365" s="1311"/>
      <c r="X365" s="1311"/>
      <c r="Y365" s="1311"/>
      <c r="Z365" s="1394"/>
      <c r="AA365" s="195"/>
      <c r="AB365" s="195"/>
      <c r="AC365" s="196"/>
      <c r="AD365" s="196"/>
      <c r="AE365" s="196"/>
      <c r="AF365" s="196"/>
      <c r="AG365" s="196"/>
      <c r="AH365" s="196"/>
      <c r="AI365" s="196"/>
      <c r="AJ365" s="196"/>
      <c r="AK365" s="196"/>
      <c r="AL365" s="197"/>
      <c r="AM365" s="197"/>
      <c r="AN365" s="197"/>
      <c r="AO365" s="195"/>
      <c r="AP365" s="195"/>
      <c r="AQ365" s="195"/>
      <c r="AR365" s="195"/>
      <c r="AS365" s="195"/>
      <c r="AT365" s="195"/>
      <c r="AU365" s="195"/>
    </row>
    <row r="366" spans="1:47" ht="8.25" customHeight="1" x14ac:dyDescent="0.25">
      <c r="A366" s="1406"/>
      <c r="B366" s="1311"/>
      <c r="C366" s="1311"/>
      <c r="D366" s="1311"/>
      <c r="E366" s="1317"/>
      <c r="F366" s="1311"/>
      <c r="G366" s="1311"/>
      <c r="H366" s="1311"/>
      <c r="I366" s="906"/>
      <c r="J366" s="1311"/>
      <c r="K366" s="1311"/>
      <c r="L366" s="1391"/>
      <c r="M366" s="1311"/>
      <c r="N366" s="1311"/>
      <c r="O366" s="1311"/>
      <c r="P366" s="1311"/>
      <c r="Q366" s="1311"/>
      <c r="R366" s="1311"/>
      <c r="S366" s="1311"/>
      <c r="T366" s="1311"/>
      <c r="U366" s="1311"/>
      <c r="V366" s="1311"/>
      <c r="W366" s="1311"/>
      <c r="X366" s="1311"/>
      <c r="Y366" s="1311"/>
      <c r="Z366" s="1394"/>
      <c r="AA366" s="195"/>
      <c r="AB366" s="195"/>
      <c r="AC366" s="196"/>
      <c r="AD366" s="196"/>
      <c r="AE366" s="196"/>
      <c r="AF366" s="196"/>
      <c r="AG366" s="196"/>
      <c r="AH366" s="196"/>
      <c r="AI366" s="196"/>
      <c r="AJ366" s="196"/>
      <c r="AK366" s="196"/>
      <c r="AL366" s="197"/>
      <c r="AM366" s="197"/>
      <c r="AN366" s="197"/>
      <c r="AO366" s="195"/>
      <c r="AP366" s="195"/>
      <c r="AQ366" s="195"/>
      <c r="AR366" s="195"/>
      <c r="AS366" s="195"/>
      <c r="AT366" s="195"/>
      <c r="AU366" s="195"/>
    </row>
    <row r="367" spans="1:47" ht="8.25" customHeight="1" x14ac:dyDescent="0.25">
      <c r="A367" s="1406"/>
      <c r="B367" s="1311"/>
      <c r="C367" s="1311"/>
      <c r="D367" s="1311"/>
      <c r="E367" s="1317"/>
      <c r="F367" s="1311"/>
      <c r="G367" s="1311"/>
      <c r="H367" s="1311"/>
      <c r="I367" s="906"/>
      <c r="J367" s="1311"/>
      <c r="K367" s="1311"/>
      <c r="L367" s="1391"/>
      <c r="M367" s="1311"/>
      <c r="N367" s="1311"/>
      <c r="O367" s="1311"/>
      <c r="P367" s="1311"/>
      <c r="Q367" s="1311"/>
      <c r="R367" s="1311"/>
      <c r="S367" s="1311"/>
      <c r="T367" s="1311"/>
      <c r="U367" s="1311"/>
      <c r="V367" s="1311"/>
      <c r="W367" s="1311"/>
      <c r="X367" s="1311"/>
      <c r="Y367" s="1311"/>
      <c r="Z367" s="1394"/>
      <c r="AA367" s="195"/>
      <c r="AB367" s="195"/>
      <c r="AC367" s="196"/>
      <c r="AD367" s="196"/>
      <c r="AE367" s="196"/>
      <c r="AF367" s="196"/>
      <c r="AG367" s="196"/>
      <c r="AH367" s="196"/>
      <c r="AI367" s="196"/>
      <c r="AJ367" s="196"/>
      <c r="AK367" s="196"/>
      <c r="AL367" s="197"/>
      <c r="AM367" s="197"/>
      <c r="AN367" s="197"/>
      <c r="AO367" s="195"/>
      <c r="AP367" s="195"/>
      <c r="AQ367" s="195"/>
      <c r="AR367" s="195"/>
      <c r="AS367" s="195"/>
      <c r="AT367" s="195"/>
      <c r="AU367" s="195"/>
    </row>
    <row r="368" spans="1:47" ht="11.25" customHeight="1" x14ac:dyDescent="0.25">
      <c r="A368" s="1406"/>
      <c r="B368" s="1311"/>
      <c r="C368" s="1311"/>
      <c r="D368" s="1311"/>
      <c r="E368" s="1317"/>
      <c r="F368" s="1311"/>
      <c r="G368" s="1311"/>
      <c r="H368" s="1311"/>
      <c r="I368" s="906"/>
      <c r="J368" s="1311"/>
      <c r="K368" s="1311"/>
      <c r="L368" s="1392"/>
      <c r="M368" s="1311"/>
      <c r="N368" s="1311"/>
      <c r="O368" s="1311"/>
      <c r="P368" s="1311"/>
      <c r="Q368" s="1311"/>
      <c r="R368" s="1311"/>
      <c r="S368" s="1311"/>
      <c r="T368" s="1311"/>
      <c r="U368" s="1311"/>
      <c r="V368" s="1311"/>
      <c r="W368" s="1311"/>
      <c r="X368" s="1311"/>
      <c r="Y368" s="1311"/>
      <c r="Z368" s="1394"/>
      <c r="AA368" s="195"/>
      <c r="AB368" s="195"/>
      <c r="AC368" s="196"/>
      <c r="AD368" s="196"/>
      <c r="AE368" s="196"/>
      <c r="AF368" s="196"/>
      <c r="AG368" s="196"/>
      <c r="AH368" s="196"/>
      <c r="AI368" s="196"/>
      <c r="AJ368" s="196"/>
      <c r="AK368" s="196"/>
      <c r="AL368" s="197"/>
      <c r="AM368" s="197"/>
      <c r="AN368" s="197"/>
      <c r="AO368" s="195"/>
      <c r="AP368" s="195"/>
      <c r="AQ368" s="195"/>
      <c r="AR368" s="195"/>
      <c r="AS368" s="195"/>
      <c r="AT368" s="195"/>
      <c r="AU368" s="195"/>
    </row>
    <row r="369" spans="1:47" ht="11.25" customHeight="1" x14ac:dyDescent="0.25">
      <c r="A369" s="1406"/>
      <c r="B369" s="1311"/>
      <c r="C369" s="1318" t="s">
        <v>363</v>
      </c>
      <c r="D369" s="290" t="s">
        <v>288</v>
      </c>
      <c r="E369" s="304">
        <v>13.24</v>
      </c>
      <c r="F369" s="289"/>
      <c r="G369" s="289"/>
      <c r="H369" s="933">
        <v>19.57</v>
      </c>
      <c r="I369" s="933"/>
      <c r="J369" s="933">
        <v>23.89</v>
      </c>
      <c r="K369" s="307">
        <f>E369</f>
        <v>13.24</v>
      </c>
      <c r="L369" s="303">
        <v>13.24</v>
      </c>
      <c r="M369" s="316">
        <v>19.57</v>
      </c>
      <c r="N369" s="933">
        <v>23.89</v>
      </c>
      <c r="O369" s="1317" t="s">
        <v>367</v>
      </c>
      <c r="P369" s="1318" t="s">
        <v>86</v>
      </c>
      <c r="Q369" s="1310" t="s">
        <v>86</v>
      </c>
      <c r="R369" s="1318" t="s">
        <v>86</v>
      </c>
      <c r="S369" s="1310" t="s">
        <v>290</v>
      </c>
      <c r="T369" s="1393">
        <v>47587</v>
      </c>
      <c r="U369" s="1393">
        <v>46543</v>
      </c>
      <c r="V369" s="1397"/>
      <c r="W369" s="1397" t="s">
        <v>291</v>
      </c>
      <c r="X369" s="1310" t="s">
        <v>292</v>
      </c>
      <c r="Y369" s="1310" t="s">
        <v>293</v>
      </c>
      <c r="Z369" s="1315">
        <v>7878783</v>
      </c>
      <c r="AA369" s="195"/>
      <c r="AB369" s="195"/>
      <c r="AC369" s="196"/>
      <c r="AD369" s="196"/>
      <c r="AE369" s="196"/>
      <c r="AF369" s="196"/>
      <c r="AG369" s="196"/>
      <c r="AH369" s="196"/>
      <c r="AI369" s="196"/>
      <c r="AJ369" s="196"/>
      <c r="AK369" s="196"/>
      <c r="AL369" s="197"/>
      <c r="AM369" s="197"/>
      <c r="AN369" s="197"/>
      <c r="AO369" s="195"/>
      <c r="AP369" s="195"/>
      <c r="AQ369" s="195"/>
      <c r="AR369" s="195"/>
      <c r="AS369" s="195"/>
      <c r="AT369" s="195"/>
      <c r="AU369" s="195"/>
    </row>
    <row r="370" spans="1:47" ht="11.25" customHeight="1" x14ac:dyDescent="0.25">
      <c r="A370" s="1406"/>
      <c r="B370" s="1311"/>
      <c r="C370" s="1311"/>
      <c r="D370" s="922" t="s">
        <v>296</v>
      </c>
      <c r="E370" s="314">
        <v>3560615</v>
      </c>
      <c r="F370" s="919"/>
      <c r="G370" s="919"/>
      <c r="H370" s="306">
        <v>5264921.4488888886</v>
      </c>
      <c r="I370" s="306"/>
      <c r="J370" s="962">
        <f>+J369*$J$328/$J$327</f>
        <v>7316366.0001408448</v>
      </c>
      <c r="K370" s="919">
        <f>+K369*K328/K327</f>
        <v>7159150.8810572689</v>
      </c>
      <c r="L370" s="313">
        <v>7160136</v>
      </c>
      <c r="M370" s="315">
        <v>2913908.2998922002</v>
      </c>
      <c r="N370" s="962">
        <v>7890654.2638318902</v>
      </c>
      <c r="O370" s="1311"/>
      <c r="P370" s="1311"/>
      <c r="Q370" s="1311"/>
      <c r="R370" s="1311"/>
      <c r="S370" s="1311"/>
      <c r="T370" s="1311"/>
      <c r="U370" s="1311"/>
      <c r="V370" s="1398"/>
      <c r="W370" s="1398"/>
      <c r="X370" s="1311"/>
      <c r="Y370" s="1311"/>
      <c r="Z370" s="1394"/>
      <c r="AA370" s="195"/>
      <c r="AB370" s="195"/>
      <c r="AC370" s="196"/>
      <c r="AD370" s="196"/>
      <c r="AE370" s="196"/>
      <c r="AF370" s="196"/>
      <c r="AG370" s="196"/>
      <c r="AH370" s="196"/>
      <c r="AI370" s="196"/>
      <c r="AJ370" s="196"/>
      <c r="AK370" s="196"/>
      <c r="AL370" s="197"/>
      <c r="AM370" s="197"/>
      <c r="AN370" s="197"/>
      <c r="AO370" s="195"/>
      <c r="AP370" s="195"/>
      <c r="AQ370" s="195"/>
      <c r="AR370" s="195"/>
      <c r="AS370" s="195"/>
      <c r="AT370" s="195"/>
      <c r="AU370" s="195"/>
    </row>
    <row r="371" spans="1:47" ht="11.25" customHeight="1" x14ac:dyDescent="0.25">
      <c r="A371" s="1406"/>
      <c r="B371" s="1311"/>
      <c r="C371" s="1311"/>
      <c r="D371" s="922" t="s">
        <v>299</v>
      </c>
      <c r="E371" s="919"/>
      <c r="F371" s="289"/>
      <c r="G371" s="289"/>
      <c r="H371" s="289"/>
      <c r="I371" s="289"/>
      <c r="J371" s="919"/>
      <c r="K371" s="305"/>
      <c r="L371" s="932"/>
      <c r="M371" s="932"/>
      <c r="N371" s="932"/>
      <c r="O371" s="1311"/>
      <c r="P371" s="1311"/>
      <c r="Q371" s="1311"/>
      <c r="R371" s="1311"/>
      <c r="S371" s="1311"/>
      <c r="T371" s="1311"/>
      <c r="U371" s="1311"/>
      <c r="V371" s="1398"/>
      <c r="W371" s="1398"/>
      <c r="X371" s="1311"/>
      <c r="Y371" s="1311"/>
      <c r="Z371" s="1394"/>
      <c r="AA371" s="195"/>
      <c r="AB371" s="195"/>
      <c r="AC371" s="196"/>
      <c r="AD371" s="196"/>
      <c r="AE371" s="196"/>
      <c r="AF371" s="196"/>
      <c r="AG371" s="196"/>
      <c r="AH371" s="196"/>
      <c r="AI371" s="196"/>
      <c r="AJ371" s="196"/>
      <c r="AK371" s="196"/>
      <c r="AL371" s="197"/>
      <c r="AM371" s="197"/>
      <c r="AN371" s="197"/>
      <c r="AO371" s="195"/>
      <c r="AP371" s="195"/>
      <c r="AQ371" s="195"/>
      <c r="AR371" s="195"/>
      <c r="AS371" s="195"/>
      <c r="AT371" s="195"/>
      <c r="AU371" s="195"/>
    </row>
    <row r="372" spans="1:47" ht="11.25" customHeight="1" x14ac:dyDescent="0.25">
      <c r="A372" s="1406"/>
      <c r="B372" s="1311"/>
      <c r="C372" s="1311"/>
      <c r="D372" s="1396" t="s">
        <v>302</v>
      </c>
      <c r="E372" s="1317"/>
      <c r="F372" s="1317"/>
      <c r="G372" s="1317"/>
      <c r="H372" s="1317"/>
      <c r="I372" s="919"/>
      <c r="J372" s="1317"/>
      <c r="K372" s="1317"/>
      <c r="L372" s="1390"/>
      <c r="M372" s="1317"/>
      <c r="N372" s="1317"/>
      <c r="O372" s="1311"/>
      <c r="P372" s="1311"/>
      <c r="Q372" s="1311"/>
      <c r="R372" s="1311"/>
      <c r="S372" s="1311"/>
      <c r="T372" s="1311"/>
      <c r="U372" s="1311"/>
      <c r="V372" s="1398"/>
      <c r="W372" s="1398"/>
      <c r="X372" s="1311"/>
      <c r="Y372" s="1311"/>
      <c r="Z372" s="1394"/>
      <c r="AA372" s="195"/>
      <c r="AB372" s="195"/>
      <c r="AC372" s="196"/>
      <c r="AD372" s="196"/>
      <c r="AE372" s="196"/>
      <c r="AF372" s="196"/>
      <c r="AG372" s="196"/>
      <c r="AH372" s="196"/>
      <c r="AI372" s="196"/>
      <c r="AJ372" s="196"/>
      <c r="AK372" s="196"/>
      <c r="AL372" s="197"/>
      <c r="AM372" s="197"/>
      <c r="AN372" s="197"/>
      <c r="AO372" s="195"/>
      <c r="AP372" s="195"/>
      <c r="AQ372" s="195"/>
      <c r="AR372" s="195"/>
      <c r="AS372" s="195"/>
      <c r="AT372" s="195"/>
      <c r="AU372" s="195"/>
    </row>
    <row r="373" spans="1:47" ht="3.75" customHeight="1" x14ac:dyDescent="0.25">
      <c r="A373" s="1406"/>
      <c r="B373" s="1311"/>
      <c r="C373" s="1311"/>
      <c r="D373" s="1311"/>
      <c r="E373" s="1317"/>
      <c r="F373" s="1311"/>
      <c r="G373" s="1311"/>
      <c r="H373" s="1311"/>
      <c r="I373" s="906"/>
      <c r="J373" s="1311"/>
      <c r="K373" s="1311"/>
      <c r="L373" s="1391"/>
      <c r="M373" s="1311"/>
      <c r="N373" s="1311"/>
      <c r="O373" s="1311"/>
      <c r="P373" s="1311"/>
      <c r="Q373" s="1311"/>
      <c r="R373" s="1311"/>
      <c r="S373" s="1311"/>
      <c r="T373" s="1311"/>
      <c r="U373" s="1311"/>
      <c r="V373" s="1398"/>
      <c r="W373" s="1398"/>
      <c r="X373" s="1311"/>
      <c r="Y373" s="1311"/>
      <c r="Z373" s="1394"/>
      <c r="AA373" s="195"/>
      <c r="AB373" s="195"/>
      <c r="AC373" s="196"/>
      <c r="AD373" s="196"/>
      <c r="AE373" s="196"/>
      <c r="AF373" s="196"/>
      <c r="AG373" s="196"/>
      <c r="AH373" s="196"/>
      <c r="AI373" s="196"/>
      <c r="AJ373" s="196"/>
      <c r="AK373" s="196"/>
      <c r="AL373" s="197"/>
      <c r="AM373" s="197"/>
      <c r="AN373" s="197"/>
      <c r="AO373" s="195"/>
      <c r="AP373" s="195"/>
      <c r="AQ373" s="195"/>
      <c r="AR373" s="195"/>
      <c r="AS373" s="195"/>
      <c r="AT373" s="195"/>
      <c r="AU373" s="195"/>
    </row>
    <row r="374" spans="1:47" ht="6" customHeight="1" x14ac:dyDescent="0.25">
      <c r="A374" s="1406"/>
      <c r="B374" s="1311"/>
      <c r="C374" s="1311"/>
      <c r="D374" s="1311"/>
      <c r="E374" s="1317"/>
      <c r="F374" s="1311"/>
      <c r="G374" s="1311"/>
      <c r="H374" s="1311"/>
      <c r="I374" s="906"/>
      <c r="J374" s="1311"/>
      <c r="K374" s="1311"/>
      <c r="L374" s="1391"/>
      <c r="M374" s="1311"/>
      <c r="N374" s="1311"/>
      <c r="O374" s="1311"/>
      <c r="P374" s="1311"/>
      <c r="Q374" s="1311"/>
      <c r="R374" s="1311"/>
      <c r="S374" s="1311"/>
      <c r="T374" s="1311"/>
      <c r="U374" s="1311"/>
      <c r="V374" s="1398"/>
      <c r="W374" s="1398"/>
      <c r="X374" s="1311"/>
      <c r="Y374" s="1311"/>
      <c r="Z374" s="1394"/>
      <c r="AA374" s="195"/>
      <c r="AB374" s="195"/>
      <c r="AC374" s="196"/>
      <c r="AD374" s="196"/>
      <c r="AE374" s="196"/>
      <c r="AF374" s="196"/>
      <c r="AG374" s="196"/>
      <c r="AH374" s="196"/>
      <c r="AI374" s="196"/>
      <c r="AJ374" s="196"/>
      <c r="AK374" s="196"/>
      <c r="AL374" s="197"/>
      <c r="AM374" s="197"/>
      <c r="AN374" s="197"/>
      <c r="AO374" s="195"/>
      <c r="AP374" s="195"/>
      <c r="AQ374" s="195"/>
      <c r="AR374" s="195"/>
      <c r="AS374" s="195"/>
      <c r="AT374" s="195"/>
      <c r="AU374" s="195"/>
    </row>
    <row r="375" spans="1:47" ht="8.25" customHeight="1" x14ac:dyDescent="0.25">
      <c r="A375" s="1406"/>
      <c r="B375" s="1311"/>
      <c r="C375" s="1311"/>
      <c r="D375" s="1311"/>
      <c r="E375" s="1317"/>
      <c r="F375" s="1311"/>
      <c r="G375" s="1311"/>
      <c r="H375" s="1311"/>
      <c r="I375" s="906"/>
      <c r="J375" s="1311"/>
      <c r="K375" s="1311"/>
      <c r="L375" s="1392"/>
      <c r="M375" s="1311"/>
      <c r="N375" s="1311"/>
      <c r="O375" s="1311"/>
      <c r="P375" s="1311"/>
      <c r="Q375" s="1311"/>
      <c r="R375" s="1311"/>
      <c r="S375" s="1311"/>
      <c r="T375" s="1311"/>
      <c r="U375" s="1311"/>
      <c r="V375" s="1398"/>
      <c r="W375" s="1398"/>
      <c r="X375" s="1311"/>
      <c r="Y375" s="1311"/>
      <c r="Z375" s="1394"/>
      <c r="AA375" s="195"/>
      <c r="AB375" s="195"/>
      <c r="AC375" s="196"/>
      <c r="AD375" s="196"/>
      <c r="AE375" s="196"/>
      <c r="AF375" s="196"/>
      <c r="AG375" s="196"/>
      <c r="AH375" s="196"/>
      <c r="AI375" s="196"/>
      <c r="AJ375" s="196"/>
      <c r="AK375" s="196"/>
      <c r="AL375" s="197"/>
      <c r="AM375" s="197"/>
      <c r="AN375" s="197"/>
      <c r="AO375" s="195"/>
      <c r="AP375" s="195"/>
      <c r="AQ375" s="195"/>
      <c r="AR375" s="195"/>
      <c r="AS375" s="195"/>
      <c r="AT375" s="195"/>
      <c r="AU375" s="195"/>
    </row>
    <row r="376" spans="1:47" ht="11.25" customHeight="1" x14ac:dyDescent="0.25">
      <c r="A376" s="1406"/>
      <c r="B376" s="1311"/>
      <c r="C376" s="1318" t="s">
        <v>363</v>
      </c>
      <c r="D376" s="290" t="s">
        <v>288</v>
      </c>
      <c r="E376" s="304">
        <v>2.02</v>
      </c>
      <c r="F376" s="289"/>
      <c r="G376" s="289"/>
      <c r="H376" s="933">
        <v>4.05</v>
      </c>
      <c r="I376" s="933"/>
      <c r="J376" s="933">
        <v>6.6899999999999995</v>
      </c>
      <c r="K376" s="307">
        <f>E376</f>
        <v>2.02</v>
      </c>
      <c r="L376" s="303">
        <v>2.02</v>
      </c>
      <c r="M376" s="316">
        <v>4.05</v>
      </c>
      <c r="N376" s="933">
        <v>6.6899999999999995</v>
      </c>
      <c r="O376" s="1317" t="s">
        <v>368</v>
      </c>
      <c r="P376" s="1318" t="s">
        <v>86</v>
      </c>
      <c r="Q376" s="1310" t="s">
        <v>86</v>
      </c>
      <c r="R376" s="1318" t="s">
        <v>86</v>
      </c>
      <c r="S376" s="1310" t="s">
        <v>290</v>
      </c>
      <c r="T376" s="1393">
        <v>53613</v>
      </c>
      <c r="U376" s="1393">
        <v>55664</v>
      </c>
      <c r="V376" s="1310"/>
      <c r="W376" s="1310" t="s">
        <v>291</v>
      </c>
      <c r="X376" s="1310" t="s">
        <v>292</v>
      </c>
      <c r="Y376" s="1310" t="s">
        <v>293</v>
      </c>
      <c r="Z376" s="1315">
        <v>7878783</v>
      </c>
      <c r="AA376" s="195"/>
      <c r="AB376" s="195"/>
      <c r="AC376" s="196"/>
      <c r="AD376" s="196"/>
      <c r="AE376" s="196"/>
      <c r="AF376" s="196"/>
      <c r="AG376" s="196"/>
      <c r="AH376" s="196"/>
      <c r="AI376" s="196"/>
      <c r="AJ376" s="196"/>
      <c r="AK376" s="196"/>
      <c r="AL376" s="197"/>
      <c r="AM376" s="197"/>
      <c r="AN376" s="197"/>
      <c r="AO376" s="195"/>
      <c r="AP376" s="195"/>
      <c r="AQ376" s="195"/>
      <c r="AR376" s="195"/>
      <c r="AS376" s="195"/>
      <c r="AT376" s="195"/>
      <c r="AU376" s="195"/>
    </row>
    <row r="377" spans="1:47" ht="11.25" customHeight="1" x14ac:dyDescent="0.25">
      <c r="A377" s="1406"/>
      <c r="B377" s="1311"/>
      <c r="C377" s="1311"/>
      <c r="D377" s="922" t="s">
        <v>296</v>
      </c>
      <c r="E377" s="314">
        <v>542389</v>
      </c>
      <c r="F377" s="919"/>
      <c r="G377" s="919"/>
      <c r="H377" s="306">
        <v>1089572.3999999999</v>
      </c>
      <c r="I377" s="306"/>
      <c r="J377" s="962">
        <f>+J376*$J$328/$J$327</f>
        <v>2048827.4818309858</v>
      </c>
      <c r="K377" s="919">
        <f>+K376*K328/K327</f>
        <v>1092257.1585903084</v>
      </c>
      <c r="L377" s="313">
        <v>1092257.1585903084</v>
      </c>
      <c r="M377" s="315">
        <v>603031.61035071104</v>
      </c>
      <c r="N377" s="962">
        <v>2209647.4267490702</v>
      </c>
      <c r="O377" s="1311"/>
      <c r="P377" s="1311"/>
      <c r="Q377" s="1311"/>
      <c r="R377" s="1311"/>
      <c r="S377" s="1311"/>
      <c r="T377" s="1311"/>
      <c r="U377" s="1311"/>
      <c r="V377" s="1311"/>
      <c r="W377" s="1311"/>
      <c r="X377" s="1311"/>
      <c r="Y377" s="1311"/>
      <c r="Z377" s="1394"/>
      <c r="AA377" s="195"/>
      <c r="AB377" s="195"/>
      <c r="AC377" s="196"/>
      <c r="AD377" s="196"/>
      <c r="AE377" s="196"/>
      <c r="AF377" s="196"/>
      <c r="AG377" s="196"/>
      <c r="AH377" s="196"/>
      <c r="AI377" s="196"/>
      <c r="AJ377" s="196"/>
      <c r="AK377" s="196"/>
      <c r="AL377" s="197"/>
      <c r="AM377" s="197"/>
      <c r="AN377" s="197"/>
      <c r="AO377" s="195"/>
      <c r="AP377" s="195"/>
      <c r="AQ377" s="195"/>
      <c r="AR377" s="195"/>
      <c r="AS377" s="195"/>
      <c r="AT377" s="195"/>
      <c r="AU377" s="195"/>
    </row>
    <row r="378" spans="1:47" ht="11.25" customHeight="1" x14ac:dyDescent="0.25">
      <c r="A378" s="1406"/>
      <c r="B378" s="1311"/>
      <c r="C378" s="1311"/>
      <c r="D378" s="922" t="s">
        <v>299</v>
      </c>
      <c r="E378" s="919"/>
      <c r="F378" s="289"/>
      <c r="G378" s="289"/>
      <c r="H378" s="289"/>
      <c r="I378" s="289"/>
      <c r="J378" s="919"/>
      <c r="K378" s="305"/>
      <c r="L378" s="932"/>
      <c r="M378" s="932"/>
      <c r="N378" s="932"/>
      <c r="O378" s="1311"/>
      <c r="P378" s="1311"/>
      <c r="Q378" s="1311"/>
      <c r="R378" s="1311"/>
      <c r="S378" s="1311"/>
      <c r="T378" s="1311"/>
      <c r="U378" s="1311"/>
      <c r="V378" s="1311"/>
      <c r="W378" s="1311"/>
      <c r="X378" s="1311"/>
      <c r="Y378" s="1311"/>
      <c r="Z378" s="1394"/>
      <c r="AA378" s="195"/>
      <c r="AB378" s="195"/>
      <c r="AC378" s="196"/>
      <c r="AD378" s="196"/>
      <c r="AE378" s="196"/>
      <c r="AF378" s="196"/>
      <c r="AG378" s="196"/>
      <c r="AH378" s="196"/>
      <c r="AI378" s="196"/>
      <c r="AJ378" s="196"/>
      <c r="AK378" s="196"/>
      <c r="AL378" s="197"/>
      <c r="AM378" s="197"/>
      <c r="AN378" s="197"/>
      <c r="AO378" s="195"/>
      <c r="AP378" s="195"/>
      <c r="AQ378" s="195"/>
      <c r="AR378" s="195"/>
      <c r="AS378" s="195"/>
      <c r="AT378" s="195"/>
      <c r="AU378" s="195"/>
    </row>
    <row r="379" spans="1:47" ht="11.25" customHeight="1" x14ac:dyDescent="0.25">
      <c r="A379" s="1406"/>
      <c r="B379" s="1311"/>
      <c r="C379" s="1311"/>
      <c r="D379" s="1396" t="s">
        <v>302</v>
      </c>
      <c r="E379" s="1317"/>
      <c r="F379" s="1317"/>
      <c r="G379" s="1317"/>
      <c r="H379" s="1317"/>
      <c r="I379" s="919"/>
      <c r="J379" s="1317"/>
      <c r="K379" s="1317"/>
      <c r="L379" s="1390"/>
      <c r="M379" s="1317"/>
      <c r="N379" s="1317"/>
      <c r="O379" s="1311"/>
      <c r="P379" s="1311"/>
      <c r="Q379" s="1311"/>
      <c r="R379" s="1311"/>
      <c r="S379" s="1311"/>
      <c r="T379" s="1311"/>
      <c r="U379" s="1311"/>
      <c r="V379" s="1311"/>
      <c r="W379" s="1311"/>
      <c r="X379" s="1311"/>
      <c r="Y379" s="1311"/>
      <c r="Z379" s="1394"/>
      <c r="AA379" s="195"/>
      <c r="AB379" s="195"/>
      <c r="AC379" s="196"/>
      <c r="AD379" s="196"/>
      <c r="AE379" s="196"/>
      <c r="AF379" s="196"/>
      <c r="AG379" s="196"/>
      <c r="AH379" s="196"/>
      <c r="AI379" s="196"/>
      <c r="AJ379" s="196"/>
      <c r="AK379" s="196"/>
      <c r="AL379" s="197"/>
      <c r="AM379" s="197"/>
      <c r="AN379" s="197"/>
      <c r="AO379" s="195"/>
      <c r="AP379" s="195"/>
      <c r="AQ379" s="195"/>
      <c r="AR379" s="195"/>
      <c r="AS379" s="195"/>
      <c r="AT379" s="195"/>
      <c r="AU379" s="195"/>
    </row>
    <row r="380" spans="1:47" ht="10.5" customHeight="1" x14ac:dyDescent="0.25">
      <c r="A380" s="1406"/>
      <c r="B380" s="1311"/>
      <c r="C380" s="1311"/>
      <c r="D380" s="1311"/>
      <c r="E380" s="1317"/>
      <c r="F380" s="1311"/>
      <c r="G380" s="1311"/>
      <c r="H380" s="1311"/>
      <c r="I380" s="906"/>
      <c r="J380" s="1311"/>
      <c r="K380" s="1311"/>
      <c r="L380" s="1391"/>
      <c r="M380" s="1311"/>
      <c r="N380" s="1311"/>
      <c r="O380" s="1311"/>
      <c r="P380" s="1311"/>
      <c r="Q380" s="1311"/>
      <c r="R380" s="1311"/>
      <c r="S380" s="1311"/>
      <c r="T380" s="1311"/>
      <c r="U380" s="1311"/>
      <c r="V380" s="1311"/>
      <c r="W380" s="1311"/>
      <c r="X380" s="1311"/>
      <c r="Y380" s="1311"/>
      <c r="Z380" s="1394"/>
      <c r="AA380" s="195"/>
      <c r="AB380" s="195"/>
      <c r="AC380" s="196"/>
      <c r="AD380" s="196"/>
      <c r="AE380" s="196"/>
      <c r="AF380" s="196"/>
      <c r="AG380" s="196"/>
      <c r="AH380" s="196"/>
      <c r="AI380" s="196"/>
      <c r="AJ380" s="196"/>
      <c r="AK380" s="196"/>
      <c r="AL380" s="197"/>
      <c r="AM380" s="197"/>
      <c r="AN380" s="197"/>
      <c r="AO380" s="195"/>
      <c r="AP380" s="195"/>
      <c r="AQ380" s="195"/>
      <c r="AR380" s="195"/>
      <c r="AS380" s="195"/>
      <c r="AT380" s="195"/>
      <c r="AU380" s="195"/>
    </row>
    <row r="381" spans="1:47" ht="8.25" customHeight="1" x14ac:dyDescent="0.25">
      <c r="A381" s="1406"/>
      <c r="B381" s="1311"/>
      <c r="C381" s="1311"/>
      <c r="D381" s="1311"/>
      <c r="E381" s="1317"/>
      <c r="F381" s="1311"/>
      <c r="G381" s="1311"/>
      <c r="H381" s="1311"/>
      <c r="I381" s="906"/>
      <c r="J381" s="1311"/>
      <c r="K381" s="1311"/>
      <c r="L381" s="1391"/>
      <c r="M381" s="1311"/>
      <c r="N381" s="1311"/>
      <c r="O381" s="1311"/>
      <c r="P381" s="1311"/>
      <c r="Q381" s="1311"/>
      <c r="R381" s="1311"/>
      <c r="S381" s="1311"/>
      <c r="T381" s="1311"/>
      <c r="U381" s="1311"/>
      <c r="V381" s="1311"/>
      <c r="W381" s="1311"/>
      <c r="X381" s="1311"/>
      <c r="Y381" s="1311"/>
      <c r="Z381" s="1394"/>
      <c r="AA381" s="195"/>
      <c r="AB381" s="195"/>
      <c r="AC381" s="196"/>
      <c r="AD381" s="196"/>
      <c r="AE381" s="196"/>
      <c r="AF381" s="196"/>
      <c r="AG381" s="196"/>
      <c r="AH381" s="196"/>
      <c r="AI381" s="196"/>
      <c r="AJ381" s="196"/>
      <c r="AK381" s="196"/>
      <c r="AL381" s="197"/>
      <c r="AM381" s="197"/>
      <c r="AN381" s="197"/>
      <c r="AO381" s="195"/>
      <c r="AP381" s="195"/>
      <c r="AQ381" s="195"/>
      <c r="AR381" s="195"/>
      <c r="AS381" s="195"/>
      <c r="AT381" s="195"/>
      <c r="AU381" s="195"/>
    </row>
    <row r="382" spans="1:47" ht="11.25" customHeight="1" x14ac:dyDescent="0.25">
      <c r="A382" s="1406"/>
      <c r="B382" s="1311"/>
      <c r="C382" s="1311"/>
      <c r="D382" s="1311"/>
      <c r="E382" s="1317"/>
      <c r="F382" s="1311"/>
      <c r="G382" s="1311"/>
      <c r="H382" s="1311"/>
      <c r="I382" s="906"/>
      <c r="J382" s="1311"/>
      <c r="K382" s="1311"/>
      <c r="L382" s="1392"/>
      <c r="M382" s="1311"/>
      <c r="N382" s="1311"/>
      <c r="O382" s="1311"/>
      <c r="P382" s="1311"/>
      <c r="Q382" s="1311"/>
      <c r="R382" s="1311"/>
      <c r="S382" s="1311"/>
      <c r="T382" s="1311"/>
      <c r="U382" s="1311"/>
      <c r="V382" s="1311"/>
      <c r="W382" s="1311"/>
      <c r="X382" s="1311"/>
      <c r="Y382" s="1311"/>
      <c r="Z382" s="1394"/>
      <c r="AA382" s="195"/>
      <c r="AB382" s="195"/>
      <c r="AC382" s="196"/>
      <c r="AD382" s="196"/>
      <c r="AE382" s="196"/>
      <c r="AF382" s="196"/>
      <c r="AG382" s="196"/>
      <c r="AH382" s="196"/>
      <c r="AI382" s="196"/>
      <c r="AJ382" s="196"/>
      <c r="AK382" s="196"/>
      <c r="AL382" s="197"/>
      <c r="AM382" s="197"/>
      <c r="AN382" s="197"/>
      <c r="AO382" s="195"/>
      <c r="AP382" s="195"/>
      <c r="AQ382" s="195"/>
      <c r="AR382" s="195"/>
      <c r="AS382" s="195"/>
      <c r="AT382" s="195"/>
      <c r="AU382" s="195"/>
    </row>
    <row r="383" spans="1:47" ht="11.25" customHeight="1" x14ac:dyDescent="0.25">
      <c r="A383" s="1406"/>
      <c r="B383" s="1311"/>
      <c r="C383" s="1318" t="s">
        <v>363</v>
      </c>
      <c r="D383" s="290" t="s">
        <v>288</v>
      </c>
      <c r="E383" s="304">
        <v>62.13</v>
      </c>
      <c r="F383" s="289"/>
      <c r="G383" s="289"/>
      <c r="H383" s="933">
        <v>105.69</v>
      </c>
      <c r="I383" s="933"/>
      <c r="J383" s="933">
        <v>113.59</v>
      </c>
      <c r="K383" s="307">
        <f>E383</f>
        <v>62.13</v>
      </c>
      <c r="L383" s="303">
        <v>64.099999999999994</v>
      </c>
      <c r="M383" s="316">
        <v>105.69</v>
      </c>
      <c r="N383" s="933">
        <v>113.59</v>
      </c>
      <c r="O383" s="1317" t="s">
        <v>360</v>
      </c>
      <c r="P383" s="1318" t="s">
        <v>86</v>
      </c>
      <c r="Q383" s="1310" t="s">
        <v>86</v>
      </c>
      <c r="R383" s="1318" t="s">
        <v>86</v>
      </c>
      <c r="S383" s="1310" t="s">
        <v>290</v>
      </c>
      <c r="T383" s="1393">
        <v>111898</v>
      </c>
      <c r="U383" s="1393">
        <v>113322</v>
      </c>
      <c r="V383" s="1310"/>
      <c r="W383" s="1310" t="s">
        <v>291</v>
      </c>
      <c r="X383" s="1310" t="s">
        <v>292</v>
      </c>
      <c r="Y383" s="1310" t="s">
        <v>293</v>
      </c>
      <c r="Z383" s="1315">
        <v>7878783</v>
      </c>
      <c r="AA383" s="195"/>
      <c r="AB383" s="195"/>
      <c r="AC383" s="196"/>
      <c r="AD383" s="196"/>
      <c r="AE383" s="196"/>
      <c r="AF383" s="196"/>
      <c r="AG383" s="196"/>
      <c r="AH383" s="196"/>
      <c r="AI383" s="196"/>
      <c r="AJ383" s="196"/>
      <c r="AK383" s="196"/>
      <c r="AL383" s="197"/>
      <c r="AM383" s="197"/>
      <c r="AN383" s="197"/>
      <c r="AO383" s="195"/>
      <c r="AP383" s="195"/>
      <c r="AQ383" s="195"/>
      <c r="AR383" s="195"/>
      <c r="AS383" s="195"/>
      <c r="AT383" s="195"/>
      <c r="AU383" s="195"/>
    </row>
    <row r="384" spans="1:47" ht="11.25" customHeight="1" x14ac:dyDescent="0.25">
      <c r="A384" s="1406"/>
      <c r="B384" s="1311"/>
      <c r="C384" s="1311"/>
      <c r="D384" s="922" t="s">
        <v>296</v>
      </c>
      <c r="E384" s="314">
        <v>16716102</v>
      </c>
      <c r="F384" s="919"/>
      <c r="G384" s="919"/>
      <c r="H384" s="306">
        <v>28433804.186666667</v>
      </c>
      <c r="I384" s="306"/>
      <c r="J384" s="962">
        <f>+J383*$J$328/$J$327</f>
        <v>34787191.877605632</v>
      </c>
      <c r="K384" s="919">
        <f>+K383*K328/K327</f>
        <v>33595018.447136566</v>
      </c>
      <c r="L384" s="313">
        <v>33595018.447136566</v>
      </c>
      <c r="M384" s="315">
        <v>15736891.579744801</v>
      </c>
      <c r="N384" s="962">
        <v>37517765.501409099</v>
      </c>
      <c r="O384" s="1311"/>
      <c r="P384" s="1311"/>
      <c r="Q384" s="1311"/>
      <c r="R384" s="1311"/>
      <c r="S384" s="1311"/>
      <c r="T384" s="1311"/>
      <c r="U384" s="1311"/>
      <c r="V384" s="1311"/>
      <c r="W384" s="1311"/>
      <c r="X384" s="1311"/>
      <c r="Y384" s="1311"/>
      <c r="Z384" s="1394"/>
      <c r="AA384" s="195"/>
      <c r="AB384" s="195"/>
      <c r="AC384" s="196"/>
      <c r="AD384" s="196"/>
      <c r="AE384" s="196"/>
      <c r="AF384" s="196"/>
      <c r="AG384" s="196"/>
      <c r="AH384" s="196"/>
      <c r="AI384" s="196"/>
      <c r="AJ384" s="196"/>
      <c r="AK384" s="196"/>
      <c r="AL384" s="197"/>
      <c r="AM384" s="197"/>
      <c r="AN384" s="197"/>
      <c r="AO384" s="195"/>
      <c r="AP384" s="195"/>
      <c r="AQ384" s="195"/>
      <c r="AR384" s="195"/>
      <c r="AS384" s="195"/>
      <c r="AT384" s="195"/>
      <c r="AU384" s="195"/>
    </row>
    <row r="385" spans="1:47" ht="11.25" customHeight="1" x14ac:dyDescent="0.25">
      <c r="A385" s="1406"/>
      <c r="B385" s="1311"/>
      <c r="C385" s="1311"/>
      <c r="D385" s="922" t="s">
        <v>299</v>
      </c>
      <c r="E385" s="919"/>
      <c r="F385" s="289"/>
      <c r="G385" s="289"/>
      <c r="H385" s="289"/>
      <c r="I385" s="289"/>
      <c r="J385" s="919"/>
      <c r="K385" s="305"/>
      <c r="L385" s="932"/>
      <c r="M385" s="932"/>
      <c r="N385" s="932"/>
      <c r="O385" s="1311"/>
      <c r="P385" s="1311"/>
      <c r="Q385" s="1311"/>
      <c r="R385" s="1311"/>
      <c r="S385" s="1311"/>
      <c r="T385" s="1311"/>
      <c r="U385" s="1311"/>
      <c r="V385" s="1311"/>
      <c r="W385" s="1311"/>
      <c r="X385" s="1311"/>
      <c r="Y385" s="1311"/>
      <c r="Z385" s="1394"/>
      <c r="AA385" s="195"/>
      <c r="AB385" s="195"/>
      <c r="AC385" s="196"/>
      <c r="AD385" s="196"/>
      <c r="AE385" s="196"/>
      <c r="AF385" s="196"/>
      <c r="AG385" s="196"/>
      <c r="AH385" s="196"/>
      <c r="AI385" s="196"/>
      <c r="AJ385" s="196"/>
      <c r="AK385" s="196"/>
      <c r="AL385" s="197"/>
      <c r="AM385" s="197"/>
      <c r="AN385" s="197"/>
      <c r="AO385" s="195"/>
      <c r="AP385" s="195"/>
      <c r="AQ385" s="195"/>
      <c r="AR385" s="195"/>
      <c r="AS385" s="195"/>
      <c r="AT385" s="195"/>
      <c r="AU385" s="195"/>
    </row>
    <row r="386" spans="1:47" ht="11.25" customHeight="1" x14ac:dyDescent="0.25">
      <c r="A386" s="1406"/>
      <c r="B386" s="1311"/>
      <c r="C386" s="1311"/>
      <c r="D386" s="1396" t="s">
        <v>302</v>
      </c>
      <c r="E386" s="1317"/>
      <c r="F386" s="1317"/>
      <c r="G386" s="1317"/>
      <c r="H386" s="1317"/>
      <c r="I386" s="919"/>
      <c r="J386" s="1317"/>
      <c r="K386" s="1317"/>
      <c r="L386" s="1390"/>
      <c r="M386" s="1317"/>
      <c r="N386" s="1317"/>
      <c r="O386" s="1311"/>
      <c r="P386" s="1311"/>
      <c r="Q386" s="1311"/>
      <c r="R386" s="1311"/>
      <c r="S386" s="1311"/>
      <c r="T386" s="1311"/>
      <c r="U386" s="1311"/>
      <c r="V386" s="1311"/>
      <c r="W386" s="1311"/>
      <c r="X386" s="1311"/>
      <c r="Y386" s="1311"/>
      <c r="Z386" s="1394"/>
      <c r="AA386" s="195"/>
      <c r="AB386" s="195"/>
      <c r="AC386" s="196"/>
      <c r="AD386" s="196"/>
      <c r="AE386" s="196"/>
      <c r="AF386" s="196"/>
      <c r="AG386" s="196"/>
      <c r="AH386" s="196"/>
      <c r="AI386" s="196"/>
      <c r="AJ386" s="196"/>
      <c r="AK386" s="196"/>
      <c r="AL386" s="197"/>
      <c r="AM386" s="197"/>
      <c r="AN386" s="197"/>
      <c r="AO386" s="195"/>
      <c r="AP386" s="195"/>
      <c r="AQ386" s="195"/>
      <c r="AR386" s="195"/>
      <c r="AS386" s="195"/>
      <c r="AT386" s="195"/>
      <c r="AU386" s="195"/>
    </row>
    <row r="387" spans="1:47" ht="9.75" customHeight="1" x14ac:dyDescent="0.25">
      <c r="A387" s="1406"/>
      <c r="B387" s="1311"/>
      <c r="C387" s="1311"/>
      <c r="D387" s="1311"/>
      <c r="E387" s="1317"/>
      <c r="F387" s="1311"/>
      <c r="G387" s="1311"/>
      <c r="H387" s="1311"/>
      <c r="I387" s="906"/>
      <c r="J387" s="1311"/>
      <c r="K387" s="1311"/>
      <c r="L387" s="1391"/>
      <c r="M387" s="1311"/>
      <c r="N387" s="1311"/>
      <c r="O387" s="1311"/>
      <c r="P387" s="1311"/>
      <c r="Q387" s="1311"/>
      <c r="R387" s="1311"/>
      <c r="S387" s="1311"/>
      <c r="T387" s="1311"/>
      <c r="U387" s="1311"/>
      <c r="V387" s="1311"/>
      <c r="W387" s="1311"/>
      <c r="X387" s="1311"/>
      <c r="Y387" s="1311"/>
      <c r="Z387" s="1394"/>
      <c r="AA387" s="195"/>
      <c r="AB387" s="195"/>
      <c r="AC387" s="196"/>
      <c r="AD387" s="196"/>
      <c r="AE387" s="196"/>
      <c r="AF387" s="196"/>
      <c r="AG387" s="196"/>
      <c r="AH387" s="196"/>
      <c r="AI387" s="196"/>
      <c r="AJ387" s="196"/>
      <c r="AK387" s="196"/>
      <c r="AL387" s="197"/>
      <c r="AM387" s="197"/>
      <c r="AN387" s="197"/>
      <c r="AO387" s="195"/>
      <c r="AP387" s="195"/>
      <c r="AQ387" s="195"/>
      <c r="AR387" s="195"/>
      <c r="AS387" s="195"/>
      <c r="AT387" s="195"/>
      <c r="AU387" s="195"/>
    </row>
    <row r="388" spans="1:47" ht="8.25" customHeight="1" x14ac:dyDescent="0.25">
      <c r="A388" s="1406"/>
      <c r="B388" s="1311"/>
      <c r="C388" s="1311"/>
      <c r="D388" s="1311"/>
      <c r="E388" s="1317"/>
      <c r="F388" s="1311"/>
      <c r="G388" s="1311"/>
      <c r="H388" s="1311"/>
      <c r="I388" s="906"/>
      <c r="J388" s="1311"/>
      <c r="K388" s="1311"/>
      <c r="L388" s="1391"/>
      <c r="M388" s="1311"/>
      <c r="N388" s="1311"/>
      <c r="O388" s="1311"/>
      <c r="P388" s="1311"/>
      <c r="Q388" s="1311"/>
      <c r="R388" s="1311"/>
      <c r="S388" s="1311"/>
      <c r="T388" s="1311"/>
      <c r="U388" s="1311"/>
      <c r="V388" s="1311"/>
      <c r="W388" s="1311"/>
      <c r="X388" s="1311"/>
      <c r="Y388" s="1311"/>
      <c r="Z388" s="1394"/>
      <c r="AA388" s="195"/>
      <c r="AB388" s="195"/>
      <c r="AC388" s="196"/>
      <c r="AD388" s="196"/>
      <c r="AE388" s="196"/>
      <c r="AF388" s="196"/>
      <c r="AG388" s="196"/>
      <c r="AH388" s="196"/>
      <c r="AI388" s="196"/>
      <c r="AJ388" s="196"/>
      <c r="AK388" s="196"/>
      <c r="AL388" s="197"/>
      <c r="AM388" s="197"/>
      <c r="AN388" s="197"/>
      <c r="AO388" s="195"/>
      <c r="AP388" s="195"/>
      <c r="AQ388" s="195"/>
      <c r="AR388" s="195"/>
      <c r="AS388" s="195"/>
      <c r="AT388" s="195"/>
      <c r="AU388" s="195"/>
    </row>
    <row r="389" spans="1:47" ht="11.25" customHeight="1" x14ac:dyDescent="0.25">
      <c r="A389" s="1406"/>
      <c r="B389" s="1311"/>
      <c r="C389" s="1311"/>
      <c r="D389" s="1311"/>
      <c r="E389" s="1317"/>
      <c r="F389" s="1311"/>
      <c r="G389" s="1311"/>
      <c r="H389" s="1311"/>
      <c r="I389" s="906"/>
      <c r="J389" s="1311"/>
      <c r="K389" s="1311"/>
      <c r="L389" s="1392"/>
      <c r="M389" s="1311"/>
      <c r="N389" s="1311"/>
      <c r="O389" s="1311"/>
      <c r="P389" s="1311"/>
      <c r="Q389" s="1311"/>
      <c r="R389" s="1311"/>
      <c r="S389" s="1311"/>
      <c r="T389" s="1311"/>
      <c r="U389" s="1311"/>
      <c r="V389" s="1311"/>
      <c r="W389" s="1311"/>
      <c r="X389" s="1311"/>
      <c r="Y389" s="1311"/>
      <c r="Z389" s="1394"/>
      <c r="AA389" s="195"/>
      <c r="AB389" s="195"/>
      <c r="AC389" s="196"/>
      <c r="AD389" s="196"/>
      <c r="AE389" s="196"/>
      <c r="AF389" s="196"/>
      <c r="AG389" s="196"/>
      <c r="AH389" s="196"/>
      <c r="AI389" s="196"/>
      <c r="AJ389" s="196"/>
      <c r="AK389" s="196"/>
      <c r="AL389" s="197"/>
      <c r="AM389" s="197"/>
      <c r="AN389" s="197"/>
      <c r="AO389" s="195"/>
      <c r="AP389" s="195"/>
      <c r="AQ389" s="195"/>
      <c r="AR389" s="195"/>
      <c r="AS389" s="195"/>
      <c r="AT389" s="195"/>
      <c r="AU389" s="195"/>
    </row>
    <row r="390" spans="1:47" ht="11.25" customHeight="1" x14ac:dyDescent="0.25">
      <c r="A390" s="1406"/>
      <c r="B390" s="1311"/>
      <c r="C390" s="1318" t="s">
        <v>363</v>
      </c>
      <c r="D390" s="290" t="s">
        <v>288</v>
      </c>
      <c r="E390" s="304">
        <v>5.81</v>
      </c>
      <c r="F390" s="289"/>
      <c r="G390" s="289"/>
      <c r="H390" s="933">
        <v>10.39</v>
      </c>
      <c r="I390" s="933"/>
      <c r="J390" s="933">
        <v>11.850000000000001</v>
      </c>
      <c r="K390" s="307">
        <f>E390</f>
        <v>5.81</v>
      </c>
      <c r="L390" s="303">
        <v>5.81</v>
      </c>
      <c r="M390" s="316">
        <v>10.39</v>
      </c>
      <c r="N390" s="933">
        <v>11.850000000000001</v>
      </c>
      <c r="O390" s="1317" t="s">
        <v>369</v>
      </c>
      <c r="P390" s="1318" t="s">
        <v>86</v>
      </c>
      <c r="Q390" s="1310" t="s">
        <v>86</v>
      </c>
      <c r="R390" s="1318" t="s">
        <v>86</v>
      </c>
      <c r="S390" s="1310" t="s">
        <v>290</v>
      </c>
      <c r="T390" s="1393">
        <v>12117</v>
      </c>
      <c r="U390" s="1393">
        <v>10516</v>
      </c>
      <c r="V390" s="1310"/>
      <c r="W390" s="1310" t="s">
        <v>291</v>
      </c>
      <c r="X390" s="1310" t="s">
        <v>292</v>
      </c>
      <c r="Y390" s="1310" t="s">
        <v>293</v>
      </c>
      <c r="Z390" s="1315">
        <v>7878783</v>
      </c>
      <c r="AA390" s="195"/>
      <c r="AB390" s="195"/>
      <c r="AC390" s="196"/>
      <c r="AD390" s="196"/>
      <c r="AE390" s="196"/>
      <c r="AF390" s="196"/>
      <c r="AG390" s="196"/>
      <c r="AH390" s="196"/>
      <c r="AI390" s="196"/>
      <c r="AJ390" s="196"/>
      <c r="AK390" s="196"/>
      <c r="AL390" s="197"/>
      <c r="AM390" s="197"/>
      <c r="AN390" s="197"/>
      <c r="AO390" s="195"/>
      <c r="AP390" s="195"/>
      <c r="AQ390" s="195"/>
      <c r="AR390" s="195"/>
      <c r="AS390" s="195"/>
      <c r="AT390" s="195"/>
      <c r="AU390" s="195"/>
    </row>
    <row r="391" spans="1:47" ht="11.25" customHeight="1" x14ac:dyDescent="0.25">
      <c r="A391" s="1406"/>
      <c r="B391" s="1311"/>
      <c r="C391" s="1311"/>
      <c r="D391" s="922" t="s">
        <v>296</v>
      </c>
      <c r="E391" s="314">
        <v>1563254</v>
      </c>
      <c r="F391" s="919"/>
      <c r="G391" s="919"/>
      <c r="H391" s="306">
        <v>2795224.0088888891</v>
      </c>
      <c r="I391" s="306"/>
      <c r="J391" s="962">
        <f>+J390*$J$328/$J$327</f>
        <v>3629089.0373239443</v>
      </c>
      <c r="K391" s="919">
        <f>+K390*K328/K327</f>
        <v>3141591.1343612336</v>
      </c>
      <c r="L391" s="313">
        <v>3141591.1343612336</v>
      </c>
      <c r="M391" s="315">
        <v>1547036.6497639201</v>
      </c>
      <c r="N391" s="962">
        <v>3913949.47787392</v>
      </c>
      <c r="O391" s="1311"/>
      <c r="P391" s="1311"/>
      <c r="Q391" s="1311"/>
      <c r="R391" s="1311"/>
      <c r="S391" s="1311"/>
      <c r="T391" s="1311"/>
      <c r="U391" s="1311"/>
      <c r="V391" s="1311"/>
      <c r="W391" s="1311"/>
      <c r="X391" s="1311"/>
      <c r="Y391" s="1311"/>
      <c r="Z391" s="1394"/>
      <c r="AA391" s="195"/>
      <c r="AB391" s="195"/>
      <c r="AC391" s="196"/>
      <c r="AD391" s="196"/>
      <c r="AE391" s="196"/>
      <c r="AF391" s="196"/>
      <c r="AG391" s="196"/>
      <c r="AH391" s="196"/>
      <c r="AI391" s="196"/>
      <c r="AJ391" s="196"/>
      <c r="AK391" s="196"/>
      <c r="AL391" s="197"/>
      <c r="AM391" s="197"/>
      <c r="AN391" s="197"/>
      <c r="AO391" s="195"/>
      <c r="AP391" s="195"/>
      <c r="AQ391" s="195"/>
      <c r="AR391" s="195"/>
      <c r="AS391" s="195"/>
      <c r="AT391" s="195"/>
      <c r="AU391" s="195"/>
    </row>
    <row r="392" spans="1:47" ht="11.25" customHeight="1" x14ac:dyDescent="0.25">
      <c r="A392" s="1406"/>
      <c r="B392" s="1311"/>
      <c r="C392" s="1311"/>
      <c r="D392" s="922" t="s">
        <v>299</v>
      </c>
      <c r="E392" s="919"/>
      <c r="F392" s="289"/>
      <c r="G392" s="289"/>
      <c r="H392" s="289"/>
      <c r="I392" s="289"/>
      <c r="J392" s="919"/>
      <c r="K392" s="305"/>
      <c r="L392" s="932"/>
      <c r="M392" s="932"/>
      <c r="N392" s="932"/>
      <c r="O392" s="1311"/>
      <c r="P392" s="1311"/>
      <c r="Q392" s="1311"/>
      <c r="R392" s="1311"/>
      <c r="S392" s="1311"/>
      <c r="T392" s="1311"/>
      <c r="U392" s="1311"/>
      <c r="V392" s="1311"/>
      <c r="W392" s="1311"/>
      <c r="X392" s="1311"/>
      <c r="Y392" s="1311"/>
      <c r="Z392" s="1394"/>
      <c r="AA392" s="195"/>
      <c r="AB392" s="195"/>
      <c r="AC392" s="196"/>
      <c r="AD392" s="196"/>
      <c r="AE392" s="196"/>
      <c r="AF392" s="196"/>
      <c r="AG392" s="196"/>
      <c r="AH392" s="196"/>
      <c r="AI392" s="196"/>
      <c r="AJ392" s="196"/>
      <c r="AK392" s="196"/>
      <c r="AL392" s="197"/>
      <c r="AM392" s="197"/>
      <c r="AN392" s="197"/>
      <c r="AO392" s="195"/>
      <c r="AP392" s="195"/>
      <c r="AQ392" s="195"/>
      <c r="AR392" s="195"/>
      <c r="AS392" s="195"/>
      <c r="AT392" s="195"/>
      <c r="AU392" s="195"/>
    </row>
    <row r="393" spans="1:47" ht="11.25" customHeight="1" x14ac:dyDescent="0.25">
      <c r="A393" s="1406"/>
      <c r="B393" s="1311"/>
      <c r="C393" s="1311"/>
      <c r="D393" s="1396" t="s">
        <v>302</v>
      </c>
      <c r="E393" s="1317"/>
      <c r="F393" s="1317"/>
      <c r="G393" s="1317"/>
      <c r="H393" s="1317"/>
      <c r="I393" s="919"/>
      <c r="J393" s="1317"/>
      <c r="K393" s="1317"/>
      <c r="L393" s="1390"/>
      <c r="M393" s="1317"/>
      <c r="N393" s="1317"/>
      <c r="O393" s="1311"/>
      <c r="P393" s="1311"/>
      <c r="Q393" s="1311"/>
      <c r="R393" s="1311"/>
      <c r="S393" s="1311"/>
      <c r="T393" s="1311"/>
      <c r="U393" s="1311"/>
      <c r="V393" s="1311"/>
      <c r="W393" s="1311"/>
      <c r="X393" s="1311"/>
      <c r="Y393" s="1311"/>
      <c r="Z393" s="1394"/>
      <c r="AA393" s="195"/>
      <c r="AB393" s="195"/>
      <c r="AC393" s="196"/>
      <c r="AD393" s="196"/>
      <c r="AE393" s="196"/>
      <c r="AF393" s="196"/>
      <c r="AG393" s="196"/>
      <c r="AH393" s="196"/>
      <c r="AI393" s="196"/>
      <c r="AJ393" s="196"/>
      <c r="AK393" s="196"/>
      <c r="AL393" s="197"/>
      <c r="AM393" s="197"/>
      <c r="AN393" s="197"/>
      <c r="AO393" s="195"/>
      <c r="AP393" s="195"/>
      <c r="AQ393" s="195"/>
      <c r="AR393" s="195"/>
      <c r="AS393" s="195"/>
      <c r="AT393" s="195"/>
      <c r="AU393" s="195"/>
    </row>
    <row r="394" spans="1:47" ht="8.25" customHeight="1" x14ac:dyDescent="0.25">
      <c r="A394" s="1406"/>
      <c r="B394" s="1311"/>
      <c r="C394" s="1311"/>
      <c r="D394" s="1311"/>
      <c r="E394" s="1317"/>
      <c r="F394" s="1311"/>
      <c r="G394" s="1311"/>
      <c r="H394" s="1311"/>
      <c r="I394" s="906"/>
      <c r="J394" s="1311"/>
      <c r="K394" s="1311"/>
      <c r="L394" s="1391"/>
      <c r="M394" s="1311"/>
      <c r="N394" s="1311"/>
      <c r="O394" s="1311"/>
      <c r="P394" s="1311"/>
      <c r="Q394" s="1311"/>
      <c r="R394" s="1311"/>
      <c r="S394" s="1311"/>
      <c r="T394" s="1311"/>
      <c r="U394" s="1311"/>
      <c r="V394" s="1311"/>
      <c r="W394" s="1311"/>
      <c r="X394" s="1311"/>
      <c r="Y394" s="1311"/>
      <c r="Z394" s="1394"/>
      <c r="AA394" s="195"/>
      <c r="AB394" s="195"/>
      <c r="AC394" s="196"/>
      <c r="AD394" s="196"/>
      <c r="AE394" s="196"/>
      <c r="AF394" s="196"/>
      <c r="AG394" s="196"/>
      <c r="AH394" s="196"/>
      <c r="AI394" s="196"/>
      <c r="AJ394" s="196"/>
      <c r="AK394" s="196"/>
      <c r="AL394" s="197"/>
      <c r="AM394" s="197"/>
      <c r="AN394" s="197"/>
      <c r="AO394" s="195"/>
      <c r="AP394" s="195"/>
      <c r="AQ394" s="195"/>
      <c r="AR394" s="195"/>
      <c r="AS394" s="195"/>
      <c r="AT394" s="195"/>
      <c r="AU394" s="195"/>
    </row>
    <row r="395" spans="1:47" ht="8.25" customHeight="1" x14ac:dyDescent="0.25">
      <c r="A395" s="1406"/>
      <c r="B395" s="1311"/>
      <c r="C395" s="1311"/>
      <c r="D395" s="1311"/>
      <c r="E395" s="1317"/>
      <c r="F395" s="1311"/>
      <c r="G395" s="1311"/>
      <c r="H395" s="1311"/>
      <c r="I395" s="906"/>
      <c r="J395" s="1311"/>
      <c r="K395" s="1311"/>
      <c r="L395" s="1391"/>
      <c r="M395" s="1311"/>
      <c r="N395" s="1311"/>
      <c r="O395" s="1311"/>
      <c r="P395" s="1311"/>
      <c r="Q395" s="1311"/>
      <c r="R395" s="1311"/>
      <c r="S395" s="1311"/>
      <c r="T395" s="1311"/>
      <c r="U395" s="1311"/>
      <c r="V395" s="1311"/>
      <c r="W395" s="1311"/>
      <c r="X395" s="1311"/>
      <c r="Y395" s="1311"/>
      <c r="Z395" s="1394"/>
      <c r="AA395" s="195"/>
      <c r="AB395" s="195"/>
      <c r="AC395" s="196"/>
      <c r="AD395" s="196"/>
      <c r="AE395" s="196"/>
      <c r="AF395" s="196"/>
      <c r="AG395" s="196"/>
      <c r="AH395" s="196"/>
      <c r="AI395" s="196"/>
      <c r="AJ395" s="196"/>
      <c r="AK395" s="196"/>
      <c r="AL395" s="197"/>
      <c r="AM395" s="197"/>
      <c r="AN395" s="197"/>
      <c r="AO395" s="195"/>
      <c r="AP395" s="195"/>
      <c r="AQ395" s="195"/>
      <c r="AR395" s="195"/>
      <c r="AS395" s="195"/>
      <c r="AT395" s="195"/>
      <c r="AU395" s="195"/>
    </row>
    <row r="396" spans="1:47" ht="6.75" customHeight="1" x14ac:dyDescent="0.25">
      <c r="A396" s="1406"/>
      <c r="B396" s="1311"/>
      <c r="C396" s="1311"/>
      <c r="D396" s="1311"/>
      <c r="E396" s="1317"/>
      <c r="F396" s="1311"/>
      <c r="G396" s="1311"/>
      <c r="H396" s="1311"/>
      <c r="I396" s="906"/>
      <c r="J396" s="1311"/>
      <c r="K396" s="1311"/>
      <c r="L396" s="1392"/>
      <c r="M396" s="1311"/>
      <c r="N396" s="1311"/>
      <c r="O396" s="1311"/>
      <c r="P396" s="1311"/>
      <c r="Q396" s="1311"/>
      <c r="R396" s="1311"/>
      <c r="S396" s="1311"/>
      <c r="T396" s="1311"/>
      <c r="U396" s="1311"/>
      <c r="V396" s="1311"/>
      <c r="W396" s="1311"/>
      <c r="X396" s="1311"/>
      <c r="Y396" s="1311"/>
      <c r="Z396" s="1394"/>
      <c r="AA396" s="195"/>
      <c r="AB396" s="195"/>
      <c r="AC396" s="196"/>
      <c r="AD396" s="196"/>
      <c r="AE396" s="196"/>
      <c r="AF396" s="196"/>
      <c r="AG396" s="196"/>
      <c r="AH396" s="196"/>
      <c r="AI396" s="196"/>
      <c r="AJ396" s="196"/>
      <c r="AK396" s="196"/>
      <c r="AL396" s="197"/>
      <c r="AM396" s="197"/>
      <c r="AN396" s="197"/>
      <c r="AO396" s="195"/>
      <c r="AP396" s="195"/>
      <c r="AQ396" s="195"/>
      <c r="AR396" s="195"/>
      <c r="AS396" s="195"/>
      <c r="AT396" s="195"/>
      <c r="AU396" s="195"/>
    </row>
    <row r="397" spans="1:47" ht="11.25" customHeight="1" x14ac:dyDescent="0.25">
      <c r="A397" s="1406"/>
      <c r="B397" s="1311"/>
      <c r="C397" s="1318" t="s">
        <v>363</v>
      </c>
      <c r="D397" s="290" t="s">
        <v>288</v>
      </c>
      <c r="E397" s="304">
        <v>4.54</v>
      </c>
      <c r="F397" s="289"/>
      <c r="G397" s="289"/>
      <c r="H397" s="933">
        <v>5.17</v>
      </c>
      <c r="I397" s="933"/>
      <c r="J397" s="933">
        <v>6.82</v>
      </c>
      <c r="K397" s="307">
        <f>E397</f>
        <v>4.54</v>
      </c>
      <c r="L397" s="303">
        <v>4.54</v>
      </c>
      <c r="M397" s="316">
        <v>5.17</v>
      </c>
      <c r="N397" s="933">
        <v>6.82</v>
      </c>
      <c r="O397" s="1317" t="s">
        <v>370</v>
      </c>
      <c r="P397" s="1318" t="s">
        <v>86</v>
      </c>
      <c r="Q397" s="1310" t="s">
        <v>86</v>
      </c>
      <c r="R397" s="1318" t="s">
        <v>86</v>
      </c>
      <c r="S397" s="1310" t="s">
        <v>290</v>
      </c>
      <c r="T397" s="1393">
        <v>172915</v>
      </c>
      <c r="U397" s="1393">
        <v>180846</v>
      </c>
      <c r="V397" s="1310"/>
      <c r="W397" s="1310" t="s">
        <v>291</v>
      </c>
      <c r="X397" s="1310" t="s">
        <v>292</v>
      </c>
      <c r="Y397" s="1310" t="s">
        <v>293</v>
      </c>
      <c r="Z397" s="1315">
        <v>7878783</v>
      </c>
      <c r="AA397" s="195"/>
      <c r="AB397" s="195"/>
      <c r="AC397" s="196"/>
      <c r="AD397" s="196"/>
      <c r="AE397" s="196"/>
      <c r="AF397" s="196"/>
      <c r="AG397" s="196"/>
      <c r="AH397" s="196"/>
      <c r="AI397" s="196"/>
      <c r="AJ397" s="196"/>
      <c r="AK397" s="196"/>
      <c r="AL397" s="197"/>
      <c r="AM397" s="197"/>
      <c r="AN397" s="197"/>
      <c r="AO397" s="195"/>
      <c r="AP397" s="195"/>
      <c r="AQ397" s="195"/>
      <c r="AR397" s="195"/>
      <c r="AS397" s="195"/>
      <c r="AT397" s="195"/>
      <c r="AU397" s="195"/>
    </row>
    <row r="398" spans="1:47" ht="11.25" customHeight="1" x14ac:dyDescent="0.25">
      <c r="A398" s="1406"/>
      <c r="B398" s="1311"/>
      <c r="C398" s="1311"/>
      <c r="D398" s="922" t="s">
        <v>296</v>
      </c>
      <c r="E398" s="314">
        <v>1221048</v>
      </c>
      <c r="F398" s="919"/>
      <c r="G398" s="919"/>
      <c r="H398" s="306">
        <v>1390886.2488888889</v>
      </c>
      <c r="I398" s="306"/>
      <c r="J398" s="962">
        <f>+J397*$J$328/$J$327</f>
        <v>2088640.2729577466</v>
      </c>
      <c r="K398" s="919">
        <f>+K397*K328/K327</f>
        <v>2454875</v>
      </c>
      <c r="L398" s="313">
        <v>2454875</v>
      </c>
      <c r="M398" s="315">
        <v>769795.907534117</v>
      </c>
      <c r="N398" s="962">
        <v>2252585.2691223701</v>
      </c>
      <c r="O398" s="1311"/>
      <c r="P398" s="1311"/>
      <c r="Q398" s="1311"/>
      <c r="R398" s="1311"/>
      <c r="S398" s="1311"/>
      <c r="T398" s="1311"/>
      <c r="U398" s="1311"/>
      <c r="V398" s="1311"/>
      <c r="W398" s="1311"/>
      <c r="X398" s="1311"/>
      <c r="Y398" s="1311"/>
      <c r="Z398" s="1394"/>
      <c r="AA398" s="195"/>
      <c r="AB398" s="195"/>
      <c r="AC398" s="196"/>
      <c r="AD398" s="196"/>
      <c r="AE398" s="196"/>
      <c r="AF398" s="196"/>
      <c r="AG398" s="196"/>
      <c r="AH398" s="196"/>
      <c r="AI398" s="196"/>
      <c r="AJ398" s="196"/>
      <c r="AK398" s="196"/>
      <c r="AL398" s="197"/>
      <c r="AM398" s="197"/>
      <c r="AN398" s="197"/>
      <c r="AO398" s="195"/>
      <c r="AP398" s="195"/>
      <c r="AQ398" s="195"/>
      <c r="AR398" s="195"/>
      <c r="AS398" s="195"/>
      <c r="AT398" s="195"/>
      <c r="AU398" s="195"/>
    </row>
    <row r="399" spans="1:47" ht="11.25" customHeight="1" x14ac:dyDescent="0.25">
      <c r="A399" s="1406"/>
      <c r="B399" s="1311"/>
      <c r="C399" s="1311"/>
      <c r="D399" s="922" t="s">
        <v>299</v>
      </c>
      <c r="E399" s="919"/>
      <c r="F399" s="289"/>
      <c r="G399" s="289"/>
      <c r="H399" s="289"/>
      <c r="I399" s="289"/>
      <c r="J399" s="919"/>
      <c r="K399" s="305"/>
      <c r="L399" s="932"/>
      <c r="M399" s="932"/>
      <c r="N399" s="932"/>
      <c r="O399" s="1311"/>
      <c r="P399" s="1311"/>
      <c r="Q399" s="1311"/>
      <c r="R399" s="1311"/>
      <c r="S399" s="1311"/>
      <c r="T399" s="1311"/>
      <c r="U399" s="1311"/>
      <c r="V399" s="1311"/>
      <c r="W399" s="1311"/>
      <c r="X399" s="1311"/>
      <c r="Y399" s="1311"/>
      <c r="Z399" s="1394"/>
      <c r="AA399" s="195"/>
      <c r="AB399" s="195"/>
      <c r="AC399" s="196"/>
      <c r="AD399" s="196"/>
      <c r="AE399" s="196"/>
      <c r="AF399" s="196"/>
      <c r="AG399" s="196"/>
      <c r="AH399" s="196"/>
      <c r="AI399" s="196"/>
      <c r="AJ399" s="196"/>
      <c r="AK399" s="196"/>
      <c r="AL399" s="197"/>
      <c r="AM399" s="197"/>
      <c r="AN399" s="197"/>
      <c r="AO399" s="195"/>
      <c r="AP399" s="195"/>
      <c r="AQ399" s="195"/>
      <c r="AR399" s="195"/>
      <c r="AS399" s="195"/>
      <c r="AT399" s="195"/>
      <c r="AU399" s="195"/>
    </row>
    <row r="400" spans="1:47" ht="11.25" customHeight="1" x14ac:dyDescent="0.25">
      <c r="A400" s="1406"/>
      <c r="B400" s="1311"/>
      <c r="C400" s="1311"/>
      <c r="D400" s="1396" t="s">
        <v>302</v>
      </c>
      <c r="E400" s="1317"/>
      <c r="F400" s="1317"/>
      <c r="G400" s="1317"/>
      <c r="H400" s="1317"/>
      <c r="I400" s="919"/>
      <c r="J400" s="1317"/>
      <c r="K400" s="1317"/>
      <c r="L400" s="1390"/>
      <c r="M400" s="1317"/>
      <c r="N400" s="1317"/>
      <c r="O400" s="1311"/>
      <c r="P400" s="1311"/>
      <c r="Q400" s="1311"/>
      <c r="R400" s="1311"/>
      <c r="S400" s="1311"/>
      <c r="T400" s="1311"/>
      <c r="U400" s="1311"/>
      <c r="V400" s="1311"/>
      <c r="W400" s="1311"/>
      <c r="X400" s="1311"/>
      <c r="Y400" s="1311"/>
      <c r="Z400" s="1394"/>
      <c r="AA400" s="195"/>
      <c r="AB400" s="195"/>
      <c r="AC400" s="196"/>
      <c r="AD400" s="196"/>
      <c r="AE400" s="196"/>
      <c r="AF400" s="196"/>
      <c r="AG400" s="196"/>
      <c r="AH400" s="196"/>
      <c r="AI400" s="196"/>
      <c r="AJ400" s="196"/>
      <c r="AK400" s="196"/>
      <c r="AL400" s="197"/>
      <c r="AM400" s="197"/>
      <c r="AN400" s="197"/>
      <c r="AO400" s="195"/>
      <c r="AP400" s="195"/>
      <c r="AQ400" s="195"/>
      <c r="AR400" s="195"/>
      <c r="AS400" s="195"/>
      <c r="AT400" s="195"/>
      <c r="AU400" s="195"/>
    </row>
    <row r="401" spans="1:47" ht="9" customHeight="1" x14ac:dyDescent="0.25">
      <c r="A401" s="1406"/>
      <c r="B401" s="1311"/>
      <c r="C401" s="1311"/>
      <c r="D401" s="1311"/>
      <c r="E401" s="1317"/>
      <c r="F401" s="1311"/>
      <c r="G401" s="1311"/>
      <c r="H401" s="1311"/>
      <c r="I401" s="906"/>
      <c r="J401" s="1311"/>
      <c r="K401" s="1311"/>
      <c r="L401" s="1391"/>
      <c r="M401" s="1311"/>
      <c r="N401" s="1311"/>
      <c r="O401" s="1311"/>
      <c r="P401" s="1311"/>
      <c r="Q401" s="1311"/>
      <c r="R401" s="1311"/>
      <c r="S401" s="1311"/>
      <c r="T401" s="1311"/>
      <c r="U401" s="1311"/>
      <c r="V401" s="1311"/>
      <c r="W401" s="1311"/>
      <c r="X401" s="1311"/>
      <c r="Y401" s="1311"/>
      <c r="Z401" s="1394"/>
      <c r="AA401" s="195"/>
      <c r="AB401" s="195"/>
      <c r="AC401" s="196"/>
      <c r="AD401" s="196"/>
      <c r="AE401" s="196"/>
      <c r="AF401" s="196"/>
      <c r="AG401" s="196"/>
      <c r="AH401" s="196"/>
      <c r="AI401" s="196"/>
      <c r="AJ401" s="196"/>
      <c r="AK401" s="196"/>
      <c r="AL401" s="197"/>
      <c r="AM401" s="197"/>
      <c r="AN401" s="197"/>
      <c r="AO401" s="195"/>
      <c r="AP401" s="195"/>
      <c r="AQ401" s="195"/>
      <c r="AR401" s="195"/>
      <c r="AS401" s="195"/>
      <c r="AT401" s="195"/>
      <c r="AU401" s="195"/>
    </row>
    <row r="402" spans="1:47" ht="8.25" customHeight="1" x14ac:dyDescent="0.25">
      <c r="A402" s="1406"/>
      <c r="B402" s="1311"/>
      <c r="C402" s="1311"/>
      <c r="D402" s="1311"/>
      <c r="E402" s="1317"/>
      <c r="F402" s="1311"/>
      <c r="G402" s="1311"/>
      <c r="H402" s="1311"/>
      <c r="I402" s="906"/>
      <c r="J402" s="1311"/>
      <c r="K402" s="1311"/>
      <c r="L402" s="1391"/>
      <c r="M402" s="1311"/>
      <c r="N402" s="1311"/>
      <c r="O402" s="1311"/>
      <c r="P402" s="1311"/>
      <c r="Q402" s="1311"/>
      <c r="R402" s="1311"/>
      <c r="S402" s="1311"/>
      <c r="T402" s="1311"/>
      <c r="U402" s="1311"/>
      <c r="V402" s="1311"/>
      <c r="W402" s="1311"/>
      <c r="X402" s="1311"/>
      <c r="Y402" s="1311"/>
      <c r="Z402" s="1394"/>
      <c r="AA402" s="195"/>
      <c r="AB402" s="195"/>
      <c r="AC402" s="196"/>
      <c r="AD402" s="196"/>
      <c r="AE402" s="196"/>
      <c r="AF402" s="196"/>
      <c r="AG402" s="196"/>
      <c r="AH402" s="196"/>
      <c r="AI402" s="196"/>
      <c r="AJ402" s="196"/>
      <c r="AK402" s="196"/>
      <c r="AL402" s="197"/>
      <c r="AM402" s="197"/>
      <c r="AN402" s="197"/>
      <c r="AO402" s="195"/>
      <c r="AP402" s="195"/>
      <c r="AQ402" s="195"/>
      <c r="AR402" s="195"/>
      <c r="AS402" s="195"/>
      <c r="AT402" s="195"/>
      <c r="AU402" s="195"/>
    </row>
    <row r="403" spans="1:47" ht="11.25" customHeight="1" x14ac:dyDescent="0.25">
      <c r="A403" s="1406"/>
      <c r="B403" s="1311"/>
      <c r="C403" s="1311"/>
      <c r="D403" s="1311"/>
      <c r="E403" s="1317"/>
      <c r="F403" s="1311"/>
      <c r="G403" s="1311"/>
      <c r="H403" s="1311"/>
      <c r="I403" s="906"/>
      <c r="J403" s="1311"/>
      <c r="K403" s="1311"/>
      <c r="L403" s="1392"/>
      <c r="M403" s="1311"/>
      <c r="N403" s="1311"/>
      <c r="O403" s="1311"/>
      <c r="P403" s="1311"/>
      <c r="Q403" s="1311"/>
      <c r="R403" s="1311"/>
      <c r="S403" s="1311"/>
      <c r="T403" s="1311"/>
      <c r="U403" s="1311"/>
      <c r="V403" s="1311"/>
      <c r="W403" s="1311"/>
      <c r="X403" s="1311"/>
      <c r="Y403" s="1311"/>
      <c r="Z403" s="1394"/>
      <c r="AA403" s="195"/>
      <c r="AB403" s="195"/>
      <c r="AC403" s="196"/>
      <c r="AD403" s="196"/>
      <c r="AE403" s="196"/>
      <c r="AF403" s="196"/>
      <c r="AG403" s="196"/>
      <c r="AH403" s="196"/>
      <c r="AI403" s="196"/>
      <c r="AJ403" s="196"/>
      <c r="AK403" s="196"/>
      <c r="AL403" s="197"/>
      <c r="AM403" s="197"/>
      <c r="AN403" s="197"/>
      <c r="AO403" s="195"/>
      <c r="AP403" s="195"/>
      <c r="AQ403" s="195"/>
      <c r="AR403" s="195"/>
      <c r="AS403" s="195"/>
      <c r="AT403" s="195"/>
      <c r="AU403" s="195"/>
    </row>
    <row r="404" spans="1:47" ht="11.25" customHeight="1" x14ac:dyDescent="0.25">
      <c r="A404" s="1406"/>
      <c r="B404" s="1311"/>
      <c r="C404" s="1318" t="s">
        <v>363</v>
      </c>
      <c r="D404" s="290" t="s">
        <v>288</v>
      </c>
      <c r="E404" s="304">
        <v>3.11</v>
      </c>
      <c r="F404" s="289"/>
      <c r="G404" s="289"/>
      <c r="H404" s="933">
        <v>3.56</v>
      </c>
      <c r="I404" s="933"/>
      <c r="J404" s="933">
        <v>4.2</v>
      </c>
      <c r="K404" s="307">
        <f>E404</f>
        <v>3.11</v>
      </c>
      <c r="L404" s="303">
        <v>3.11</v>
      </c>
      <c r="M404" s="316">
        <v>3.56</v>
      </c>
      <c r="N404" s="933">
        <v>4.2</v>
      </c>
      <c r="O404" s="1317" t="s">
        <v>320</v>
      </c>
      <c r="P404" s="1318" t="s">
        <v>86</v>
      </c>
      <c r="Q404" s="1310" t="s">
        <v>86</v>
      </c>
      <c r="R404" s="1318" t="s">
        <v>86</v>
      </c>
      <c r="S404" s="1310" t="s">
        <v>290</v>
      </c>
      <c r="T404" s="1393">
        <v>351333</v>
      </c>
      <c r="U404" s="1393">
        <v>368367</v>
      </c>
      <c r="V404" s="1397"/>
      <c r="W404" s="1310" t="s">
        <v>291</v>
      </c>
      <c r="X404" s="1310" t="s">
        <v>292</v>
      </c>
      <c r="Y404" s="1310" t="s">
        <v>293</v>
      </c>
      <c r="Z404" s="1315">
        <v>7878783</v>
      </c>
      <c r="AA404" s="195"/>
      <c r="AB404" s="195"/>
      <c r="AC404" s="196"/>
      <c r="AD404" s="196"/>
      <c r="AE404" s="196"/>
      <c r="AF404" s="196"/>
      <c r="AG404" s="196"/>
      <c r="AH404" s="196"/>
      <c r="AI404" s="196"/>
      <c r="AJ404" s="196"/>
      <c r="AK404" s="196"/>
      <c r="AL404" s="197"/>
      <c r="AM404" s="197"/>
      <c r="AN404" s="197"/>
      <c r="AO404" s="195"/>
      <c r="AP404" s="195"/>
      <c r="AQ404" s="195"/>
      <c r="AR404" s="195"/>
      <c r="AS404" s="195"/>
      <c r="AT404" s="195"/>
      <c r="AU404" s="195"/>
    </row>
    <row r="405" spans="1:47" ht="11.25" customHeight="1" x14ac:dyDescent="0.25">
      <c r="A405" s="1406"/>
      <c r="B405" s="1311"/>
      <c r="C405" s="1311"/>
      <c r="D405" s="922" t="s">
        <v>296</v>
      </c>
      <c r="E405" s="314">
        <v>836240</v>
      </c>
      <c r="F405" s="919"/>
      <c r="G405" s="919"/>
      <c r="H405" s="306">
        <v>957747.59111111111</v>
      </c>
      <c r="I405" s="306"/>
      <c r="J405" s="962">
        <f>+J404*$J$328/$J$327</f>
        <v>1286259.4056338028</v>
      </c>
      <c r="K405" s="919">
        <f>+K404*K328/K327</f>
        <v>1681643.4471365639</v>
      </c>
      <c r="L405" s="313">
        <v>1681643.4471365639</v>
      </c>
      <c r="M405" s="315">
        <v>530072.23033297097</v>
      </c>
      <c r="N405" s="962">
        <v>1387222.5997527801</v>
      </c>
      <c r="O405" s="1311"/>
      <c r="P405" s="1311"/>
      <c r="Q405" s="1311"/>
      <c r="R405" s="1311"/>
      <c r="S405" s="1311"/>
      <c r="T405" s="1311"/>
      <c r="U405" s="1311"/>
      <c r="V405" s="1398"/>
      <c r="W405" s="1311"/>
      <c r="X405" s="1311"/>
      <c r="Y405" s="1311"/>
      <c r="Z405" s="1394"/>
      <c r="AA405" s="195"/>
      <c r="AB405" s="195"/>
      <c r="AC405" s="196"/>
      <c r="AD405" s="196"/>
      <c r="AE405" s="196"/>
      <c r="AF405" s="196"/>
      <c r="AG405" s="196"/>
      <c r="AH405" s="196"/>
      <c r="AI405" s="196"/>
      <c r="AJ405" s="196"/>
      <c r="AK405" s="196"/>
      <c r="AL405" s="197"/>
      <c r="AM405" s="197"/>
      <c r="AN405" s="197"/>
      <c r="AO405" s="195"/>
      <c r="AP405" s="195"/>
      <c r="AQ405" s="195"/>
      <c r="AR405" s="195"/>
      <c r="AS405" s="195"/>
      <c r="AT405" s="195"/>
      <c r="AU405" s="195"/>
    </row>
    <row r="406" spans="1:47" ht="11.25" customHeight="1" x14ac:dyDescent="0.25">
      <c r="A406" s="1406"/>
      <c r="B406" s="1311"/>
      <c r="C406" s="1311"/>
      <c r="D406" s="922" t="s">
        <v>299</v>
      </c>
      <c r="E406" s="919"/>
      <c r="F406" s="289"/>
      <c r="G406" s="289"/>
      <c r="H406" s="289"/>
      <c r="I406" s="289"/>
      <c r="J406" s="919"/>
      <c r="K406" s="305"/>
      <c r="L406" s="932"/>
      <c r="M406" s="932"/>
      <c r="N406" s="932"/>
      <c r="O406" s="1311"/>
      <c r="P406" s="1311"/>
      <c r="Q406" s="1311"/>
      <c r="R406" s="1311"/>
      <c r="S406" s="1311"/>
      <c r="T406" s="1311"/>
      <c r="U406" s="1311"/>
      <c r="V406" s="1398"/>
      <c r="W406" s="1311"/>
      <c r="X406" s="1311"/>
      <c r="Y406" s="1311"/>
      <c r="Z406" s="1394"/>
      <c r="AA406" s="195"/>
      <c r="AB406" s="195"/>
      <c r="AC406" s="196"/>
      <c r="AD406" s="196"/>
      <c r="AE406" s="196"/>
      <c r="AF406" s="196"/>
      <c r="AG406" s="196"/>
      <c r="AH406" s="196"/>
      <c r="AI406" s="196"/>
      <c r="AJ406" s="196"/>
      <c r="AK406" s="196"/>
      <c r="AL406" s="197"/>
      <c r="AM406" s="197"/>
      <c r="AN406" s="197"/>
      <c r="AO406" s="195"/>
      <c r="AP406" s="195"/>
      <c r="AQ406" s="195"/>
      <c r="AR406" s="195"/>
      <c r="AS406" s="195"/>
      <c r="AT406" s="195"/>
      <c r="AU406" s="195"/>
    </row>
    <row r="407" spans="1:47" ht="11.25" customHeight="1" x14ac:dyDescent="0.25">
      <c r="A407" s="1406"/>
      <c r="B407" s="1311"/>
      <c r="C407" s="1311"/>
      <c r="D407" s="1396" t="s">
        <v>302</v>
      </c>
      <c r="E407" s="1317"/>
      <c r="F407" s="1317"/>
      <c r="G407" s="1317"/>
      <c r="H407" s="1317"/>
      <c r="I407" s="919"/>
      <c r="J407" s="1317"/>
      <c r="K407" s="1317"/>
      <c r="L407" s="1390"/>
      <c r="M407" s="1317"/>
      <c r="N407" s="1317"/>
      <c r="O407" s="1311"/>
      <c r="P407" s="1311"/>
      <c r="Q407" s="1311"/>
      <c r="R407" s="1311"/>
      <c r="S407" s="1311"/>
      <c r="T407" s="1311"/>
      <c r="U407" s="1311"/>
      <c r="V407" s="1398"/>
      <c r="W407" s="1311"/>
      <c r="X407" s="1311"/>
      <c r="Y407" s="1311"/>
      <c r="Z407" s="1394"/>
      <c r="AA407" s="195"/>
      <c r="AB407" s="195"/>
      <c r="AC407" s="196"/>
      <c r="AD407" s="196"/>
      <c r="AE407" s="196"/>
      <c r="AF407" s="196"/>
      <c r="AG407" s="196"/>
      <c r="AH407" s="196"/>
      <c r="AI407" s="196"/>
      <c r="AJ407" s="196"/>
      <c r="AK407" s="196"/>
      <c r="AL407" s="197"/>
      <c r="AM407" s="197"/>
      <c r="AN407" s="197"/>
      <c r="AO407" s="195"/>
      <c r="AP407" s="195"/>
      <c r="AQ407" s="195"/>
      <c r="AR407" s="195"/>
      <c r="AS407" s="195"/>
      <c r="AT407" s="195"/>
      <c r="AU407" s="195"/>
    </row>
    <row r="408" spans="1:47" ht="9" customHeight="1" x14ac:dyDescent="0.25">
      <c r="A408" s="1406"/>
      <c r="B408" s="1311"/>
      <c r="C408" s="1311"/>
      <c r="D408" s="1311"/>
      <c r="E408" s="1317"/>
      <c r="F408" s="1311"/>
      <c r="G408" s="1311"/>
      <c r="H408" s="1311"/>
      <c r="I408" s="906"/>
      <c r="J408" s="1311"/>
      <c r="K408" s="1311"/>
      <c r="L408" s="1391"/>
      <c r="M408" s="1311"/>
      <c r="N408" s="1311"/>
      <c r="O408" s="1311"/>
      <c r="P408" s="1311"/>
      <c r="Q408" s="1311"/>
      <c r="R408" s="1311"/>
      <c r="S408" s="1311"/>
      <c r="T408" s="1311"/>
      <c r="U408" s="1311"/>
      <c r="V408" s="1398"/>
      <c r="W408" s="1311"/>
      <c r="X408" s="1311"/>
      <c r="Y408" s="1311"/>
      <c r="Z408" s="1394"/>
      <c r="AA408" s="195"/>
      <c r="AB408" s="195"/>
      <c r="AC408" s="196"/>
      <c r="AD408" s="196"/>
      <c r="AE408" s="196"/>
      <c r="AF408" s="196"/>
      <c r="AG408" s="196"/>
      <c r="AH408" s="196"/>
      <c r="AI408" s="196"/>
      <c r="AJ408" s="196"/>
      <c r="AK408" s="196"/>
      <c r="AL408" s="197"/>
      <c r="AM408" s="197"/>
      <c r="AN408" s="197"/>
      <c r="AO408" s="195"/>
      <c r="AP408" s="195"/>
      <c r="AQ408" s="195"/>
      <c r="AR408" s="195"/>
      <c r="AS408" s="195"/>
      <c r="AT408" s="195"/>
      <c r="AU408" s="195"/>
    </row>
    <row r="409" spans="1:47" ht="8.25" customHeight="1" x14ac:dyDescent="0.25">
      <c r="A409" s="1406"/>
      <c r="B409" s="1311"/>
      <c r="C409" s="1311"/>
      <c r="D409" s="1311"/>
      <c r="E409" s="1317"/>
      <c r="F409" s="1311"/>
      <c r="G409" s="1311"/>
      <c r="H409" s="1311"/>
      <c r="I409" s="906"/>
      <c r="J409" s="1311"/>
      <c r="K409" s="1311"/>
      <c r="L409" s="1391"/>
      <c r="M409" s="1311"/>
      <c r="N409" s="1311"/>
      <c r="O409" s="1311"/>
      <c r="P409" s="1311"/>
      <c r="Q409" s="1311"/>
      <c r="R409" s="1311"/>
      <c r="S409" s="1311"/>
      <c r="T409" s="1311"/>
      <c r="U409" s="1311"/>
      <c r="V409" s="1398"/>
      <c r="W409" s="1311"/>
      <c r="X409" s="1311"/>
      <c r="Y409" s="1311"/>
      <c r="Z409" s="1394"/>
      <c r="AA409" s="195"/>
      <c r="AB409" s="195"/>
      <c r="AC409" s="196"/>
      <c r="AD409" s="196"/>
      <c r="AE409" s="196"/>
      <c r="AF409" s="196"/>
      <c r="AG409" s="196"/>
      <c r="AH409" s="196"/>
      <c r="AI409" s="196"/>
      <c r="AJ409" s="196"/>
      <c r="AK409" s="196"/>
      <c r="AL409" s="197"/>
      <c r="AM409" s="197"/>
      <c r="AN409" s="197"/>
      <c r="AO409" s="195"/>
      <c r="AP409" s="195"/>
      <c r="AQ409" s="195"/>
      <c r="AR409" s="195"/>
      <c r="AS409" s="195"/>
      <c r="AT409" s="195"/>
      <c r="AU409" s="195"/>
    </row>
    <row r="410" spans="1:47" ht="11.25" customHeight="1" x14ac:dyDescent="0.25">
      <c r="A410" s="1406"/>
      <c r="B410" s="1311"/>
      <c r="C410" s="1311"/>
      <c r="D410" s="1311"/>
      <c r="E410" s="1317"/>
      <c r="F410" s="1311"/>
      <c r="G410" s="1311"/>
      <c r="H410" s="1311"/>
      <c r="I410" s="906"/>
      <c r="J410" s="1311"/>
      <c r="K410" s="1311"/>
      <c r="L410" s="1392"/>
      <c r="M410" s="1311"/>
      <c r="N410" s="1311"/>
      <c r="O410" s="1311"/>
      <c r="P410" s="1311"/>
      <c r="Q410" s="1311"/>
      <c r="R410" s="1311"/>
      <c r="S410" s="1311"/>
      <c r="T410" s="1311"/>
      <c r="U410" s="1311"/>
      <c r="V410" s="1398"/>
      <c r="W410" s="1311"/>
      <c r="X410" s="1311"/>
      <c r="Y410" s="1311"/>
      <c r="Z410" s="1394"/>
      <c r="AA410" s="195"/>
      <c r="AB410" s="195"/>
      <c r="AC410" s="196"/>
      <c r="AD410" s="196"/>
      <c r="AE410" s="196"/>
      <c r="AF410" s="196"/>
      <c r="AG410" s="196"/>
      <c r="AH410" s="196"/>
      <c r="AI410" s="196"/>
      <c r="AJ410" s="196"/>
      <c r="AK410" s="196"/>
      <c r="AL410" s="197"/>
      <c r="AM410" s="197"/>
      <c r="AN410" s="197"/>
      <c r="AO410" s="195"/>
      <c r="AP410" s="195"/>
      <c r="AQ410" s="195"/>
      <c r="AR410" s="195"/>
      <c r="AS410" s="195"/>
      <c r="AT410" s="195"/>
      <c r="AU410" s="195"/>
    </row>
    <row r="411" spans="1:47" ht="11.25" customHeight="1" x14ac:dyDescent="0.25">
      <c r="A411" s="1406"/>
      <c r="B411" s="1311"/>
      <c r="C411" s="1318" t="s">
        <v>363</v>
      </c>
      <c r="D411" s="290" t="s">
        <v>288</v>
      </c>
      <c r="E411" s="304">
        <v>35.57</v>
      </c>
      <c r="F411" s="289"/>
      <c r="G411" s="289"/>
      <c r="H411" s="933">
        <v>283.69</v>
      </c>
      <c r="I411" s="933"/>
      <c r="J411" s="919">
        <v>308.81</v>
      </c>
      <c r="K411" s="307">
        <f>E411</f>
        <v>35.57</v>
      </c>
      <c r="L411" s="303">
        <v>121.63</v>
      </c>
      <c r="M411" s="316">
        <v>283.69</v>
      </c>
      <c r="N411" s="933">
        <v>308.81</v>
      </c>
      <c r="O411" s="1317" t="s">
        <v>371</v>
      </c>
      <c r="P411" s="1318" t="s">
        <v>86</v>
      </c>
      <c r="Q411" s="1310" t="s">
        <v>86</v>
      </c>
      <c r="R411" s="1318" t="s">
        <v>86</v>
      </c>
      <c r="S411" s="1310" t="s">
        <v>290</v>
      </c>
      <c r="T411" s="1393">
        <v>60502</v>
      </c>
      <c r="U411" s="1393">
        <v>66449</v>
      </c>
      <c r="V411" s="1310"/>
      <c r="W411" s="1310" t="s">
        <v>291</v>
      </c>
      <c r="X411" s="1310" t="s">
        <v>292</v>
      </c>
      <c r="Y411" s="1310" t="s">
        <v>293</v>
      </c>
      <c r="Z411" s="1315">
        <v>7878783</v>
      </c>
      <c r="AA411" s="195"/>
      <c r="AB411" s="195"/>
      <c r="AC411" s="196"/>
      <c r="AD411" s="196"/>
      <c r="AE411" s="196"/>
      <c r="AF411" s="196"/>
      <c r="AG411" s="196"/>
      <c r="AH411" s="196"/>
      <c r="AI411" s="196"/>
      <c r="AJ411" s="196"/>
      <c r="AK411" s="196"/>
      <c r="AL411" s="197"/>
      <c r="AM411" s="197"/>
      <c r="AN411" s="197"/>
      <c r="AO411" s="195"/>
      <c r="AP411" s="195"/>
      <c r="AQ411" s="195"/>
      <c r="AR411" s="195"/>
      <c r="AS411" s="195"/>
      <c r="AT411" s="195"/>
      <c r="AU411" s="195"/>
    </row>
    <row r="412" spans="1:47" ht="11.25" customHeight="1" x14ac:dyDescent="0.25">
      <c r="A412" s="1406"/>
      <c r="B412" s="1311"/>
      <c r="C412" s="1311"/>
      <c r="D412" s="922" t="s">
        <v>296</v>
      </c>
      <c r="E412" s="314">
        <v>9555415</v>
      </c>
      <c r="F412" s="919"/>
      <c r="G412" s="919"/>
      <c r="H412" s="306">
        <v>76321183.74222222</v>
      </c>
      <c r="I412" s="306"/>
      <c r="J412" s="962">
        <f>+J411*$J$328/$J$327</f>
        <v>94573754.06042254</v>
      </c>
      <c r="K412" s="919">
        <f>+K411*K328/K327</f>
        <v>19233458.975770924</v>
      </c>
      <c r="L412" s="313">
        <v>45761818.761771701</v>
      </c>
      <c r="M412" s="315">
        <v>42240503.096393399</v>
      </c>
      <c r="N412" s="962">
        <v>101997193.102299</v>
      </c>
      <c r="O412" s="1311"/>
      <c r="P412" s="1311"/>
      <c r="Q412" s="1311"/>
      <c r="R412" s="1311"/>
      <c r="S412" s="1311"/>
      <c r="T412" s="1311"/>
      <c r="U412" s="1311"/>
      <c r="V412" s="1311"/>
      <c r="W412" s="1311"/>
      <c r="X412" s="1311"/>
      <c r="Y412" s="1311"/>
      <c r="Z412" s="1394"/>
      <c r="AA412" s="195"/>
      <c r="AB412" s="195"/>
      <c r="AC412" s="196"/>
      <c r="AD412" s="196"/>
      <c r="AE412" s="196"/>
      <c r="AF412" s="196"/>
      <c r="AG412" s="196"/>
      <c r="AH412" s="196"/>
      <c r="AI412" s="196"/>
      <c r="AJ412" s="196"/>
      <c r="AK412" s="196"/>
      <c r="AL412" s="197"/>
      <c r="AM412" s="197"/>
      <c r="AN412" s="197"/>
      <c r="AO412" s="195"/>
      <c r="AP412" s="195"/>
      <c r="AQ412" s="195"/>
      <c r="AR412" s="195"/>
      <c r="AS412" s="195"/>
      <c r="AT412" s="195"/>
      <c r="AU412" s="195"/>
    </row>
    <row r="413" spans="1:47" ht="11.25" customHeight="1" x14ac:dyDescent="0.25">
      <c r="A413" s="1406"/>
      <c r="B413" s="1311"/>
      <c r="C413" s="1311"/>
      <c r="D413" s="922" t="s">
        <v>299</v>
      </c>
      <c r="E413" s="919"/>
      <c r="F413" s="289"/>
      <c r="G413" s="289"/>
      <c r="H413" s="289"/>
      <c r="I413" s="289"/>
      <c r="J413" s="919"/>
      <c r="K413" s="305"/>
      <c r="L413" s="932"/>
      <c r="M413" s="932"/>
      <c r="N413" s="932"/>
      <c r="O413" s="1311"/>
      <c r="P413" s="1311"/>
      <c r="Q413" s="1311"/>
      <c r="R413" s="1311"/>
      <c r="S413" s="1311"/>
      <c r="T413" s="1311"/>
      <c r="U413" s="1311"/>
      <c r="V413" s="1311"/>
      <c r="W413" s="1311"/>
      <c r="X413" s="1311"/>
      <c r="Y413" s="1311"/>
      <c r="Z413" s="1394"/>
      <c r="AA413" s="195"/>
      <c r="AB413" s="195"/>
      <c r="AC413" s="196"/>
      <c r="AD413" s="196"/>
      <c r="AE413" s="196"/>
      <c r="AF413" s="196"/>
      <c r="AG413" s="196"/>
      <c r="AH413" s="196"/>
      <c r="AI413" s="196"/>
      <c r="AJ413" s="196"/>
      <c r="AK413" s="196"/>
      <c r="AL413" s="197"/>
      <c r="AM413" s="197"/>
      <c r="AN413" s="197"/>
      <c r="AO413" s="195"/>
      <c r="AP413" s="195"/>
      <c r="AQ413" s="195"/>
      <c r="AR413" s="195"/>
      <c r="AS413" s="195"/>
      <c r="AT413" s="195"/>
      <c r="AU413" s="195"/>
    </row>
    <row r="414" spans="1:47" ht="11.25" customHeight="1" x14ac:dyDescent="0.25">
      <c r="A414" s="1406"/>
      <c r="B414" s="1311"/>
      <c r="C414" s="1311"/>
      <c r="D414" s="1396" t="s">
        <v>302</v>
      </c>
      <c r="E414" s="1317"/>
      <c r="F414" s="1317"/>
      <c r="G414" s="1317"/>
      <c r="H414" s="1317"/>
      <c r="I414" s="919"/>
      <c r="J414" s="1317"/>
      <c r="K414" s="1317"/>
      <c r="L414" s="1390"/>
      <c r="M414" s="1317"/>
      <c r="N414" s="1317"/>
      <c r="O414" s="1311"/>
      <c r="P414" s="1311"/>
      <c r="Q414" s="1311"/>
      <c r="R414" s="1311"/>
      <c r="S414" s="1311"/>
      <c r="T414" s="1311"/>
      <c r="U414" s="1311"/>
      <c r="V414" s="1311"/>
      <c r="W414" s="1311"/>
      <c r="X414" s="1311"/>
      <c r="Y414" s="1311"/>
      <c r="Z414" s="1394"/>
      <c r="AA414" s="195"/>
      <c r="AB414" s="195"/>
      <c r="AC414" s="196"/>
      <c r="AD414" s="196"/>
      <c r="AE414" s="196"/>
      <c r="AF414" s="196"/>
      <c r="AG414" s="196"/>
      <c r="AH414" s="196"/>
      <c r="AI414" s="196"/>
      <c r="AJ414" s="196"/>
      <c r="AK414" s="196"/>
      <c r="AL414" s="197"/>
      <c r="AM414" s="197"/>
      <c r="AN414" s="197"/>
      <c r="AO414" s="195"/>
      <c r="AP414" s="195"/>
      <c r="AQ414" s="195"/>
      <c r="AR414" s="195"/>
      <c r="AS414" s="195"/>
      <c r="AT414" s="195"/>
      <c r="AU414" s="195"/>
    </row>
    <row r="415" spans="1:47" ht="7.5" customHeight="1" x14ac:dyDescent="0.25">
      <c r="A415" s="1406"/>
      <c r="B415" s="1311"/>
      <c r="C415" s="1311"/>
      <c r="D415" s="1311"/>
      <c r="E415" s="1317"/>
      <c r="F415" s="1311"/>
      <c r="G415" s="1311"/>
      <c r="H415" s="1311"/>
      <c r="I415" s="906"/>
      <c r="J415" s="1311"/>
      <c r="K415" s="1311"/>
      <c r="L415" s="1391"/>
      <c r="M415" s="1311"/>
      <c r="N415" s="1311"/>
      <c r="O415" s="1311"/>
      <c r="P415" s="1311"/>
      <c r="Q415" s="1311"/>
      <c r="R415" s="1311"/>
      <c r="S415" s="1311"/>
      <c r="T415" s="1311"/>
      <c r="U415" s="1311"/>
      <c r="V415" s="1311"/>
      <c r="W415" s="1311"/>
      <c r="X415" s="1311"/>
      <c r="Y415" s="1311"/>
      <c r="Z415" s="1394"/>
      <c r="AA415" s="195"/>
      <c r="AB415" s="195"/>
      <c r="AC415" s="196"/>
      <c r="AD415" s="196"/>
      <c r="AE415" s="196"/>
      <c r="AF415" s="196"/>
      <c r="AG415" s="196"/>
      <c r="AH415" s="196"/>
      <c r="AI415" s="196"/>
      <c r="AJ415" s="196"/>
      <c r="AK415" s="196"/>
      <c r="AL415" s="197"/>
      <c r="AM415" s="197"/>
      <c r="AN415" s="197"/>
      <c r="AO415" s="195"/>
      <c r="AP415" s="195"/>
      <c r="AQ415" s="195"/>
      <c r="AR415" s="195"/>
      <c r="AS415" s="195"/>
      <c r="AT415" s="195"/>
      <c r="AU415" s="195"/>
    </row>
    <row r="416" spans="1:47" ht="2.25" customHeight="1" x14ac:dyDescent="0.25">
      <c r="A416" s="1406"/>
      <c r="B416" s="1311"/>
      <c r="C416" s="1311"/>
      <c r="D416" s="1311"/>
      <c r="E416" s="1317"/>
      <c r="F416" s="1311"/>
      <c r="G416" s="1311"/>
      <c r="H416" s="1311"/>
      <c r="I416" s="906"/>
      <c r="J416" s="1311"/>
      <c r="K416" s="1311"/>
      <c r="L416" s="1391"/>
      <c r="M416" s="1311"/>
      <c r="N416" s="1311"/>
      <c r="O416" s="1311"/>
      <c r="P416" s="1311"/>
      <c r="Q416" s="1311"/>
      <c r="R416" s="1311"/>
      <c r="S416" s="1311"/>
      <c r="T416" s="1311"/>
      <c r="U416" s="1311"/>
      <c r="V416" s="1311"/>
      <c r="W416" s="1311"/>
      <c r="X416" s="1311"/>
      <c r="Y416" s="1311"/>
      <c r="Z416" s="1394"/>
      <c r="AA416" s="195"/>
      <c r="AB416" s="195"/>
      <c r="AC416" s="196"/>
      <c r="AD416" s="196"/>
      <c r="AE416" s="196"/>
      <c r="AF416" s="196"/>
      <c r="AG416" s="196"/>
      <c r="AH416" s="196"/>
      <c r="AI416" s="196"/>
      <c r="AJ416" s="196"/>
      <c r="AK416" s="196"/>
      <c r="AL416" s="197"/>
      <c r="AM416" s="197"/>
      <c r="AN416" s="197"/>
      <c r="AO416" s="195"/>
      <c r="AP416" s="195"/>
      <c r="AQ416" s="195"/>
      <c r="AR416" s="195"/>
      <c r="AS416" s="195"/>
      <c r="AT416" s="195"/>
      <c r="AU416" s="195"/>
    </row>
    <row r="417" spans="1:47" ht="11.25" customHeight="1" x14ac:dyDescent="0.25">
      <c r="A417" s="1406"/>
      <c r="B417" s="1311"/>
      <c r="C417" s="1311"/>
      <c r="D417" s="1311"/>
      <c r="E417" s="1317"/>
      <c r="F417" s="1311"/>
      <c r="G417" s="1311"/>
      <c r="H417" s="1311"/>
      <c r="I417" s="906"/>
      <c r="J417" s="1311"/>
      <c r="K417" s="1311"/>
      <c r="L417" s="1392"/>
      <c r="M417" s="1311"/>
      <c r="N417" s="1311"/>
      <c r="O417" s="1311"/>
      <c r="P417" s="1311"/>
      <c r="Q417" s="1311"/>
      <c r="R417" s="1311"/>
      <c r="S417" s="1311"/>
      <c r="T417" s="1311"/>
      <c r="U417" s="1311"/>
      <c r="V417" s="1311"/>
      <c r="W417" s="1311"/>
      <c r="X417" s="1311"/>
      <c r="Y417" s="1311"/>
      <c r="Z417" s="1394"/>
      <c r="AA417" s="195"/>
      <c r="AB417" s="195"/>
      <c r="AC417" s="196"/>
      <c r="AD417" s="196"/>
      <c r="AE417" s="196"/>
      <c r="AF417" s="196"/>
      <c r="AG417" s="196"/>
      <c r="AH417" s="196"/>
      <c r="AI417" s="196"/>
      <c r="AJ417" s="196"/>
      <c r="AK417" s="196"/>
      <c r="AL417" s="197"/>
      <c r="AM417" s="197"/>
      <c r="AN417" s="197"/>
      <c r="AO417" s="195"/>
      <c r="AP417" s="195"/>
      <c r="AQ417" s="195"/>
      <c r="AR417" s="195"/>
      <c r="AS417" s="195"/>
      <c r="AT417" s="195"/>
      <c r="AU417" s="195"/>
    </row>
    <row r="418" spans="1:47" ht="11.25" customHeight="1" x14ac:dyDescent="0.25">
      <c r="A418" s="1406"/>
      <c r="B418" s="1311"/>
      <c r="C418" s="1318" t="s">
        <v>363</v>
      </c>
      <c r="D418" s="290" t="s">
        <v>288</v>
      </c>
      <c r="E418" s="304">
        <v>0.53</v>
      </c>
      <c r="F418" s="289"/>
      <c r="G418" s="289"/>
      <c r="H418" s="933">
        <v>0.53</v>
      </c>
      <c r="I418" s="933"/>
      <c r="J418" s="933">
        <v>0.53100000000000003</v>
      </c>
      <c r="K418" s="307">
        <f>E418</f>
        <v>0.53</v>
      </c>
      <c r="L418" s="303">
        <v>0.53</v>
      </c>
      <c r="M418" s="316">
        <v>0.53100000000000003</v>
      </c>
      <c r="N418" s="933">
        <v>0.53100000000000003</v>
      </c>
      <c r="O418" s="1317" t="s">
        <v>372</v>
      </c>
      <c r="P418" s="1318" t="s">
        <v>86</v>
      </c>
      <c r="Q418" s="1310" t="s">
        <v>86</v>
      </c>
      <c r="R418" s="1318" t="s">
        <v>86</v>
      </c>
      <c r="S418" s="1310" t="s">
        <v>290</v>
      </c>
      <c r="T418" s="1393">
        <v>3765</v>
      </c>
      <c r="U418" s="1393">
        <v>3565</v>
      </c>
      <c r="V418" s="1310"/>
      <c r="W418" s="1310" t="s">
        <v>291</v>
      </c>
      <c r="X418" s="1310" t="s">
        <v>292</v>
      </c>
      <c r="Y418" s="1310" t="s">
        <v>293</v>
      </c>
      <c r="Z418" s="1315">
        <v>7878783</v>
      </c>
      <c r="AA418" s="195"/>
      <c r="AB418" s="195"/>
      <c r="AC418" s="196"/>
      <c r="AD418" s="196"/>
      <c r="AE418" s="196"/>
      <c r="AF418" s="196"/>
      <c r="AG418" s="196"/>
      <c r="AH418" s="196"/>
      <c r="AI418" s="196"/>
      <c r="AJ418" s="196"/>
      <c r="AK418" s="196"/>
      <c r="AL418" s="197"/>
      <c r="AM418" s="197"/>
      <c r="AN418" s="197"/>
      <c r="AO418" s="195"/>
      <c r="AP418" s="195"/>
      <c r="AQ418" s="195"/>
      <c r="AR418" s="195"/>
      <c r="AS418" s="195"/>
      <c r="AT418" s="195"/>
      <c r="AU418" s="195"/>
    </row>
    <row r="419" spans="1:47" ht="11.25" customHeight="1" x14ac:dyDescent="0.25">
      <c r="A419" s="1406"/>
      <c r="B419" s="1311"/>
      <c r="C419" s="1311"/>
      <c r="D419" s="922" t="s">
        <v>296</v>
      </c>
      <c r="E419" s="314">
        <v>141533</v>
      </c>
      <c r="F419" s="919"/>
      <c r="G419" s="919"/>
      <c r="H419" s="306">
        <v>142586.01777777777</v>
      </c>
      <c r="I419" s="306"/>
      <c r="J419" s="962">
        <f>+J418*$J$328/$J$327</f>
        <v>162619.93914084509</v>
      </c>
      <c r="K419" s="919">
        <f>+K418*K328/K327</f>
        <v>286582.32378854626</v>
      </c>
      <c r="L419" s="313">
        <v>286582.32378854626</v>
      </c>
      <c r="M419" s="315">
        <v>79064.144468204293</v>
      </c>
      <c r="N419" s="962">
        <v>175384.571540173</v>
      </c>
      <c r="O419" s="1311"/>
      <c r="P419" s="1311"/>
      <c r="Q419" s="1311"/>
      <c r="R419" s="1311"/>
      <c r="S419" s="1311"/>
      <c r="T419" s="1311"/>
      <c r="U419" s="1311"/>
      <c r="V419" s="1311"/>
      <c r="W419" s="1311"/>
      <c r="X419" s="1311"/>
      <c r="Y419" s="1311"/>
      <c r="Z419" s="1394"/>
      <c r="AA419" s="195"/>
      <c r="AB419" s="195"/>
      <c r="AC419" s="196"/>
      <c r="AD419" s="196"/>
      <c r="AE419" s="196"/>
      <c r="AF419" s="196"/>
      <c r="AG419" s="196"/>
      <c r="AH419" s="196"/>
      <c r="AI419" s="196"/>
      <c r="AJ419" s="196"/>
      <c r="AK419" s="196"/>
      <c r="AL419" s="197"/>
      <c r="AM419" s="197"/>
      <c r="AN419" s="197"/>
      <c r="AO419" s="195"/>
      <c r="AP419" s="195"/>
      <c r="AQ419" s="195"/>
      <c r="AR419" s="195"/>
      <c r="AS419" s="195"/>
      <c r="AT419" s="195"/>
      <c r="AU419" s="195"/>
    </row>
    <row r="420" spans="1:47" ht="11.25" customHeight="1" x14ac:dyDescent="0.25">
      <c r="A420" s="1406"/>
      <c r="B420" s="1311"/>
      <c r="C420" s="1311"/>
      <c r="D420" s="922" t="s">
        <v>299</v>
      </c>
      <c r="E420" s="919"/>
      <c r="F420" s="289"/>
      <c r="G420" s="289"/>
      <c r="H420" s="289"/>
      <c r="I420" s="289"/>
      <c r="J420" s="919"/>
      <c r="K420" s="305"/>
      <c r="L420" s="932"/>
      <c r="M420" s="932"/>
      <c r="N420" s="932"/>
      <c r="O420" s="1311"/>
      <c r="P420" s="1311"/>
      <c r="Q420" s="1311"/>
      <c r="R420" s="1311"/>
      <c r="S420" s="1311"/>
      <c r="T420" s="1311"/>
      <c r="U420" s="1311"/>
      <c r="V420" s="1311"/>
      <c r="W420" s="1311"/>
      <c r="X420" s="1311"/>
      <c r="Y420" s="1311"/>
      <c r="Z420" s="1394"/>
      <c r="AA420" s="195"/>
      <c r="AB420" s="195"/>
      <c r="AC420" s="196"/>
      <c r="AD420" s="196"/>
      <c r="AE420" s="196"/>
      <c r="AF420" s="196"/>
      <c r="AG420" s="196"/>
      <c r="AH420" s="196"/>
      <c r="AI420" s="196"/>
      <c r="AJ420" s="196"/>
      <c r="AK420" s="196"/>
      <c r="AL420" s="197"/>
      <c r="AM420" s="197"/>
      <c r="AN420" s="197"/>
      <c r="AO420" s="195"/>
      <c r="AP420" s="195"/>
      <c r="AQ420" s="195"/>
      <c r="AR420" s="195"/>
      <c r="AS420" s="195"/>
      <c r="AT420" s="195"/>
      <c r="AU420" s="195"/>
    </row>
    <row r="421" spans="1:47" ht="8.25" customHeight="1" x14ac:dyDescent="0.25">
      <c r="A421" s="1406"/>
      <c r="B421" s="1311"/>
      <c r="C421" s="1311"/>
      <c r="D421" s="1396" t="s">
        <v>302</v>
      </c>
      <c r="E421" s="1317"/>
      <c r="F421" s="1317"/>
      <c r="G421" s="1317"/>
      <c r="H421" s="1317"/>
      <c r="I421" s="919"/>
      <c r="J421" s="1317"/>
      <c r="K421" s="1317"/>
      <c r="L421" s="1390"/>
      <c r="M421" s="1317"/>
      <c r="N421" s="1317"/>
      <c r="O421" s="1311"/>
      <c r="P421" s="1311"/>
      <c r="Q421" s="1311"/>
      <c r="R421" s="1311"/>
      <c r="S421" s="1311"/>
      <c r="T421" s="1311"/>
      <c r="U421" s="1311"/>
      <c r="V421" s="1311"/>
      <c r="W421" s="1311"/>
      <c r="X421" s="1311"/>
      <c r="Y421" s="1311"/>
      <c r="Z421" s="1394"/>
      <c r="AA421" s="195"/>
      <c r="AB421" s="195"/>
      <c r="AC421" s="196"/>
      <c r="AD421" s="196"/>
      <c r="AE421" s="196"/>
      <c r="AF421" s="196"/>
      <c r="AG421" s="196"/>
      <c r="AH421" s="196"/>
      <c r="AI421" s="196"/>
      <c r="AJ421" s="196"/>
      <c r="AK421" s="196"/>
      <c r="AL421" s="197"/>
      <c r="AM421" s="197"/>
      <c r="AN421" s="197"/>
      <c r="AO421" s="195"/>
      <c r="AP421" s="195"/>
      <c r="AQ421" s="195"/>
      <c r="AR421" s="195"/>
      <c r="AS421" s="195"/>
      <c r="AT421" s="195"/>
      <c r="AU421" s="195"/>
    </row>
    <row r="422" spans="1:47" ht="9.75" customHeight="1" x14ac:dyDescent="0.25">
      <c r="A422" s="1406"/>
      <c r="B422" s="1311"/>
      <c r="C422" s="1311"/>
      <c r="D422" s="1311"/>
      <c r="E422" s="1317"/>
      <c r="F422" s="1311"/>
      <c r="G422" s="1311"/>
      <c r="H422" s="1311"/>
      <c r="I422" s="906"/>
      <c r="J422" s="1311"/>
      <c r="K422" s="1311"/>
      <c r="L422" s="1391"/>
      <c r="M422" s="1311"/>
      <c r="N422" s="1311"/>
      <c r="O422" s="1311"/>
      <c r="P422" s="1311"/>
      <c r="Q422" s="1311"/>
      <c r="R422" s="1311"/>
      <c r="S422" s="1311"/>
      <c r="T422" s="1311"/>
      <c r="U422" s="1311"/>
      <c r="V422" s="1311"/>
      <c r="W422" s="1311"/>
      <c r="X422" s="1311"/>
      <c r="Y422" s="1311"/>
      <c r="Z422" s="1394"/>
      <c r="AA422" s="195"/>
      <c r="AB422" s="195"/>
      <c r="AC422" s="196"/>
      <c r="AD422" s="196"/>
      <c r="AE422" s="196"/>
      <c r="AF422" s="196"/>
      <c r="AG422" s="196"/>
      <c r="AH422" s="196"/>
      <c r="AI422" s="196"/>
      <c r="AJ422" s="196"/>
      <c r="AK422" s="196"/>
      <c r="AL422" s="197"/>
      <c r="AM422" s="197"/>
      <c r="AN422" s="197"/>
      <c r="AO422" s="195"/>
      <c r="AP422" s="195"/>
      <c r="AQ422" s="195"/>
      <c r="AR422" s="195"/>
      <c r="AS422" s="195"/>
      <c r="AT422" s="195"/>
      <c r="AU422" s="195"/>
    </row>
    <row r="423" spans="1:47" ht="8.25" customHeight="1" x14ac:dyDescent="0.25">
      <c r="A423" s="1406"/>
      <c r="B423" s="1311"/>
      <c r="C423" s="1311"/>
      <c r="D423" s="1311"/>
      <c r="E423" s="1317"/>
      <c r="F423" s="1311"/>
      <c r="G423" s="1311"/>
      <c r="H423" s="1311"/>
      <c r="I423" s="906"/>
      <c r="J423" s="1311"/>
      <c r="K423" s="1311"/>
      <c r="L423" s="1391"/>
      <c r="M423" s="1311"/>
      <c r="N423" s="1311"/>
      <c r="O423" s="1311"/>
      <c r="P423" s="1311"/>
      <c r="Q423" s="1311"/>
      <c r="R423" s="1311"/>
      <c r="S423" s="1311"/>
      <c r="T423" s="1311"/>
      <c r="U423" s="1311"/>
      <c r="V423" s="1311"/>
      <c r="W423" s="1311"/>
      <c r="X423" s="1311"/>
      <c r="Y423" s="1311"/>
      <c r="Z423" s="1394"/>
      <c r="AA423" s="195"/>
      <c r="AB423" s="195"/>
      <c r="AC423" s="196"/>
      <c r="AD423" s="196"/>
      <c r="AE423" s="196"/>
      <c r="AF423" s="196"/>
      <c r="AG423" s="196"/>
      <c r="AH423" s="196"/>
      <c r="AI423" s="196"/>
      <c r="AJ423" s="196"/>
      <c r="AK423" s="196"/>
      <c r="AL423" s="197"/>
      <c r="AM423" s="197"/>
      <c r="AN423" s="197"/>
      <c r="AO423" s="195"/>
      <c r="AP423" s="195"/>
      <c r="AQ423" s="195"/>
      <c r="AR423" s="195"/>
      <c r="AS423" s="195"/>
      <c r="AT423" s="195"/>
      <c r="AU423" s="195"/>
    </row>
    <row r="424" spans="1:47" ht="11.25" customHeight="1" x14ac:dyDescent="0.25">
      <c r="A424" s="1406"/>
      <c r="B424" s="1311"/>
      <c r="C424" s="1311"/>
      <c r="D424" s="1311"/>
      <c r="E424" s="1317"/>
      <c r="F424" s="1311"/>
      <c r="G424" s="1311"/>
      <c r="H424" s="1311"/>
      <c r="I424" s="906"/>
      <c r="J424" s="1311"/>
      <c r="K424" s="1311"/>
      <c r="L424" s="1392"/>
      <c r="M424" s="1311"/>
      <c r="N424" s="1311"/>
      <c r="O424" s="1311"/>
      <c r="P424" s="1311"/>
      <c r="Q424" s="1311"/>
      <c r="R424" s="1311"/>
      <c r="S424" s="1311"/>
      <c r="T424" s="1311"/>
      <c r="U424" s="1311"/>
      <c r="V424" s="1311"/>
      <c r="W424" s="1311"/>
      <c r="X424" s="1311"/>
      <c r="Y424" s="1311"/>
      <c r="Z424" s="1394"/>
      <c r="AA424" s="195"/>
      <c r="AB424" s="195"/>
      <c r="AC424" s="196"/>
      <c r="AD424" s="196"/>
      <c r="AE424" s="196"/>
      <c r="AF424" s="196"/>
      <c r="AG424" s="196"/>
      <c r="AH424" s="196"/>
      <c r="AI424" s="196"/>
      <c r="AJ424" s="196"/>
      <c r="AK424" s="196"/>
      <c r="AL424" s="197"/>
      <c r="AM424" s="197"/>
      <c r="AN424" s="197"/>
      <c r="AO424" s="195"/>
      <c r="AP424" s="195"/>
      <c r="AQ424" s="195"/>
      <c r="AR424" s="195"/>
      <c r="AS424" s="195"/>
      <c r="AT424" s="195"/>
      <c r="AU424" s="195"/>
    </row>
    <row r="425" spans="1:47" ht="11.25" customHeight="1" x14ac:dyDescent="0.25">
      <c r="A425" s="1406"/>
      <c r="B425" s="1311"/>
      <c r="C425" s="1318" t="s">
        <v>363</v>
      </c>
      <c r="D425" s="290" t="s">
        <v>288</v>
      </c>
      <c r="E425" s="304">
        <v>8.6999999999999993</v>
      </c>
      <c r="F425" s="289"/>
      <c r="G425" s="289"/>
      <c r="H425" s="933">
        <v>54.87</v>
      </c>
      <c r="I425" s="933"/>
      <c r="J425" s="933">
        <v>58.88</v>
      </c>
      <c r="K425" s="307">
        <f>E425</f>
        <v>8.6999999999999993</v>
      </c>
      <c r="L425" s="303">
        <v>38.43</v>
      </c>
      <c r="M425" s="316">
        <v>54.870000000000005</v>
      </c>
      <c r="N425" s="933">
        <v>58.88</v>
      </c>
      <c r="O425" s="1317" t="s">
        <v>373</v>
      </c>
      <c r="P425" s="1318" t="s">
        <v>86</v>
      </c>
      <c r="Q425" s="1310" t="s">
        <v>86</v>
      </c>
      <c r="R425" s="1318" t="s">
        <v>86</v>
      </c>
      <c r="S425" s="1310" t="s">
        <v>290</v>
      </c>
      <c r="T425" s="1393">
        <v>48702</v>
      </c>
      <c r="U425" s="1393">
        <v>47832</v>
      </c>
      <c r="V425" s="1310"/>
      <c r="W425" s="1310" t="s">
        <v>291</v>
      </c>
      <c r="X425" s="1310" t="s">
        <v>292</v>
      </c>
      <c r="Y425" s="1310" t="s">
        <v>293</v>
      </c>
      <c r="Z425" s="1315">
        <v>7878783</v>
      </c>
      <c r="AA425" s="195"/>
      <c r="AB425" s="195"/>
      <c r="AC425" s="196"/>
      <c r="AD425" s="196"/>
      <c r="AE425" s="196"/>
      <c r="AF425" s="196"/>
      <c r="AG425" s="196"/>
      <c r="AH425" s="196"/>
      <c r="AI425" s="196"/>
      <c r="AJ425" s="196"/>
      <c r="AK425" s="196"/>
      <c r="AL425" s="197"/>
      <c r="AM425" s="197"/>
      <c r="AN425" s="197"/>
      <c r="AO425" s="195"/>
      <c r="AP425" s="195"/>
      <c r="AQ425" s="195"/>
      <c r="AR425" s="195"/>
      <c r="AS425" s="195"/>
      <c r="AT425" s="195"/>
      <c r="AU425" s="195"/>
    </row>
    <row r="426" spans="1:47" ht="11.25" customHeight="1" x14ac:dyDescent="0.25">
      <c r="A426" s="1406"/>
      <c r="B426" s="1311"/>
      <c r="C426" s="1311"/>
      <c r="D426" s="922" t="s">
        <v>296</v>
      </c>
      <c r="E426" s="314">
        <v>2340261</v>
      </c>
      <c r="F426" s="919"/>
      <c r="G426" s="919"/>
      <c r="H426" s="306">
        <v>14761688.293333333</v>
      </c>
      <c r="I426" s="306"/>
      <c r="J426" s="962">
        <f>+J425*$J$328/$J$327</f>
        <v>18032131.85802817</v>
      </c>
      <c r="K426" s="919">
        <f>+K425*K328/K327</f>
        <v>4704275.881057268</v>
      </c>
      <c r="L426" s="313">
        <v>14458823.440063201</v>
      </c>
      <c r="M426" s="315">
        <v>8169961.5950477803</v>
      </c>
      <c r="N426" s="962">
        <v>19447539.6841533</v>
      </c>
      <c r="O426" s="1311"/>
      <c r="P426" s="1311"/>
      <c r="Q426" s="1311"/>
      <c r="R426" s="1311"/>
      <c r="S426" s="1311"/>
      <c r="T426" s="1311"/>
      <c r="U426" s="1311"/>
      <c r="V426" s="1311"/>
      <c r="W426" s="1311"/>
      <c r="X426" s="1311"/>
      <c r="Y426" s="1311"/>
      <c r="Z426" s="1394"/>
      <c r="AA426" s="195"/>
      <c r="AB426" s="195"/>
      <c r="AC426" s="196"/>
      <c r="AD426" s="196"/>
      <c r="AE426" s="196"/>
      <c r="AF426" s="196"/>
      <c r="AG426" s="196"/>
      <c r="AH426" s="196"/>
      <c r="AI426" s="196"/>
      <c r="AJ426" s="196"/>
      <c r="AK426" s="196"/>
      <c r="AL426" s="197"/>
      <c r="AM426" s="197"/>
      <c r="AN426" s="197"/>
      <c r="AO426" s="195"/>
      <c r="AP426" s="195"/>
      <c r="AQ426" s="195"/>
      <c r="AR426" s="195"/>
      <c r="AS426" s="195"/>
      <c r="AT426" s="195"/>
      <c r="AU426" s="195"/>
    </row>
    <row r="427" spans="1:47" ht="11.25" customHeight="1" x14ac:dyDescent="0.25">
      <c r="A427" s="1406"/>
      <c r="B427" s="1311"/>
      <c r="C427" s="1311"/>
      <c r="D427" s="922" t="s">
        <v>299</v>
      </c>
      <c r="E427" s="919"/>
      <c r="F427" s="289"/>
      <c r="G427" s="289"/>
      <c r="H427" s="289"/>
      <c r="I427" s="289"/>
      <c r="J427" s="919"/>
      <c r="K427" s="305"/>
      <c r="L427" s="932"/>
      <c r="M427" s="932"/>
      <c r="N427" s="932"/>
      <c r="O427" s="1311"/>
      <c r="P427" s="1311"/>
      <c r="Q427" s="1311"/>
      <c r="R427" s="1311"/>
      <c r="S427" s="1311"/>
      <c r="T427" s="1311"/>
      <c r="U427" s="1311"/>
      <c r="V427" s="1311"/>
      <c r="W427" s="1311"/>
      <c r="X427" s="1311"/>
      <c r="Y427" s="1311"/>
      <c r="Z427" s="1394"/>
      <c r="AA427" s="195"/>
      <c r="AB427" s="195"/>
      <c r="AC427" s="196"/>
      <c r="AD427" s="196"/>
      <c r="AE427" s="196"/>
      <c r="AF427" s="196"/>
      <c r="AG427" s="196"/>
      <c r="AH427" s="196"/>
      <c r="AI427" s="196"/>
      <c r="AJ427" s="196"/>
      <c r="AK427" s="196"/>
      <c r="AL427" s="197"/>
      <c r="AM427" s="197"/>
      <c r="AN427" s="197"/>
      <c r="AO427" s="195"/>
      <c r="AP427" s="195"/>
      <c r="AQ427" s="195"/>
      <c r="AR427" s="195"/>
      <c r="AS427" s="195"/>
      <c r="AT427" s="195"/>
      <c r="AU427" s="195"/>
    </row>
    <row r="428" spans="1:47" ht="11.25" customHeight="1" x14ac:dyDescent="0.25">
      <c r="A428" s="1406"/>
      <c r="B428" s="1311"/>
      <c r="C428" s="1311"/>
      <c r="D428" s="1396" t="s">
        <v>302</v>
      </c>
      <c r="E428" s="1317"/>
      <c r="F428" s="1317"/>
      <c r="G428" s="1317"/>
      <c r="H428" s="1317"/>
      <c r="I428" s="919"/>
      <c r="J428" s="1317"/>
      <c r="K428" s="1317"/>
      <c r="L428" s="1390"/>
      <c r="M428" s="1317"/>
      <c r="N428" s="1317"/>
      <c r="O428" s="1311"/>
      <c r="P428" s="1311"/>
      <c r="Q428" s="1311"/>
      <c r="R428" s="1311"/>
      <c r="S428" s="1311"/>
      <c r="T428" s="1311"/>
      <c r="U428" s="1311"/>
      <c r="V428" s="1311"/>
      <c r="W428" s="1311"/>
      <c r="X428" s="1311"/>
      <c r="Y428" s="1311"/>
      <c r="Z428" s="1394"/>
      <c r="AA428" s="195"/>
      <c r="AB428" s="195"/>
      <c r="AC428" s="196"/>
      <c r="AD428" s="196"/>
      <c r="AE428" s="196"/>
      <c r="AF428" s="196"/>
      <c r="AG428" s="196"/>
      <c r="AH428" s="196"/>
      <c r="AI428" s="196"/>
      <c r="AJ428" s="196"/>
      <c r="AK428" s="196"/>
      <c r="AL428" s="197"/>
      <c r="AM428" s="197"/>
      <c r="AN428" s="197"/>
      <c r="AO428" s="195"/>
      <c r="AP428" s="195"/>
      <c r="AQ428" s="195"/>
      <c r="AR428" s="195"/>
      <c r="AS428" s="195"/>
      <c r="AT428" s="195"/>
      <c r="AU428" s="195"/>
    </row>
    <row r="429" spans="1:47" ht="8.25" customHeight="1" x14ac:dyDescent="0.25">
      <c r="A429" s="1406"/>
      <c r="B429" s="1311"/>
      <c r="C429" s="1311"/>
      <c r="D429" s="1311"/>
      <c r="E429" s="1317"/>
      <c r="F429" s="1311"/>
      <c r="G429" s="1311"/>
      <c r="H429" s="1311"/>
      <c r="I429" s="906"/>
      <c r="J429" s="1311"/>
      <c r="K429" s="1311"/>
      <c r="L429" s="1391"/>
      <c r="M429" s="1311"/>
      <c r="N429" s="1311"/>
      <c r="O429" s="1311"/>
      <c r="P429" s="1311"/>
      <c r="Q429" s="1311"/>
      <c r="R429" s="1311"/>
      <c r="S429" s="1311"/>
      <c r="T429" s="1311"/>
      <c r="U429" s="1311"/>
      <c r="V429" s="1311"/>
      <c r="W429" s="1311"/>
      <c r="X429" s="1311"/>
      <c r="Y429" s="1311"/>
      <c r="Z429" s="1394"/>
      <c r="AA429" s="195"/>
      <c r="AB429" s="195"/>
      <c r="AC429" s="196"/>
      <c r="AD429" s="196"/>
      <c r="AE429" s="196"/>
      <c r="AF429" s="196"/>
      <c r="AG429" s="196"/>
      <c r="AH429" s="196"/>
      <c r="AI429" s="196"/>
      <c r="AJ429" s="196"/>
      <c r="AK429" s="196"/>
      <c r="AL429" s="197"/>
      <c r="AM429" s="197"/>
      <c r="AN429" s="197"/>
      <c r="AO429" s="195"/>
      <c r="AP429" s="195"/>
      <c r="AQ429" s="195"/>
      <c r="AR429" s="195"/>
      <c r="AS429" s="195"/>
      <c r="AT429" s="195"/>
      <c r="AU429" s="195"/>
    </row>
    <row r="430" spans="1:47" ht="8.25" customHeight="1" x14ac:dyDescent="0.25">
      <c r="A430" s="1406"/>
      <c r="B430" s="1311"/>
      <c r="C430" s="1311"/>
      <c r="D430" s="1311"/>
      <c r="E430" s="1317"/>
      <c r="F430" s="1311"/>
      <c r="G430" s="1311"/>
      <c r="H430" s="1311"/>
      <c r="I430" s="906"/>
      <c r="J430" s="1311"/>
      <c r="K430" s="1311"/>
      <c r="L430" s="1391"/>
      <c r="M430" s="1311"/>
      <c r="N430" s="1311"/>
      <c r="O430" s="1311"/>
      <c r="P430" s="1311"/>
      <c r="Q430" s="1311"/>
      <c r="R430" s="1311"/>
      <c r="S430" s="1311"/>
      <c r="T430" s="1311"/>
      <c r="U430" s="1311"/>
      <c r="V430" s="1311"/>
      <c r="W430" s="1311"/>
      <c r="X430" s="1311"/>
      <c r="Y430" s="1311"/>
      <c r="Z430" s="1394"/>
      <c r="AA430" s="195"/>
      <c r="AB430" s="195"/>
      <c r="AC430" s="196"/>
      <c r="AD430" s="196"/>
      <c r="AE430" s="196"/>
      <c r="AF430" s="196"/>
      <c r="AG430" s="196"/>
      <c r="AH430" s="196"/>
      <c r="AI430" s="196"/>
      <c r="AJ430" s="196"/>
      <c r="AK430" s="196"/>
      <c r="AL430" s="197"/>
      <c r="AM430" s="197"/>
      <c r="AN430" s="197"/>
      <c r="AO430" s="195"/>
      <c r="AP430" s="195"/>
      <c r="AQ430" s="195"/>
      <c r="AR430" s="195"/>
      <c r="AS430" s="195"/>
      <c r="AT430" s="195"/>
      <c r="AU430" s="195"/>
    </row>
    <row r="431" spans="1:47" ht="11.25" customHeight="1" x14ac:dyDescent="0.25">
      <c r="A431" s="1406"/>
      <c r="B431" s="1311"/>
      <c r="C431" s="1311"/>
      <c r="D431" s="1311"/>
      <c r="E431" s="1317"/>
      <c r="F431" s="1311"/>
      <c r="G431" s="1311"/>
      <c r="H431" s="1311"/>
      <c r="I431" s="906"/>
      <c r="J431" s="1311"/>
      <c r="K431" s="1311"/>
      <c r="L431" s="1392"/>
      <c r="M431" s="1311"/>
      <c r="N431" s="1311"/>
      <c r="O431" s="1311"/>
      <c r="P431" s="1311"/>
      <c r="Q431" s="1311"/>
      <c r="R431" s="1311"/>
      <c r="S431" s="1311"/>
      <c r="T431" s="1311"/>
      <c r="U431" s="1311"/>
      <c r="V431" s="1311"/>
      <c r="W431" s="1311"/>
      <c r="X431" s="1311"/>
      <c r="Y431" s="1311"/>
      <c r="Z431" s="1394"/>
      <c r="AA431" s="195"/>
      <c r="AB431" s="195"/>
      <c r="AC431" s="196"/>
      <c r="AD431" s="196"/>
      <c r="AE431" s="196"/>
      <c r="AF431" s="196"/>
      <c r="AG431" s="196"/>
      <c r="AH431" s="196"/>
      <c r="AI431" s="196"/>
      <c r="AJ431" s="196"/>
      <c r="AK431" s="196"/>
      <c r="AL431" s="197"/>
      <c r="AM431" s="197"/>
      <c r="AN431" s="197"/>
      <c r="AO431" s="195"/>
      <c r="AP431" s="195"/>
      <c r="AQ431" s="195"/>
      <c r="AR431" s="195"/>
      <c r="AS431" s="195"/>
      <c r="AT431" s="195"/>
      <c r="AU431" s="195"/>
    </row>
    <row r="432" spans="1:47" ht="11.25" customHeight="1" x14ac:dyDescent="0.25">
      <c r="A432" s="1406"/>
      <c r="B432" s="1311"/>
      <c r="C432" s="1318" t="s">
        <v>363</v>
      </c>
      <c r="D432" s="290" t="s">
        <v>288</v>
      </c>
      <c r="E432" s="304">
        <v>1.62</v>
      </c>
      <c r="F432" s="289"/>
      <c r="G432" s="289"/>
      <c r="H432" s="933">
        <v>3.45</v>
      </c>
      <c r="I432" s="933"/>
      <c r="J432" s="933">
        <v>4.53</v>
      </c>
      <c r="K432" s="307">
        <v>1.62</v>
      </c>
      <c r="L432" s="303">
        <v>2.98</v>
      </c>
      <c r="M432" s="316">
        <v>3.45</v>
      </c>
      <c r="N432" s="933">
        <v>4.53</v>
      </c>
      <c r="O432" s="1317" t="s">
        <v>374</v>
      </c>
      <c r="P432" s="1318" t="s">
        <v>86</v>
      </c>
      <c r="Q432" s="1310" t="s">
        <v>86</v>
      </c>
      <c r="R432" s="1318" t="s">
        <v>86</v>
      </c>
      <c r="S432" s="1310" t="s">
        <v>290</v>
      </c>
      <c r="T432" s="1393">
        <v>192514</v>
      </c>
      <c r="U432" s="1393">
        <v>203869</v>
      </c>
      <c r="V432" s="1310"/>
      <c r="W432" s="1310" t="s">
        <v>291</v>
      </c>
      <c r="X432" s="1310" t="s">
        <v>292</v>
      </c>
      <c r="Y432" s="1310" t="s">
        <v>293</v>
      </c>
      <c r="Z432" s="1315">
        <v>7878783</v>
      </c>
      <c r="AA432" s="195"/>
      <c r="AB432" s="195"/>
      <c r="AC432" s="196"/>
      <c r="AD432" s="196"/>
      <c r="AE432" s="196"/>
      <c r="AF432" s="196"/>
      <c r="AG432" s="196"/>
      <c r="AH432" s="196"/>
      <c r="AI432" s="196"/>
      <c r="AJ432" s="196"/>
      <c r="AK432" s="196"/>
      <c r="AL432" s="197"/>
      <c r="AM432" s="197"/>
      <c r="AN432" s="197"/>
      <c r="AO432" s="195"/>
      <c r="AP432" s="195"/>
      <c r="AQ432" s="195"/>
      <c r="AR432" s="195"/>
      <c r="AS432" s="195"/>
      <c r="AT432" s="195"/>
      <c r="AU432" s="195"/>
    </row>
    <row r="433" spans="1:47" ht="11.25" customHeight="1" x14ac:dyDescent="0.25">
      <c r="A433" s="1406"/>
      <c r="B433" s="1311"/>
      <c r="C433" s="1311"/>
      <c r="D433" s="922" t="s">
        <v>296</v>
      </c>
      <c r="E433" s="314">
        <v>434776</v>
      </c>
      <c r="F433" s="919"/>
      <c r="G433" s="919"/>
      <c r="H433" s="306">
        <v>928154.26666666672</v>
      </c>
      <c r="I433" s="306"/>
      <c r="J433" s="962">
        <f>+J432*$J$328/$J$327</f>
        <v>1387322.6446478874</v>
      </c>
      <c r="K433" s="919">
        <f>+K432*K328/K327</f>
        <v>875968.61233480182</v>
      </c>
      <c r="L433" s="313">
        <v>1121189.0151285001</v>
      </c>
      <c r="M433" s="315">
        <v>513693.59400245798</v>
      </c>
      <c r="N433" s="962">
        <v>1496218.6611619301</v>
      </c>
      <c r="O433" s="1311"/>
      <c r="P433" s="1311"/>
      <c r="Q433" s="1311"/>
      <c r="R433" s="1311"/>
      <c r="S433" s="1311"/>
      <c r="T433" s="1311"/>
      <c r="U433" s="1311"/>
      <c r="V433" s="1311"/>
      <c r="W433" s="1311"/>
      <c r="X433" s="1311"/>
      <c r="Y433" s="1311"/>
      <c r="Z433" s="1394"/>
      <c r="AA433" s="195"/>
      <c r="AB433" s="195"/>
      <c r="AC433" s="196"/>
      <c r="AD433" s="196"/>
      <c r="AE433" s="196"/>
      <c r="AF433" s="196"/>
      <c r="AG433" s="196"/>
      <c r="AH433" s="196"/>
      <c r="AI433" s="196"/>
      <c r="AJ433" s="196"/>
      <c r="AK433" s="196"/>
      <c r="AL433" s="197"/>
      <c r="AM433" s="197"/>
      <c r="AN433" s="197"/>
      <c r="AO433" s="195"/>
      <c r="AP433" s="195"/>
      <c r="AQ433" s="195"/>
      <c r="AR433" s="195"/>
      <c r="AS433" s="195"/>
      <c r="AT433" s="195"/>
      <c r="AU433" s="195"/>
    </row>
    <row r="434" spans="1:47" ht="11.25" customHeight="1" x14ac:dyDescent="0.25">
      <c r="A434" s="1406"/>
      <c r="B434" s="1311"/>
      <c r="C434" s="1311"/>
      <c r="D434" s="922" t="s">
        <v>299</v>
      </c>
      <c r="E434" s="919"/>
      <c r="F434" s="289"/>
      <c r="G434" s="289"/>
      <c r="H434" s="289"/>
      <c r="I434" s="289"/>
      <c r="J434" s="919"/>
      <c r="K434" s="305"/>
      <c r="L434" s="932"/>
      <c r="M434" s="932"/>
      <c r="N434" s="932"/>
      <c r="O434" s="1311"/>
      <c r="P434" s="1311"/>
      <c r="Q434" s="1311"/>
      <c r="R434" s="1311"/>
      <c r="S434" s="1311"/>
      <c r="T434" s="1311"/>
      <c r="U434" s="1311"/>
      <c r="V434" s="1311"/>
      <c r="W434" s="1311"/>
      <c r="X434" s="1311"/>
      <c r="Y434" s="1311"/>
      <c r="Z434" s="1394"/>
      <c r="AA434" s="195"/>
      <c r="AB434" s="195"/>
      <c r="AC434" s="196"/>
      <c r="AD434" s="196"/>
      <c r="AE434" s="196"/>
      <c r="AF434" s="196"/>
      <c r="AG434" s="196"/>
      <c r="AH434" s="196"/>
      <c r="AI434" s="196"/>
      <c r="AJ434" s="196"/>
      <c r="AK434" s="196"/>
      <c r="AL434" s="197"/>
      <c r="AM434" s="197"/>
      <c r="AN434" s="197"/>
      <c r="AO434" s="195"/>
      <c r="AP434" s="195"/>
      <c r="AQ434" s="195"/>
      <c r="AR434" s="195"/>
      <c r="AS434" s="195"/>
      <c r="AT434" s="195"/>
      <c r="AU434" s="195"/>
    </row>
    <row r="435" spans="1:47" ht="5.25" customHeight="1" x14ac:dyDescent="0.25">
      <c r="A435" s="1406"/>
      <c r="B435" s="1311"/>
      <c r="C435" s="1311"/>
      <c r="D435" s="1396" t="s">
        <v>302</v>
      </c>
      <c r="E435" s="1317"/>
      <c r="F435" s="1317"/>
      <c r="G435" s="1317"/>
      <c r="H435" s="1317"/>
      <c r="I435" s="919"/>
      <c r="J435" s="1317"/>
      <c r="K435" s="1317"/>
      <c r="L435" s="1390"/>
      <c r="M435" s="1317"/>
      <c r="N435" s="1317"/>
      <c r="O435" s="1311"/>
      <c r="P435" s="1311"/>
      <c r="Q435" s="1311"/>
      <c r="R435" s="1311"/>
      <c r="S435" s="1311"/>
      <c r="T435" s="1311"/>
      <c r="U435" s="1311"/>
      <c r="V435" s="1311"/>
      <c r="W435" s="1311"/>
      <c r="X435" s="1311"/>
      <c r="Y435" s="1311"/>
      <c r="Z435" s="1394"/>
      <c r="AA435" s="195"/>
      <c r="AB435" s="195"/>
      <c r="AC435" s="196"/>
      <c r="AD435" s="196"/>
      <c r="AE435" s="196"/>
      <c r="AF435" s="196"/>
      <c r="AG435" s="196"/>
      <c r="AH435" s="196"/>
      <c r="AI435" s="196"/>
      <c r="AJ435" s="196"/>
      <c r="AK435" s="196"/>
      <c r="AL435" s="197"/>
      <c r="AM435" s="197"/>
      <c r="AN435" s="197"/>
      <c r="AO435" s="195"/>
      <c r="AP435" s="195"/>
      <c r="AQ435" s="195"/>
      <c r="AR435" s="195"/>
      <c r="AS435" s="195"/>
      <c r="AT435" s="195"/>
      <c r="AU435" s="195"/>
    </row>
    <row r="436" spans="1:47" ht="9.75" customHeight="1" x14ac:dyDescent="0.25">
      <c r="A436" s="1406"/>
      <c r="B436" s="1311"/>
      <c r="C436" s="1311"/>
      <c r="D436" s="1311"/>
      <c r="E436" s="1317"/>
      <c r="F436" s="1311"/>
      <c r="G436" s="1311"/>
      <c r="H436" s="1311"/>
      <c r="I436" s="906"/>
      <c r="J436" s="1311"/>
      <c r="K436" s="1311"/>
      <c r="L436" s="1391"/>
      <c r="M436" s="1311"/>
      <c r="N436" s="1311"/>
      <c r="O436" s="1311"/>
      <c r="P436" s="1311"/>
      <c r="Q436" s="1311"/>
      <c r="R436" s="1311"/>
      <c r="S436" s="1311"/>
      <c r="T436" s="1311"/>
      <c r="U436" s="1311"/>
      <c r="V436" s="1311"/>
      <c r="W436" s="1311"/>
      <c r="X436" s="1311"/>
      <c r="Y436" s="1311"/>
      <c r="Z436" s="1394"/>
      <c r="AA436" s="195"/>
      <c r="AB436" s="195"/>
      <c r="AC436" s="196"/>
      <c r="AD436" s="196"/>
      <c r="AE436" s="196"/>
      <c r="AF436" s="196"/>
      <c r="AG436" s="196"/>
      <c r="AH436" s="196"/>
      <c r="AI436" s="196"/>
      <c r="AJ436" s="196"/>
      <c r="AK436" s="196"/>
      <c r="AL436" s="197"/>
      <c r="AM436" s="197"/>
      <c r="AN436" s="197"/>
      <c r="AO436" s="195"/>
      <c r="AP436" s="195"/>
      <c r="AQ436" s="195"/>
      <c r="AR436" s="195"/>
      <c r="AS436" s="195"/>
      <c r="AT436" s="195"/>
      <c r="AU436" s="195"/>
    </row>
    <row r="437" spans="1:47" ht="8.25" customHeight="1" x14ac:dyDescent="0.25">
      <c r="A437" s="1406"/>
      <c r="B437" s="1311"/>
      <c r="C437" s="1311"/>
      <c r="D437" s="1311"/>
      <c r="E437" s="1317"/>
      <c r="F437" s="1311"/>
      <c r="G437" s="1311"/>
      <c r="H437" s="1311"/>
      <c r="I437" s="906"/>
      <c r="J437" s="1311"/>
      <c r="K437" s="1311"/>
      <c r="L437" s="1391"/>
      <c r="M437" s="1311"/>
      <c r="N437" s="1311"/>
      <c r="O437" s="1311"/>
      <c r="P437" s="1311"/>
      <c r="Q437" s="1311"/>
      <c r="R437" s="1311"/>
      <c r="S437" s="1311"/>
      <c r="T437" s="1311"/>
      <c r="U437" s="1311"/>
      <c r="V437" s="1311"/>
      <c r="W437" s="1311"/>
      <c r="X437" s="1311"/>
      <c r="Y437" s="1311"/>
      <c r="Z437" s="1394"/>
      <c r="AA437" s="195"/>
      <c r="AB437" s="195"/>
      <c r="AC437" s="196"/>
      <c r="AD437" s="196"/>
      <c r="AE437" s="196"/>
      <c r="AF437" s="196"/>
      <c r="AG437" s="196"/>
      <c r="AH437" s="196"/>
      <c r="AI437" s="196"/>
      <c r="AJ437" s="196"/>
      <c r="AK437" s="196"/>
      <c r="AL437" s="197"/>
      <c r="AM437" s="197"/>
      <c r="AN437" s="197"/>
      <c r="AO437" s="195"/>
      <c r="AP437" s="195"/>
      <c r="AQ437" s="195"/>
      <c r="AR437" s="195"/>
      <c r="AS437" s="195"/>
      <c r="AT437" s="195"/>
      <c r="AU437" s="195"/>
    </row>
    <row r="438" spans="1:47" ht="11.25" customHeight="1" x14ac:dyDescent="0.25">
      <c r="A438" s="1406"/>
      <c r="B438" s="1311"/>
      <c r="C438" s="1311"/>
      <c r="D438" s="1311"/>
      <c r="E438" s="1317"/>
      <c r="F438" s="1311"/>
      <c r="G438" s="1311"/>
      <c r="H438" s="1311"/>
      <c r="I438" s="906"/>
      <c r="J438" s="1311"/>
      <c r="K438" s="1311"/>
      <c r="L438" s="1392"/>
      <c r="M438" s="1311"/>
      <c r="N438" s="1311"/>
      <c r="O438" s="1311"/>
      <c r="P438" s="1311"/>
      <c r="Q438" s="1311"/>
      <c r="R438" s="1311"/>
      <c r="S438" s="1311"/>
      <c r="T438" s="1311"/>
      <c r="U438" s="1311"/>
      <c r="V438" s="1311"/>
      <c r="W438" s="1311"/>
      <c r="X438" s="1311"/>
      <c r="Y438" s="1311"/>
      <c r="Z438" s="1394"/>
      <c r="AA438" s="195"/>
      <c r="AB438" s="195"/>
      <c r="AC438" s="196"/>
      <c r="AD438" s="196"/>
      <c r="AE438" s="196"/>
      <c r="AF438" s="196"/>
      <c r="AG438" s="196"/>
      <c r="AH438" s="196"/>
      <c r="AI438" s="196"/>
      <c r="AJ438" s="196"/>
      <c r="AK438" s="196"/>
      <c r="AL438" s="197"/>
      <c r="AM438" s="197"/>
      <c r="AN438" s="197"/>
      <c r="AO438" s="195"/>
      <c r="AP438" s="195"/>
      <c r="AQ438" s="195"/>
      <c r="AR438" s="195"/>
      <c r="AS438" s="195"/>
      <c r="AT438" s="195"/>
      <c r="AU438" s="195"/>
    </row>
    <row r="439" spans="1:47" ht="11.25" customHeight="1" x14ac:dyDescent="0.25">
      <c r="A439" s="1406"/>
      <c r="B439" s="1311"/>
      <c r="C439" s="1318" t="s">
        <v>363</v>
      </c>
      <c r="D439" s="290" t="s">
        <v>288</v>
      </c>
      <c r="E439" s="304">
        <v>3.82</v>
      </c>
      <c r="F439" s="304"/>
      <c r="G439" s="304"/>
      <c r="H439" s="304">
        <v>2.0499999999999998</v>
      </c>
      <c r="I439" s="304"/>
      <c r="J439" s="304">
        <v>2.6599999999999997</v>
      </c>
      <c r="K439" s="307">
        <f>E439</f>
        <v>3.82</v>
      </c>
      <c r="L439" s="303">
        <v>1.56</v>
      </c>
      <c r="M439" s="316">
        <v>2.0499999999999998</v>
      </c>
      <c r="N439" s="933">
        <v>2.6599999999999997</v>
      </c>
      <c r="O439" s="1317" t="s">
        <v>375</v>
      </c>
      <c r="P439" s="1318" t="s">
        <v>86</v>
      </c>
      <c r="Q439" s="1310" t="s">
        <v>86</v>
      </c>
      <c r="R439" s="1318" t="s">
        <v>86</v>
      </c>
      <c r="S439" s="1310" t="s">
        <v>290</v>
      </c>
      <c r="T439" s="1393">
        <v>164937</v>
      </c>
      <c r="U439" s="1393">
        <v>172215</v>
      </c>
      <c r="V439" s="1397"/>
      <c r="W439" s="1310" t="s">
        <v>291</v>
      </c>
      <c r="X439" s="1310" t="s">
        <v>292</v>
      </c>
      <c r="Y439" s="1310" t="s">
        <v>293</v>
      </c>
      <c r="Z439" s="1315">
        <v>7878783</v>
      </c>
      <c r="AA439" s="195"/>
      <c r="AB439" s="195"/>
      <c r="AC439" s="196"/>
      <c r="AD439" s="196"/>
      <c r="AE439" s="196"/>
      <c r="AF439" s="196"/>
      <c r="AG439" s="196"/>
      <c r="AH439" s="196"/>
      <c r="AI439" s="196"/>
      <c r="AJ439" s="196"/>
      <c r="AK439" s="196"/>
      <c r="AL439" s="197"/>
      <c r="AM439" s="197"/>
      <c r="AN439" s="197"/>
      <c r="AO439" s="195"/>
      <c r="AP439" s="195"/>
      <c r="AQ439" s="195"/>
      <c r="AR439" s="195"/>
      <c r="AS439" s="195"/>
      <c r="AT439" s="195"/>
      <c r="AU439" s="195"/>
    </row>
    <row r="440" spans="1:47" ht="11.25" customHeight="1" x14ac:dyDescent="0.25">
      <c r="A440" s="1406"/>
      <c r="B440" s="1311"/>
      <c r="C440" s="1311"/>
      <c r="D440" s="922" t="s">
        <v>296</v>
      </c>
      <c r="E440" s="314">
        <v>1028012</v>
      </c>
      <c r="F440" s="919"/>
      <c r="G440" s="919"/>
      <c r="H440" s="306">
        <v>551511.95555555553</v>
      </c>
      <c r="I440" s="306"/>
      <c r="J440" s="962">
        <f>+J439*$J$328/$J$327</f>
        <v>814630.95690140838</v>
      </c>
      <c r="K440" s="919">
        <f>+K439*K328/K327</f>
        <v>2065555.6167400882</v>
      </c>
      <c r="L440" s="313">
        <v>586931.16228203406</v>
      </c>
      <c r="M440" s="315">
        <v>305238.22252319899</v>
      </c>
      <c r="N440" s="962">
        <v>878574.31317676103</v>
      </c>
      <c r="O440" s="1311"/>
      <c r="P440" s="1311"/>
      <c r="Q440" s="1311"/>
      <c r="R440" s="1311"/>
      <c r="S440" s="1311"/>
      <c r="T440" s="1311"/>
      <c r="U440" s="1311"/>
      <c r="V440" s="1398"/>
      <c r="W440" s="1311"/>
      <c r="X440" s="1311"/>
      <c r="Y440" s="1311"/>
      <c r="Z440" s="1394"/>
      <c r="AA440" s="195"/>
      <c r="AB440" s="195"/>
      <c r="AC440" s="196"/>
      <c r="AD440" s="196"/>
      <c r="AE440" s="196"/>
      <c r="AF440" s="196"/>
      <c r="AG440" s="196"/>
      <c r="AH440" s="196"/>
      <c r="AI440" s="196"/>
      <c r="AJ440" s="196"/>
      <c r="AK440" s="196"/>
      <c r="AL440" s="197"/>
      <c r="AM440" s="197"/>
      <c r="AN440" s="197"/>
      <c r="AO440" s="195"/>
      <c r="AP440" s="195"/>
      <c r="AQ440" s="195"/>
      <c r="AR440" s="195"/>
      <c r="AS440" s="195"/>
      <c r="AT440" s="195"/>
      <c r="AU440" s="195"/>
    </row>
    <row r="441" spans="1:47" ht="11.25" customHeight="1" x14ac:dyDescent="0.25">
      <c r="A441" s="1406"/>
      <c r="B441" s="1311"/>
      <c r="C441" s="1311"/>
      <c r="D441" s="922" t="s">
        <v>299</v>
      </c>
      <c r="E441" s="919"/>
      <c r="F441" s="289"/>
      <c r="G441" s="289"/>
      <c r="H441" s="289"/>
      <c r="I441" s="289"/>
      <c r="J441" s="919"/>
      <c r="K441" s="305"/>
      <c r="L441" s="932"/>
      <c r="M441" s="932"/>
      <c r="N441" s="932"/>
      <c r="O441" s="1311"/>
      <c r="P441" s="1311"/>
      <c r="Q441" s="1311"/>
      <c r="R441" s="1311"/>
      <c r="S441" s="1311"/>
      <c r="T441" s="1311"/>
      <c r="U441" s="1311"/>
      <c r="V441" s="1398"/>
      <c r="W441" s="1311"/>
      <c r="X441" s="1311"/>
      <c r="Y441" s="1311"/>
      <c r="Z441" s="1394"/>
      <c r="AA441" s="195"/>
      <c r="AB441" s="195"/>
      <c r="AC441" s="196"/>
      <c r="AD441" s="196"/>
      <c r="AE441" s="196"/>
      <c r="AF441" s="196"/>
      <c r="AG441" s="196"/>
      <c r="AH441" s="196"/>
      <c r="AI441" s="196"/>
      <c r="AJ441" s="196"/>
      <c r="AK441" s="196"/>
      <c r="AL441" s="197"/>
      <c r="AM441" s="197"/>
      <c r="AN441" s="197"/>
      <c r="AO441" s="195"/>
      <c r="AP441" s="195"/>
      <c r="AQ441" s="195"/>
      <c r="AR441" s="195"/>
      <c r="AS441" s="195"/>
      <c r="AT441" s="195"/>
      <c r="AU441" s="195"/>
    </row>
    <row r="442" spans="1:47" ht="5.25" customHeight="1" x14ac:dyDescent="0.25">
      <c r="A442" s="1406"/>
      <c r="B442" s="1311"/>
      <c r="C442" s="1311"/>
      <c r="D442" s="1396" t="s">
        <v>302</v>
      </c>
      <c r="E442" s="1317"/>
      <c r="F442" s="1317"/>
      <c r="G442" s="1317"/>
      <c r="H442" s="1317"/>
      <c r="I442" s="919"/>
      <c r="J442" s="1317"/>
      <c r="K442" s="1317"/>
      <c r="L442" s="1390"/>
      <c r="M442" s="1317"/>
      <c r="N442" s="1317"/>
      <c r="O442" s="1311"/>
      <c r="P442" s="1311"/>
      <c r="Q442" s="1311"/>
      <c r="R442" s="1311"/>
      <c r="S442" s="1311"/>
      <c r="T442" s="1311"/>
      <c r="U442" s="1311"/>
      <c r="V442" s="1398"/>
      <c r="W442" s="1311"/>
      <c r="X442" s="1311"/>
      <c r="Y442" s="1311"/>
      <c r="Z442" s="1394"/>
      <c r="AA442" s="195"/>
      <c r="AB442" s="195"/>
      <c r="AC442" s="196"/>
      <c r="AD442" s="196"/>
      <c r="AE442" s="196"/>
      <c r="AF442" s="196"/>
      <c r="AG442" s="196"/>
      <c r="AH442" s="196"/>
      <c r="AI442" s="196"/>
      <c r="AJ442" s="196"/>
      <c r="AK442" s="196"/>
      <c r="AL442" s="197"/>
      <c r="AM442" s="197"/>
      <c r="AN442" s="197"/>
      <c r="AO442" s="195"/>
      <c r="AP442" s="195"/>
      <c r="AQ442" s="195"/>
      <c r="AR442" s="195"/>
      <c r="AS442" s="195"/>
      <c r="AT442" s="195"/>
      <c r="AU442" s="195"/>
    </row>
    <row r="443" spans="1:47" ht="11.25" customHeight="1" x14ac:dyDescent="0.25">
      <c r="A443" s="1406"/>
      <c r="B443" s="1311"/>
      <c r="C443" s="1311"/>
      <c r="D443" s="1311"/>
      <c r="E443" s="1317"/>
      <c r="F443" s="1311"/>
      <c r="G443" s="1311"/>
      <c r="H443" s="1311"/>
      <c r="I443" s="906"/>
      <c r="J443" s="1311"/>
      <c r="K443" s="1311"/>
      <c r="L443" s="1391"/>
      <c r="M443" s="1311"/>
      <c r="N443" s="1311"/>
      <c r="O443" s="1311"/>
      <c r="P443" s="1311"/>
      <c r="Q443" s="1311"/>
      <c r="R443" s="1311"/>
      <c r="S443" s="1311"/>
      <c r="T443" s="1311"/>
      <c r="U443" s="1311"/>
      <c r="V443" s="1398"/>
      <c r="W443" s="1311"/>
      <c r="X443" s="1311"/>
      <c r="Y443" s="1311"/>
      <c r="Z443" s="1394"/>
      <c r="AA443" s="195"/>
      <c r="AB443" s="195"/>
      <c r="AC443" s="196"/>
      <c r="AD443" s="196"/>
      <c r="AE443" s="196"/>
      <c r="AF443" s="196"/>
      <c r="AG443" s="196"/>
      <c r="AH443" s="196"/>
      <c r="AI443" s="196"/>
      <c r="AJ443" s="196"/>
      <c r="AK443" s="196"/>
      <c r="AL443" s="197"/>
      <c r="AM443" s="197"/>
      <c r="AN443" s="197"/>
      <c r="AO443" s="195"/>
      <c r="AP443" s="195"/>
      <c r="AQ443" s="195"/>
      <c r="AR443" s="195"/>
      <c r="AS443" s="195"/>
      <c r="AT443" s="195"/>
      <c r="AU443" s="195"/>
    </row>
    <row r="444" spans="1:47" ht="8.25" customHeight="1" x14ac:dyDescent="0.25">
      <c r="A444" s="1406"/>
      <c r="B444" s="1311"/>
      <c r="C444" s="1311"/>
      <c r="D444" s="1311"/>
      <c r="E444" s="1317"/>
      <c r="F444" s="1311"/>
      <c r="G444" s="1311"/>
      <c r="H444" s="1311"/>
      <c r="I444" s="906"/>
      <c r="J444" s="1311"/>
      <c r="K444" s="1311"/>
      <c r="L444" s="1391"/>
      <c r="M444" s="1311"/>
      <c r="N444" s="1311"/>
      <c r="O444" s="1311"/>
      <c r="P444" s="1311"/>
      <c r="Q444" s="1311"/>
      <c r="R444" s="1311"/>
      <c r="S444" s="1311"/>
      <c r="T444" s="1311"/>
      <c r="U444" s="1311"/>
      <c r="V444" s="1398"/>
      <c r="W444" s="1311"/>
      <c r="X444" s="1311"/>
      <c r="Y444" s="1311"/>
      <c r="Z444" s="1394"/>
      <c r="AA444" s="195"/>
      <c r="AB444" s="195"/>
      <c r="AC444" s="196"/>
      <c r="AD444" s="196"/>
      <c r="AE444" s="196"/>
      <c r="AF444" s="196"/>
      <c r="AG444" s="196"/>
      <c r="AH444" s="196"/>
      <c r="AI444" s="196"/>
      <c r="AJ444" s="196"/>
      <c r="AK444" s="196"/>
      <c r="AL444" s="197"/>
      <c r="AM444" s="197"/>
      <c r="AN444" s="197"/>
      <c r="AO444" s="195"/>
      <c r="AP444" s="195"/>
      <c r="AQ444" s="195"/>
      <c r="AR444" s="195"/>
      <c r="AS444" s="195"/>
      <c r="AT444" s="195"/>
      <c r="AU444" s="195"/>
    </row>
    <row r="445" spans="1:47" ht="11.25" customHeight="1" x14ac:dyDescent="0.25">
      <c r="A445" s="1406"/>
      <c r="B445" s="1311"/>
      <c r="C445" s="1311"/>
      <c r="D445" s="1311"/>
      <c r="E445" s="1317"/>
      <c r="F445" s="1311"/>
      <c r="G445" s="1311"/>
      <c r="H445" s="1311"/>
      <c r="I445" s="906"/>
      <c r="J445" s="1311"/>
      <c r="K445" s="1311"/>
      <c r="L445" s="1392"/>
      <c r="M445" s="1311"/>
      <c r="N445" s="1311"/>
      <c r="O445" s="1311"/>
      <c r="P445" s="1311"/>
      <c r="Q445" s="1311"/>
      <c r="R445" s="1311"/>
      <c r="S445" s="1311"/>
      <c r="T445" s="1311"/>
      <c r="U445" s="1311"/>
      <c r="V445" s="1398"/>
      <c r="W445" s="1311"/>
      <c r="X445" s="1311"/>
      <c r="Y445" s="1311"/>
      <c r="Z445" s="1394"/>
      <c r="AA445" s="195"/>
      <c r="AB445" s="195"/>
      <c r="AC445" s="196"/>
      <c r="AD445" s="196"/>
      <c r="AE445" s="196"/>
      <c r="AF445" s="196"/>
      <c r="AG445" s="196"/>
      <c r="AH445" s="196"/>
      <c r="AI445" s="196"/>
      <c r="AJ445" s="196"/>
      <c r="AK445" s="196"/>
      <c r="AL445" s="197"/>
      <c r="AM445" s="197"/>
      <c r="AN445" s="197"/>
      <c r="AO445" s="195"/>
      <c r="AP445" s="195"/>
      <c r="AQ445" s="195"/>
      <c r="AR445" s="195"/>
      <c r="AS445" s="195"/>
      <c r="AT445" s="195"/>
      <c r="AU445" s="195"/>
    </row>
    <row r="446" spans="1:47" ht="11.25" customHeight="1" x14ac:dyDescent="0.25">
      <c r="A446" s="1406"/>
      <c r="B446" s="1311"/>
      <c r="C446" s="1318" t="s">
        <v>363</v>
      </c>
      <c r="D446" s="290" t="s">
        <v>288</v>
      </c>
      <c r="E446" s="304">
        <v>15.14</v>
      </c>
      <c r="F446" s="304"/>
      <c r="G446" s="304"/>
      <c r="H446" s="304">
        <v>17.11</v>
      </c>
      <c r="I446" s="304"/>
      <c r="J446" s="304">
        <v>19.93</v>
      </c>
      <c r="K446" s="307">
        <v>15.14</v>
      </c>
      <c r="L446" s="303">
        <v>13.88</v>
      </c>
      <c r="M446" s="316">
        <v>17.11</v>
      </c>
      <c r="N446" s="933">
        <v>19.93</v>
      </c>
      <c r="O446" s="1317" t="s">
        <v>376</v>
      </c>
      <c r="P446" s="1318" t="s">
        <v>86</v>
      </c>
      <c r="Q446" s="1310" t="s">
        <v>86</v>
      </c>
      <c r="R446" s="1318" t="s">
        <v>86</v>
      </c>
      <c r="S446" s="1310" t="s">
        <v>290</v>
      </c>
      <c r="T446" s="1393">
        <v>93839</v>
      </c>
      <c r="U446" s="1393">
        <v>95683</v>
      </c>
      <c r="V446" s="1310"/>
      <c r="W446" s="1310" t="s">
        <v>291</v>
      </c>
      <c r="X446" s="1310" t="s">
        <v>292</v>
      </c>
      <c r="Y446" s="1310" t="s">
        <v>293</v>
      </c>
      <c r="Z446" s="1315">
        <v>7878783</v>
      </c>
      <c r="AA446" s="195"/>
      <c r="AB446" s="195"/>
      <c r="AC446" s="196"/>
      <c r="AD446" s="196"/>
      <c r="AE446" s="196"/>
      <c r="AF446" s="196"/>
      <c r="AG446" s="196"/>
      <c r="AH446" s="196"/>
      <c r="AI446" s="196"/>
      <c r="AJ446" s="196"/>
      <c r="AK446" s="196"/>
      <c r="AL446" s="197"/>
      <c r="AM446" s="197"/>
      <c r="AN446" s="197"/>
      <c r="AO446" s="195"/>
      <c r="AP446" s="195"/>
      <c r="AQ446" s="195"/>
      <c r="AR446" s="195"/>
      <c r="AS446" s="195"/>
      <c r="AT446" s="195"/>
      <c r="AU446" s="195"/>
    </row>
    <row r="447" spans="1:47" ht="11.25" customHeight="1" x14ac:dyDescent="0.25">
      <c r="A447" s="1406"/>
      <c r="B447" s="1311"/>
      <c r="C447" s="1311"/>
      <c r="D447" s="922" t="s">
        <v>296</v>
      </c>
      <c r="E447" s="314">
        <v>4073764</v>
      </c>
      <c r="F447" s="919"/>
      <c r="G447" s="919"/>
      <c r="H447" s="306">
        <v>4603107.1022222219</v>
      </c>
      <c r="I447" s="306"/>
      <c r="J447" s="962">
        <f>+J446*$J$328/$J$327</f>
        <v>6103607.1319718314</v>
      </c>
      <c r="K447" s="919">
        <f>+K446*K328/K327</f>
        <v>8186521.4757709252</v>
      </c>
      <c r="L447" s="313">
        <v>5222182.3926119497</v>
      </c>
      <c r="M447" s="315">
        <v>2547622.43286436</v>
      </c>
      <c r="N447" s="962">
        <v>6582701.52692213</v>
      </c>
      <c r="O447" s="1311"/>
      <c r="P447" s="1311"/>
      <c r="Q447" s="1311"/>
      <c r="R447" s="1311"/>
      <c r="S447" s="1311"/>
      <c r="T447" s="1311"/>
      <c r="U447" s="1311"/>
      <c r="V447" s="1311"/>
      <c r="W447" s="1311"/>
      <c r="X447" s="1311"/>
      <c r="Y447" s="1311"/>
      <c r="Z447" s="1394"/>
      <c r="AA447" s="195"/>
      <c r="AB447" s="195"/>
      <c r="AC447" s="196"/>
      <c r="AD447" s="196"/>
      <c r="AE447" s="196"/>
      <c r="AF447" s="196"/>
      <c r="AG447" s="196"/>
      <c r="AH447" s="196"/>
      <c r="AI447" s="196"/>
      <c r="AJ447" s="196"/>
      <c r="AK447" s="196"/>
      <c r="AL447" s="197"/>
      <c r="AM447" s="197"/>
      <c r="AN447" s="197"/>
      <c r="AO447" s="195"/>
      <c r="AP447" s="195"/>
      <c r="AQ447" s="195"/>
      <c r="AR447" s="195"/>
      <c r="AS447" s="195"/>
      <c r="AT447" s="195"/>
      <c r="AU447" s="195"/>
    </row>
    <row r="448" spans="1:47" ht="11.25" customHeight="1" x14ac:dyDescent="0.25">
      <c r="A448" s="1406"/>
      <c r="B448" s="1311"/>
      <c r="C448" s="1311"/>
      <c r="D448" s="922" t="s">
        <v>299</v>
      </c>
      <c r="E448" s="919"/>
      <c r="F448" s="289"/>
      <c r="G448" s="289"/>
      <c r="H448" s="289"/>
      <c r="I448" s="289"/>
      <c r="J448" s="919"/>
      <c r="K448" s="305"/>
      <c r="L448" s="932"/>
      <c r="M448" s="932"/>
      <c r="N448" s="932"/>
      <c r="O448" s="1311"/>
      <c r="P448" s="1311"/>
      <c r="Q448" s="1311"/>
      <c r="R448" s="1311"/>
      <c r="S448" s="1311"/>
      <c r="T448" s="1311"/>
      <c r="U448" s="1311"/>
      <c r="V448" s="1311"/>
      <c r="W448" s="1311"/>
      <c r="X448" s="1311"/>
      <c r="Y448" s="1311"/>
      <c r="Z448" s="1394"/>
      <c r="AA448" s="195"/>
      <c r="AB448" s="195"/>
      <c r="AC448" s="196"/>
      <c r="AD448" s="196"/>
      <c r="AE448" s="196"/>
      <c r="AF448" s="196"/>
      <c r="AG448" s="196"/>
      <c r="AH448" s="196"/>
      <c r="AI448" s="196"/>
      <c r="AJ448" s="196"/>
      <c r="AK448" s="196"/>
      <c r="AL448" s="197"/>
      <c r="AM448" s="197"/>
      <c r="AN448" s="197"/>
      <c r="AO448" s="195"/>
      <c r="AP448" s="195"/>
      <c r="AQ448" s="195"/>
      <c r="AR448" s="195"/>
      <c r="AS448" s="195"/>
      <c r="AT448" s="195"/>
      <c r="AU448" s="195"/>
    </row>
    <row r="449" spans="1:47" ht="7.5" customHeight="1" x14ac:dyDescent="0.25">
      <c r="A449" s="1406"/>
      <c r="B449" s="1311"/>
      <c r="C449" s="1311"/>
      <c r="D449" s="1396" t="s">
        <v>302</v>
      </c>
      <c r="E449" s="1317"/>
      <c r="F449" s="1317"/>
      <c r="G449" s="1317"/>
      <c r="H449" s="1317"/>
      <c r="I449" s="919"/>
      <c r="J449" s="1317"/>
      <c r="K449" s="1317"/>
      <c r="L449" s="1390"/>
      <c r="M449" s="1317"/>
      <c r="N449" s="1317"/>
      <c r="O449" s="1311"/>
      <c r="P449" s="1311"/>
      <c r="Q449" s="1311"/>
      <c r="R449" s="1311"/>
      <c r="S449" s="1311"/>
      <c r="T449" s="1311"/>
      <c r="U449" s="1311"/>
      <c r="V449" s="1311"/>
      <c r="W449" s="1311"/>
      <c r="X449" s="1311"/>
      <c r="Y449" s="1311"/>
      <c r="Z449" s="1394"/>
      <c r="AA449" s="195"/>
      <c r="AB449" s="195"/>
      <c r="AC449" s="196"/>
      <c r="AD449" s="196"/>
      <c r="AE449" s="196"/>
      <c r="AF449" s="196"/>
      <c r="AG449" s="196"/>
      <c r="AH449" s="196"/>
      <c r="AI449" s="196"/>
      <c r="AJ449" s="196"/>
      <c r="AK449" s="196"/>
      <c r="AL449" s="197"/>
      <c r="AM449" s="197"/>
      <c r="AN449" s="197"/>
      <c r="AO449" s="195"/>
      <c r="AP449" s="195"/>
      <c r="AQ449" s="195"/>
      <c r="AR449" s="195"/>
      <c r="AS449" s="195"/>
      <c r="AT449" s="195"/>
      <c r="AU449" s="195"/>
    </row>
    <row r="450" spans="1:47" ht="5.25" customHeight="1" x14ac:dyDescent="0.25">
      <c r="A450" s="1406"/>
      <c r="B450" s="1311"/>
      <c r="C450" s="1311"/>
      <c r="D450" s="1311"/>
      <c r="E450" s="1317"/>
      <c r="F450" s="1311"/>
      <c r="G450" s="1311"/>
      <c r="H450" s="1311"/>
      <c r="I450" s="906"/>
      <c r="J450" s="1311"/>
      <c r="K450" s="1311"/>
      <c r="L450" s="1391"/>
      <c r="M450" s="1311"/>
      <c r="N450" s="1311"/>
      <c r="O450" s="1311"/>
      <c r="P450" s="1311"/>
      <c r="Q450" s="1311"/>
      <c r="R450" s="1311"/>
      <c r="S450" s="1311"/>
      <c r="T450" s="1311"/>
      <c r="U450" s="1311"/>
      <c r="V450" s="1311"/>
      <c r="W450" s="1311"/>
      <c r="X450" s="1311"/>
      <c r="Y450" s="1311"/>
      <c r="Z450" s="1394"/>
      <c r="AA450" s="195"/>
      <c r="AB450" s="195"/>
      <c r="AC450" s="196"/>
      <c r="AD450" s="196"/>
      <c r="AE450" s="196"/>
      <c r="AF450" s="196"/>
      <c r="AG450" s="196"/>
      <c r="AH450" s="196"/>
      <c r="AI450" s="196"/>
      <c r="AJ450" s="196"/>
      <c r="AK450" s="196"/>
      <c r="AL450" s="197"/>
      <c r="AM450" s="197"/>
      <c r="AN450" s="197"/>
      <c r="AO450" s="195"/>
      <c r="AP450" s="195"/>
      <c r="AQ450" s="195"/>
      <c r="AR450" s="195"/>
      <c r="AS450" s="195"/>
      <c r="AT450" s="195"/>
      <c r="AU450" s="195"/>
    </row>
    <row r="451" spans="1:47" ht="8.25" customHeight="1" x14ac:dyDescent="0.25">
      <c r="A451" s="1406"/>
      <c r="B451" s="1311"/>
      <c r="C451" s="1311"/>
      <c r="D451" s="1311"/>
      <c r="E451" s="1317"/>
      <c r="F451" s="1311"/>
      <c r="G451" s="1311"/>
      <c r="H451" s="1311"/>
      <c r="I451" s="906"/>
      <c r="J451" s="1311"/>
      <c r="K451" s="1311"/>
      <c r="L451" s="1391"/>
      <c r="M451" s="1311"/>
      <c r="N451" s="1311"/>
      <c r="O451" s="1311"/>
      <c r="P451" s="1311"/>
      <c r="Q451" s="1311"/>
      <c r="R451" s="1311"/>
      <c r="S451" s="1311"/>
      <c r="T451" s="1311"/>
      <c r="U451" s="1311"/>
      <c r="V451" s="1311"/>
      <c r="W451" s="1311"/>
      <c r="X451" s="1311"/>
      <c r="Y451" s="1311"/>
      <c r="Z451" s="1394"/>
      <c r="AA451" s="195"/>
      <c r="AB451" s="195"/>
      <c r="AC451" s="196"/>
      <c r="AD451" s="196"/>
      <c r="AE451" s="196"/>
      <c r="AF451" s="196"/>
      <c r="AG451" s="196"/>
      <c r="AH451" s="196"/>
      <c r="AI451" s="196"/>
      <c r="AJ451" s="196"/>
      <c r="AK451" s="196"/>
      <c r="AL451" s="197"/>
      <c r="AM451" s="197"/>
      <c r="AN451" s="197"/>
      <c r="AO451" s="195"/>
      <c r="AP451" s="195"/>
      <c r="AQ451" s="195"/>
      <c r="AR451" s="195"/>
      <c r="AS451" s="195"/>
      <c r="AT451" s="195"/>
      <c r="AU451" s="195"/>
    </row>
    <row r="452" spans="1:47" ht="11.25" customHeight="1" x14ac:dyDescent="0.25">
      <c r="A452" s="1406"/>
      <c r="B452" s="1311"/>
      <c r="C452" s="1311"/>
      <c r="D452" s="1311"/>
      <c r="E452" s="1317"/>
      <c r="F452" s="1311"/>
      <c r="G452" s="1311"/>
      <c r="H452" s="1311"/>
      <c r="I452" s="906"/>
      <c r="J452" s="1311"/>
      <c r="K452" s="1311"/>
      <c r="L452" s="1392"/>
      <c r="M452" s="1311"/>
      <c r="N452" s="1311"/>
      <c r="O452" s="1311"/>
      <c r="P452" s="1311"/>
      <c r="Q452" s="1311"/>
      <c r="R452" s="1311"/>
      <c r="S452" s="1311"/>
      <c r="T452" s="1311"/>
      <c r="U452" s="1311"/>
      <c r="V452" s="1311"/>
      <c r="W452" s="1311"/>
      <c r="X452" s="1311"/>
      <c r="Y452" s="1311"/>
      <c r="Z452" s="1394"/>
      <c r="AA452" s="195"/>
      <c r="AB452" s="195"/>
      <c r="AC452" s="196"/>
      <c r="AD452" s="196"/>
      <c r="AE452" s="196"/>
      <c r="AF452" s="196"/>
      <c r="AG452" s="196"/>
      <c r="AH452" s="196"/>
      <c r="AI452" s="196"/>
      <c r="AJ452" s="196"/>
      <c r="AK452" s="196"/>
      <c r="AL452" s="197"/>
      <c r="AM452" s="197"/>
      <c r="AN452" s="197"/>
      <c r="AO452" s="195"/>
      <c r="AP452" s="195"/>
      <c r="AQ452" s="195"/>
      <c r="AR452" s="195"/>
      <c r="AS452" s="195"/>
      <c r="AT452" s="195"/>
      <c r="AU452" s="195"/>
    </row>
    <row r="453" spans="1:47" ht="11.25" customHeight="1" x14ac:dyDescent="0.25">
      <c r="A453" s="1406"/>
      <c r="B453" s="1311"/>
      <c r="C453" s="1318" t="s">
        <v>363</v>
      </c>
      <c r="D453" s="290" t="s">
        <v>288</v>
      </c>
      <c r="E453" s="304">
        <v>5.69</v>
      </c>
      <c r="F453" s="304"/>
      <c r="G453" s="304"/>
      <c r="H453" s="304">
        <v>25.45</v>
      </c>
      <c r="I453" s="304"/>
      <c r="J453" s="304">
        <v>28.040000000000003</v>
      </c>
      <c r="K453" s="307">
        <f>E453</f>
        <v>5.69</v>
      </c>
      <c r="L453" s="303">
        <v>11.31</v>
      </c>
      <c r="M453" s="316">
        <v>25.450000000000003</v>
      </c>
      <c r="N453" s="933">
        <v>28.040000000000003</v>
      </c>
      <c r="O453" s="1317" t="s">
        <v>357</v>
      </c>
      <c r="P453" s="1318" t="s">
        <v>86</v>
      </c>
      <c r="Q453" s="1310" t="s">
        <v>86</v>
      </c>
      <c r="R453" s="1318" t="s">
        <v>86</v>
      </c>
      <c r="S453" s="1310" t="s">
        <v>290</v>
      </c>
      <c r="T453" s="1393">
        <v>345676</v>
      </c>
      <c r="U453" s="1393">
        <v>363363</v>
      </c>
      <c r="V453" s="1310"/>
      <c r="W453" s="1310" t="s">
        <v>291</v>
      </c>
      <c r="X453" s="1310" t="s">
        <v>292</v>
      </c>
      <c r="Y453" s="1310" t="s">
        <v>293</v>
      </c>
      <c r="Z453" s="1315">
        <v>7878783</v>
      </c>
      <c r="AA453" s="195"/>
      <c r="AB453" s="195"/>
      <c r="AC453" s="196"/>
      <c r="AD453" s="196"/>
      <c r="AE453" s="196"/>
      <c r="AF453" s="196"/>
      <c r="AG453" s="196"/>
      <c r="AH453" s="196"/>
      <c r="AI453" s="196"/>
      <c r="AJ453" s="196"/>
      <c r="AK453" s="196"/>
      <c r="AL453" s="197"/>
      <c r="AM453" s="197"/>
      <c r="AN453" s="197"/>
      <c r="AO453" s="195"/>
      <c r="AP453" s="195"/>
      <c r="AQ453" s="195"/>
      <c r="AR453" s="195"/>
      <c r="AS453" s="195"/>
      <c r="AT453" s="195"/>
      <c r="AU453" s="195"/>
    </row>
    <row r="454" spans="1:47" ht="11.25" customHeight="1" x14ac:dyDescent="0.25">
      <c r="A454" s="1406"/>
      <c r="B454" s="1311"/>
      <c r="C454" s="1311"/>
      <c r="D454" s="922" t="s">
        <v>296</v>
      </c>
      <c r="E454" s="314">
        <v>1531929</v>
      </c>
      <c r="F454" s="919"/>
      <c r="G454" s="919"/>
      <c r="H454" s="306">
        <v>6846819.1555555556</v>
      </c>
      <c r="I454" s="306"/>
      <c r="J454" s="962">
        <f>+J453*$J$328/$J$327</f>
        <v>8587312.7938028183</v>
      </c>
      <c r="K454" s="919">
        <f>+K453*K328/K327</f>
        <v>3076704.5704845814</v>
      </c>
      <c r="L454" s="313">
        <v>4255250.9265447501</v>
      </c>
      <c r="M454" s="315">
        <v>3789420.8601050898</v>
      </c>
      <c r="N454" s="962">
        <v>9261362.3088257108</v>
      </c>
      <c r="O454" s="1311"/>
      <c r="P454" s="1311"/>
      <c r="Q454" s="1311"/>
      <c r="R454" s="1311"/>
      <c r="S454" s="1311"/>
      <c r="T454" s="1311"/>
      <c r="U454" s="1311"/>
      <c r="V454" s="1311"/>
      <c r="W454" s="1311"/>
      <c r="X454" s="1311"/>
      <c r="Y454" s="1311"/>
      <c r="Z454" s="1394"/>
      <c r="AA454" s="195"/>
      <c r="AB454" s="195"/>
      <c r="AC454" s="196"/>
      <c r="AD454" s="196"/>
      <c r="AE454" s="196"/>
      <c r="AF454" s="196"/>
      <c r="AG454" s="196"/>
      <c r="AH454" s="196"/>
      <c r="AI454" s="196"/>
      <c r="AJ454" s="196"/>
      <c r="AK454" s="196"/>
      <c r="AL454" s="197"/>
      <c r="AM454" s="197"/>
      <c r="AN454" s="197"/>
      <c r="AO454" s="195"/>
      <c r="AP454" s="195"/>
      <c r="AQ454" s="195"/>
      <c r="AR454" s="195"/>
      <c r="AS454" s="195"/>
      <c r="AT454" s="195"/>
      <c r="AU454" s="195"/>
    </row>
    <row r="455" spans="1:47" ht="11.25" customHeight="1" x14ac:dyDescent="0.25">
      <c r="A455" s="1406"/>
      <c r="B455" s="1311"/>
      <c r="C455" s="1311"/>
      <c r="D455" s="922" t="s">
        <v>299</v>
      </c>
      <c r="E455" s="919"/>
      <c r="F455" s="289"/>
      <c r="G455" s="289"/>
      <c r="H455" s="289"/>
      <c r="I455" s="289"/>
      <c r="J455" s="919"/>
      <c r="K455" s="305"/>
      <c r="L455" s="932"/>
      <c r="M455" s="932"/>
      <c r="N455" s="932"/>
      <c r="O455" s="1311"/>
      <c r="P455" s="1311"/>
      <c r="Q455" s="1311"/>
      <c r="R455" s="1311"/>
      <c r="S455" s="1311"/>
      <c r="T455" s="1311"/>
      <c r="U455" s="1311"/>
      <c r="V455" s="1311"/>
      <c r="W455" s="1311"/>
      <c r="X455" s="1311"/>
      <c r="Y455" s="1311"/>
      <c r="Z455" s="1394"/>
      <c r="AA455" s="195"/>
      <c r="AB455" s="195"/>
      <c r="AC455" s="196"/>
      <c r="AD455" s="196"/>
      <c r="AE455" s="196"/>
      <c r="AF455" s="196"/>
      <c r="AG455" s="196"/>
      <c r="AH455" s="196"/>
      <c r="AI455" s="196"/>
      <c r="AJ455" s="196"/>
      <c r="AK455" s="196"/>
      <c r="AL455" s="197"/>
      <c r="AM455" s="197"/>
      <c r="AN455" s="197"/>
      <c r="AO455" s="195"/>
      <c r="AP455" s="195"/>
      <c r="AQ455" s="195"/>
      <c r="AR455" s="195"/>
      <c r="AS455" s="195"/>
      <c r="AT455" s="195"/>
      <c r="AU455" s="195"/>
    </row>
    <row r="456" spans="1:47" ht="6" customHeight="1" x14ac:dyDescent="0.25">
      <c r="A456" s="1406"/>
      <c r="B456" s="1311"/>
      <c r="C456" s="1311"/>
      <c r="D456" s="1396" t="s">
        <v>302</v>
      </c>
      <c r="E456" s="1317"/>
      <c r="F456" s="1317"/>
      <c r="G456" s="1317"/>
      <c r="H456" s="1317"/>
      <c r="I456" s="919"/>
      <c r="J456" s="1317"/>
      <c r="K456" s="1317"/>
      <c r="L456" s="1390"/>
      <c r="M456" s="1317"/>
      <c r="N456" s="1317"/>
      <c r="O456" s="1311"/>
      <c r="P456" s="1311"/>
      <c r="Q456" s="1311"/>
      <c r="R456" s="1311"/>
      <c r="S456" s="1311"/>
      <c r="T456" s="1311"/>
      <c r="U456" s="1311"/>
      <c r="V456" s="1311"/>
      <c r="W456" s="1311"/>
      <c r="X456" s="1311"/>
      <c r="Y456" s="1311"/>
      <c r="Z456" s="1394"/>
      <c r="AA456" s="195"/>
      <c r="AB456" s="195"/>
      <c r="AC456" s="196"/>
      <c r="AD456" s="196"/>
      <c r="AE456" s="196"/>
      <c r="AF456" s="196"/>
      <c r="AG456" s="196"/>
      <c r="AH456" s="196"/>
      <c r="AI456" s="196"/>
      <c r="AJ456" s="196"/>
      <c r="AK456" s="196"/>
      <c r="AL456" s="197"/>
      <c r="AM456" s="197"/>
      <c r="AN456" s="197"/>
      <c r="AO456" s="195"/>
      <c r="AP456" s="195"/>
      <c r="AQ456" s="195"/>
      <c r="AR456" s="195"/>
      <c r="AS456" s="195"/>
      <c r="AT456" s="195"/>
      <c r="AU456" s="195"/>
    </row>
    <row r="457" spans="1:47" ht="8.25" customHeight="1" x14ac:dyDescent="0.25">
      <c r="A457" s="1406"/>
      <c r="B457" s="1311"/>
      <c r="C457" s="1311"/>
      <c r="D457" s="1311"/>
      <c r="E457" s="1317"/>
      <c r="F457" s="1311"/>
      <c r="G457" s="1311"/>
      <c r="H457" s="1311"/>
      <c r="I457" s="906"/>
      <c r="J457" s="1311"/>
      <c r="K457" s="1311"/>
      <c r="L457" s="1391"/>
      <c r="M457" s="1311"/>
      <c r="N457" s="1311"/>
      <c r="O457" s="1311"/>
      <c r="P457" s="1311"/>
      <c r="Q457" s="1311"/>
      <c r="R457" s="1311"/>
      <c r="S457" s="1311"/>
      <c r="T457" s="1311"/>
      <c r="U457" s="1311"/>
      <c r="V457" s="1311"/>
      <c r="W457" s="1311"/>
      <c r="X457" s="1311"/>
      <c r="Y457" s="1311"/>
      <c r="Z457" s="1394"/>
      <c r="AA457" s="195"/>
      <c r="AB457" s="195"/>
      <c r="AC457" s="196"/>
      <c r="AD457" s="196"/>
      <c r="AE457" s="196"/>
      <c r="AF457" s="196"/>
      <c r="AG457" s="196"/>
      <c r="AH457" s="196"/>
      <c r="AI457" s="196"/>
      <c r="AJ457" s="196"/>
      <c r="AK457" s="196"/>
      <c r="AL457" s="197"/>
      <c r="AM457" s="197"/>
      <c r="AN457" s="197"/>
      <c r="AO457" s="195"/>
      <c r="AP457" s="195"/>
      <c r="AQ457" s="195"/>
      <c r="AR457" s="195"/>
      <c r="AS457" s="195"/>
      <c r="AT457" s="195"/>
      <c r="AU457" s="195"/>
    </row>
    <row r="458" spans="1:47" ht="8.25" customHeight="1" x14ac:dyDescent="0.25">
      <c r="A458" s="1406"/>
      <c r="B458" s="1311"/>
      <c r="C458" s="1311"/>
      <c r="D458" s="1311"/>
      <c r="E458" s="1317"/>
      <c r="F458" s="1311"/>
      <c r="G458" s="1311"/>
      <c r="H458" s="1311"/>
      <c r="I458" s="906"/>
      <c r="J458" s="1311"/>
      <c r="K458" s="1311"/>
      <c r="L458" s="1391"/>
      <c r="M458" s="1311"/>
      <c r="N458" s="1311"/>
      <c r="O458" s="1311"/>
      <c r="P458" s="1311"/>
      <c r="Q458" s="1311"/>
      <c r="R458" s="1311"/>
      <c r="S458" s="1311"/>
      <c r="T458" s="1311"/>
      <c r="U458" s="1311"/>
      <c r="V458" s="1311"/>
      <c r="W458" s="1311"/>
      <c r="X458" s="1311"/>
      <c r="Y458" s="1311"/>
      <c r="Z458" s="1394"/>
      <c r="AA458" s="195"/>
      <c r="AB458" s="195"/>
      <c r="AC458" s="196"/>
      <c r="AD458" s="196"/>
      <c r="AE458" s="196"/>
      <c r="AF458" s="196"/>
      <c r="AG458" s="196"/>
      <c r="AH458" s="196"/>
      <c r="AI458" s="196"/>
      <c r="AJ458" s="196"/>
      <c r="AK458" s="196"/>
      <c r="AL458" s="197"/>
      <c r="AM458" s="197"/>
      <c r="AN458" s="197"/>
      <c r="AO458" s="195"/>
      <c r="AP458" s="195"/>
      <c r="AQ458" s="195"/>
      <c r="AR458" s="195"/>
      <c r="AS458" s="195"/>
      <c r="AT458" s="195"/>
      <c r="AU458" s="195"/>
    </row>
    <row r="459" spans="1:47" ht="11.25" customHeight="1" x14ac:dyDescent="0.25">
      <c r="A459" s="1406"/>
      <c r="B459" s="1311"/>
      <c r="C459" s="1311"/>
      <c r="D459" s="1311"/>
      <c r="E459" s="1317"/>
      <c r="F459" s="1311"/>
      <c r="G459" s="1311"/>
      <c r="H459" s="1311"/>
      <c r="I459" s="906"/>
      <c r="J459" s="1311"/>
      <c r="K459" s="1311"/>
      <c r="L459" s="1392"/>
      <c r="M459" s="1311"/>
      <c r="N459" s="1311"/>
      <c r="O459" s="1311"/>
      <c r="P459" s="1311"/>
      <c r="Q459" s="1311"/>
      <c r="R459" s="1311"/>
      <c r="S459" s="1311"/>
      <c r="T459" s="1311"/>
      <c r="U459" s="1311"/>
      <c r="V459" s="1311"/>
      <c r="W459" s="1311"/>
      <c r="X459" s="1311"/>
      <c r="Y459" s="1311"/>
      <c r="Z459" s="1394"/>
      <c r="AA459" s="195"/>
      <c r="AB459" s="195"/>
      <c r="AC459" s="196"/>
      <c r="AD459" s="196"/>
      <c r="AE459" s="196"/>
      <c r="AF459" s="196"/>
      <c r="AG459" s="196"/>
      <c r="AH459" s="196"/>
      <c r="AI459" s="196"/>
      <c r="AJ459" s="196"/>
      <c r="AK459" s="196"/>
      <c r="AL459" s="197"/>
      <c r="AM459" s="197"/>
      <c r="AN459" s="197"/>
      <c r="AO459" s="195"/>
      <c r="AP459" s="195"/>
      <c r="AQ459" s="195"/>
      <c r="AR459" s="195"/>
      <c r="AS459" s="195"/>
      <c r="AT459" s="195"/>
      <c r="AU459" s="195"/>
    </row>
    <row r="460" spans="1:47" ht="11.25" customHeight="1" x14ac:dyDescent="0.25">
      <c r="A460" s="1406"/>
      <c r="B460" s="1311"/>
      <c r="C460" s="1318" t="s">
        <v>363</v>
      </c>
      <c r="D460" s="290" t="s">
        <v>288</v>
      </c>
      <c r="E460" s="304">
        <v>17.5</v>
      </c>
      <c r="F460" s="304"/>
      <c r="G460" s="304"/>
      <c r="H460" s="304">
        <v>67.73</v>
      </c>
      <c r="I460" s="304"/>
      <c r="J460" s="304">
        <v>102.47</v>
      </c>
      <c r="K460" s="307">
        <f>E460</f>
        <v>17.5</v>
      </c>
      <c r="L460" s="303">
        <v>48.64</v>
      </c>
      <c r="M460" s="316">
        <v>67.73</v>
      </c>
      <c r="N460" s="933">
        <v>102.47</v>
      </c>
      <c r="O460" s="1317" t="s">
        <v>377</v>
      </c>
      <c r="P460" s="1318" t="s">
        <v>86</v>
      </c>
      <c r="Q460" s="1310" t="s">
        <v>86</v>
      </c>
      <c r="R460" s="1318" t="s">
        <v>86</v>
      </c>
      <c r="S460" s="1310" t="s">
        <v>290</v>
      </c>
      <c r="T460" s="1393">
        <v>578977</v>
      </c>
      <c r="U460" s="1393">
        <v>608338</v>
      </c>
      <c r="V460" s="1310"/>
      <c r="W460" s="1310" t="s">
        <v>291</v>
      </c>
      <c r="X460" s="1310" t="s">
        <v>292</v>
      </c>
      <c r="Y460" s="1310" t="s">
        <v>293</v>
      </c>
      <c r="Z460" s="1315">
        <v>7878783</v>
      </c>
      <c r="AA460" s="195"/>
      <c r="AB460" s="195"/>
      <c r="AC460" s="196"/>
      <c r="AD460" s="196"/>
      <c r="AE460" s="196"/>
      <c r="AF460" s="196"/>
      <c r="AG460" s="196"/>
      <c r="AH460" s="196"/>
      <c r="AI460" s="196"/>
      <c r="AJ460" s="196"/>
      <c r="AK460" s="196"/>
      <c r="AL460" s="197"/>
      <c r="AM460" s="197"/>
      <c r="AN460" s="197"/>
      <c r="AO460" s="195"/>
      <c r="AP460" s="195"/>
      <c r="AQ460" s="195"/>
      <c r="AR460" s="195"/>
      <c r="AS460" s="195"/>
      <c r="AT460" s="195"/>
      <c r="AU460" s="195"/>
    </row>
    <row r="461" spans="1:47" ht="11.25" customHeight="1" x14ac:dyDescent="0.25">
      <c r="A461" s="1406"/>
      <c r="B461" s="1311"/>
      <c r="C461" s="1311"/>
      <c r="D461" s="922" t="s">
        <v>296</v>
      </c>
      <c r="E461" s="314">
        <v>4708567</v>
      </c>
      <c r="F461" s="919"/>
      <c r="G461" s="919"/>
      <c r="H461" s="306">
        <v>18221416.951111112</v>
      </c>
      <c r="I461" s="306"/>
      <c r="J461" s="962">
        <f>+J460*$J$328/$J$327</f>
        <v>31381666.975070421</v>
      </c>
      <c r="K461" s="919">
        <f>+K460*K328/K327</f>
        <v>9462623.8986784145</v>
      </c>
      <c r="L461" s="313">
        <v>18300212.6496142</v>
      </c>
      <c r="M461" s="315">
        <v>10084773.078778701</v>
      </c>
      <c r="N461" s="962">
        <v>33844928.523016103</v>
      </c>
      <c r="O461" s="1311"/>
      <c r="P461" s="1311"/>
      <c r="Q461" s="1311"/>
      <c r="R461" s="1311"/>
      <c r="S461" s="1311"/>
      <c r="T461" s="1311"/>
      <c r="U461" s="1311"/>
      <c r="V461" s="1311"/>
      <c r="W461" s="1311"/>
      <c r="X461" s="1311"/>
      <c r="Y461" s="1311"/>
      <c r="Z461" s="1394"/>
      <c r="AA461" s="195"/>
      <c r="AB461" s="195"/>
      <c r="AC461" s="196"/>
      <c r="AD461" s="196"/>
      <c r="AE461" s="196"/>
      <c r="AF461" s="196"/>
      <c r="AG461" s="196"/>
      <c r="AH461" s="196"/>
      <c r="AI461" s="196"/>
      <c r="AJ461" s="196"/>
      <c r="AK461" s="196"/>
      <c r="AL461" s="197"/>
      <c r="AM461" s="197"/>
      <c r="AN461" s="197"/>
      <c r="AO461" s="195"/>
      <c r="AP461" s="195"/>
      <c r="AQ461" s="195"/>
      <c r="AR461" s="195"/>
      <c r="AS461" s="195"/>
      <c r="AT461" s="195"/>
      <c r="AU461" s="195"/>
    </row>
    <row r="462" spans="1:47" ht="11.25" customHeight="1" x14ac:dyDescent="0.25">
      <c r="A462" s="1406"/>
      <c r="B462" s="1311"/>
      <c r="C462" s="1311"/>
      <c r="D462" s="922" t="s">
        <v>299</v>
      </c>
      <c r="E462" s="919"/>
      <c r="F462" s="289"/>
      <c r="G462" s="289"/>
      <c r="H462" s="289"/>
      <c r="I462" s="289"/>
      <c r="J462" s="919"/>
      <c r="K462" s="305"/>
      <c r="L462" s="932"/>
      <c r="M462" s="932"/>
      <c r="N462" s="932"/>
      <c r="O462" s="1311"/>
      <c r="P462" s="1311"/>
      <c r="Q462" s="1311"/>
      <c r="R462" s="1311"/>
      <c r="S462" s="1311"/>
      <c r="T462" s="1311"/>
      <c r="U462" s="1311"/>
      <c r="V462" s="1311"/>
      <c r="W462" s="1311"/>
      <c r="X462" s="1311"/>
      <c r="Y462" s="1311"/>
      <c r="Z462" s="1394"/>
      <c r="AA462" s="195"/>
      <c r="AB462" s="195"/>
      <c r="AC462" s="196"/>
      <c r="AD462" s="196"/>
      <c r="AE462" s="196"/>
      <c r="AF462" s="196"/>
      <c r="AG462" s="196"/>
      <c r="AH462" s="196"/>
      <c r="AI462" s="196"/>
      <c r="AJ462" s="196"/>
      <c r="AK462" s="196"/>
      <c r="AL462" s="197"/>
      <c r="AM462" s="197"/>
      <c r="AN462" s="197"/>
      <c r="AO462" s="195"/>
      <c r="AP462" s="195"/>
      <c r="AQ462" s="195"/>
      <c r="AR462" s="195"/>
      <c r="AS462" s="195"/>
      <c r="AT462" s="195"/>
      <c r="AU462" s="195"/>
    </row>
    <row r="463" spans="1:47" ht="8.25" customHeight="1" x14ac:dyDescent="0.25">
      <c r="A463" s="1406"/>
      <c r="B463" s="1311"/>
      <c r="C463" s="1311"/>
      <c r="D463" s="1396" t="s">
        <v>302</v>
      </c>
      <c r="E463" s="1317"/>
      <c r="F463" s="1317"/>
      <c r="G463" s="1317"/>
      <c r="H463" s="1317"/>
      <c r="I463" s="919"/>
      <c r="J463" s="1317"/>
      <c r="K463" s="1317"/>
      <c r="L463" s="1390"/>
      <c r="M463" s="1317"/>
      <c r="N463" s="1317"/>
      <c r="O463" s="1311"/>
      <c r="P463" s="1311"/>
      <c r="Q463" s="1311"/>
      <c r="R463" s="1311"/>
      <c r="S463" s="1311"/>
      <c r="T463" s="1311"/>
      <c r="U463" s="1311"/>
      <c r="V463" s="1311"/>
      <c r="W463" s="1311"/>
      <c r="X463" s="1311"/>
      <c r="Y463" s="1311"/>
      <c r="Z463" s="1394"/>
      <c r="AA463" s="195"/>
      <c r="AB463" s="195"/>
      <c r="AC463" s="196"/>
      <c r="AD463" s="196"/>
      <c r="AE463" s="196"/>
      <c r="AF463" s="196"/>
      <c r="AG463" s="196"/>
      <c r="AH463" s="196"/>
      <c r="AI463" s="196"/>
      <c r="AJ463" s="196"/>
      <c r="AK463" s="196"/>
      <c r="AL463" s="197"/>
      <c r="AM463" s="197"/>
      <c r="AN463" s="197"/>
      <c r="AO463" s="195"/>
      <c r="AP463" s="195"/>
      <c r="AQ463" s="195"/>
      <c r="AR463" s="195"/>
      <c r="AS463" s="195"/>
      <c r="AT463" s="195"/>
      <c r="AU463" s="195"/>
    </row>
    <row r="464" spans="1:47" ht="8.25" customHeight="1" x14ac:dyDescent="0.25">
      <c r="A464" s="1406"/>
      <c r="B464" s="1311"/>
      <c r="C464" s="1311"/>
      <c r="D464" s="1311"/>
      <c r="E464" s="1317"/>
      <c r="F464" s="1311"/>
      <c r="G464" s="1311"/>
      <c r="H464" s="1311"/>
      <c r="I464" s="906"/>
      <c r="J464" s="1311"/>
      <c r="K464" s="1311"/>
      <c r="L464" s="1391"/>
      <c r="M464" s="1311"/>
      <c r="N464" s="1311"/>
      <c r="O464" s="1311"/>
      <c r="P464" s="1311"/>
      <c r="Q464" s="1311"/>
      <c r="R464" s="1311"/>
      <c r="S464" s="1311"/>
      <c r="T464" s="1311"/>
      <c r="U464" s="1311"/>
      <c r="V464" s="1311"/>
      <c r="W464" s="1311"/>
      <c r="X464" s="1311"/>
      <c r="Y464" s="1311"/>
      <c r="Z464" s="1394"/>
      <c r="AA464" s="195"/>
      <c r="AB464" s="195"/>
      <c r="AC464" s="196"/>
      <c r="AD464" s="196"/>
      <c r="AE464" s="196"/>
      <c r="AF464" s="196"/>
      <c r="AG464" s="196"/>
      <c r="AH464" s="196"/>
      <c r="AI464" s="196"/>
      <c r="AJ464" s="196"/>
      <c r="AK464" s="196"/>
      <c r="AL464" s="197"/>
      <c r="AM464" s="197"/>
      <c r="AN464" s="197"/>
      <c r="AO464" s="195"/>
      <c r="AP464" s="195"/>
      <c r="AQ464" s="195"/>
      <c r="AR464" s="195"/>
      <c r="AS464" s="195"/>
      <c r="AT464" s="195"/>
      <c r="AU464" s="195"/>
    </row>
    <row r="465" spans="1:84" ht="8.25" customHeight="1" x14ac:dyDescent="0.25">
      <c r="A465" s="1406"/>
      <c r="B465" s="1311"/>
      <c r="C465" s="1311"/>
      <c r="D465" s="1311"/>
      <c r="E465" s="1317"/>
      <c r="F465" s="1311"/>
      <c r="G465" s="1311"/>
      <c r="H465" s="1311"/>
      <c r="I465" s="906"/>
      <c r="J465" s="1311"/>
      <c r="K465" s="1311"/>
      <c r="L465" s="1391"/>
      <c r="M465" s="1311"/>
      <c r="N465" s="1311"/>
      <c r="O465" s="1311"/>
      <c r="P465" s="1311"/>
      <c r="Q465" s="1311"/>
      <c r="R465" s="1311"/>
      <c r="S465" s="1311"/>
      <c r="T465" s="1311"/>
      <c r="U465" s="1311"/>
      <c r="V465" s="1311"/>
      <c r="W465" s="1311"/>
      <c r="X465" s="1311"/>
      <c r="Y465" s="1311"/>
      <c r="Z465" s="1394"/>
      <c r="AA465" s="195"/>
      <c r="AB465" s="195"/>
      <c r="AC465" s="196"/>
      <c r="AD465" s="196"/>
      <c r="AE465" s="196"/>
      <c r="AF465" s="196"/>
      <c r="AG465" s="196"/>
      <c r="AH465" s="196"/>
      <c r="AI465" s="196"/>
      <c r="AJ465" s="196"/>
      <c r="AK465" s="196"/>
      <c r="AL465" s="197"/>
      <c r="AM465" s="197"/>
      <c r="AN465" s="197"/>
      <c r="AO465" s="195"/>
      <c r="AP465" s="195"/>
      <c r="AQ465" s="195"/>
      <c r="AR465" s="195"/>
      <c r="AS465" s="195"/>
      <c r="AT465" s="195"/>
      <c r="AU465" s="195"/>
    </row>
    <row r="466" spans="1:84" ht="11.25" customHeight="1" x14ac:dyDescent="0.25">
      <c r="A466" s="1406"/>
      <c r="B466" s="1311"/>
      <c r="C466" s="1311"/>
      <c r="D466" s="1311"/>
      <c r="E466" s="1317"/>
      <c r="F466" s="1311"/>
      <c r="G466" s="1311"/>
      <c r="H466" s="1311"/>
      <c r="I466" s="906"/>
      <c r="J466" s="1311"/>
      <c r="K466" s="1311"/>
      <c r="L466" s="1392"/>
      <c r="M466" s="1311"/>
      <c r="N466" s="1311"/>
      <c r="O466" s="1311"/>
      <c r="P466" s="1311"/>
      <c r="Q466" s="1311"/>
      <c r="R466" s="1311"/>
      <c r="S466" s="1311"/>
      <c r="T466" s="1311"/>
      <c r="U466" s="1311"/>
      <c r="V466" s="1311"/>
      <c r="W466" s="1311"/>
      <c r="X466" s="1311"/>
      <c r="Y466" s="1311"/>
      <c r="Z466" s="1394"/>
      <c r="AA466" s="195"/>
      <c r="AB466" s="195"/>
      <c r="AC466" s="196"/>
      <c r="AD466" s="196"/>
      <c r="AE466" s="196"/>
      <c r="AF466" s="196"/>
      <c r="AG466" s="196"/>
      <c r="AH466" s="196"/>
      <c r="AI466" s="196"/>
      <c r="AJ466" s="196"/>
      <c r="AK466" s="196"/>
      <c r="AL466" s="197"/>
      <c r="AM466" s="197"/>
      <c r="AN466" s="197"/>
      <c r="AO466" s="195"/>
      <c r="AP466" s="195"/>
      <c r="AQ466" s="195"/>
      <c r="AR466" s="195"/>
      <c r="AS466" s="195"/>
      <c r="AT466" s="195"/>
      <c r="AU466" s="195"/>
    </row>
    <row r="467" spans="1:84" ht="11.25" customHeight="1" x14ac:dyDescent="0.25">
      <c r="A467" s="1406"/>
      <c r="B467" s="1311"/>
      <c r="C467" s="1318" t="s">
        <v>363</v>
      </c>
      <c r="D467" s="290" t="s">
        <v>288</v>
      </c>
      <c r="E467" s="304">
        <v>76.45</v>
      </c>
      <c r="F467" s="304"/>
      <c r="G467" s="304"/>
      <c r="H467" s="304">
        <v>141.03</v>
      </c>
      <c r="I467" s="304"/>
      <c r="J467" s="304">
        <v>184.96</v>
      </c>
      <c r="K467" s="307">
        <f>E467</f>
        <v>76.45</v>
      </c>
      <c r="L467" s="303">
        <v>84.29</v>
      </c>
      <c r="M467" s="316">
        <v>141.03</v>
      </c>
      <c r="N467" s="933">
        <v>184.96</v>
      </c>
      <c r="O467" s="1317" t="s">
        <v>358</v>
      </c>
      <c r="P467" s="1318" t="s">
        <v>86</v>
      </c>
      <c r="Q467" s="1310" t="s">
        <v>86</v>
      </c>
      <c r="R467" s="1318" t="s">
        <v>86</v>
      </c>
      <c r="S467" s="1310" t="s">
        <v>290</v>
      </c>
      <c r="T467" s="1393">
        <v>190484</v>
      </c>
      <c r="U467" s="1393">
        <v>213035</v>
      </c>
      <c r="V467" s="1310"/>
      <c r="W467" s="1310" t="s">
        <v>291</v>
      </c>
      <c r="X467" s="1310" t="s">
        <v>292</v>
      </c>
      <c r="Y467" s="1310" t="s">
        <v>293</v>
      </c>
      <c r="Z467" s="1315">
        <v>7878783</v>
      </c>
      <c r="AA467" s="195"/>
      <c r="AB467" s="195"/>
      <c r="AC467" s="196"/>
      <c r="AD467" s="196"/>
      <c r="AE467" s="196"/>
      <c r="AF467" s="196"/>
      <c r="AG467" s="196"/>
      <c r="AH467" s="196"/>
      <c r="AI467" s="196"/>
      <c r="AJ467" s="196"/>
      <c r="AK467" s="196"/>
      <c r="AL467" s="197"/>
      <c r="AM467" s="197"/>
      <c r="AN467" s="197"/>
      <c r="AO467" s="195"/>
      <c r="AP467" s="195"/>
      <c r="AQ467" s="195"/>
      <c r="AR467" s="195"/>
      <c r="AS467" s="195"/>
      <c r="AT467" s="195"/>
      <c r="AU467" s="195"/>
    </row>
    <row r="468" spans="1:84" ht="11.25" customHeight="1" x14ac:dyDescent="0.25">
      <c r="A468" s="1406"/>
      <c r="B468" s="1311"/>
      <c r="C468" s="1311"/>
      <c r="D468" s="922" t="s">
        <v>296</v>
      </c>
      <c r="E468" s="314">
        <v>20568577</v>
      </c>
      <c r="F468" s="919"/>
      <c r="G468" s="919"/>
      <c r="H468" s="306">
        <v>37941332.240000002</v>
      </c>
      <c r="I468" s="306"/>
      <c r="J468" s="962">
        <f>+J467*$J$328/$J$327</f>
        <v>56644414.20619718</v>
      </c>
      <c r="K468" s="919">
        <f>+K467*K328/K327</f>
        <v>41338148.403083704</v>
      </c>
      <c r="L468" s="313">
        <v>31713094.659456801</v>
      </c>
      <c r="M468" s="315">
        <v>20998900.742656998</v>
      </c>
      <c r="N468" s="962">
        <v>61090640.964351103</v>
      </c>
      <c r="O468" s="1311"/>
      <c r="P468" s="1311"/>
      <c r="Q468" s="1311"/>
      <c r="R468" s="1311"/>
      <c r="S468" s="1311"/>
      <c r="T468" s="1311"/>
      <c r="U468" s="1311"/>
      <c r="V468" s="1311"/>
      <c r="W468" s="1311"/>
      <c r="X468" s="1311"/>
      <c r="Y468" s="1311"/>
      <c r="Z468" s="1394"/>
      <c r="AA468" s="195"/>
      <c r="AB468" s="195"/>
      <c r="AC468" s="196"/>
      <c r="AD468" s="196"/>
      <c r="AE468" s="196"/>
      <c r="AF468" s="196"/>
      <c r="AG468" s="196"/>
      <c r="AH468" s="196"/>
      <c r="AI468" s="196"/>
      <c r="AJ468" s="196"/>
      <c r="AK468" s="196"/>
      <c r="AL468" s="197"/>
      <c r="AM468" s="197"/>
      <c r="AN468" s="197"/>
      <c r="AO468" s="195"/>
      <c r="AP468" s="195"/>
      <c r="AQ468" s="195"/>
      <c r="AR468" s="195"/>
      <c r="AS468" s="195"/>
      <c r="AT468" s="195"/>
      <c r="AU468" s="195"/>
    </row>
    <row r="469" spans="1:84" ht="11.25" customHeight="1" x14ac:dyDescent="0.25">
      <c r="A469" s="1406"/>
      <c r="B469" s="1311"/>
      <c r="C469" s="1311"/>
      <c r="D469" s="922" t="s">
        <v>299</v>
      </c>
      <c r="E469" s="919"/>
      <c r="F469" s="289"/>
      <c r="G469" s="289"/>
      <c r="H469" s="289"/>
      <c r="I469" s="289"/>
      <c r="J469" s="919"/>
      <c r="K469" s="305"/>
      <c r="L469" s="932"/>
      <c r="M469" s="932"/>
      <c r="N469" s="932"/>
      <c r="O469" s="1311"/>
      <c r="P469" s="1311"/>
      <c r="Q469" s="1311"/>
      <c r="R469" s="1311"/>
      <c r="S469" s="1311"/>
      <c r="T469" s="1311"/>
      <c r="U469" s="1311"/>
      <c r="V469" s="1311"/>
      <c r="W469" s="1311"/>
      <c r="X469" s="1311"/>
      <c r="Y469" s="1311"/>
      <c r="Z469" s="1394"/>
      <c r="AA469" s="195"/>
      <c r="AB469" s="195"/>
      <c r="AC469" s="196"/>
      <c r="AD469" s="196"/>
      <c r="AE469" s="196"/>
      <c r="AF469" s="196"/>
      <c r="AG469" s="196"/>
      <c r="AH469" s="196"/>
      <c r="AI469" s="196"/>
      <c r="AJ469" s="196"/>
      <c r="AK469" s="196"/>
      <c r="AL469" s="197"/>
      <c r="AM469" s="197"/>
      <c r="AN469" s="197"/>
      <c r="AO469" s="195"/>
      <c r="AP469" s="195"/>
      <c r="AQ469" s="195"/>
      <c r="AR469" s="195"/>
      <c r="AS469" s="195"/>
      <c r="AT469" s="195"/>
      <c r="AU469" s="195"/>
    </row>
    <row r="470" spans="1:84" ht="9" customHeight="1" x14ac:dyDescent="0.25">
      <c r="A470" s="1406"/>
      <c r="B470" s="1311"/>
      <c r="C470" s="1311"/>
      <c r="D470" s="1396" t="s">
        <v>302</v>
      </c>
      <c r="E470" s="1317"/>
      <c r="F470" s="1317"/>
      <c r="G470" s="1317"/>
      <c r="H470" s="1317"/>
      <c r="I470" s="919"/>
      <c r="J470" s="1317"/>
      <c r="K470" s="1317"/>
      <c r="L470" s="1390"/>
      <c r="M470" s="1317"/>
      <c r="N470" s="1317"/>
      <c r="O470" s="1311"/>
      <c r="P470" s="1311"/>
      <c r="Q470" s="1311"/>
      <c r="R470" s="1311"/>
      <c r="S470" s="1311"/>
      <c r="T470" s="1311"/>
      <c r="U470" s="1311"/>
      <c r="V470" s="1311"/>
      <c r="W470" s="1311"/>
      <c r="X470" s="1311"/>
      <c r="Y470" s="1311"/>
      <c r="Z470" s="1394"/>
      <c r="AA470" s="195"/>
      <c r="AB470" s="195"/>
      <c r="AC470" s="196"/>
      <c r="AD470" s="196"/>
      <c r="AE470" s="196"/>
      <c r="AF470" s="196"/>
      <c r="AG470" s="196"/>
      <c r="AH470" s="196"/>
      <c r="AI470" s="196"/>
      <c r="AJ470" s="196"/>
      <c r="AK470" s="196"/>
      <c r="AL470" s="197"/>
      <c r="AM470" s="197"/>
      <c r="AN470" s="197"/>
      <c r="AO470" s="195"/>
      <c r="AP470" s="195"/>
      <c r="AQ470" s="195"/>
      <c r="AR470" s="195"/>
      <c r="AS470" s="195"/>
      <c r="AT470" s="195"/>
      <c r="AU470" s="195"/>
    </row>
    <row r="471" spans="1:84" ht="7.5" customHeight="1" x14ac:dyDescent="0.25">
      <c r="A471" s="1406"/>
      <c r="B471" s="1311"/>
      <c r="C471" s="1311"/>
      <c r="D471" s="1311"/>
      <c r="E471" s="1317"/>
      <c r="F471" s="1311"/>
      <c r="G471" s="1311"/>
      <c r="H471" s="1311"/>
      <c r="I471" s="906"/>
      <c r="J471" s="1311"/>
      <c r="K471" s="1311"/>
      <c r="L471" s="1391"/>
      <c r="M471" s="1311"/>
      <c r="N471" s="1311"/>
      <c r="O471" s="1311"/>
      <c r="P471" s="1311"/>
      <c r="Q471" s="1311"/>
      <c r="R471" s="1311"/>
      <c r="S471" s="1311"/>
      <c r="T471" s="1311"/>
      <c r="U471" s="1311"/>
      <c r="V471" s="1311"/>
      <c r="W471" s="1311"/>
      <c r="X471" s="1311"/>
      <c r="Y471" s="1311"/>
      <c r="Z471" s="1394"/>
      <c r="AA471" s="195"/>
      <c r="AB471" s="195"/>
      <c r="AC471" s="196"/>
      <c r="AD471" s="196"/>
      <c r="AE471" s="196"/>
      <c r="AF471" s="196"/>
      <c r="AG471" s="196"/>
      <c r="AH471" s="196"/>
      <c r="AI471" s="196"/>
      <c r="AJ471" s="196"/>
      <c r="AK471" s="196"/>
      <c r="AL471" s="197"/>
      <c r="AM471" s="197"/>
      <c r="AN471" s="197"/>
      <c r="AO471" s="195"/>
      <c r="AP471" s="195"/>
      <c r="AQ471" s="195"/>
      <c r="AR471" s="195"/>
      <c r="AS471" s="195"/>
      <c r="AT471" s="195"/>
      <c r="AU471" s="195"/>
    </row>
    <row r="472" spans="1:84" ht="12" customHeight="1" x14ac:dyDescent="0.25">
      <c r="A472" s="1406"/>
      <c r="B472" s="1311"/>
      <c r="C472" s="1311"/>
      <c r="D472" s="1311"/>
      <c r="E472" s="1317"/>
      <c r="F472" s="1311"/>
      <c r="G472" s="1311"/>
      <c r="H472" s="1311"/>
      <c r="I472" s="906"/>
      <c r="J472" s="1311"/>
      <c r="K472" s="1311"/>
      <c r="L472" s="1391"/>
      <c r="M472" s="1311"/>
      <c r="N472" s="1311"/>
      <c r="O472" s="1311"/>
      <c r="P472" s="1311"/>
      <c r="Q472" s="1311"/>
      <c r="R472" s="1311"/>
      <c r="S472" s="1311"/>
      <c r="T472" s="1311"/>
      <c r="U472" s="1311"/>
      <c r="V472" s="1311"/>
      <c r="W472" s="1311"/>
      <c r="X472" s="1311"/>
      <c r="Y472" s="1311"/>
      <c r="Z472" s="1394"/>
      <c r="AA472" s="195"/>
      <c r="AB472" s="195"/>
      <c r="AC472" s="196"/>
      <c r="AD472" s="196"/>
      <c r="AE472" s="196"/>
      <c r="AF472" s="196"/>
      <c r="AG472" s="196"/>
      <c r="AH472" s="196"/>
      <c r="AI472" s="196"/>
      <c r="AJ472" s="196"/>
      <c r="AK472" s="196"/>
      <c r="AL472" s="197"/>
      <c r="AM472" s="197"/>
      <c r="AN472" s="197"/>
      <c r="AO472" s="195"/>
      <c r="AP472" s="195"/>
      <c r="AQ472" s="195"/>
      <c r="AR472" s="195"/>
      <c r="AS472" s="195"/>
      <c r="AT472" s="195"/>
      <c r="AU472" s="195"/>
    </row>
    <row r="473" spans="1:84" ht="8.25" customHeight="1" x14ac:dyDescent="0.25">
      <c r="A473" s="1406"/>
      <c r="B473" s="1311"/>
      <c r="C473" s="1311"/>
      <c r="D473" s="1311"/>
      <c r="E473" s="1317"/>
      <c r="F473" s="1311"/>
      <c r="G473" s="1311"/>
      <c r="H473" s="1311"/>
      <c r="I473" s="906"/>
      <c r="J473" s="1311"/>
      <c r="K473" s="1311"/>
      <c r="L473" s="1392"/>
      <c r="M473" s="1311"/>
      <c r="N473" s="1311"/>
      <c r="O473" s="1311"/>
      <c r="P473" s="1311"/>
      <c r="Q473" s="1311"/>
      <c r="R473" s="1311"/>
      <c r="S473" s="1311"/>
      <c r="T473" s="1311"/>
      <c r="U473" s="1311"/>
      <c r="V473" s="1311"/>
      <c r="W473" s="1311"/>
      <c r="X473" s="1311"/>
      <c r="Y473" s="1311"/>
      <c r="Z473" s="1394"/>
      <c r="AA473" s="195"/>
      <c r="AB473" s="195"/>
      <c r="AC473" s="196"/>
      <c r="AD473" s="196"/>
      <c r="AE473" s="196"/>
      <c r="AF473" s="196"/>
      <c r="AG473" s="196"/>
      <c r="AH473" s="196"/>
      <c r="AI473" s="196"/>
      <c r="AJ473" s="196"/>
      <c r="AK473" s="196"/>
      <c r="AL473" s="197"/>
      <c r="AM473" s="197"/>
      <c r="AN473" s="197"/>
      <c r="AO473" s="195"/>
      <c r="AP473" s="195"/>
      <c r="AQ473" s="195"/>
      <c r="AR473" s="195"/>
      <c r="AS473" s="195"/>
      <c r="AT473" s="195"/>
      <c r="AU473" s="195"/>
    </row>
    <row r="474" spans="1:84" ht="11.25" customHeight="1" x14ac:dyDescent="0.25">
      <c r="A474" s="1406"/>
      <c r="B474" s="1311"/>
      <c r="C474" s="1318" t="s">
        <v>363</v>
      </c>
      <c r="D474" s="290" t="s">
        <v>288</v>
      </c>
      <c r="E474" s="304">
        <v>26.69</v>
      </c>
      <c r="F474" s="304"/>
      <c r="G474" s="304"/>
      <c r="H474" s="304">
        <v>114.33</v>
      </c>
      <c r="I474" s="304"/>
      <c r="J474" s="304">
        <f>138.31-0.491</f>
        <v>137.81899999999999</v>
      </c>
      <c r="K474" s="307">
        <f>E474</f>
        <v>26.69</v>
      </c>
      <c r="L474" s="303">
        <v>54.49</v>
      </c>
      <c r="M474" s="316">
        <v>114.33000000000001</v>
      </c>
      <c r="N474" s="933">
        <v>138.31</v>
      </c>
      <c r="O474" s="1317" t="s">
        <v>378</v>
      </c>
      <c r="P474" s="1318" t="s">
        <v>86</v>
      </c>
      <c r="Q474" s="1310" t="s">
        <v>86</v>
      </c>
      <c r="R474" s="1318" t="s">
        <v>86</v>
      </c>
      <c r="S474" s="1310" t="s">
        <v>290</v>
      </c>
      <c r="T474" s="1393">
        <v>190484</v>
      </c>
      <c r="U474" s="1393">
        <v>213035</v>
      </c>
      <c r="V474" s="288"/>
      <c r="W474" s="1310" t="s">
        <v>291</v>
      </c>
      <c r="X474" s="1310" t="s">
        <v>292</v>
      </c>
      <c r="Y474" s="1310" t="s">
        <v>293</v>
      </c>
      <c r="Z474" s="1315">
        <v>7878783</v>
      </c>
      <c r="AA474" s="195"/>
      <c r="AB474" s="195"/>
      <c r="AC474" s="196"/>
      <c r="AD474" s="196"/>
      <c r="AE474" s="196"/>
      <c r="AF474" s="196"/>
      <c r="AG474" s="196"/>
      <c r="AH474" s="196"/>
      <c r="AI474" s="196"/>
      <c r="AJ474" s="196"/>
      <c r="AK474" s="196"/>
      <c r="AL474" s="197"/>
      <c r="AM474" s="197"/>
      <c r="AN474" s="197"/>
      <c r="AO474" s="195"/>
      <c r="AP474" s="195"/>
      <c r="AQ474" s="195"/>
      <c r="AR474" s="195"/>
      <c r="AS474" s="195"/>
      <c r="AT474" s="195"/>
      <c r="AU474" s="195"/>
    </row>
    <row r="475" spans="1:84" ht="11.25" customHeight="1" x14ac:dyDescent="0.25">
      <c r="A475" s="1406"/>
      <c r="B475" s="1311"/>
      <c r="C475" s="1311"/>
      <c r="D475" s="922" t="s">
        <v>296</v>
      </c>
      <c r="E475" s="314">
        <v>7180317</v>
      </c>
      <c r="F475" s="919"/>
      <c r="G475" s="919"/>
      <c r="H475" s="306">
        <v>30758225.306666698</v>
      </c>
      <c r="I475" s="306"/>
      <c r="J475" s="962">
        <f>+J474*$J$328/$J$327</f>
        <v>42207377.38691549</v>
      </c>
      <c r="K475" s="919">
        <f>+K474*K328/K327</f>
        <v>14431853.248898679</v>
      </c>
      <c r="L475" s="313">
        <v>20501204.508171801</v>
      </c>
      <c r="M475" s="315">
        <v>17023359.0151597</v>
      </c>
      <c r="N475" s="962">
        <v>45682561.374239802</v>
      </c>
      <c r="O475" s="1311"/>
      <c r="P475" s="1311"/>
      <c r="Q475" s="1311"/>
      <c r="R475" s="1311"/>
      <c r="S475" s="1311"/>
      <c r="T475" s="1311"/>
      <c r="U475" s="1311"/>
      <c r="V475" s="906"/>
      <c r="W475" s="1311"/>
      <c r="X475" s="1311"/>
      <c r="Y475" s="1311"/>
      <c r="Z475" s="1394"/>
      <c r="AA475" s="195"/>
      <c r="AB475" s="195"/>
      <c r="AC475" s="196"/>
      <c r="AD475" s="196"/>
      <c r="AE475" s="196"/>
      <c r="AF475" s="196"/>
      <c r="AG475" s="196"/>
      <c r="AH475" s="196"/>
      <c r="AI475" s="196"/>
      <c r="AJ475" s="196"/>
      <c r="AK475" s="196"/>
      <c r="AL475" s="197"/>
      <c r="AM475" s="197"/>
      <c r="AN475" s="197"/>
      <c r="AO475" s="195"/>
      <c r="AP475" s="195"/>
      <c r="AQ475" s="195"/>
      <c r="AR475" s="195"/>
      <c r="AS475" s="195"/>
      <c r="AT475" s="195"/>
      <c r="AU475" s="195"/>
    </row>
    <row r="476" spans="1:84" ht="11.25" customHeight="1" x14ac:dyDescent="0.25">
      <c r="A476" s="1406"/>
      <c r="B476" s="1311"/>
      <c r="C476" s="1311"/>
      <c r="D476" s="922" t="s">
        <v>299</v>
      </c>
      <c r="E476" s="919"/>
      <c r="F476" s="289"/>
      <c r="G476" s="289"/>
      <c r="H476" s="289"/>
      <c r="I476" s="289"/>
      <c r="J476" s="919"/>
      <c r="K476" s="305"/>
      <c r="L476" s="932"/>
      <c r="M476" s="932"/>
      <c r="N476" s="932"/>
      <c r="O476" s="1311"/>
      <c r="P476" s="1311"/>
      <c r="Q476" s="1311"/>
      <c r="R476" s="1311"/>
      <c r="S476" s="1311"/>
      <c r="T476" s="1311"/>
      <c r="U476" s="1311"/>
      <c r="V476" s="906"/>
      <c r="W476" s="1311"/>
      <c r="X476" s="1311"/>
      <c r="Y476" s="1311"/>
      <c r="Z476" s="1394"/>
      <c r="AA476" s="195"/>
      <c r="AB476" s="195"/>
      <c r="AC476" s="196"/>
      <c r="AD476" s="196"/>
      <c r="AE476" s="196"/>
      <c r="AF476" s="196"/>
      <c r="AG476" s="196"/>
      <c r="AH476" s="196"/>
      <c r="AI476" s="196"/>
      <c r="AJ476" s="196"/>
      <c r="AK476" s="196"/>
      <c r="AL476" s="197"/>
      <c r="AM476" s="197"/>
      <c r="AN476" s="197"/>
      <c r="AO476" s="195"/>
      <c r="AP476" s="195"/>
      <c r="AQ476" s="195"/>
      <c r="AR476" s="195"/>
      <c r="AS476" s="195"/>
      <c r="AT476" s="195"/>
      <c r="AU476" s="195"/>
    </row>
    <row r="477" spans="1:84" ht="11.25" customHeight="1" x14ac:dyDescent="0.25">
      <c r="A477" s="1406"/>
      <c r="B477" s="1311"/>
      <c r="C477" s="1311"/>
      <c r="D477" s="1396" t="s">
        <v>302</v>
      </c>
      <c r="E477" s="1317"/>
      <c r="F477" s="1317"/>
      <c r="G477" s="1317"/>
      <c r="H477" s="1317"/>
      <c r="I477" s="919"/>
      <c r="J477" s="1317"/>
      <c r="K477" s="1317"/>
      <c r="L477" s="1390"/>
      <c r="M477" s="1317"/>
      <c r="N477" s="1317"/>
      <c r="O477" s="1311"/>
      <c r="P477" s="1311"/>
      <c r="Q477" s="1311"/>
      <c r="R477" s="1311"/>
      <c r="S477" s="1311"/>
      <c r="T477" s="1311"/>
      <c r="U477" s="1311"/>
      <c r="V477" s="906"/>
      <c r="W477" s="1311"/>
      <c r="X477" s="1311"/>
      <c r="Y477" s="1311"/>
      <c r="Z477" s="1394"/>
      <c r="AA477" s="204"/>
      <c r="AB477" s="204"/>
      <c r="AC477" s="205"/>
      <c r="AD477" s="205"/>
      <c r="AE477" s="205"/>
      <c r="AF477" s="205"/>
      <c r="AG477" s="205"/>
      <c r="AH477" s="205"/>
      <c r="AI477" s="205"/>
      <c r="AJ477" s="205"/>
      <c r="AK477" s="205"/>
      <c r="AL477" s="206"/>
      <c r="AM477" s="206"/>
      <c r="AN477" s="206"/>
      <c r="AO477" s="204"/>
      <c r="AP477" s="204"/>
      <c r="AQ477" s="204"/>
      <c r="AR477" s="204"/>
      <c r="AS477" s="204"/>
      <c r="AT477" s="204"/>
      <c r="AU477" s="204"/>
      <c r="AV477" s="203"/>
      <c r="AW477" s="203"/>
      <c r="AX477" s="203"/>
      <c r="AY477" s="203"/>
      <c r="AZ477" s="203"/>
      <c r="BA477" s="203"/>
      <c r="BB477" s="203"/>
      <c r="BC477" s="203"/>
      <c r="BD477" s="203"/>
      <c r="BE477" s="203"/>
      <c r="BF477" s="203"/>
      <c r="BG477" s="203"/>
      <c r="BH477" s="203"/>
      <c r="BI477" s="203"/>
      <c r="BJ477" s="203"/>
      <c r="BK477" s="203"/>
      <c r="BL477" s="203"/>
      <c r="BM477" s="203"/>
      <c r="BN477" s="203"/>
      <c r="BO477" s="203"/>
      <c r="BP477" s="203"/>
      <c r="BQ477" s="203"/>
      <c r="BR477" s="203"/>
      <c r="BS477" s="203"/>
      <c r="BT477" s="203"/>
      <c r="BU477" s="203"/>
      <c r="BV477" s="203"/>
      <c r="BW477" s="203"/>
      <c r="BX477" s="203"/>
      <c r="BY477" s="203"/>
      <c r="BZ477" s="203"/>
      <c r="CA477" s="203"/>
      <c r="CB477" s="203"/>
      <c r="CC477" s="203"/>
      <c r="CD477" s="203"/>
      <c r="CE477" s="203"/>
      <c r="CF477" s="203"/>
    </row>
    <row r="478" spans="1:84" ht="5.25" customHeight="1" x14ac:dyDescent="0.25">
      <c r="A478" s="1406"/>
      <c r="B478" s="1311"/>
      <c r="C478" s="1311"/>
      <c r="D478" s="1311"/>
      <c r="E478" s="1317"/>
      <c r="F478" s="1311"/>
      <c r="G478" s="1311"/>
      <c r="H478" s="1311"/>
      <c r="I478" s="906"/>
      <c r="J478" s="1311"/>
      <c r="K478" s="1311"/>
      <c r="L478" s="1391"/>
      <c r="M478" s="1311"/>
      <c r="N478" s="1311"/>
      <c r="O478" s="1311"/>
      <c r="P478" s="1311"/>
      <c r="Q478" s="1311"/>
      <c r="R478" s="1311"/>
      <c r="S478" s="1311"/>
      <c r="T478" s="1311"/>
      <c r="U478" s="1311"/>
      <c r="V478" s="906"/>
      <c r="W478" s="1311"/>
      <c r="X478" s="1311"/>
      <c r="Y478" s="1311"/>
      <c r="Z478" s="1394"/>
      <c r="AA478" s="204"/>
      <c r="AB478" s="204"/>
      <c r="AC478" s="205"/>
      <c r="AD478" s="205"/>
      <c r="AE478" s="205"/>
      <c r="AF478" s="205"/>
      <c r="AG478" s="205"/>
      <c r="AH478" s="205"/>
      <c r="AI478" s="205"/>
      <c r="AJ478" s="205"/>
      <c r="AK478" s="205"/>
      <c r="AL478" s="206"/>
      <c r="AM478" s="206"/>
      <c r="AN478" s="206"/>
      <c r="AO478" s="204"/>
      <c r="AP478" s="204"/>
      <c r="AQ478" s="204"/>
      <c r="AR478" s="204"/>
      <c r="AS478" s="204"/>
      <c r="AT478" s="204"/>
      <c r="AU478" s="204"/>
      <c r="AV478" s="203"/>
      <c r="AW478" s="203"/>
      <c r="AX478" s="203"/>
      <c r="AY478" s="203"/>
      <c r="AZ478" s="203"/>
      <c r="BA478" s="203"/>
      <c r="BB478" s="203"/>
      <c r="BC478" s="203"/>
      <c r="BD478" s="203"/>
      <c r="BE478" s="203"/>
      <c r="BF478" s="203"/>
      <c r="BG478" s="203"/>
      <c r="BH478" s="203"/>
      <c r="BI478" s="203"/>
      <c r="BJ478" s="203"/>
      <c r="BK478" s="203"/>
      <c r="BL478" s="203"/>
      <c r="BM478" s="203"/>
      <c r="BN478" s="203"/>
      <c r="BO478" s="203"/>
      <c r="BP478" s="203"/>
      <c r="BQ478" s="203"/>
      <c r="BR478" s="203"/>
      <c r="BS478" s="203"/>
      <c r="BT478" s="203"/>
      <c r="BU478" s="203"/>
      <c r="BV478" s="203"/>
      <c r="BW478" s="203"/>
      <c r="BX478" s="203"/>
      <c r="BY478" s="203"/>
      <c r="BZ478" s="203"/>
      <c r="CA478" s="203"/>
      <c r="CB478" s="203"/>
      <c r="CC478" s="203"/>
      <c r="CD478" s="203"/>
      <c r="CE478" s="203"/>
      <c r="CF478" s="203"/>
    </row>
    <row r="479" spans="1:84" ht="12" customHeight="1" x14ac:dyDescent="0.25">
      <c r="A479" s="1406"/>
      <c r="B479" s="1311"/>
      <c r="C479" s="1311"/>
      <c r="D479" s="1311"/>
      <c r="E479" s="1317"/>
      <c r="F479" s="1311"/>
      <c r="G479" s="1311"/>
      <c r="H479" s="1311"/>
      <c r="I479" s="906"/>
      <c r="J479" s="1311"/>
      <c r="K479" s="1311"/>
      <c r="L479" s="1391"/>
      <c r="M479" s="1311"/>
      <c r="N479" s="1311"/>
      <c r="O479" s="1311"/>
      <c r="P479" s="1311"/>
      <c r="Q479" s="1311"/>
      <c r="R479" s="1311"/>
      <c r="S479" s="1311"/>
      <c r="T479" s="1311"/>
      <c r="U479" s="1311"/>
      <c r="V479" s="906"/>
      <c r="W479" s="1311"/>
      <c r="X479" s="1311"/>
      <c r="Y479" s="1311"/>
      <c r="Z479" s="1394"/>
      <c r="AA479" s="204"/>
      <c r="AB479" s="204"/>
      <c r="AC479" s="205"/>
      <c r="AD479" s="205"/>
      <c r="AE479" s="205"/>
      <c r="AF479" s="205"/>
      <c r="AG479" s="205"/>
      <c r="AH479" s="205"/>
      <c r="AI479" s="205"/>
      <c r="AJ479" s="205"/>
      <c r="AK479" s="205"/>
      <c r="AL479" s="206"/>
      <c r="AM479" s="206"/>
      <c r="AN479" s="206"/>
      <c r="AO479" s="204"/>
      <c r="AP479" s="204"/>
      <c r="AQ479" s="204"/>
      <c r="AR479" s="204"/>
      <c r="AS479" s="204"/>
      <c r="AT479" s="204"/>
      <c r="AU479" s="204"/>
      <c r="AV479" s="203"/>
      <c r="AW479" s="203"/>
      <c r="AX479" s="203"/>
      <c r="AY479" s="203"/>
      <c r="AZ479" s="203"/>
      <c r="BA479" s="203"/>
      <c r="BB479" s="203"/>
      <c r="BC479" s="203"/>
      <c r="BD479" s="203"/>
      <c r="BE479" s="203"/>
      <c r="BF479" s="203"/>
      <c r="BG479" s="203"/>
      <c r="BH479" s="203"/>
      <c r="BI479" s="203"/>
      <c r="BJ479" s="203"/>
      <c r="BK479" s="203"/>
      <c r="BL479" s="203"/>
      <c r="BM479" s="203"/>
      <c r="BN479" s="203"/>
      <c r="BO479" s="203"/>
      <c r="BP479" s="203"/>
      <c r="BQ479" s="203"/>
      <c r="BR479" s="203"/>
      <c r="BS479" s="203"/>
      <c r="BT479" s="203"/>
      <c r="BU479" s="203"/>
      <c r="BV479" s="203"/>
      <c r="BW479" s="203"/>
      <c r="BX479" s="203"/>
      <c r="BY479" s="203"/>
      <c r="BZ479" s="203"/>
      <c r="CA479" s="203"/>
      <c r="CB479" s="203"/>
      <c r="CC479" s="203"/>
      <c r="CD479" s="203"/>
      <c r="CE479" s="203"/>
      <c r="CF479" s="203"/>
    </row>
    <row r="480" spans="1:84" ht="11.25" customHeight="1" x14ac:dyDescent="0.25">
      <c r="A480" s="1407"/>
      <c r="B480" s="1389"/>
      <c r="C480" s="1389"/>
      <c r="D480" s="1389"/>
      <c r="E480" s="1390"/>
      <c r="F480" s="1389"/>
      <c r="G480" s="1389"/>
      <c r="H480" s="1389"/>
      <c r="I480" s="916"/>
      <c r="J480" s="1389"/>
      <c r="K480" s="1389"/>
      <c r="L480" s="1392"/>
      <c r="M480" s="1389"/>
      <c r="N480" s="1389"/>
      <c r="O480" s="1389"/>
      <c r="P480" s="1389"/>
      <c r="Q480" s="1389"/>
      <c r="R480" s="1389"/>
      <c r="S480" s="1389"/>
      <c r="T480" s="1389"/>
      <c r="U480" s="1389"/>
      <c r="V480" s="916"/>
      <c r="W480" s="1389"/>
      <c r="X480" s="1389"/>
      <c r="Y480" s="1389"/>
      <c r="Z480" s="1395"/>
      <c r="AA480" s="204"/>
      <c r="AB480" s="204"/>
      <c r="AC480" s="205"/>
      <c r="AD480" s="205"/>
      <c r="AE480" s="205"/>
      <c r="AF480" s="205"/>
      <c r="AG480" s="205"/>
      <c r="AH480" s="205"/>
      <c r="AI480" s="205"/>
      <c r="AJ480" s="205"/>
      <c r="AK480" s="205"/>
      <c r="AL480" s="206"/>
      <c r="AM480" s="206"/>
      <c r="AN480" s="206"/>
      <c r="AO480" s="204"/>
      <c r="AP480" s="204"/>
      <c r="AQ480" s="204"/>
      <c r="AR480" s="204"/>
      <c r="AS480" s="204"/>
      <c r="AT480" s="204"/>
      <c r="AU480" s="204"/>
      <c r="AV480" s="203"/>
      <c r="AW480" s="203"/>
      <c r="AX480" s="203"/>
      <c r="AY480" s="203"/>
      <c r="AZ480" s="203"/>
      <c r="BA480" s="203"/>
      <c r="BB480" s="203"/>
      <c r="BC480" s="203"/>
      <c r="BD480" s="203"/>
      <c r="BE480" s="203"/>
      <c r="BF480" s="203"/>
      <c r="BG480" s="203"/>
      <c r="BH480" s="203"/>
      <c r="BI480" s="203"/>
      <c r="BJ480" s="203"/>
      <c r="BK480" s="203"/>
      <c r="BL480" s="203"/>
      <c r="BM480" s="203"/>
      <c r="BN480" s="203"/>
      <c r="BO480" s="203"/>
      <c r="BP480" s="203"/>
      <c r="BQ480" s="203"/>
      <c r="BR480" s="203"/>
      <c r="BS480" s="203"/>
      <c r="BT480" s="203"/>
      <c r="BU480" s="203"/>
      <c r="BV480" s="203"/>
      <c r="BW480" s="203"/>
      <c r="BX480" s="203"/>
      <c r="BY480" s="203"/>
      <c r="BZ480" s="203"/>
      <c r="CA480" s="203"/>
      <c r="CB480" s="203"/>
      <c r="CC480" s="203"/>
      <c r="CD480" s="203"/>
      <c r="CE480" s="203"/>
      <c r="CF480" s="203"/>
    </row>
    <row r="481" spans="1:47" ht="8.25" hidden="1" customHeight="1" x14ac:dyDescent="0.25">
      <c r="A481" s="218"/>
      <c r="B481" s="219"/>
      <c r="C481" s="1386" t="s">
        <v>379</v>
      </c>
      <c r="D481" s="199" t="s">
        <v>288</v>
      </c>
      <c r="E481" s="210"/>
      <c r="F481" s="210"/>
      <c r="G481" s="210"/>
      <c r="H481" s="210">
        <v>0.37</v>
      </c>
      <c r="I481" s="210"/>
      <c r="J481" s="210"/>
      <c r="K481" s="215"/>
      <c r="L481" s="216"/>
      <c r="M481" s="211">
        <v>0.37</v>
      </c>
      <c r="N481" s="905"/>
      <c r="O481" s="1272" t="s">
        <v>380</v>
      </c>
      <c r="P481" s="1316" t="s">
        <v>86</v>
      </c>
      <c r="Q481" s="1328" t="s">
        <v>86</v>
      </c>
      <c r="R481" s="1316" t="s">
        <v>86</v>
      </c>
      <c r="S481" s="1328" t="s">
        <v>290</v>
      </c>
      <c r="T481" s="1354">
        <v>190484</v>
      </c>
      <c r="U481" s="1354">
        <v>213035</v>
      </c>
      <c r="V481" s="926"/>
      <c r="W481" s="1328" t="s">
        <v>291</v>
      </c>
      <c r="X481" s="1328" t="s">
        <v>292</v>
      </c>
      <c r="Y481" s="1328" t="s">
        <v>293</v>
      </c>
      <c r="Z481" s="1329">
        <v>7878783</v>
      </c>
      <c r="AA481" s="195"/>
      <c r="AB481" s="195"/>
      <c r="AC481" s="196"/>
      <c r="AD481" s="196"/>
      <c r="AE481" s="196"/>
      <c r="AF481" s="196"/>
      <c r="AG481" s="196"/>
      <c r="AH481" s="196"/>
      <c r="AI481" s="196"/>
      <c r="AJ481" s="196"/>
      <c r="AK481" s="196"/>
      <c r="AL481" s="197"/>
      <c r="AM481" s="197"/>
      <c r="AN481" s="197"/>
      <c r="AO481" s="195"/>
      <c r="AP481" s="195"/>
      <c r="AQ481" s="195"/>
      <c r="AR481" s="195"/>
      <c r="AS481" s="195"/>
      <c r="AT481" s="195"/>
      <c r="AU481" s="195"/>
    </row>
    <row r="482" spans="1:47" ht="15.75" hidden="1" customHeight="1" x14ac:dyDescent="0.25">
      <c r="A482" s="218"/>
      <c r="B482" s="219"/>
      <c r="C482" s="1387"/>
      <c r="D482" s="904" t="s">
        <v>296</v>
      </c>
      <c r="E482" s="217"/>
      <c r="F482" s="905"/>
      <c r="G482" s="905"/>
      <c r="H482" s="302">
        <v>99541.182222222225</v>
      </c>
      <c r="I482" s="302"/>
      <c r="J482" s="905"/>
      <c r="K482" s="905"/>
      <c r="L482" s="311"/>
      <c r="M482" s="312">
        <v>55091.776748089644</v>
      </c>
      <c r="N482" s="217"/>
      <c r="O482" s="1269"/>
      <c r="P482" s="1269"/>
      <c r="Q482" s="1269"/>
      <c r="R482" s="1269"/>
      <c r="S482" s="1269"/>
      <c r="T482" s="1269"/>
      <c r="U482" s="1269"/>
      <c r="V482" s="903"/>
      <c r="W482" s="1269"/>
      <c r="X482" s="1269"/>
      <c r="Y482" s="1269"/>
      <c r="Z482" s="1284"/>
      <c r="AA482" s="195"/>
      <c r="AB482" s="195"/>
      <c r="AC482" s="196"/>
      <c r="AD482" s="196"/>
      <c r="AE482" s="196"/>
      <c r="AF482" s="196"/>
      <c r="AG482" s="196"/>
      <c r="AH482" s="196"/>
      <c r="AI482" s="196"/>
      <c r="AJ482" s="196"/>
      <c r="AK482" s="196"/>
      <c r="AL482" s="197"/>
      <c r="AM482" s="197"/>
      <c r="AN482" s="197"/>
      <c r="AO482" s="195"/>
      <c r="AP482" s="195"/>
      <c r="AQ482" s="195"/>
      <c r="AR482" s="195"/>
      <c r="AS482" s="195"/>
      <c r="AT482" s="195"/>
      <c r="AU482" s="195"/>
    </row>
    <row r="483" spans="1:47" ht="8.25" hidden="1" customHeight="1" x14ac:dyDescent="0.25">
      <c r="A483" s="218"/>
      <c r="B483" s="219"/>
      <c r="C483" s="1387"/>
      <c r="D483" s="904" t="s">
        <v>299</v>
      </c>
      <c r="E483" s="905"/>
      <c r="F483" s="198"/>
      <c r="G483" s="198"/>
      <c r="H483" s="198"/>
      <c r="I483" s="198"/>
      <c r="J483" s="905"/>
      <c r="K483" s="214"/>
      <c r="L483" s="909"/>
      <c r="M483" s="909"/>
      <c r="N483" s="909"/>
      <c r="O483" s="1269"/>
      <c r="P483" s="1269"/>
      <c r="Q483" s="1269"/>
      <c r="R483" s="1269"/>
      <c r="S483" s="1269"/>
      <c r="T483" s="1269"/>
      <c r="U483" s="1269"/>
      <c r="V483" s="903"/>
      <c r="W483" s="1269"/>
      <c r="X483" s="1269"/>
      <c r="Y483" s="1269"/>
      <c r="Z483" s="1284"/>
      <c r="AA483" s="195"/>
      <c r="AB483" s="195"/>
      <c r="AC483" s="196"/>
      <c r="AD483" s="196"/>
      <c r="AE483" s="196"/>
      <c r="AF483" s="196"/>
      <c r="AG483" s="196"/>
      <c r="AH483" s="196"/>
      <c r="AI483" s="196"/>
      <c r="AJ483" s="196"/>
      <c r="AK483" s="196"/>
      <c r="AL483" s="197"/>
      <c r="AM483" s="197"/>
      <c r="AN483" s="197"/>
      <c r="AO483" s="195"/>
      <c r="AP483" s="195"/>
      <c r="AQ483" s="195"/>
      <c r="AR483" s="195"/>
      <c r="AS483" s="195"/>
      <c r="AT483" s="195"/>
      <c r="AU483" s="195"/>
    </row>
    <row r="484" spans="1:47" ht="8.25" hidden="1" customHeight="1" x14ac:dyDescent="0.25">
      <c r="A484" s="218"/>
      <c r="B484" s="219"/>
      <c r="C484" s="1387"/>
      <c r="D484" s="1286" t="s">
        <v>302</v>
      </c>
      <c r="E484" s="1272"/>
      <c r="F484" s="1272"/>
      <c r="G484" s="1272"/>
      <c r="H484" s="1272"/>
      <c r="I484" s="905"/>
      <c r="J484" s="1272"/>
      <c r="K484" s="1272"/>
      <c r="L484" s="1297"/>
      <c r="M484" s="1272"/>
      <c r="N484" s="1272"/>
      <c r="O484" s="1269"/>
      <c r="P484" s="1269"/>
      <c r="Q484" s="1269"/>
      <c r="R484" s="1269"/>
      <c r="S484" s="1269"/>
      <c r="T484" s="1269"/>
      <c r="U484" s="1269"/>
      <c r="V484" s="903"/>
      <c r="W484" s="1269"/>
      <c r="X484" s="1269"/>
      <c r="Y484" s="1269"/>
      <c r="Z484" s="1284"/>
      <c r="AA484" s="195"/>
      <c r="AB484" s="195"/>
      <c r="AC484" s="196"/>
      <c r="AD484" s="196"/>
      <c r="AE484" s="196"/>
      <c r="AF484" s="196"/>
      <c r="AG484" s="196"/>
      <c r="AH484" s="196"/>
      <c r="AI484" s="196"/>
      <c r="AJ484" s="196"/>
      <c r="AK484" s="196"/>
      <c r="AL484" s="197"/>
      <c r="AM484" s="197"/>
      <c r="AN484" s="197"/>
      <c r="AO484" s="195"/>
      <c r="AP484" s="195"/>
      <c r="AQ484" s="195"/>
      <c r="AR484" s="195"/>
      <c r="AS484" s="195"/>
      <c r="AT484" s="195"/>
      <c r="AU484" s="195"/>
    </row>
    <row r="485" spans="1:47" ht="8.25" hidden="1" customHeight="1" x14ac:dyDescent="0.25">
      <c r="A485" s="218"/>
      <c r="B485" s="219"/>
      <c r="C485" s="1387"/>
      <c r="D485" s="1269"/>
      <c r="E485" s="1272"/>
      <c r="F485" s="1269"/>
      <c r="G485" s="1269"/>
      <c r="H485" s="1269"/>
      <c r="I485" s="903"/>
      <c r="J485" s="1269"/>
      <c r="K485" s="1269"/>
      <c r="L485" s="1300"/>
      <c r="M485" s="1269"/>
      <c r="N485" s="1269"/>
      <c r="O485" s="1269"/>
      <c r="P485" s="1269"/>
      <c r="Q485" s="1269"/>
      <c r="R485" s="1269"/>
      <c r="S485" s="1269"/>
      <c r="T485" s="1269"/>
      <c r="U485" s="1269"/>
      <c r="V485" s="903"/>
      <c r="W485" s="1269"/>
      <c r="X485" s="1269"/>
      <c r="Y485" s="1269"/>
      <c r="Z485" s="1284"/>
      <c r="AA485" s="195"/>
      <c r="AB485" s="195"/>
      <c r="AC485" s="196"/>
      <c r="AD485" s="196"/>
      <c r="AE485" s="196"/>
      <c r="AF485" s="196"/>
      <c r="AG485" s="196"/>
      <c r="AH485" s="196"/>
      <c r="AI485" s="196"/>
      <c r="AJ485" s="196"/>
      <c r="AK485" s="196"/>
      <c r="AL485" s="197"/>
      <c r="AM485" s="197"/>
      <c r="AN485" s="197"/>
      <c r="AO485" s="195"/>
      <c r="AP485" s="195"/>
      <c r="AQ485" s="195"/>
      <c r="AR485" s="195"/>
      <c r="AS485" s="195"/>
      <c r="AT485" s="195"/>
      <c r="AU485" s="195"/>
    </row>
    <row r="486" spans="1:47" ht="8.25" hidden="1" customHeight="1" x14ac:dyDescent="0.25">
      <c r="A486" s="218"/>
      <c r="B486" s="219"/>
      <c r="C486" s="1387"/>
      <c r="D486" s="1269"/>
      <c r="E486" s="1272"/>
      <c r="F486" s="1269"/>
      <c r="G486" s="1269"/>
      <c r="H486" s="1269"/>
      <c r="I486" s="903"/>
      <c r="J486" s="1269"/>
      <c r="K486" s="1269"/>
      <c r="L486" s="1300"/>
      <c r="M486" s="1269"/>
      <c r="N486" s="1269"/>
      <c r="O486" s="1269"/>
      <c r="P486" s="1269"/>
      <c r="Q486" s="1269"/>
      <c r="R486" s="1269"/>
      <c r="S486" s="1269"/>
      <c r="T486" s="1269"/>
      <c r="U486" s="1269"/>
      <c r="V486" s="903"/>
      <c r="W486" s="1269"/>
      <c r="X486" s="1269"/>
      <c r="Y486" s="1269"/>
      <c r="Z486" s="1284"/>
      <c r="AA486" s="195"/>
      <c r="AB486" s="195"/>
      <c r="AC486" s="196"/>
      <c r="AD486" s="196"/>
      <c r="AE486" s="196"/>
      <c r="AF486" s="196"/>
      <c r="AG486" s="196"/>
      <c r="AH486" s="196"/>
      <c r="AI486" s="196"/>
      <c r="AJ486" s="196"/>
      <c r="AK486" s="196"/>
      <c r="AL486" s="197"/>
      <c r="AM486" s="197"/>
      <c r="AN486" s="197"/>
      <c r="AO486" s="195"/>
      <c r="AP486" s="195"/>
      <c r="AQ486" s="195"/>
      <c r="AR486" s="195"/>
      <c r="AS486" s="195"/>
      <c r="AT486" s="195"/>
      <c r="AU486" s="195"/>
    </row>
    <row r="487" spans="1:47" ht="8.25" hidden="1" customHeight="1" x14ac:dyDescent="0.25">
      <c r="A487" s="218"/>
      <c r="B487" s="219"/>
      <c r="C487" s="1388"/>
      <c r="D487" s="1270"/>
      <c r="E487" s="1297"/>
      <c r="F487" s="1270"/>
      <c r="G487" s="1270"/>
      <c r="H487" s="1270"/>
      <c r="I487" s="908"/>
      <c r="J487" s="1270"/>
      <c r="K487" s="1270"/>
      <c r="L487" s="1353"/>
      <c r="M487" s="1270"/>
      <c r="N487" s="1270"/>
      <c r="O487" s="1270"/>
      <c r="P487" s="1270"/>
      <c r="Q487" s="1270"/>
      <c r="R487" s="1270"/>
      <c r="S487" s="1270"/>
      <c r="T487" s="1270"/>
      <c r="U487" s="1270"/>
      <c r="V487" s="908"/>
      <c r="W487" s="1270"/>
      <c r="X487" s="1270"/>
      <c r="Y487" s="1270"/>
      <c r="Z487" s="1296"/>
      <c r="AA487" s="195"/>
      <c r="AB487" s="195"/>
      <c r="AC487" s="196"/>
      <c r="AD487" s="196"/>
      <c r="AE487" s="196"/>
      <c r="AF487" s="196"/>
      <c r="AG487" s="196"/>
      <c r="AH487" s="196"/>
      <c r="AI487" s="196"/>
      <c r="AJ487" s="196"/>
      <c r="AK487" s="196"/>
      <c r="AL487" s="197"/>
      <c r="AM487" s="197"/>
      <c r="AN487" s="197"/>
      <c r="AO487" s="195"/>
      <c r="AP487" s="195"/>
      <c r="AQ487" s="195"/>
      <c r="AR487" s="195"/>
      <c r="AS487" s="195"/>
      <c r="AT487" s="195"/>
      <c r="AU487" s="195"/>
    </row>
    <row r="488" spans="1:47" ht="8.25" hidden="1" customHeight="1" x14ac:dyDescent="0.25">
      <c r="A488" s="218"/>
      <c r="B488" s="219"/>
      <c r="C488" s="1386" t="s">
        <v>379</v>
      </c>
      <c r="D488" s="199" t="s">
        <v>288</v>
      </c>
      <c r="E488" s="210"/>
      <c r="F488" s="210"/>
      <c r="G488" s="210"/>
      <c r="H488" s="210">
        <v>1.88</v>
      </c>
      <c r="I488" s="210"/>
      <c r="J488" s="210"/>
      <c r="K488" s="215"/>
      <c r="L488" s="216"/>
      <c r="M488" s="211">
        <v>1.88</v>
      </c>
      <c r="N488" s="905"/>
      <c r="O488" s="1272" t="s">
        <v>357</v>
      </c>
      <c r="P488" s="1316" t="s">
        <v>86</v>
      </c>
      <c r="Q488" s="1328" t="s">
        <v>86</v>
      </c>
      <c r="R488" s="1316" t="s">
        <v>86</v>
      </c>
      <c r="S488" s="1328" t="s">
        <v>290</v>
      </c>
      <c r="T488" s="1354">
        <v>190484</v>
      </c>
      <c r="U488" s="1354">
        <v>213035</v>
      </c>
      <c r="V488" s="926"/>
      <c r="W488" s="1328" t="s">
        <v>291</v>
      </c>
      <c r="X488" s="1328" t="s">
        <v>292</v>
      </c>
      <c r="Y488" s="1328" t="s">
        <v>293</v>
      </c>
      <c r="Z488" s="1329">
        <v>7878783</v>
      </c>
      <c r="AA488" s="195"/>
      <c r="AB488" s="195"/>
      <c r="AC488" s="196"/>
      <c r="AD488" s="196"/>
      <c r="AE488" s="196"/>
      <c r="AF488" s="196"/>
      <c r="AG488" s="196"/>
      <c r="AH488" s="196"/>
      <c r="AI488" s="196"/>
      <c r="AJ488" s="196"/>
      <c r="AK488" s="196"/>
      <c r="AL488" s="197"/>
      <c r="AM488" s="197"/>
      <c r="AN488" s="197"/>
      <c r="AO488" s="195"/>
      <c r="AP488" s="195"/>
      <c r="AQ488" s="195"/>
      <c r="AR488" s="195"/>
      <c r="AS488" s="195"/>
      <c r="AT488" s="195"/>
      <c r="AU488" s="195"/>
    </row>
    <row r="489" spans="1:47" ht="8.25" hidden="1" customHeight="1" x14ac:dyDescent="0.25">
      <c r="A489" s="218"/>
      <c r="B489" s="219"/>
      <c r="C489" s="1387"/>
      <c r="D489" s="904" t="s">
        <v>296</v>
      </c>
      <c r="E489" s="217"/>
      <c r="F489" s="905"/>
      <c r="G489" s="905"/>
      <c r="H489" s="302">
        <v>505776.81777777779</v>
      </c>
      <c r="I489" s="302"/>
      <c r="J489" s="905"/>
      <c r="K489" s="905"/>
      <c r="L489" s="311"/>
      <c r="M489" s="312">
        <v>279925.78455786087</v>
      </c>
      <c r="N489" s="217"/>
      <c r="O489" s="1269"/>
      <c r="P489" s="1269"/>
      <c r="Q489" s="1269"/>
      <c r="R489" s="1269"/>
      <c r="S489" s="1269"/>
      <c r="T489" s="1269"/>
      <c r="U489" s="1269"/>
      <c r="V489" s="903"/>
      <c r="W489" s="1269"/>
      <c r="X489" s="1269"/>
      <c r="Y489" s="1269"/>
      <c r="Z489" s="1284"/>
      <c r="AA489" s="195"/>
      <c r="AB489" s="195"/>
      <c r="AC489" s="196"/>
      <c r="AD489" s="196"/>
      <c r="AE489" s="196"/>
      <c r="AF489" s="196"/>
      <c r="AG489" s="196"/>
      <c r="AH489" s="196"/>
      <c r="AI489" s="196"/>
      <c r="AJ489" s="196"/>
      <c r="AK489" s="196"/>
      <c r="AL489" s="197"/>
      <c r="AM489" s="197"/>
      <c r="AN489" s="197"/>
      <c r="AO489" s="195"/>
      <c r="AP489" s="195"/>
      <c r="AQ489" s="195"/>
      <c r="AR489" s="195"/>
      <c r="AS489" s="195"/>
      <c r="AT489" s="195"/>
      <c r="AU489" s="195"/>
    </row>
    <row r="490" spans="1:47" ht="8.25" hidden="1" customHeight="1" x14ac:dyDescent="0.25">
      <c r="A490" s="218"/>
      <c r="B490" s="219"/>
      <c r="C490" s="1387"/>
      <c r="D490" s="904" t="s">
        <v>299</v>
      </c>
      <c r="E490" s="905"/>
      <c r="F490" s="198"/>
      <c r="G490" s="198"/>
      <c r="H490" s="198"/>
      <c r="I490" s="198"/>
      <c r="J490" s="905"/>
      <c r="K490" s="214"/>
      <c r="L490" s="909"/>
      <c r="M490" s="909"/>
      <c r="N490" s="909"/>
      <c r="O490" s="1269"/>
      <c r="P490" s="1269"/>
      <c r="Q490" s="1269"/>
      <c r="R490" s="1269"/>
      <c r="S490" s="1269"/>
      <c r="T490" s="1269"/>
      <c r="U490" s="1269"/>
      <c r="V490" s="903"/>
      <c r="W490" s="1269"/>
      <c r="X490" s="1269"/>
      <c r="Y490" s="1269"/>
      <c r="Z490" s="1284"/>
      <c r="AA490" s="195"/>
      <c r="AB490" s="195"/>
      <c r="AC490" s="196"/>
      <c r="AD490" s="196"/>
      <c r="AE490" s="196"/>
      <c r="AF490" s="196"/>
      <c r="AG490" s="196"/>
      <c r="AH490" s="196"/>
      <c r="AI490" s="196"/>
      <c r="AJ490" s="196"/>
      <c r="AK490" s="196"/>
      <c r="AL490" s="197"/>
      <c r="AM490" s="197"/>
      <c r="AN490" s="197"/>
      <c r="AO490" s="195"/>
      <c r="AP490" s="195"/>
      <c r="AQ490" s="195"/>
      <c r="AR490" s="195"/>
      <c r="AS490" s="195"/>
      <c r="AT490" s="195"/>
      <c r="AU490" s="195"/>
    </row>
    <row r="491" spans="1:47" ht="8.25" hidden="1" customHeight="1" x14ac:dyDescent="0.25">
      <c r="A491" s="218"/>
      <c r="B491" s="219"/>
      <c r="C491" s="1387"/>
      <c r="D491" s="1286" t="s">
        <v>302</v>
      </c>
      <c r="E491" s="1272"/>
      <c r="F491" s="1272"/>
      <c r="G491" s="1272"/>
      <c r="H491" s="1272"/>
      <c r="I491" s="905"/>
      <c r="J491" s="1272"/>
      <c r="K491" s="1272"/>
      <c r="L491" s="1297"/>
      <c r="M491" s="1272"/>
      <c r="N491" s="1272"/>
      <c r="O491" s="1269"/>
      <c r="P491" s="1269"/>
      <c r="Q491" s="1269"/>
      <c r="R491" s="1269"/>
      <c r="S491" s="1269"/>
      <c r="T491" s="1269"/>
      <c r="U491" s="1269"/>
      <c r="V491" s="903"/>
      <c r="W491" s="1269"/>
      <c r="X491" s="1269"/>
      <c r="Y491" s="1269"/>
      <c r="Z491" s="1284"/>
      <c r="AA491" s="195"/>
      <c r="AB491" s="195"/>
      <c r="AC491" s="196"/>
      <c r="AD491" s="196"/>
      <c r="AE491" s="196"/>
      <c r="AF491" s="196"/>
      <c r="AG491" s="196"/>
      <c r="AH491" s="196"/>
      <c r="AI491" s="196"/>
      <c r="AJ491" s="196"/>
      <c r="AK491" s="196"/>
      <c r="AL491" s="197"/>
      <c r="AM491" s="197"/>
      <c r="AN491" s="197"/>
      <c r="AO491" s="195"/>
      <c r="AP491" s="195"/>
      <c r="AQ491" s="195"/>
      <c r="AR491" s="195"/>
      <c r="AS491" s="195"/>
      <c r="AT491" s="195"/>
      <c r="AU491" s="195"/>
    </row>
    <row r="492" spans="1:47" ht="8.25" hidden="1" customHeight="1" x14ac:dyDescent="0.25">
      <c r="A492" s="218"/>
      <c r="B492" s="219"/>
      <c r="C492" s="1387"/>
      <c r="D492" s="1269"/>
      <c r="E492" s="1272"/>
      <c r="F492" s="1269"/>
      <c r="G492" s="1269"/>
      <c r="H492" s="1269"/>
      <c r="I492" s="903"/>
      <c r="J492" s="1269"/>
      <c r="K492" s="1269"/>
      <c r="L492" s="1300"/>
      <c r="M492" s="1269"/>
      <c r="N492" s="1269"/>
      <c r="O492" s="1269"/>
      <c r="P492" s="1269"/>
      <c r="Q492" s="1269"/>
      <c r="R492" s="1269"/>
      <c r="S492" s="1269"/>
      <c r="T492" s="1269"/>
      <c r="U492" s="1269"/>
      <c r="V492" s="903"/>
      <c r="W492" s="1269"/>
      <c r="X492" s="1269"/>
      <c r="Y492" s="1269"/>
      <c r="Z492" s="1284"/>
      <c r="AA492" s="195"/>
      <c r="AB492" s="195"/>
      <c r="AC492" s="196"/>
      <c r="AD492" s="196"/>
      <c r="AE492" s="196"/>
      <c r="AF492" s="196"/>
      <c r="AG492" s="196"/>
      <c r="AH492" s="196"/>
      <c r="AI492" s="196"/>
      <c r="AJ492" s="196"/>
      <c r="AK492" s="196"/>
      <c r="AL492" s="197"/>
      <c r="AM492" s="197"/>
      <c r="AN492" s="197"/>
      <c r="AO492" s="195"/>
      <c r="AP492" s="195"/>
      <c r="AQ492" s="195"/>
      <c r="AR492" s="195"/>
      <c r="AS492" s="195"/>
      <c r="AT492" s="195"/>
      <c r="AU492" s="195"/>
    </row>
    <row r="493" spans="1:47" ht="8.25" hidden="1" customHeight="1" x14ac:dyDescent="0.25">
      <c r="A493" s="218"/>
      <c r="B493" s="219"/>
      <c r="C493" s="1387"/>
      <c r="D493" s="1269"/>
      <c r="E493" s="1272"/>
      <c r="F493" s="1269"/>
      <c r="G493" s="1269"/>
      <c r="H493" s="1269"/>
      <c r="I493" s="903"/>
      <c r="J493" s="1269"/>
      <c r="K493" s="1269"/>
      <c r="L493" s="1300"/>
      <c r="M493" s="1269"/>
      <c r="N493" s="1269"/>
      <c r="O493" s="1269"/>
      <c r="P493" s="1269"/>
      <c r="Q493" s="1269"/>
      <c r="R493" s="1269"/>
      <c r="S493" s="1269"/>
      <c r="T493" s="1269"/>
      <c r="U493" s="1269"/>
      <c r="V493" s="903"/>
      <c r="W493" s="1269"/>
      <c r="X493" s="1269"/>
      <c r="Y493" s="1269"/>
      <c r="Z493" s="1284"/>
      <c r="AA493" s="195"/>
      <c r="AB493" s="195"/>
      <c r="AC493" s="196"/>
      <c r="AD493" s="196"/>
      <c r="AE493" s="196"/>
      <c r="AF493" s="196"/>
      <c r="AG493" s="196"/>
      <c r="AH493" s="196"/>
      <c r="AI493" s="196"/>
      <c r="AJ493" s="196"/>
      <c r="AK493" s="196"/>
      <c r="AL493" s="197"/>
      <c r="AM493" s="197"/>
      <c r="AN493" s="197"/>
      <c r="AO493" s="195"/>
      <c r="AP493" s="195"/>
      <c r="AQ493" s="195"/>
      <c r="AR493" s="195"/>
      <c r="AS493" s="195"/>
      <c r="AT493" s="195"/>
      <c r="AU493" s="195"/>
    </row>
    <row r="494" spans="1:47" ht="8.25" hidden="1" customHeight="1" x14ac:dyDescent="0.25">
      <c r="A494" s="218"/>
      <c r="B494" s="219"/>
      <c r="C494" s="1388"/>
      <c r="D494" s="1270"/>
      <c r="E494" s="1297"/>
      <c r="F494" s="1270"/>
      <c r="G494" s="1270"/>
      <c r="H494" s="1270"/>
      <c r="I494" s="908"/>
      <c r="J494" s="1270"/>
      <c r="K494" s="1270"/>
      <c r="L494" s="1353"/>
      <c r="M494" s="1270"/>
      <c r="N494" s="1270"/>
      <c r="O494" s="1270"/>
      <c r="P494" s="1270"/>
      <c r="Q494" s="1270"/>
      <c r="R494" s="1270"/>
      <c r="S494" s="1270"/>
      <c r="T494" s="1270"/>
      <c r="U494" s="1270"/>
      <c r="V494" s="908"/>
      <c r="W494" s="1270"/>
      <c r="X494" s="1270"/>
      <c r="Y494" s="1270"/>
      <c r="Z494" s="1296"/>
      <c r="AA494" s="195"/>
      <c r="AB494" s="195"/>
      <c r="AC494" s="196"/>
      <c r="AD494" s="196"/>
      <c r="AE494" s="196"/>
      <c r="AF494" s="196"/>
      <c r="AG494" s="196"/>
      <c r="AH494" s="196"/>
      <c r="AI494" s="196"/>
      <c r="AJ494" s="196"/>
      <c r="AK494" s="196"/>
      <c r="AL494" s="197"/>
      <c r="AM494" s="197"/>
      <c r="AN494" s="197"/>
      <c r="AO494" s="195"/>
      <c r="AP494" s="195"/>
      <c r="AQ494" s="195"/>
      <c r="AR494" s="195"/>
      <c r="AS494" s="195"/>
      <c r="AT494" s="195"/>
      <c r="AU494" s="195"/>
    </row>
    <row r="495" spans="1:47" ht="8.25" hidden="1" customHeight="1" x14ac:dyDescent="0.25">
      <c r="A495" s="218"/>
      <c r="B495" s="219"/>
      <c r="C495" s="1386" t="s">
        <v>379</v>
      </c>
      <c r="D495" s="199" t="s">
        <v>288</v>
      </c>
      <c r="E495" s="210"/>
      <c r="F495" s="210"/>
      <c r="G495" s="210"/>
      <c r="H495" s="210">
        <v>1.84</v>
      </c>
      <c r="I495" s="210"/>
      <c r="J495" s="210"/>
      <c r="K495" s="215"/>
      <c r="L495" s="216"/>
      <c r="M495" s="211">
        <v>1.84</v>
      </c>
      <c r="N495" s="905"/>
      <c r="O495" s="1272" t="s">
        <v>381</v>
      </c>
      <c r="P495" s="1316" t="s">
        <v>86</v>
      </c>
      <c r="Q495" s="1328" t="s">
        <v>86</v>
      </c>
      <c r="R495" s="1316" t="s">
        <v>86</v>
      </c>
      <c r="S495" s="1328" t="s">
        <v>290</v>
      </c>
      <c r="T495" s="1354">
        <v>190484</v>
      </c>
      <c r="U495" s="1354">
        <v>213035</v>
      </c>
      <c r="V495" s="926"/>
      <c r="W495" s="1328" t="s">
        <v>291</v>
      </c>
      <c r="X495" s="1328" t="s">
        <v>292</v>
      </c>
      <c r="Y495" s="1328" t="s">
        <v>293</v>
      </c>
      <c r="Z495" s="1329">
        <v>7878783</v>
      </c>
      <c r="AA495" s="195"/>
      <c r="AB495" s="195"/>
      <c r="AC495" s="196"/>
      <c r="AD495" s="196"/>
      <c r="AE495" s="196"/>
      <c r="AF495" s="196"/>
      <c r="AG495" s="196"/>
      <c r="AH495" s="196"/>
      <c r="AI495" s="196"/>
      <c r="AJ495" s="196"/>
      <c r="AK495" s="196"/>
      <c r="AL495" s="197"/>
      <c r="AM495" s="197"/>
      <c r="AN495" s="197"/>
      <c r="AO495" s="195"/>
      <c r="AP495" s="195"/>
      <c r="AQ495" s="195"/>
      <c r="AR495" s="195"/>
      <c r="AS495" s="195"/>
      <c r="AT495" s="195"/>
      <c r="AU495" s="195"/>
    </row>
    <row r="496" spans="1:47" ht="8.25" hidden="1" customHeight="1" x14ac:dyDescent="0.25">
      <c r="A496" s="218"/>
      <c r="B496" s="219"/>
      <c r="C496" s="1387"/>
      <c r="D496" s="904" t="s">
        <v>296</v>
      </c>
      <c r="E496" s="217"/>
      <c r="F496" s="905"/>
      <c r="G496" s="905"/>
      <c r="H496" s="302">
        <v>495015.60888888891</v>
      </c>
      <c r="I496" s="302"/>
      <c r="J496" s="905"/>
      <c r="K496" s="905"/>
      <c r="L496" s="311"/>
      <c r="M496" s="312">
        <v>273969.91680131067</v>
      </c>
      <c r="N496" s="217"/>
      <c r="O496" s="1269"/>
      <c r="P496" s="1269"/>
      <c r="Q496" s="1269"/>
      <c r="R496" s="1269"/>
      <c r="S496" s="1269"/>
      <c r="T496" s="1269"/>
      <c r="U496" s="1269"/>
      <c r="V496" s="903"/>
      <c r="W496" s="1269"/>
      <c r="X496" s="1269"/>
      <c r="Y496" s="1269"/>
      <c r="Z496" s="1284"/>
      <c r="AA496" s="195"/>
      <c r="AB496" s="195"/>
      <c r="AC496" s="196"/>
      <c r="AD496" s="196"/>
      <c r="AE496" s="196"/>
      <c r="AF496" s="196"/>
      <c r="AG496" s="196"/>
      <c r="AH496" s="196"/>
      <c r="AI496" s="196"/>
      <c r="AJ496" s="196"/>
      <c r="AK496" s="196"/>
      <c r="AL496" s="197"/>
      <c r="AM496" s="197"/>
      <c r="AN496" s="197"/>
      <c r="AO496" s="195"/>
      <c r="AP496" s="195"/>
      <c r="AQ496" s="195"/>
      <c r="AR496" s="195"/>
      <c r="AS496" s="195"/>
      <c r="AT496" s="195"/>
      <c r="AU496" s="195"/>
    </row>
    <row r="497" spans="1:47" ht="8.25" hidden="1" customHeight="1" x14ac:dyDescent="0.25">
      <c r="A497" s="218"/>
      <c r="B497" s="219"/>
      <c r="C497" s="1387"/>
      <c r="D497" s="904" t="s">
        <v>299</v>
      </c>
      <c r="E497" s="905"/>
      <c r="F497" s="198"/>
      <c r="G497" s="198"/>
      <c r="H497" s="198"/>
      <c r="I497" s="198"/>
      <c r="J497" s="905"/>
      <c r="K497" s="214"/>
      <c r="L497" s="909"/>
      <c r="M497" s="909"/>
      <c r="N497" s="909"/>
      <c r="O497" s="1269"/>
      <c r="P497" s="1269"/>
      <c r="Q497" s="1269"/>
      <c r="R497" s="1269"/>
      <c r="S497" s="1269"/>
      <c r="T497" s="1269"/>
      <c r="U497" s="1269"/>
      <c r="V497" s="903"/>
      <c r="W497" s="1269"/>
      <c r="X497" s="1269"/>
      <c r="Y497" s="1269"/>
      <c r="Z497" s="1284"/>
      <c r="AA497" s="195"/>
      <c r="AB497" s="195"/>
      <c r="AC497" s="196"/>
      <c r="AD497" s="196"/>
      <c r="AE497" s="196"/>
      <c r="AF497" s="196"/>
      <c r="AG497" s="196"/>
      <c r="AH497" s="196"/>
      <c r="AI497" s="196"/>
      <c r="AJ497" s="196"/>
      <c r="AK497" s="196"/>
      <c r="AL497" s="197"/>
      <c r="AM497" s="197"/>
      <c r="AN497" s="197"/>
      <c r="AO497" s="195"/>
      <c r="AP497" s="195"/>
      <c r="AQ497" s="195"/>
      <c r="AR497" s="195"/>
      <c r="AS497" s="195"/>
      <c r="AT497" s="195"/>
      <c r="AU497" s="195"/>
    </row>
    <row r="498" spans="1:47" ht="8.25" hidden="1" customHeight="1" x14ac:dyDescent="0.25">
      <c r="A498" s="218"/>
      <c r="B498" s="219"/>
      <c r="C498" s="1387"/>
      <c r="D498" s="1286" t="s">
        <v>302</v>
      </c>
      <c r="E498" s="1272"/>
      <c r="F498" s="1272"/>
      <c r="G498" s="1272"/>
      <c r="H498" s="1272"/>
      <c r="I498" s="905"/>
      <c r="J498" s="1272"/>
      <c r="K498" s="1272"/>
      <c r="L498" s="1297"/>
      <c r="M498" s="1272"/>
      <c r="N498" s="1272"/>
      <c r="O498" s="1269"/>
      <c r="P498" s="1269"/>
      <c r="Q498" s="1269"/>
      <c r="R498" s="1269"/>
      <c r="S498" s="1269"/>
      <c r="T498" s="1269"/>
      <c r="U498" s="1269"/>
      <c r="V498" s="903"/>
      <c r="W498" s="1269"/>
      <c r="X498" s="1269"/>
      <c r="Y498" s="1269"/>
      <c r="Z498" s="1284"/>
      <c r="AA498" s="195"/>
      <c r="AB498" s="195"/>
      <c r="AC498" s="196"/>
      <c r="AD498" s="196"/>
      <c r="AE498" s="196"/>
      <c r="AF498" s="196"/>
      <c r="AG498" s="196"/>
      <c r="AH498" s="196"/>
      <c r="AI498" s="196"/>
      <c r="AJ498" s="196"/>
      <c r="AK498" s="196"/>
      <c r="AL498" s="197"/>
      <c r="AM498" s="197"/>
      <c r="AN498" s="197"/>
      <c r="AO498" s="195"/>
      <c r="AP498" s="195"/>
      <c r="AQ498" s="195"/>
      <c r="AR498" s="195"/>
      <c r="AS498" s="195"/>
      <c r="AT498" s="195"/>
      <c r="AU498" s="195"/>
    </row>
    <row r="499" spans="1:47" ht="8.25" hidden="1" customHeight="1" x14ac:dyDescent="0.25">
      <c r="A499" s="218"/>
      <c r="B499" s="219"/>
      <c r="C499" s="1387"/>
      <c r="D499" s="1269"/>
      <c r="E499" s="1272"/>
      <c r="F499" s="1269"/>
      <c r="G499" s="1269"/>
      <c r="H499" s="1269"/>
      <c r="I499" s="903"/>
      <c r="J499" s="1269"/>
      <c r="K499" s="1269"/>
      <c r="L499" s="1300"/>
      <c r="M499" s="1269"/>
      <c r="N499" s="1269"/>
      <c r="O499" s="1269"/>
      <c r="P499" s="1269"/>
      <c r="Q499" s="1269"/>
      <c r="R499" s="1269"/>
      <c r="S499" s="1269"/>
      <c r="T499" s="1269"/>
      <c r="U499" s="1269"/>
      <c r="V499" s="903"/>
      <c r="W499" s="1269"/>
      <c r="X499" s="1269"/>
      <c r="Y499" s="1269"/>
      <c r="Z499" s="1284"/>
      <c r="AA499" s="195"/>
      <c r="AB499" s="195"/>
      <c r="AC499" s="196"/>
      <c r="AD499" s="196"/>
      <c r="AE499" s="196"/>
      <c r="AF499" s="196"/>
      <c r="AG499" s="196"/>
      <c r="AH499" s="196"/>
      <c r="AI499" s="196"/>
      <c r="AJ499" s="196"/>
      <c r="AK499" s="196"/>
      <c r="AL499" s="197"/>
      <c r="AM499" s="197"/>
      <c r="AN499" s="197"/>
      <c r="AO499" s="195"/>
      <c r="AP499" s="195"/>
      <c r="AQ499" s="195"/>
      <c r="AR499" s="195"/>
      <c r="AS499" s="195"/>
      <c r="AT499" s="195"/>
      <c r="AU499" s="195"/>
    </row>
    <row r="500" spans="1:47" ht="8.25" hidden="1" customHeight="1" x14ac:dyDescent="0.25">
      <c r="A500" s="218"/>
      <c r="B500" s="219"/>
      <c r="C500" s="1387"/>
      <c r="D500" s="1269"/>
      <c r="E500" s="1272"/>
      <c r="F500" s="1269"/>
      <c r="G500" s="1269"/>
      <c r="H500" s="1269"/>
      <c r="I500" s="903"/>
      <c r="J500" s="1269"/>
      <c r="K500" s="1269"/>
      <c r="L500" s="1300"/>
      <c r="M500" s="1269"/>
      <c r="N500" s="1269"/>
      <c r="O500" s="1269"/>
      <c r="P500" s="1269"/>
      <c r="Q500" s="1269"/>
      <c r="R500" s="1269"/>
      <c r="S500" s="1269"/>
      <c r="T500" s="1269"/>
      <c r="U500" s="1269"/>
      <c r="V500" s="903"/>
      <c r="W500" s="1269"/>
      <c r="X500" s="1269"/>
      <c r="Y500" s="1269"/>
      <c r="Z500" s="1284"/>
      <c r="AA500" s="195"/>
      <c r="AB500" s="195"/>
      <c r="AC500" s="196"/>
      <c r="AD500" s="196"/>
      <c r="AE500" s="196"/>
      <c r="AF500" s="196"/>
      <c r="AG500" s="196"/>
      <c r="AH500" s="196"/>
      <c r="AI500" s="196"/>
      <c r="AJ500" s="196"/>
      <c r="AK500" s="196"/>
      <c r="AL500" s="197"/>
      <c r="AM500" s="197"/>
      <c r="AN500" s="197"/>
      <c r="AO500" s="195"/>
      <c r="AP500" s="195"/>
      <c r="AQ500" s="195"/>
      <c r="AR500" s="195"/>
      <c r="AS500" s="195"/>
      <c r="AT500" s="195"/>
      <c r="AU500" s="195"/>
    </row>
    <row r="501" spans="1:47" ht="8.25" hidden="1" customHeight="1" x14ac:dyDescent="0.25">
      <c r="A501" s="218"/>
      <c r="B501" s="219"/>
      <c r="C501" s="1388"/>
      <c r="D501" s="1270"/>
      <c r="E501" s="1297"/>
      <c r="F501" s="1270"/>
      <c r="G501" s="1270"/>
      <c r="H501" s="1270"/>
      <c r="I501" s="908"/>
      <c r="J501" s="1270"/>
      <c r="K501" s="1270"/>
      <c r="L501" s="1353"/>
      <c r="M501" s="1270"/>
      <c r="N501" s="1270"/>
      <c r="O501" s="1270"/>
      <c r="P501" s="1270"/>
      <c r="Q501" s="1270"/>
      <c r="R501" s="1270"/>
      <c r="S501" s="1270"/>
      <c r="T501" s="1270"/>
      <c r="U501" s="1270"/>
      <c r="V501" s="908"/>
      <c r="W501" s="1270"/>
      <c r="X501" s="1270"/>
      <c r="Y501" s="1270"/>
      <c r="Z501" s="1296"/>
      <c r="AA501" s="195"/>
      <c r="AB501" s="195"/>
      <c r="AC501" s="196"/>
      <c r="AD501" s="196"/>
      <c r="AE501" s="196"/>
      <c r="AF501" s="196"/>
      <c r="AG501" s="196"/>
      <c r="AH501" s="196"/>
      <c r="AI501" s="196"/>
      <c r="AJ501" s="196"/>
      <c r="AK501" s="196"/>
      <c r="AL501" s="197"/>
      <c r="AM501" s="197"/>
      <c r="AN501" s="197"/>
      <c r="AO501" s="195"/>
      <c r="AP501" s="195"/>
      <c r="AQ501" s="195"/>
      <c r="AR501" s="195"/>
      <c r="AS501" s="195"/>
      <c r="AT501" s="195"/>
      <c r="AU501" s="195"/>
    </row>
    <row r="502" spans="1:47" ht="8.25" hidden="1" customHeight="1" x14ac:dyDescent="0.25">
      <c r="A502" s="218"/>
      <c r="B502" s="219"/>
      <c r="C502" s="1386" t="s">
        <v>379</v>
      </c>
      <c r="D502" s="199" t="s">
        <v>288</v>
      </c>
      <c r="E502" s="210"/>
      <c r="F502" s="210"/>
      <c r="G502" s="210"/>
      <c r="H502" s="210">
        <v>6.24</v>
      </c>
      <c r="I502" s="210"/>
      <c r="J502" s="210"/>
      <c r="K502" s="215"/>
      <c r="L502" s="216"/>
      <c r="M502" s="211">
        <v>6.24</v>
      </c>
      <c r="N502" s="905"/>
      <c r="O502" s="1272" t="s">
        <v>382</v>
      </c>
      <c r="P502" s="1316" t="s">
        <v>86</v>
      </c>
      <c r="Q502" s="1328" t="s">
        <v>86</v>
      </c>
      <c r="R502" s="1316" t="s">
        <v>86</v>
      </c>
      <c r="S502" s="1328" t="s">
        <v>290</v>
      </c>
      <c r="T502" s="1354">
        <v>190484</v>
      </c>
      <c r="U502" s="1354">
        <v>213035</v>
      </c>
      <c r="V502" s="926"/>
      <c r="W502" s="1328" t="s">
        <v>291</v>
      </c>
      <c r="X502" s="1328" t="s">
        <v>292</v>
      </c>
      <c r="Y502" s="1328" t="s">
        <v>293</v>
      </c>
      <c r="Z502" s="1329">
        <v>7878783</v>
      </c>
      <c r="AA502" s="195"/>
      <c r="AB502" s="195"/>
      <c r="AC502" s="196"/>
      <c r="AD502" s="196"/>
      <c r="AE502" s="196"/>
      <c r="AF502" s="196"/>
      <c r="AG502" s="196"/>
      <c r="AH502" s="196"/>
      <c r="AI502" s="196"/>
      <c r="AJ502" s="196"/>
      <c r="AK502" s="196"/>
      <c r="AL502" s="197"/>
      <c r="AM502" s="197"/>
      <c r="AN502" s="197"/>
      <c r="AO502" s="195"/>
      <c r="AP502" s="195"/>
      <c r="AQ502" s="195"/>
      <c r="AR502" s="195"/>
      <c r="AS502" s="195"/>
      <c r="AT502" s="195"/>
      <c r="AU502" s="195"/>
    </row>
    <row r="503" spans="1:47" ht="8.25" hidden="1" customHeight="1" x14ac:dyDescent="0.25">
      <c r="A503" s="218"/>
      <c r="B503" s="219"/>
      <c r="C503" s="1387"/>
      <c r="D503" s="904" t="s">
        <v>296</v>
      </c>
      <c r="E503" s="217"/>
      <c r="F503" s="905"/>
      <c r="G503" s="905"/>
      <c r="H503" s="302">
        <v>1678748.5866666667</v>
      </c>
      <c r="I503" s="302"/>
      <c r="J503" s="905"/>
      <c r="K503" s="905"/>
      <c r="L503" s="311"/>
      <c r="M503" s="312">
        <v>929115.37002183613</v>
      </c>
      <c r="N503" s="217"/>
      <c r="O503" s="1269"/>
      <c r="P503" s="1269"/>
      <c r="Q503" s="1269"/>
      <c r="R503" s="1269"/>
      <c r="S503" s="1269"/>
      <c r="T503" s="1269"/>
      <c r="U503" s="1269"/>
      <c r="V503" s="903"/>
      <c r="W503" s="1269"/>
      <c r="X503" s="1269"/>
      <c r="Y503" s="1269"/>
      <c r="Z503" s="1284"/>
      <c r="AA503" s="195"/>
      <c r="AB503" s="195"/>
      <c r="AC503" s="196"/>
      <c r="AD503" s="196"/>
      <c r="AE503" s="196"/>
      <c r="AF503" s="196"/>
      <c r="AG503" s="196"/>
      <c r="AH503" s="196"/>
      <c r="AI503" s="196"/>
      <c r="AJ503" s="196"/>
      <c r="AK503" s="196"/>
      <c r="AL503" s="197"/>
      <c r="AM503" s="197"/>
      <c r="AN503" s="197"/>
      <c r="AO503" s="195"/>
      <c r="AP503" s="195"/>
      <c r="AQ503" s="195"/>
      <c r="AR503" s="195"/>
      <c r="AS503" s="195"/>
      <c r="AT503" s="195"/>
      <c r="AU503" s="195"/>
    </row>
    <row r="504" spans="1:47" ht="8.25" hidden="1" customHeight="1" x14ac:dyDescent="0.25">
      <c r="A504" s="218"/>
      <c r="B504" s="219"/>
      <c r="C504" s="1387"/>
      <c r="D504" s="904" t="s">
        <v>299</v>
      </c>
      <c r="E504" s="905"/>
      <c r="F504" s="198"/>
      <c r="G504" s="198"/>
      <c r="H504" s="198"/>
      <c r="I504" s="198"/>
      <c r="J504" s="905"/>
      <c r="K504" s="214"/>
      <c r="L504" s="909"/>
      <c r="M504" s="909"/>
      <c r="N504" s="909"/>
      <c r="O504" s="1269"/>
      <c r="P504" s="1269"/>
      <c r="Q504" s="1269"/>
      <c r="R504" s="1269"/>
      <c r="S504" s="1269"/>
      <c r="T504" s="1269"/>
      <c r="U504" s="1269"/>
      <c r="V504" s="903"/>
      <c r="W504" s="1269"/>
      <c r="X504" s="1269"/>
      <c r="Y504" s="1269"/>
      <c r="Z504" s="1284"/>
      <c r="AA504" s="195"/>
      <c r="AB504" s="195"/>
      <c r="AC504" s="196"/>
      <c r="AD504" s="196"/>
      <c r="AE504" s="196"/>
      <c r="AF504" s="196"/>
      <c r="AG504" s="196"/>
      <c r="AH504" s="196"/>
      <c r="AI504" s="196"/>
      <c r="AJ504" s="196"/>
      <c r="AK504" s="196"/>
      <c r="AL504" s="197"/>
      <c r="AM504" s="197"/>
      <c r="AN504" s="197"/>
      <c r="AO504" s="195"/>
      <c r="AP504" s="195"/>
      <c r="AQ504" s="195"/>
      <c r="AR504" s="195"/>
      <c r="AS504" s="195"/>
      <c r="AT504" s="195"/>
      <c r="AU504" s="195"/>
    </row>
    <row r="505" spans="1:47" ht="8.25" hidden="1" customHeight="1" x14ac:dyDescent="0.25">
      <c r="A505" s="218"/>
      <c r="B505" s="219"/>
      <c r="C505" s="1387"/>
      <c r="D505" s="1286" t="s">
        <v>302</v>
      </c>
      <c r="E505" s="1272"/>
      <c r="F505" s="1272"/>
      <c r="G505" s="1272"/>
      <c r="H505" s="1272"/>
      <c r="I505" s="905"/>
      <c r="J505" s="1272"/>
      <c r="K505" s="1272"/>
      <c r="L505" s="1297"/>
      <c r="M505" s="1272"/>
      <c r="N505" s="1272"/>
      <c r="O505" s="1269"/>
      <c r="P505" s="1269"/>
      <c r="Q505" s="1269"/>
      <c r="R505" s="1269"/>
      <c r="S505" s="1269"/>
      <c r="T505" s="1269"/>
      <c r="U505" s="1269"/>
      <c r="V505" s="903"/>
      <c r="W505" s="1269"/>
      <c r="X505" s="1269"/>
      <c r="Y505" s="1269"/>
      <c r="Z505" s="1284"/>
      <c r="AA505" s="195"/>
      <c r="AB505" s="195"/>
      <c r="AC505" s="196"/>
      <c r="AD505" s="196"/>
      <c r="AE505" s="196"/>
      <c r="AF505" s="196"/>
      <c r="AG505" s="196"/>
      <c r="AH505" s="196"/>
      <c r="AI505" s="196"/>
      <c r="AJ505" s="196"/>
      <c r="AK505" s="196"/>
      <c r="AL505" s="197"/>
      <c r="AM505" s="197"/>
      <c r="AN505" s="197"/>
      <c r="AO505" s="195"/>
      <c r="AP505" s="195"/>
      <c r="AQ505" s="195"/>
      <c r="AR505" s="195"/>
      <c r="AS505" s="195"/>
      <c r="AT505" s="195"/>
      <c r="AU505" s="195"/>
    </row>
    <row r="506" spans="1:47" ht="8.25" hidden="1" customHeight="1" x14ac:dyDescent="0.25">
      <c r="A506" s="218"/>
      <c r="B506" s="219"/>
      <c r="C506" s="1387"/>
      <c r="D506" s="1269"/>
      <c r="E506" s="1272"/>
      <c r="F506" s="1269"/>
      <c r="G506" s="1269"/>
      <c r="H506" s="1269"/>
      <c r="I506" s="903"/>
      <c r="J506" s="1269"/>
      <c r="K506" s="1269"/>
      <c r="L506" s="1300"/>
      <c r="M506" s="1269"/>
      <c r="N506" s="1269"/>
      <c r="O506" s="1269"/>
      <c r="P506" s="1269"/>
      <c r="Q506" s="1269"/>
      <c r="R506" s="1269"/>
      <c r="S506" s="1269"/>
      <c r="T506" s="1269"/>
      <c r="U506" s="1269"/>
      <c r="V506" s="903"/>
      <c r="W506" s="1269"/>
      <c r="X506" s="1269"/>
      <c r="Y506" s="1269"/>
      <c r="Z506" s="1284"/>
      <c r="AA506" s="195"/>
      <c r="AB506" s="195"/>
      <c r="AC506" s="196"/>
      <c r="AD506" s="196"/>
      <c r="AE506" s="196"/>
      <c r="AF506" s="196"/>
      <c r="AG506" s="196"/>
      <c r="AH506" s="196"/>
      <c r="AI506" s="196"/>
      <c r="AJ506" s="196"/>
      <c r="AK506" s="196"/>
      <c r="AL506" s="197"/>
      <c r="AM506" s="197"/>
      <c r="AN506" s="197"/>
      <c r="AO506" s="195"/>
      <c r="AP506" s="195"/>
      <c r="AQ506" s="195"/>
      <c r="AR506" s="195"/>
      <c r="AS506" s="195"/>
      <c r="AT506" s="195"/>
      <c r="AU506" s="195"/>
    </row>
    <row r="507" spans="1:47" ht="8.25" hidden="1" customHeight="1" x14ac:dyDescent="0.25">
      <c r="A507" s="218"/>
      <c r="B507" s="219"/>
      <c r="C507" s="1387"/>
      <c r="D507" s="1269"/>
      <c r="E507" s="1272"/>
      <c r="F507" s="1269"/>
      <c r="G507" s="1269"/>
      <c r="H507" s="1269"/>
      <c r="I507" s="903"/>
      <c r="J507" s="1269"/>
      <c r="K507" s="1269"/>
      <c r="L507" s="1300"/>
      <c r="M507" s="1269"/>
      <c r="N507" s="1269"/>
      <c r="O507" s="1269"/>
      <c r="P507" s="1269"/>
      <c r="Q507" s="1269"/>
      <c r="R507" s="1269"/>
      <c r="S507" s="1269"/>
      <c r="T507" s="1269"/>
      <c r="U507" s="1269"/>
      <c r="V507" s="903"/>
      <c r="W507" s="1269"/>
      <c r="X507" s="1269"/>
      <c r="Y507" s="1269"/>
      <c r="Z507" s="1284"/>
      <c r="AA507" s="195"/>
      <c r="AB507" s="195"/>
      <c r="AC507" s="196"/>
      <c r="AD507" s="196"/>
      <c r="AE507" s="196"/>
      <c r="AF507" s="196"/>
      <c r="AG507" s="196"/>
      <c r="AH507" s="196"/>
      <c r="AI507" s="196"/>
      <c r="AJ507" s="196"/>
      <c r="AK507" s="196"/>
      <c r="AL507" s="197"/>
      <c r="AM507" s="197"/>
      <c r="AN507" s="197"/>
      <c r="AO507" s="195"/>
      <c r="AP507" s="195"/>
      <c r="AQ507" s="195"/>
      <c r="AR507" s="195"/>
      <c r="AS507" s="195"/>
      <c r="AT507" s="195"/>
      <c r="AU507" s="195"/>
    </row>
    <row r="508" spans="1:47" ht="8.25" hidden="1" customHeight="1" x14ac:dyDescent="0.25">
      <c r="A508" s="218"/>
      <c r="B508" s="219"/>
      <c r="C508" s="1388"/>
      <c r="D508" s="1270"/>
      <c r="E508" s="1297"/>
      <c r="F508" s="1270"/>
      <c r="G508" s="1270"/>
      <c r="H508" s="1270"/>
      <c r="I508" s="908"/>
      <c r="J508" s="1270"/>
      <c r="K508" s="1270"/>
      <c r="L508" s="1353"/>
      <c r="M508" s="1270"/>
      <c r="N508" s="1270"/>
      <c r="O508" s="1270"/>
      <c r="P508" s="1270"/>
      <c r="Q508" s="1270"/>
      <c r="R508" s="1270"/>
      <c r="S508" s="1270"/>
      <c r="T508" s="1270"/>
      <c r="U508" s="1270"/>
      <c r="V508" s="908"/>
      <c r="W508" s="1270"/>
      <c r="X508" s="1270"/>
      <c r="Y508" s="1270"/>
      <c r="Z508" s="1296"/>
      <c r="AA508" s="195"/>
      <c r="AB508" s="195"/>
      <c r="AC508" s="196"/>
      <c r="AD508" s="196"/>
      <c r="AE508" s="196"/>
      <c r="AF508" s="196"/>
      <c r="AG508" s="196"/>
      <c r="AH508" s="196"/>
      <c r="AI508" s="196"/>
      <c r="AJ508" s="196"/>
      <c r="AK508" s="196"/>
      <c r="AL508" s="197"/>
      <c r="AM508" s="197"/>
      <c r="AN508" s="197"/>
      <c r="AO508" s="195"/>
      <c r="AP508" s="195"/>
      <c r="AQ508" s="195"/>
      <c r="AR508" s="195"/>
      <c r="AS508" s="195"/>
      <c r="AT508" s="195"/>
      <c r="AU508" s="195"/>
    </row>
    <row r="509" spans="1:47" ht="8.25" hidden="1" customHeight="1" x14ac:dyDescent="0.25">
      <c r="A509" s="218"/>
      <c r="B509" s="219"/>
      <c r="C509" s="1386" t="s">
        <v>379</v>
      </c>
      <c r="D509" s="199" t="s">
        <v>288</v>
      </c>
      <c r="E509" s="210"/>
      <c r="F509" s="210"/>
      <c r="G509" s="210"/>
      <c r="H509" s="210">
        <v>0.02</v>
      </c>
      <c r="I509" s="210"/>
      <c r="J509" s="210"/>
      <c r="K509" s="215"/>
      <c r="L509" s="216"/>
      <c r="M509" s="211">
        <v>2.1000000000000001E-2</v>
      </c>
      <c r="N509" s="905"/>
      <c r="O509" s="1272" t="s">
        <v>440</v>
      </c>
      <c r="P509" s="1316" t="s">
        <v>86</v>
      </c>
      <c r="Q509" s="1328" t="s">
        <v>86</v>
      </c>
      <c r="R509" s="1316" t="s">
        <v>86</v>
      </c>
      <c r="S509" s="1328" t="s">
        <v>290</v>
      </c>
      <c r="T509" s="1354">
        <v>190484</v>
      </c>
      <c r="U509" s="1354">
        <v>213035</v>
      </c>
      <c r="V509" s="926"/>
      <c r="W509" s="1328" t="s">
        <v>291</v>
      </c>
      <c r="X509" s="1328" t="s">
        <v>292</v>
      </c>
      <c r="Y509" s="1328" t="s">
        <v>293</v>
      </c>
      <c r="Z509" s="1329">
        <v>7878783</v>
      </c>
      <c r="AA509" s="195"/>
      <c r="AB509" s="195"/>
      <c r="AC509" s="196"/>
      <c r="AD509" s="196"/>
      <c r="AE509" s="196"/>
      <c r="AF509" s="196"/>
      <c r="AG509" s="196"/>
      <c r="AH509" s="196"/>
      <c r="AI509" s="196"/>
      <c r="AJ509" s="196"/>
      <c r="AK509" s="196"/>
      <c r="AL509" s="197"/>
      <c r="AM509" s="197"/>
      <c r="AN509" s="197"/>
      <c r="AO509" s="195"/>
      <c r="AP509" s="195"/>
      <c r="AQ509" s="195"/>
      <c r="AR509" s="195"/>
      <c r="AS509" s="195"/>
      <c r="AT509" s="195"/>
      <c r="AU509" s="195"/>
    </row>
    <row r="510" spans="1:47" ht="8.25" hidden="1" customHeight="1" x14ac:dyDescent="0.25">
      <c r="A510" s="218"/>
      <c r="B510" s="219"/>
      <c r="C510" s="1387"/>
      <c r="D510" s="904" t="s">
        <v>296</v>
      </c>
      <c r="E510" s="217"/>
      <c r="F510" s="905"/>
      <c r="G510" s="905"/>
      <c r="H510" s="302">
        <v>5380.6044444444442</v>
      </c>
      <c r="I510" s="302"/>
      <c r="J510" s="905"/>
      <c r="K510" s="905"/>
      <c r="L510" s="311"/>
      <c r="M510" s="312">
        <v>3126.8305721888714</v>
      </c>
      <c r="N510" s="217"/>
      <c r="O510" s="1269"/>
      <c r="P510" s="1269"/>
      <c r="Q510" s="1269"/>
      <c r="R510" s="1269"/>
      <c r="S510" s="1269"/>
      <c r="T510" s="1269"/>
      <c r="U510" s="1269"/>
      <c r="V510" s="903"/>
      <c r="W510" s="1269"/>
      <c r="X510" s="1269"/>
      <c r="Y510" s="1269"/>
      <c r="Z510" s="1284"/>
      <c r="AA510" s="195"/>
      <c r="AB510" s="195"/>
      <c r="AC510" s="196"/>
      <c r="AD510" s="196"/>
      <c r="AE510" s="196"/>
      <c r="AF510" s="196"/>
      <c r="AG510" s="196"/>
      <c r="AH510" s="196"/>
      <c r="AI510" s="196"/>
      <c r="AJ510" s="196"/>
      <c r="AK510" s="196"/>
      <c r="AL510" s="197"/>
      <c r="AM510" s="197"/>
      <c r="AN510" s="197"/>
      <c r="AO510" s="195"/>
      <c r="AP510" s="195"/>
      <c r="AQ510" s="195"/>
      <c r="AR510" s="195"/>
      <c r="AS510" s="195"/>
      <c r="AT510" s="195"/>
      <c r="AU510" s="195"/>
    </row>
    <row r="511" spans="1:47" ht="8.25" hidden="1" customHeight="1" x14ac:dyDescent="0.25">
      <c r="A511" s="218"/>
      <c r="B511" s="219"/>
      <c r="C511" s="1387"/>
      <c r="D511" s="904" t="s">
        <v>299</v>
      </c>
      <c r="E511" s="905"/>
      <c r="F511" s="198"/>
      <c r="G511" s="198"/>
      <c r="H511" s="198"/>
      <c r="I511" s="198"/>
      <c r="J511" s="905"/>
      <c r="K511" s="214"/>
      <c r="L511" s="909"/>
      <c r="M511" s="909"/>
      <c r="N511" s="909"/>
      <c r="O511" s="1269"/>
      <c r="P511" s="1269"/>
      <c r="Q511" s="1269"/>
      <c r="R511" s="1269"/>
      <c r="S511" s="1269"/>
      <c r="T511" s="1269"/>
      <c r="U511" s="1269"/>
      <c r="V511" s="903"/>
      <c r="W511" s="1269"/>
      <c r="X511" s="1269"/>
      <c r="Y511" s="1269"/>
      <c r="Z511" s="1284"/>
      <c r="AA511" s="195"/>
      <c r="AB511" s="195"/>
      <c r="AC511" s="196"/>
      <c r="AD511" s="196"/>
      <c r="AE511" s="196"/>
      <c r="AF511" s="196"/>
      <c r="AG511" s="196"/>
      <c r="AH511" s="196"/>
      <c r="AI511" s="196"/>
      <c r="AJ511" s="196"/>
      <c r="AK511" s="196"/>
      <c r="AL511" s="197"/>
      <c r="AM511" s="197"/>
      <c r="AN511" s="197"/>
      <c r="AO511" s="195"/>
      <c r="AP511" s="195"/>
      <c r="AQ511" s="195"/>
      <c r="AR511" s="195"/>
      <c r="AS511" s="195"/>
      <c r="AT511" s="195"/>
      <c r="AU511" s="195"/>
    </row>
    <row r="512" spans="1:47" ht="8.25" hidden="1" customHeight="1" x14ac:dyDescent="0.25">
      <c r="A512" s="218"/>
      <c r="B512" s="219"/>
      <c r="C512" s="1387"/>
      <c r="D512" s="1286" t="s">
        <v>302</v>
      </c>
      <c r="E512" s="1272"/>
      <c r="F512" s="1272"/>
      <c r="G512" s="1272"/>
      <c r="H512" s="1272"/>
      <c r="I512" s="905"/>
      <c r="J512" s="1272"/>
      <c r="K512" s="1272"/>
      <c r="L512" s="1297"/>
      <c r="M512" s="1272"/>
      <c r="N512" s="1272"/>
      <c r="O512" s="1269"/>
      <c r="P512" s="1269"/>
      <c r="Q512" s="1269"/>
      <c r="R512" s="1269"/>
      <c r="S512" s="1269"/>
      <c r="T512" s="1269"/>
      <c r="U512" s="1269"/>
      <c r="V512" s="903"/>
      <c r="W512" s="1269"/>
      <c r="X512" s="1269"/>
      <c r="Y512" s="1269"/>
      <c r="Z512" s="1284"/>
      <c r="AA512" s="195"/>
      <c r="AB512" s="195"/>
      <c r="AC512" s="196"/>
      <c r="AD512" s="196"/>
      <c r="AE512" s="196"/>
      <c r="AF512" s="196"/>
      <c r="AG512" s="196"/>
      <c r="AH512" s="196"/>
      <c r="AI512" s="196"/>
      <c r="AJ512" s="196"/>
      <c r="AK512" s="196"/>
      <c r="AL512" s="197"/>
      <c r="AM512" s="197"/>
      <c r="AN512" s="197"/>
      <c r="AO512" s="195"/>
      <c r="AP512" s="195"/>
      <c r="AQ512" s="195"/>
      <c r="AR512" s="195"/>
      <c r="AS512" s="195"/>
      <c r="AT512" s="195"/>
      <c r="AU512" s="195"/>
    </row>
    <row r="513" spans="1:47" ht="8.25" hidden="1" customHeight="1" x14ac:dyDescent="0.25">
      <c r="A513" s="218"/>
      <c r="B513" s="219"/>
      <c r="C513" s="1387"/>
      <c r="D513" s="1269"/>
      <c r="E513" s="1272"/>
      <c r="F513" s="1269"/>
      <c r="G513" s="1269"/>
      <c r="H513" s="1269"/>
      <c r="I513" s="903"/>
      <c r="J513" s="1269"/>
      <c r="K513" s="1269"/>
      <c r="L513" s="1300"/>
      <c r="M513" s="1269"/>
      <c r="N513" s="1269"/>
      <c r="O513" s="1269"/>
      <c r="P513" s="1269"/>
      <c r="Q513" s="1269"/>
      <c r="R513" s="1269"/>
      <c r="S513" s="1269"/>
      <c r="T513" s="1269"/>
      <c r="U513" s="1269"/>
      <c r="V513" s="903"/>
      <c r="W513" s="1269"/>
      <c r="X513" s="1269"/>
      <c r="Y513" s="1269"/>
      <c r="Z513" s="1284"/>
      <c r="AA513" s="195"/>
      <c r="AB513" s="195"/>
      <c r="AC513" s="196"/>
      <c r="AD513" s="196"/>
      <c r="AE513" s="196"/>
      <c r="AF513" s="196"/>
      <c r="AG513" s="196"/>
      <c r="AH513" s="196"/>
      <c r="AI513" s="196"/>
      <c r="AJ513" s="196"/>
      <c r="AK513" s="196"/>
      <c r="AL513" s="197"/>
      <c r="AM513" s="197"/>
      <c r="AN513" s="197"/>
      <c r="AO513" s="195"/>
      <c r="AP513" s="195"/>
      <c r="AQ513" s="195"/>
      <c r="AR513" s="195"/>
      <c r="AS513" s="195"/>
      <c r="AT513" s="195"/>
      <c r="AU513" s="195"/>
    </row>
    <row r="514" spans="1:47" ht="8.25" hidden="1" customHeight="1" x14ac:dyDescent="0.25">
      <c r="A514" s="218"/>
      <c r="B514" s="219"/>
      <c r="C514" s="1387"/>
      <c r="D514" s="1269"/>
      <c r="E514" s="1272"/>
      <c r="F514" s="1269"/>
      <c r="G514" s="1269"/>
      <c r="H514" s="1269"/>
      <c r="I514" s="903"/>
      <c r="J514" s="1269"/>
      <c r="K514" s="1269"/>
      <c r="L514" s="1300"/>
      <c r="M514" s="1269"/>
      <c r="N514" s="1269"/>
      <c r="O514" s="1269"/>
      <c r="P514" s="1269"/>
      <c r="Q514" s="1269"/>
      <c r="R514" s="1269"/>
      <c r="S514" s="1269"/>
      <c r="T514" s="1269"/>
      <c r="U514" s="1269"/>
      <c r="V514" s="903"/>
      <c r="W514" s="1269"/>
      <c r="X514" s="1269"/>
      <c r="Y514" s="1269"/>
      <c r="Z514" s="1284"/>
      <c r="AA514" s="195"/>
      <c r="AB514" s="195"/>
      <c r="AC514" s="196"/>
      <c r="AD514" s="196"/>
      <c r="AE514" s="196"/>
      <c r="AF514" s="196"/>
      <c r="AG514" s="196"/>
      <c r="AH514" s="196"/>
      <c r="AI514" s="196"/>
      <c r="AJ514" s="196"/>
      <c r="AK514" s="196"/>
      <c r="AL514" s="197"/>
      <c r="AM514" s="197"/>
      <c r="AN514" s="197"/>
      <c r="AO514" s="195"/>
      <c r="AP514" s="195"/>
      <c r="AQ514" s="195"/>
      <c r="AR514" s="195"/>
      <c r="AS514" s="195"/>
      <c r="AT514" s="195"/>
      <c r="AU514" s="195"/>
    </row>
    <row r="515" spans="1:47" ht="8.25" hidden="1" customHeight="1" x14ac:dyDescent="0.25">
      <c r="A515" s="218"/>
      <c r="B515" s="219"/>
      <c r="C515" s="1388"/>
      <c r="D515" s="1270"/>
      <c r="E515" s="1297"/>
      <c r="F515" s="1270"/>
      <c r="G515" s="1270"/>
      <c r="H515" s="1270"/>
      <c r="I515" s="908"/>
      <c r="J515" s="1270"/>
      <c r="K515" s="1270"/>
      <c r="L515" s="1353"/>
      <c r="M515" s="1270"/>
      <c r="N515" s="1270"/>
      <c r="O515" s="1270"/>
      <c r="P515" s="1270"/>
      <c r="Q515" s="1270"/>
      <c r="R515" s="1270"/>
      <c r="S515" s="1270"/>
      <c r="T515" s="1270"/>
      <c r="U515" s="1270"/>
      <c r="V515" s="908"/>
      <c r="W515" s="1270"/>
      <c r="X515" s="1270"/>
      <c r="Y515" s="1270"/>
      <c r="Z515" s="1296"/>
      <c r="AA515" s="195"/>
      <c r="AB515" s="195"/>
      <c r="AC515" s="196"/>
      <c r="AD515" s="196"/>
      <c r="AE515" s="196"/>
      <c r="AF515" s="196"/>
      <c r="AG515" s="196"/>
      <c r="AH515" s="196"/>
      <c r="AI515" s="196"/>
      <c r="AJ515" s="196"/>
      <c r="AK515" s="196"/>
      <c r="AL515" s="197"/>
      <c r="AM515" s="197"/>
      <c r="AN515" s="197"/>
      <c r="AO515" s="195"/>
      <c r="AP515" s="195"/>
      <c r="AQ515" s="195"/>
      <c r="AR515" s="195"/>
      <c r="AS515" s="195"/>
      <c r="AT515" s="195"/>
      <c r="AU515" s="195"/>
    </row>
    <row r="516" spans="1:47" ht="8.25" hidden="1" customHeight="1" x14ac:dyDescent="0.25">
      <c r="A516" s="218"/>
      <c r="B516" s="219"/>
      <c r="C516" s="1386" t="s">
        <v>379</v>
      </c>
      <c r="D516" s="199" t="s">
        <v>288</v>
      </c>
      <c r="E516" s="210"/>
      <c r="F516" s="210"/>
      <c r="G516" s="210"/>
      <c r="H516" s="210">
        <v>0.2</v>
      </c>
      <c r="I516" s="210"/>
      <c r="J516" s="210"/>
      <c r="K516" s="215"/>
      <c r="L516" s="216"/>
      <c r="M516" s="211">
        <v>0.2</v>
      </c>
      <c r="N516" s="905"/>
      <c r="O516" s="1272" t="s">
        <v>439</v>
      </c>
      <c r="P516" s="1316" t="s">
        <v>86</v>
      </c>
      <c r="Q516" s="1328" t="s">
        <v>86</v>
      </c>
      <c r="R516" s="1316" t="s">
        <v>86</v>
      </c>
      <c r="S516" s="1328" t="s">
        <v>290</v>
      </c>
      <c r="T516" s="1354">
        <v>190484</v>
      </c>
      <c r="U516" s="1354">
        <v>213035</v>
      </c>
      <c r="V516" s="926"/>
      <c r="W516" s="1328" t="s">
        <v>291</v>
      </c>
      <c r="X516" s="1328" t="s">
        <v>292</v>
      </c>
      <c r="Y516" s="1328" t="s">
        <v>293</v>
      </c>
      <c r="Z516" s="1329">
        <v>7878783</v>
      </c>
      <c r="AA516" s="195"/>
      <c r="AB516" s="195"/>
      <c r="AC516" s="196"/>
      <c r="AD516" s="196"/>
      <c r="AE516" s="196"/>
      <c r="AF516" s="196"/>
      <c r="AG516" s="196"/>
      <c r="AH516" s="196"/>
      <c r="AI516" s="196"/>
      <c r="AJ516" s="196"/>
      <c r="AK516" s="196"/>
      <c r="AL516" s="197"/>
      <c r="AM516" s="197"/>
      <c r="AN516" s="197"/>
      <c r="AO516" s="195"/>
      <c r="AP516" s="195"/>
      <c r="AQ516" s="195"/>
      <c r="AR516" s="195"/>
      <c r="AS516" s="195"/>
      <c r="AT516" s="195"/>
      <c r="AU516" s="195"/>
    </row>
    <row r="517" spans="1:47" ht="8.25" hidden="1" customHeight="1" x14ac:dyDescent="0.25">
      <c r="A517" s="218"/>
      <c r="B517" s="219"/>
      <c r="C517" s="1387"/>
      <c r="D517" s="904" t="s">
        <v>296</v>
      </c>
      <c r="E517" s="217"/>
      <c r="F517" s="905"/>
      <c r="G517" s="905"/>
      <c r="H517" s="302">
        <v>53806.044444444444</v>
      </c>
      <c r="I517" s="302"/>
      <c r="J517" s="905"/>
      <c r="K517" s="905"/>
      <c r="L517" s="311"/>
      <c r="M517" s="312">
        <v>29779.338782751158</v>
      </c>
      <c r="N517" s="217"/>
      <c r="O517" s="1269"/>
      <c r="P517" s="1269"/>
      <c r="Q517" s="1269"/>
      <c r="R517" s="1269"/>
      <c r="S517" s="1269"/>
      <c r="T517" s="1269"/>
      <c r="U517" s="1269"/>
      <c r="V517" s="903"/>
      <c r="W517" s="1269"/>
      <c r="X517" s="1269"/>
      <c r="Y517" s="1269"/>
      <c r="Z517" s="1284"/>
      <c r="AA517" s="195"/>
      <c r="AB517" s="195"/>
      <c r="AC517" s="196"/>
      <c r="AD517" s="196"/>
      <c r="AE517" s="196"/>
      <c r="AF517" s="196"/>
      <c r="AG517" s="196"/>
      <c r="AH517" s="196"/>
      <c r="AI517" s="196"/>
      <c r="AJ517" s="196"/>
      <c r="AK517" s="196"/>
      <c r="AL517" s="197"/>
      <c r="AM517" s="197"/>
      <c r="AN517" s="197"/>
      <c r="AO517" s="195"/>
      <c r="AP517" s="195"/>
      <c r="AQ517" s="195"/>
      <c r="AR517" s="195"/>
      <c r="AS517" s="195"/>
      <c r="AT517" s="195"/>
      <c r="AU517" s="195"/>
    </row>
    <row r="518" spans="1:47" ht="8.25" hidden="1" customHeight="1" x14ac:dyDescent="0.25">
      <c r="A518" s="218"/>
      <c r="B518" s="219"/>
      <c r="C518" s="1387"/>
      <c r="D518" s="904" t="s">
        <v>299</v>
      </c>
      <c r="E518" s="905"/>
      <c r="F518" s="198"/>
      <c r="G518" s="198"/>
      <c r="H518" s="198"/>
      <c r="I518" s="198"/>
      <c r="J518" s="905"/>
      <c r="K518" s="214"/>
      <c r="L518" s="909"/>
      <c r="M518" s="909"/>
      <c r="N518" s="909"/>
      <c r="O518" s="1269"/>
      <c r="P518" s="1269"/>
      <c r="Q518" s="1269"/>
      <c r="R518" s="1269"/>
      <c r="S518" s="1269"/>
      <c r="T518" s="1269"/>
      <c r="U518" s="1269"/>
      <c r="V518" s="903"/>
      <c r="W518" s="1269"/>
      <c r="X518" s="1269"/>
      <c r="Y518" s="1269"/>
      <c r="Z518" s="1284"/>
      <c r="AA518" s="195"/>
      <c r="AB518" s="195"/>
      <c r="AC518" s="196"/>
      <c r="AD518" s="196"/>
      <c r="AE518" s="196"/>
      <c r="AF518" s="196"/>
      <c r="AG518" s="196"/>
      <c r="AH518" s="196"/>
      <c r="AI518" s="196"/>
      <c r="AJ518" s="196"/>
      <c r="AK518" s="196"/>
      <c r="AL518" s="197"/>
      <c r="AM518" s="197"/>
      <c r="AN518" s="197"/>
      <c r="AO518" s="195"/>
      <c r="AP518" s="195"/>
      <c r="AQ518" s="195"/>
      <c r="AR518" s="195"/>
      <c r="AS518" s="195"/>
      <c r="AT518" s="195"/>
      <c r="AU518" s="195"/>
    </row>
    <row r="519" spans="1:47" ht="8.25" hidden="1" customHeight="1" x14ac:dyDescent="0.25">
      <c r="A519" s="218"/>
      <c r="B519" s="219"/>
      <c r="C519" s="1387"/>
      <c r="D519" s="1286" t="s">
        <v>302</v>
      </c>
      <c r="E519" s="1272"/>
      <c r="F519" s="1272"/>
      <c r="G519" s="1272"/>
      <c r="H519" s="1272"/>
      <c r="I519" s="905"/>
      <c r="J519" s="1272"/>
      <c r="K519" s="1272"/>
      <c r="L519" s="1297"/>
      <c r="M519" s="1272"/>
      <c r="N519" s="1272"/>
      <c r="O519" s="1269"/>
      <c r="P519" s="1269"/>
      <c r="Q519" s="1269"/>
      <c r="R519" s="1269"/>
      <c r="S519" s="1269"/>
      <c r="T519" s="1269"/>
      <c r="U519" s="1269"/>
      <c r="V519" s="903"/>
      <c r="W519" s="1269"/>
      <c r="X519" s="1269"/>
      <c r="Y519" s="1269"/>
      <c r="Z519" s="1284"/>
      <c r="AA519" s="195"/>
      <c r="AB519" s="195"/>
      <c r="AC519" s="196"/>
      <c r="AD519" s="196"/>
      <c r="AE519" s="196"/>
      <c r="AF519" s="196"/>
      <c r="AG519" s="196"/>
      <c r="AH519" s="196"/>
      <c r="AI519" s="196"/>
      <c r="AJ519" s="196"/>
      <c r="AK519" s="196"/>
      <c r="AL519" s="197"/>
      <c r="AM519" s="197"/>
      <c r="AN519" s="197"/>
      <c r="AO519" s="195"/>
      <c r="AP519" s="195"/>
      <c r="AQ519" s="195"/>
      <c r="AR519" s="195"/>
      <c r="AS519" s="195"/>
      <c r="AT519" s="195"/>
      <c r="AU519" s="195"/>
    </row>
    <row r="520" spans="1:47" ht="8.25" hidden="1" customHeight="1" x14ac:dyDescent="0.25">
      <c r="A520" s="218"/>
      <c r="B520" s="219"/>
      <c r="C520" s="1387"/>
      <c r="D520" s="1269"/>
      <c r="E520" s="1272"/>
      <c r="F520" s="1269"/>
      <c r="G520" s="1269"/>
      <c r="H520" s="1269"/>
      <c r="I520" s="903"/>
      <c r="J520" s="1269"/>
      <c r="K520" s="1269"/>
      <c r="L520" s="1300"/>
      <c r="M520" s="1269"/>
      <c r="N520" s="1269"/>
      <c r="O520" s="1269"/>
      <c r="P520" s="1269"/>
      <c r="Q520" s="1269"/>
      <c r="R520" s="1269"/>
      <c r="S520" s="1269"/>
      <c r="T520" s="1269"/>
      <c r="U520" s="1269"/>
      <c r="V520" s="903"/>
      <c r="W520" s="1269"/>
      <c r="X520" s="1269"/>
      <c r="Y520" s="1269"/>
      <c r="Z520" s="1284"/>
      <c r="AA520" s="195"/>
      <c r="AB520" s="195"/>
      <c r="AC520" s="196"/>
      <c r="AD520" s="196"/>
      <c r="AE520" s="196"/>
      <c r="AF520" s="196"/>
      <c r="AG520" s="196"/>
      <c r="AH520" s="196"/>
      <c r="AI520" s="196"/>
      <c r="AJ520" s="196"/>
      <c r="AK520" s="196"/>
      <c r="AL520" s="197"/>
      <c r="AM520" s="197"/>
      <c r="AN520" s="197"/>
      <c r="AO520" s="195"/>
      <c r="AP520" s="195"/>
      <c r="AQ520" s="195"/>
      <c r="AR520" s="195"/>
      <c r="AS520" s="195"/>
      <c r="AT520" s="195"/>
      <c r="AU520" s="195"/>
    </row>
    <row r="521" spans="1:47" ht="8.25" hidden="1" customHeight="1" x14ac:dyDescent="0.25">
      <c r="A521" s="218"/>
      <c r="B521" s="219"/>
      <c r="C521" s="1387"/>
      <c r="D521" s="1269"/>
      <c r="E521" s="1272"/>
      <c r="F521" s="1269"/>
      <c r="G521" s="1269"/>
      <c r="H521" s="1269"/>
      <c r="I521" s="903"/>
      <c r="J521" s="1269"/>
      <c r="K521" s="1269"/>
      <c r="L521" s="1300"/>
      <c r="M521" s="1269"/>
      <c r="N521" s="1269"/>
      <c r="O521" s="1269"/>
      <c r="P521" s="1269"/>
      <c r="Q521" s="1269"/>
      <c r="R521" s="1269"/>
      <c r="S521" s="1269"/>
      <c r="T521" s="1269"/>
      <c r="U521" s="1269"/>
      <c r="V521" s="903"/>
      <c r="W521" s="1269"/>
      <c r="X521" s="1269"/>
      <c r="Y521" s="1269"/>
      <c r="Z521" s="1284"/>
      <c r="AA521" s="195"/>
      <c r="AB521" s="195"/>
      <c r="AC521" s="196"/>
      <c r="AD521" s="196"/>
      <c r="AE521" s="196"/>
      <c r="AF521" s="196"/>
      <c r="AG521" s="196"/>
      <c r="AH521" s="196"/>
      <c r="AI521" s="196"/>
      <c r="AJ521" s="196"/>
      <c r="AK521" s="196"/>
      <c r="AL521" s="197"/>
      <c r="AM521" s="197"/>
      <c r="AN521" s="197"/>
      <c r="AO521" s="195"/>
      <c r="AP521" s="195"/>
      <c r="AQ521" s="195"/>
      <c r="AR521" s="195"/>
      <c r="AS521" s="195"/>
      <c r="AT521" s="195"/>
      <c r="AU521" s="195"/>
    </row>
    <row r="522" spans="1:47" ht="8.25" hidden="1" customHeight="1" x14ac:dyDescent="0.25">
      <c r="A522" s="218"/>
      <c r="B522" s="219"/>
      <c r="C522" s="1388"/>
      <c r="D522" s="1270"/>
      <c r="E522" s="1297"/>
      <c r="F522" s="1270"/>
      <c r="G522" s="1270"/>
      <c r="H522" s="1270"/>
      <c r="I522" s="908"/>
      <c r="J522" s="1270"/>
      <c r="K522" s="1270"/>
      <c r="L522" s="1353"/>
      <c r="M522" s="1270"/>
      <c r="N522" s="1270"/>
      <c r="O522" s="1270"/>
      <c r="P522" s="1270"/>
      <c r="Q522" s="1270"/>
      <c r="R522" s="1270"/>
      <c r="S522" s="1270"/>
      <c r="T522" s="1270"/>
      <c r="U522" s="1270"/>
      <c r="V522" s="908"/>
      <c r="W522" s="1270"/>
      <c r="X522" s="1270"/>
      <c r="Y522" s="1270"/>
      <c r="Z522" s="1296"/>
      <c r="AA522" s="195"/>
      <c r="AB522" s="195"/>
      <c r="AC522" s="196"/>
      <c r="AD522" s="196"/>
      <c r="AE522" s="196"/>
      <c r="AF522" s="196"/>
      <c r="AG522" s="196"/>
      <c r="AH522" s="196"/>
      <c r="AI522" s="196"/>
      <c r="AJ522" s="196"/>
      <c r="AK522" s="196"/>
      <c r="AL522" s="197"/>
      <c r="AM522" s="197"/>
      <c r="AN522" s="197"/>
      <c r="AO522" s="195"/>
      <c r="AP522" s="195"/>
      <c r="AQ522" s="195"/>
      <c r="AR522" s="195"/>
      <c r="AS522" s="195"/>
      <c r="AT522" s="195"/>
      <c r="AU522" s="195"/>
    </row>
    <row r="523" spans="1:47" ht="8.25" hidden="1" customHeight="1" x14ac:dyDescent="0.25">
      <c r="A523" s="218"/>
      <c r="B523" s="219"/>
      <c r="C523" s="1386" t="s">
        <v>379</v>
      </c>
      <c r="D523" s="199" t="s">
        <v>288</v>
      </c>
      <c r="E523" s="210"/>
      <c r="F523" s="210"/>
      <c r="G523" s="210"/>
      <c r="H523" s="210">
        <v>0.41</v>
      </c>
      <c r="I523" s="210"/>
      <c r="J523" s="210"/>
      <c r="K523" s="215"/>
      <c r="L523" s="216"/>
      <c r="M523" s="211">
        <v>0.41</v>
      </c>
      <c r="N523" s="905"/>
      <c r="O523" s="1272" t="s">
        <v>438</v>
      </c>
      <c r="P523" s="1316" t="s">
        <v>86</v>
      </c>
      <c r="Q523" s="1328" t="s">
        <v>86</v>
      </c>
      <c r="R523" s="1316" t="s">
        <v>86</v>
      </c>
      <c r="S523" s="1328" t="s">
        <v>290</v>
      </c>
      <c r="T523" s="1354">
        <v>190484</v>
      </c>
      <c r="U523" s="1354">
        <v>213035</v>
      </c>
      <c r="V523" s="926"/>
      <c r="W523" s="1328" t="s">
        <v>291</v>
      </c>
      <c r="X523" s="1328" t="s">
        <v>292</v>
      </c>
      <c r="Y523" s="1328" t="s">
        <v>293</v>
      </c>
      <c r="Z523" s="1329">
        <v>7878783</v>
      </c>
      <c r="AA523" s="195"/>
      <c r="AB523" s="195"/>
      <c r="AC523" s="196"/>
      <c r="AD523" s="196"/>
      <c r="AE523" s="196"/>
      <c r="AF523" s="196"/>
      <c r="AG523" s="196"/>
      <c r="AH523" s="196"/>
      <c r="AI523" s="196"/>
      <c r="AJ523" s="196"/>
      <c r="AK523" s="196"/>
      <c r="AL523" s="197"/>
      <c r="AM523" s="197"/>
      <c r="AN523" s="197"/>
      <c r="AO523" s="195"/>
      <c r="AP523" s="195"/>
      <c r="AQ523" s="195"/>
      <c r="AR523" s="195"/>
      <c r="AS523" s="195"/>
      <c r="AT523" s="195"/>
      <c r="AU523" s="195"/>
    </row>
    <row r="524" spans="1:47" ht="8.25" hidden="1" customHeight="1" x14ac:dyDescent="0.25">
      <c r="A524" s="218"/>
      <c r="B524" s="219"/>
      <c r="C524" s="1387"/>
      <c r="D524" s="904" t="s">
        <v>296</v>
      </c>
      <c r="E524" s="217"/>
      <c r="F524" s="905"/>
      <c r="G524" s="905"/>
      <c r="H524" s="302">
        <v>110302.39111111111</v>
      </c>
      <c r="I524" s="302"/>
      <c r="J524" s="905"/>
      <c r="K524" s="905"/>
      <c r="L524" s="311"/>
      <c r="M524" s="312">
        <v>61047.644504639873</v>
      </c>
      <c r="N524" s="217"/>
      <c r="O524" s="1269"/>
      <c r="P524" s="1269"/>
      <c r="Q524" s="1269"/>
      <c r="R524" s="1269"/>
      <c r="S524" s="1269"/>
      <c r="T524" s="1269"/>
      <c r="U524" s="1269"/>
      <c r="V524" s="903"/>
      <c r="W524" s="1269"/>
      <c r="X524" s="1269"/>
      <c r="Y524" s="1269"/>
      <c r="Z524" s="1284"/>
      <c r="AA524" s="195"/>
      <c r="AB524" s="195"/>
      <c r="AC524" s="196"/>
      <c r="AD524" s="196"/>
      <c r="AE524" s="196"/>
      <c r="AF524" s="196"/>
      <c r="AG524" s="196"/>
      <c r="AH524" s="196"/>
      <c r="AI524" s="196"/>
      <c r="AJ524" s="196"/>
      <c r="AK524" s="196"/>
      <c r="AL524" s="197"/>
      <c r="AM524" s="197"/>
      <c r="AN524" s="197"/>
      <c r="AO524" s="195"/>
      <c r="AP524" s="195"/>
      <c r="AQ524" s="195"/>
      <c r="AR524" s="195"/>
      <c r="AS524" s="195"/>
      <c r="AT524" s="195"/>
      <c r="AU524" s="195"/>
    </row>
    <row r="525" spans="1:47" ht="8.25" hidden="1" customHeight="1" x14ac:dyDescent="0.25">
      <c r="A525" s="218"/>
      <c r="B525" s="219"/>
      <c r="C525" s="1387"/>
      <c r="D525" s="904" t="s">
        <v>299</v>
      </c>
      <c r="E525" s="905"/>
      <c r="F525" s="198"/>
      <c r="G525" s="198"/>
      <c r="H525" s="198"/>
      <c r="I525" s="198"/>
      <c r="J525" s="905"/>
      <c r="K525" s="214"/>
      <c r="L525" s="909"/>
      <c r="M525" s="909"/>
      <c r="N525" s="909"/>
      <c r="O525" s="1269"/>
      <c r="P525" s="1269"/>
      <c r="Q525" s="1269"/>
      <c r="R525" s="1269"/>
      <c r="S525" s="1269"/>
      <c r="T525" s="1269"/>
      <c r="U525" s="1269"/>
      <c r="V525" s="903"/>
      <c r="W525" s="1269"/>
      <c r="X525" s="1269"/>
      <c r="Y525" s="1269"/>
      <c r="Z525" s="1284"/>
      <c r="AA525" s="195"/>
      <c r="AB525" s="195"/>
      <c r="AC525" s="196"/>
      <c r="AD525" s="196"/>
      <c r="AE525" s="196"/>
      <c r="AF525" s="196"/>
      <c r="AG525" s="196"/>
      <c r="AH525" s="196"/>
      <c r="AI525" s="196"/>
      <c r="AJ525" s="196"/>
      <c r="AK525" s="196"/>
      <c r="AL525" s="197"/>
      <c r="AM525" s="197"/>
      <c r="AN525" s="197"/>
      <c r="AO525" s="195"/>
      <c r="AP525" s="195"/>
      <c r="AQ525" s="195"/>
      <c r="AR525" s="195"/>
      <c r="AS525" s="195"/>
      <c r="AT525" s="195"/>
      <c r="AU525" s="195"/>
    </row>
    <row r="526" spans="1:47" ht="8.25" hidden="1" customHeight="1" x14ac:dyDescent="0.25">
      <c r="A526" s="218"/>
      <c r="B526" s="219"/>
      <c r="C526" s="1387"/>
      <c r="D526" s="1286" t="s">
        <v>302</v>
      </c>
      <c r="E526" s="1272"/>
      <c r="F526" s="1272"/>
      <c r="G526" s="1272"/>
      <c r="H526" s="1272"/>
      <c r="I526" s="905"/>
      <c r="J526" s="1272"/>
      <c r="K526" s="1272"/>
      <c r="L526" s="1297"/>
      <c r="M526" s="1272"/>
      <c r="N526" s="1272"/>
      <c r="O526" s="1269"/>
      <c r="P526" s="1269"/>
      <c r="Q526" s="1269"/>
      <c r="R526" s="1269"/>
      <c r="S526" s="1269"/>
      <c r="T526" s="1269"/>
      <c r="U526" s="1269"/>
      <c r="V526" s="903"/>
      <c r="W526" s="1269"/>
      <c r="X526" s="1269"/>
      <c r="Y526" s="1269"/>
      <c r="Z526" s="1284"/>
      <c r="AA526" s="195"/>
      <c r="AB526" s="195"/>
      <c r="AC526" s="196"/>
      <c r="AD526" s="196"/>
      <c r="AE526" s="196"/>
      <c r="AF526" s="196"/>
      <c r="AG526" s="196"/>
      <c r="AH526" s="196"/>
      <c r="AI526" s="196"/>
      <c r="AJ526" s="196"/>
      <c r="AK526" s="196"/>
      <c r="AL526" s="197"/>
      <c r="AM526" s="197"/>
      <c r="AN526" s="197"/>
      <c r="AO526" s="195"/>
      <c r="AP526" s="195"/>
      <c r="AQ526" s="195"/>
      <c r="AR526" s="195"/>
      <c r="AS526" s="195"/>
      <c r="AT526" s="195"/>
      <c r="AU526" s="195"/>
    </row>
    <row r="527" spans="1:47" ht="8.25" hidden="1" customHeight="1" x14ac:dyDescent="0.25">
      <c r="A527" s="218"/>
      <c r="B527" s="219"/>
      <c r="C527" s="1387"/>
      <c r="D527" s="1269"/>
      <c r="E527" s="1272"/>
      <c r="F527" s="1269"/>
      <c r="G527" s="1269"/>
      <c r="H527" s="1269"/>
      <c r="I527" s="903"/>
      <c r="J527" s="1269"/>
      <c r="K527" s="1269"/>
      <c r="L527" s="1300"/>
      <c r="M527" s="1269"/>
      <c r="N527" s="1269"/>
      <c r="O527" s="1269"/>
      <c r="P527" s="1269"/>
      <c r="Q527" s="1269"/>
      <c r="R527" s="1269"/>
      <c r="S527" s="1269"/>
      <c r="T527" s="1269"/>
      <c r="U527" s="1269"/>
      <c r="V527" s="903"/>
      <c r="W527" s="1269"/>
      <c r="X527" s="1269"/>
      <c r="Y527" s="1269"/>
      <c r="Z527" s="1284"/>
      <c r="AA527" s="195"/>
      <c r="AB527" s="195"/>
      <c r="AC527" s="196"/>
      <c r="AD527" s="196"/>
      <c r="AE527" s="196"/>
      <c r="AF527" s="196"/>
      <c r="AG527" s="196"/>
      <c r="AH527" s="196"/>
      <c r="AI527" s="196"/>
      <c r="AJ527" s="196"/>
      <c r="AK527" s="196"/>
      <c r="AL527" s="197"/>
      <c r="AM527" s="197"/>
      <c r="AN527" s="197"/>
      <c r="AO527" s="195"/>
      <c r="AP527" s="195"/>
      <c r="AQ527" s="195"/>
      <c r="AR527" s="195"/>
      <c r="AS527" s="195"/>
      <c r="AT527" s="195"/>
      <c r="AU527" s="195"/>
    </row>
    <row r="528" spans="1:47" ht="8.25" hidden="1" customHeight="1" x14ac:dyDescent="0.25">
      <c r="A528" s="218"/>
      <c r="B528" s="219"/>
      <c r="C528" s="1387"/>
      <c r="D528" s="1269"/>
      <c r="E528" s="1272"/>
      <c r="F528" s="1269"/>
      <c r="G528" s="1269"/>
      <c r="H528" s="1269"/>
      <c r="I528" s="903"/>
      <c r="J528" s="1269"/>
      <c r="K528" s="1269"/>
      <c r="L528" s="1300"/>
      <c r="M528" s="1269"/>
      <c r="N528" s="1269"/>
      <c r="O528" s="1269"/>
      <c r="P528" s="1269"/>
      <c r="Q528" s="1269"/>
      <c r="R528" s="1269"/>
      <c r="S528" s="1269"/>
      <c r="T528" s="1269"/>
      <c r="U528" s="1269"/>
      <c r="V528" s="903"/>
      <c r="W528" s="1269"/>
      <c r="X528" s="1269"/>
      <c r="Y528" s="1269"/>
      <c r="Z528" s="1284"/>
      <c r="AA528" s="195"/>
      <c r="AB528" s="195"/>
      <c r="AC528" s="196"/>
      <c r="AD528" s="196"/>
      <c r="AE528" s="196"/>
      <c r="AF528" s="196"/>
      <c r="AG528" s="196"/>
      <c r="AH528" s="196"/>
      <c r="AI528" s="196"/>
      <c r="AJ528" s="196"/>
      <c r="AK528" s="196"/>
      <c r="AL528" s="197"/>
      <c r="AM528" s="197"/>
      <c r="AN528" s="197"/>
      <c r="AO528" s="195"/>
      <c r="AP528" s="195"/>
      <c r="AQ528" s="195"/>
      <c r="AR528" s="195"/>
      <c r="AS528" s="195"/>
      <c r="AT528" s="195"/>
      <c r="AU528" s="195"/>
    </row>
    <row r="529" spans="1:47" ht="8.25" hidden="1" customHeight="1" x14ac:dyDescent="0.25">
      <c r="A529" s="218"/>
      <c r="B529" s="219"/>
      <c r="C529" s="1388"/>
      <c r="D529" s="1270"/>
      <c r="E529" s="1297"/>
      <c r="F529" s="1270"/>
      <c r="G529" s="1270"/>
      <c r="H529" s="1270"/>
      <c r="I529" s="908"/>
      <c r="J529" s="1270"/>
      <c r="K529" s="1270"/>
      <c r="L529" s="1353"/>
      <c r="M529" s="1270"/>
      <c r="N529" s="1270"/>
      <c r="O529" s="1270"/>
      <c r="P529" s="1270"/>
      <c r="Q529" s="1270"/>
      <c r="R529" s="1270"/>
      <c r="S529" s="1270"/>
      <c r="T529" s="1270"/>
      <c r="U529" s="1270"/>
      <c r="V529" s="908"/>
      <c r="W529" s="1270"/>
      <c r="X529" s="1270"/>
      <c r="Y529" s="1270"/>
      <c r="Z529" s="1296"/>
      <c r="AA529" s="195"/>
      <c r="AB529" s="195"/>
      <c r="AC529" s="196"/>
      <c r="AD529" s="196"/>
      <c r="AE529" s="196"/>
      <c r="AF529" s="196"/>
      <c r="AG529" s="196"/>
      <c r="AH529" s="196"/>
      <c r="AI529" s="196"/>
      <c r="AJ529" s="196"/>
      <c r="AK529" s="196"/>
      <c r="AL529" s="197"/>
      <c r="AM529" s="197"/>
      <c r="AN529" s="197"/>
      <c r="AO529" s="195"/>
      <c r="AP529" s="195"/>
      <c r="AQ529" s="195"/>
      <c r="AR529" s="195"/>
      <c r="AS529" s="195"/>
      <c r="AT529" s="195"/>
      <c r="AU529" s="195"/>
    </row>
    <row r="530" spans="1:47" ht="8.25" hidden="1" customHeight="1" x14ac:dyDescent="0.25">
      <c r="A530" s="218"/>
      <c r="B530" s="219"/>
      <c r="C530" s="1386" t="s">
        <v>379</v>
      </c>
      <c r="D530" s="199" t="s">
        <v>288</v>
      </c>
      <c r="E530" s="210"/>
      <c r="F530" s="210"/>
      <c r="G530" s="210"/>
      <c r="H530" s="210">
        <v>0.32</v>
      </c>
      <c r="I530" s="210"/>
      <c r="J530" s="210"/>
      <c r="K530" s="215"/>
      <c r="L530" s="216"/>
      <c r="M530" s="211">
        <v>0.32</v>
      </c>
      <c r="N530" s="905"/>
      <c r="O530" s="1272" t="s">
        <v>364</v>
      </c>
      <c r="P530" s="1316" t="s">
        <v>86</v>
      </c>
      <c r="Q530" s="1328" t="s">
        <v>86</v>
      </c>
      <c r="R530" s="1316" t="s">
        <v>86</v>
      </c>
      <c r="S530" s="1328" t="s">
        <v>290</v>
      </c>
      <c r="T530" s="1354">
        <v>190484</v>
      </c>
      <c r="U530" s="1354">
        <v>213035</v>
      </c>
      <c r="V530" s="926"/>
      <c r="W530" s="1328" t="s">
        <v>291</v>
      </c>
      <c r="X530" s="1328" t="s">
        <v>292</v>
      </c>
      <c r="Y530" s="1328" t="s">
        <v>293</v>
      </c>
      <c r="Z530" s="1329">
        <v>7878783</v>
      </c>
      <c r="AA530" s="195"/>
      <c r="AB530" s="195"/>
      <c r="AC530" s="196"/>
      <c r="AD530" s="196"/>
      <c r="AE530" s="196"/>
      <c r="AF530" s="196"/>
      <c r="AG530" s="196"/>
      <c r="AH530" s="196"/>
      <c r="AI530" s="196"/>
      <c r="AJ530" s="196"/>
      <c r="AK530" s="196"/>
      <c r="AL530" s="197"/>
      <c r="AM530" s="197"/>
      <c r="AN530" s="197"/>
      <c r="AO530" s="195"/>
      <c r="AP530" s="195"/>
      <c r="AQ530" s="195"/>
      <c r="AR530" s="195"/>
      <c r="AS530" s="195"/>
      <c r="AT530" s="195"/>
      <c r="AU530" s="195"/>
    </row>
    <row r="531" spans="1:47" ht="8.25" hidden="1" customHeight="1" x14ac:dyDescent="0.25">
      <c r="A531" s="218"/>
      <c r="B531" s="219"/>
      <c r="C531" s="1387"/>
      <c r="D531" s="904" t="s">
        <v>296</v>
      </c>
      <c r="E531" s="217"/>
      <c r="F531" s="905"/>
      <c r="G531" s="905"/>
      <c r="H531" s="302">
        <v>86089.671111111107</v>
      </c>
      <c r="I531" s="302"/>
      <c r="J531" s="905"/>
      <c r="K531" s="905"/>
      <c r="L531" s="311"/>
      <c r="M531" s="312">
        <v>47646.942052401857</v>
      </c>
      <c r="N531" s="217"/>
      <c r="O531" s="1269"/>
      <c r="P531" s="1269"/>
      <c r="Q531" s="1269"/>
      <c r="R531" s="1269"/>
      <c r="S531" s="1269"/>
      <c r="T531" s="1269"/>
      <c r="U531" s="1269"/>
      <c r="V531" s="903"/>
      <c r="W531" s="1269"/>
      <c r="X531" s="1269"/>
      <c r="Y531" s="1269"/>
      <c r="Z531" s="1284"/>
      <c r="AA531" s="195"/>
      <c r="AB531" s="195"/>
      <c r="AC531" s="196"/>
      <c r="AD531" s="196"/>
      <c r="AE531" s="196"/>
      <c r="AF531" s="196"/>
      <c r="AG531" s="196"/>
      <c r="AH531" s="196"/>
      <c r="AI531" s="196"/>
      <c r="AJ531" s="196"/>
      <c r="AK531" s="196"/>
      <c r="AL531" s="197"/>
      <c r="AM531" s="197"/>
      <c r="AN531" s="197"/>
      <c r="AO531" s="195"/>
      <c r="AP531" s="195"/>
      <c r="AQ531" s="195"/>
      <c r="AR531" s="195"/>
      <c r="AS531" s="195"/>
      <c r="AT531" s="195"/>
      <c r="AU531" s="195"/>
    </row>
    <row r="532" spans="1:47" ht="8.25" hidden="1" customHeight="1" x14ac:dyDescent="0.25">
      <c r="A532" s="218"/>
      <c r="B532" s="219"/>
      <c r="C532" s="1387"/>
      <c r="D532" s="904" t="s">
        <v>299</v>
      </c>
      <c r="E532" s="905"/>
      <c r="F532" s="198"/>
      <c r="G532" s="198"/>
      <c r="H532" s="198"/>
      <c r="I532" s="198"/>
      <c r="J532" s="905"/>
      <c r="K532" s="214"/>
      <c r="L532" s="909"/>
      <c r="M532" s="909"/>
      <c r="N532" s="909"/>
      <c r="O532" s="1269"/>
      <c r="P532" s="1269"/>
      <c r="Q532" s="1269"/>
      <c r="R532" s="1269"/>
      <c r="S532" s="1269"/>
      <c r="T532" s="1269"/>
      <c r="U532" s="1269"/>
      <c r="V532" s="903"/>
      <c r="W532" s="1269"/>
      <c r="X532" s="1269"/>
      <c r="Y532" s="1269"/>
      <c r="Z532" s="1284"/>
      <c r="AA532" s="195"/>
      <c r="AB532" s="195"/>
      <c r="AC532" s="196"/>
      <c r="AD532" s="196"/>
      <c r="AE532" s="196"/>
      <c r="AF532" s="196"/>
      <c r="AG532" s="196"/>
      <c r="AH532" s="196"/>
      <c r="AI532" s="196"/>
      <c r="AJ532" s="196"/>
      <c r="AK532" s="196"/>
      <c r="AL532" s="197"/>
      <c r="AM532" s="197"/>
      <c r="AN532" s="197"/>
      <c r="AO532" s="195"/>
      <c r="AP532" s="195"/>
      <c r="AQ532" s="195"/>
      <c r="AR532" s="195"/>
      <c r="AS532" s="195"/>
      <c r="AT532" s="195"/>
      <c r="AU532" s="195"/>
    </row>
    <row r="533" spans="1:47" ht="8.25" hidden="1" customHeight="1" x14ac:dyDescent="0.25">
      <c r="A533" s="218"/>
      <c r="B533" s="219"/>
      <c r="C533" s="1387"/>
      <c r="D533" s="1286" t="s">
        <v>302</v>
      </c>
      <c r="E533" s="1272"/>
      <c r="F533" s="1272"/>
      <c r="G533" s="1272"/>
      <c r="H533" s="1272"/>
      <c r="I533" s="905"/>
      <c r="J533" s="1272"/>
      <c r="K533" s="1272"/>
      <c r="L533" s="1297"/>
      <c r="M533" s="1272"/>
      <c r="N533" s="1272"/>
      <c r="O533" s="1269"/>
      <c r="P533" s="1269"/>
      <c r="Q533" s="1269"/>
      <c r="R533" s="1269"/>
      <c r="S533" s="1269"/>
      <c r="T533" s="1269"/>
      <c r="U533" s="1269"/>
      <c r="V533" s="903"/>
      <c r="W533" s="1269"/>
      <c r="X533" s="1269"/>
      <c r="Y533" s="1269"/>
      <c r="Z533" s="1284"/>
      <c r="AA533" s="195"/>
      <c r="AB533" s="195"/>
      <c r="AC533" s="196"/>
      <c r="AD533" s="196"/>
      <c r="AE533" s="196"/>
      <c r="AF533" s="196"/>
      <c r="AG533" s="196"/>
      <c r="AH533" s="196"/>
      <c r="AI533" s="196"/>
      <c r="AJ533" s="196"/>
      <c r="AK533" s="196"/>
      <c r="AL533" s="197"/>
      <c r="AM533" s="197"/>
      <c r="AN533" s="197"/>
      <c r="AO533" s="195"/>
      <c r="AP533" s="195"/>
      <c r="AQ533" s="195"/>
      <c r="AR533" s="195"/>
      <c r="AS533" s="195"/>
      <c r="AT533" s="195"/>
      <c r="AU533" s="195"/>
    </row>
    <row r="534" spans="1:47" ht="8.25" hidden="1" customHeight="1" x14ac:dyDescent="0.25">
      <c r="A534" s="218"/>
      <c r="B534" s="219"/>
      <c r="C534" s="1387"/>
      <c r="D534" s="1269"/>
      <c r="E534" s="1272"/>
      <c r="F534" s="1269"/>
      <c r="G534" s="1269"/>
      <c r="H534" s="1269"/>
      <c r="I534" s="903"/>
      <c r="J534" s="1269"/>
      <c r="K534" s="1269"/>
      <c r="L534" s="1300"/>
      <c r="M534" s="1269"/>
      <c r="N534" s="1269"/>
      <c r="O534" s="1269"/>
      <c r="P534" s="1269"/>
      <c r="Q534" s="1269"/>
      <c r="R534" s="1269"/>
      <c r="S534" s="1269"/>
      <c r="T534" s="1269"/>
      <c r="U534" s="1269"/>
      <c r="V534" s="903"/>
      <c r="W534" s="1269"/>
      <c r="X534" s="1269"/>
      <c r="Y534" s="1269"/>
      <c r="Z534" s="1284"/>
      <c r="AA534" s="195"/>
      <c r="AB534" s="195"/>
      <c r="AC534" s="196"/>
      <c r="AD534" s="196"/>
      <c r="AE534" s="196"/>
      <c r="AF534" s="196"/>
      <c r="AG534" s="196"/>
      <c r="AH534" s="196"/>
      <c r="AI534" s="196"/>
      <c r="AJ534" s="196"/>
      <c r="AK534" s="196"/>
      <c r="AL534" s="197"/>
      <c r="AM534" s="197"/>
      <c r="AN534" s="197"/>
      <c r="AO534" s="195"/>
      <c r="AP534" s="195"/>
      <c r="AQ534" s="195"/>
      <c r="AR534" s="195"/>
      <c r="AS534" s="195"/>
      <c r="AT534" s="195"/>
      <c r="AU534" s="195"/>
    </row>
    <row r="535" spans="1:47" ht="8.25" hidden="1" customHeight="1" x14ac:dyDescent="0.25">
      <c r="A535" s="218"/>
      <c r="B535" s="219"/>
      <c r="C535" s="1387"/>
      <c r="D535" s="1269"/>
      <c r="E535" s="1272"/>
      <c r="F535" s="1269"/>
      <c r="G535" s="1269"/>
      <c r="H535" s="1269"/>
      <c r="I535" s="903"/>
      <c r="J535" s="1269"/>
      <c r="K535" s="1269"/>
      <c r="L535" s="1300"/>
      <c r="M535" s="1269"/>
      <c r="N535" s="1269"/>
      <c r="O535" s="1269"/>
      <c r="P535" s="1269"/>
      <c r="Q535" s="1269"/>
      <c r="R535" s="1269"/>
      <c r="S535" s="1269"/>
      <c r="T535" s="1269"/>
      <c r="U535" s="1269"/>
      <c r="V535" s="903"/>
      <c r="W535" s="1269"/>
      <c r="X535" s="1269"/>
      <c r="Y535" s="1269"/>
      <c r="Z535" s="1284"/>
      <c r="AA535" s="195"/>
      <c r="AB535" s="195"/>
      <c r="AC535" s="196"/>
      <c r="AD535" s="196"/>
      <c r="AE535" s="196"/>
      <c r="AF535" s="196"/>
      <c r="AG535" s="196"/>
      <c r="AH535" s="196"/>
      <c r="AI535" s="196"/>
      <c r="AJ535" s="196"/>
      <c r="AK535" s="196"/>
      <c r="AL535" s="197"/>
      <c r="AM535" s="197"/>
      <c r="AN535" s="197"/>
      <c r="AO535" s="195"/>
      <c r="AP535" s="195"/>
      <c r="AQ535" s="195"/>
      <c r="AR535" s="195"/>
      <c r="AS535" s="195"/>
      <c r="AT535" s="195"/>
      <c r="AU535" s="195"/>
    </row>
    <row r="536" spans="1:47" ht="8.25" hidden="1" customHeight="1" x14ac:dyDescent="0.25">
      <c r="A536" s="218"/>
      <c r="B536" s="219"/>
      <c r="C536" s="1388"/>
      <c r="D536" s="1270"/>
      <c r="E536" s="1297"/>
      <c r="F536" s="1270"/>
      <c r="G536" s="1270"/>
      <c r="H536" s="1270"/>
      <c r="I536" s="908"/>
      <c r="J536" s="1270"/>
      <c r="K536" s="1270"/>
      <c r="L536" s="1353"/>
      <c r="M536" s="1270"/>
      <c r="N536" s="1270"/>
      <c r="O536" s="1270"/>
      <c r="P536" s="1270"/>
      <c r="Q536" s="1270"/>
      <c r="R536" s="1270"/>
      <c r="S536" s="1270"/>
      <c r="T536" s="1270"/>
      <c r="U536" s="1270"/>
      <c r="V536" s="908"/>
      <c r="W536" s="1270"/>
      <c r="X536" s="1270"/>
      <c r="Y536" s="1270"/>
      <c r="Z536" s="1296"/>
      <c r="AA536" s="195"/>
      <c r="AB536" s="195"/>
      <c r="AC536" s="196"/>
      <c r="AD536" s="196"/>
      <c r="AE536" s="196"/>
      <c r="AF536" s="196"/>
      <c r="AG536" s="196"/>
      <c r="AH536" s="196"/>
      <c r="AI536" s="196"/>
      <c r="AJ536" s="196"/>
      <c r="AK536" s="196"/>
      <c r="AL536" s="197"/>
      <c r="AM536" s="197"/>
      <c r="AN536" s="197"/>
      <c r="AO536" s="195"/>
      <c r="AP536" s="195"/>
      <c r="AQ536" s="195"/>
      <c r="AR536" s="195"/>
      <c r="AS536" s="195"/>
      <c r="AT536" s="195"/>
      <c r="AU536" s="195"/>
    </row>
    <row r="537" spans="1:47" ht="8.25" hidden="1" customHeight="1" x14ac:dyDescent="0.25">
      <c r="A537" s="218"/>
      <c r="B537" s="219"/>
      <c r="C537" s="1386" t="s">
        <v>379</v>
      </c>
      <c r="D537" s="199" t="s">
        <v>288</v>
      </c>
      <c r="E537" s="210"/>
      <c r="F537" s="210"/>
      <c r="G537" s="210"/>
      <c r="H537" s="210">
        <v>21.64</v>
      </c>
      <c r="I537" s="210"/>
      <c r="J537" s="210"/>
      <c r="K537" s="215"/>
      <c r="L537" s="216"/>
      <c r="M537" s="211">
        <v>21.64</v>
      </c>
      <c r="N537" s="905"/>
      <c r="O537" s="1272" t="s">
        <v>383</v>
      </c>
      <c r="P537" s="1316" t="s">
        <v>86</v>
      </c>
      <c r="Q537" s="1328" t="s">
        <v>86</v>
      </c>
      <c r="R537" s="1316" t="s">
        <v>86</v>
      </c>
      <c r="S537" s="1328" t="s">
        <v>290</v>
      </c>
      <c r="T537" s="1354">
        <v>190484</v>
      </c>
      <c r="U537" s="1354">
        <v>213035</v>
      </c>
      <c r="V537" s="926"/>
      <c r="W537" s="1328" t="s">
        <v>291</v>
      </c>
      <c r="X537" s="1328" t="s">
        <v>292</v>
      </c>
      <c r="Y537" s="1328" t="s">
        <v>293</v>
      </c>
      <c r="Z537" s="1329">
        <v>7878783</v>
      </c>
      <c r="AA537" s="195"/>
      <c r="AB537" s="195"/>
      <c r="AC537" s="196"/>
      <c r="AD537" s="196"/>
      <c r="AE537" s="196"/>
      <c r="AF537" s="196"/>
      <c r="AG537" s="196"/>
      <c r="AH537" s="196"/>
      <c r="AI537" s="196"/>
      <c r="AJ537" s="196"/>
      <c r="AK537" s="196"/>
      <c r="AL537" s="197"/>
      <c r="AM537" s="197"/>
      <c r="AN537" s="197"/>
      <c r="AO537" s="195"/>
      <c r="AP537" s="195"/>
      <c r="AQ537" s="195"/>
      <c r="AR537" s="195"/>
      <c r="AS537" s="195"/>
      <c r="AT537" s="195"/>
      <c r="AU537" s="195"/>
    </row>
    <row r="538" spans="1:47" ht="8.25" hidden="1" customHeight="1" x14ac:dyDescent="0.25">
      <c r="A538" s="218"/>
      <c r="B538" s="219"/>
      <c r="C538" s="1387"/>
      <c r="D538" s="904" t="s">
        <v>296</v>
      </c>
      <c r="E538" s="217"/>
      <c r="F538" s="905"/>
      <c r="G538" s="905"/>
      <c r="H538" s="302">
        <v>5821814.0088888891</v>
      </c>
      <c r="I538" s="302"/>
      <c r="J538" s="905"/>
      <c r="K538" s="905"/>
      <c r="L538" s="311"/>
      <c r="M538" s="312">
        <v>3222124.4562936756</v>
      </c>
      <c r="N538" s="217"/>
      <c r="O538" s="1269"/>
      <c r="P538" s="1269"/>
      <c r="Q538" s="1269"/>
      <c r="R538" s="1269"/>
      <c r="S538" s="1269"/>
      <c r="T538" s="1269"/>
      <c r="U538" s="1269"/>
      <c r="V538" s="903"/>
      <c r="W538" s="1269"/>
      <c r="X538" s="1269"/>
      <c r="Y538" s="1269"/>
      <c r="Z538" s="1284"/>
      <c r="AA538" s="195"/>
      <c r="AB538" s="195"/>
      <c r="AC538" s="196"/>
      <c r="AD538" s="196"/>
      <c r="AE538" s="196"/>
      <c r="AF538" s="196"/>
      <c r="AG538" s="196"/>
      <c r="AH538" s="196"/>
      <c r="AI538" s="196"/>
      <c r="AJ538" s="196"/>
      <c r="AK538" s="196"/>
      <c r="AL538" s="197"/>
      <c r="AM538" s="197"/>
      <c r="AN538" s="197"/>
      <c r="AO538" s="195"/>
      <c r="AP538" s="195"/>
      <c r="AQ538" s="195"/>
      <c r="AR538" s="195"/>
      <c r="AS538" s="195"/>
      <c r="AT538" s="195"/>
      <c r="AU538" s="195"/>
    </row>
    <row r="539" spans="1:47" ht="8.25" hidden="1" customHeight="1" x14ac:dyDescent="0.25">
      <c r="A539" s="218"/>
      <c r="B539" s="219"/>
      <c r="C539" s="1387"/>
      <c r="D539" s="904" t="s">
        <v>299</v>
      </c>
      <c r="E539" s="905"/>
      <c r="F539" s="198"/>
      <c r="G539" s="198"/>
      <c r="H539" s="198"/>
      <c r="I539" s="198"/>
      <c r="J539" s="905"/>
      <c r="K539" s="214"/>
      <c r="L539" s="909"/>
      <c r="M539" s="909"/>
      <c r="N539" s="909"/>
      <c r="O539" s="1269"/>
      <c r="P539" s="1269"/>
      <c r="Q539" s="1269"/>
      <c r="R539" s="1269"/>
      <c r="S539" s="1269"/>
      <c r="T539" s="1269"/>
      <c r="U539" s="1269"/>
      <c r="V539" s="903"/>
      <c r="W539" s="1269"/>
      <c r="X539" s="1269"/>
      <c r="Y539" s="1269"/>
      <c r="Z539" s="1284"/>
      <c r="AA539" s="195"/>
      <c r="AB539" s="195"/>
      <c r="AC539" s="196"/>
      <c r="AD539" s="196"/>
      <c r="AE539" s="196"/>
      <c r="AF539" s="196"/>
      <c r="AG539" s="196"/>
      <c r="AH539" s="196"/>
      <c r="AI539" s="196"/>
      <c r="AJ539" s="196"/>
      <c r="AK539" s="196"/>
      <c r="AL539" s="197"/>
      <c r="AM539" s="197"/>
      <c r="AN539" s="197"/>
      <c r="AO539" s="195"/>
      <c r="AP539" s="195"/>
      <c r="AQ539" s="195"/>
      <c r="AR539" s="195"/>
      <c r="AS539" s="195"/>
      <c r="AT539" s="195"/>
      <c r="AU539" s="195"/>
    </row>
    <row r="540" spans="1:47" ht="8.25" hidden="1" customHeight="1" x14ac:dyDescent="0.25">
      <c r="A540" s="218"/>
      <c r="B540" s="219"/>
      <c r="C540" s="1387"/>
      <c r="D540" s="1286" t="s">
        <v>302</v>
      </c>
      <c r="E540" s="1272"/>
      <c r="F540" s="1272"/>
      <c r="G540" s="1272"/>
      <c r="H540" s="1272"/>
      <c r="I540" s="905"/>
      <c r="J540" s="1272"/>
      <c r="K540" s="1272"/>
      <c r="L540" s="1297"/>
      <c r="M540" s="1272"/>
      <c r="N540" s="1272"/>
      <c r="O540" s="1269"/>
      <c r="P540" s="1269"/>
      <c r="Q540" s="1269"/>
      <c r="R540" s="1269"/>
      <c r="S540" s="1269"/>
      <c r="T540" s="1269"/>
      <c r="U540" s="1269"/>
      <c r="V540" s="903"/>
      <c r="W540" s="1269"/>
      <c r="X540" s="1269"/>
      <c r="Y540" s="1269"/>
      <c r="Z540" s="1284"/>
      <c r="AA540" s="195"/>
      <c r="AB540" s="195"/>
      <c r="AC540" s="196"/>
      <c r="AD540" s="196"/>
      <c r="AE540" s="196"/>
      <c r="AF540" s="196"/>
      <c r="AG540" s="196"/>
      <c r="AH540" s="196"/>
      <c r="AI540" s="196"/>
      <c r="AJ540" s="196"/>
      <c r="AK540" s="196"/>
      <c r="AL540" s="197"/>
      <c r="AM540" s="197"/>
      <c r="AN540" s="197"/>
      <c r="AO540" s="195"/>
      <c r="AP540" s="195"/>
      <c r="AQ540" s="195"/>
      <c r="AR540" s="195"/>
      <c r="AS540" s="195"/>
      <c r="AT540" s="195"/>
      <c r="AU540" s="195"/>
    </row>
    <row r="541" spans="1:47" ht="8.25" hidden="1" customHeight="1" x14ac:dyDescent="0.25">
      <c r="A541" s="218"/>
      <c r="B541" s="219"/>
      <c r="C541" s="1387"/>
      <c r="D541" s="1269"/>
      <c r="E541" s="1272"/>
      <c r="F541" s="1269"/>
      <c r="G541" s="1269"/>
      <c r="H541" s="1269"/>
      <c r="I541" s="903"/>
      <c r="J541" s="1269"/>
      <c r="K541" s="1269"/>
      <c r="L541" s="1300"/>
      <c r="M541" s="1269"/>
      <c r="N541" s="1269"/>
      <c r="O541" s="1269"/>
      <c r="P541" s="1269"/>
      <c r="Q541" s="1269"/>
      <c r="R541" s="1269"/>
      <c r="S541" s="1269"/>
      <c r="T541" s="1269"/>
      <c r="U541" s="1269"/>
      <c r="V541" s="903"/>
      <c r="W541" s="1269"/>
      <c r="X541" s="1269"/>
      <c r="Y541" s="1269"/>
      <c r="Z541" s="1284"/>
      <c r="AA541" s="195"/>
      <c r="AB541" s="195"/>
      <c r="AC541" s="196"/>
      <c r="AD541" s="196"/>
      <c r="AE541" s="196"/>
      <c r="AF541" s="196"/>
      <c r="AG541" s="196"/>
      <c r="AH541" s="196"/>
      <c r="AI541" s="196"/>
      <c r="AJ541" s="196"/>
      <c r="AK541" s="196"/>
      <c r="AL541" s="197"/>
      <c r="AM541" s="197"/>
      <c r="AN541" s="197"/>
      <c r="AO541" s="195"/>
      <c r="AP541" s="195"/>
      <c r="AQ541" s="195"/>
      <c r="AR541" s="195"/>
      <c r="AS541" s="195"/>
      <c r="AT541" s="195"/>
      <c r="AU541" s="195"/>
    </row>
    <row r="542" spans="1:47" ht="8.25" hidden="1" customHeight="1" x14ac:dyDescent="0.25">
      <c r="A542" s="218"/>
      <c r="B542" s="219"/>
      <c r="C542" s="1387"/>
      <c r="D542" s="1269"/>
      <c r="E542" s="1272"/>
      <c r="F542" s="1269"/>
      <c r="G542" s="1269"/>
      <c r="H542" s="1269"/>
      <c r="I542" s="903"/>
      <c r="J542" s="1269"/>
      <c r="K542" s="1269"/>
      <c r="L542" s="1300"/>
      <c r="M542" s="1269"/>
      <c r="N542" s="1269"/>
      <c r="O542" s="1269"/>
      <c r="P542" s="1269"/>
      <c r="Q542" s="1269"/>
      <c r="R542" s="1269"/>
      <c r="S542" s="1269"/>
      <c r="T542" s="1269"/>
      <c r="U542" s="1269"/>
      <c r="V542" s="903"/>
      <c r="W542" s="1269"/>
      <c r="X542" s="1269"/>
      <c r="Y542" s="1269"/>
      <c r="Z542" s="1284"/>
      <c r="AA542" s="195"/>
      <c r="AB542" s="195"/>
      <c r="AC542" s="196"/>
      <c r="AD542" s="196"/>
      <c r="AE542" s="196"/>
      <c r="AF542" s="196"/>
      <c r="AG542" s="196"/>
      <c r="AH542" s="196"/>
      <c r="AI542" s="196"/>
      <c r="AJ542" s="196"/>
      <c r="AK542" s="196"/>
      <c r="AL542" s="197"/>
      <c r="AM542" s="197"/>
      <c r="AN542" s="197"/>
      <c r="AO542" s="195"/>
      <c r="AP542" s="195"/>
      <c r="AQ542" s="195"/>
      <c r="AR542" s="195"/>
      <c r="AS542" s="195"/>
      <c r="AT542" s="195"/>
      <c r="AU542" s="195"/>
    </row>
    <row r="543" spans="1:47" ht="8.25" hidden="1" customHeight="1" x14ac:dyDescent="0.25">
      <c r="A543" s="218"/>
      <c r="B543" s="219"/>
      <c r="C543" s="1388"/>
      <c r="D543" s="1270"/>
      <c r="E543" s="1297"/>
      <c r="F543" s="1270"/>
      <c r="G543" s="1270"/>
      <c r="H543" s="1270"/>
      <c r="I543" s="908"/>
      <c r="J543" s="1270"/>
      <c r="K543" s="1270"/>
      <c r="L543" s="1353"/>
      <c r="M543" s="1270"/>
      <c r="N543" s="1270"/>
      <c r="O543" s="1270"/>
      <c r="P543" s="1270"/>
      <c r="Q543" s="1270"/>
      <c r="R543" s="1270"/>
      <c r="S543" s="1270"/>
      <c r="T543" s="1270"/>
      <c r="U543" s="1270"/>
      <c r="V543" s="908"/>
      <c r="W543" s="1270"/>
      <c r="X543" s="1270"/>
      <c r="Y543" s="1270"/>
      <c r="Z543" s="1296"/>
      <c r="AA543" s="195"/>
      <c r="AB543" s="195"/>
      <c r="AC543" s="196"/>
      <c r="AD543" s="196"/>
      <c r="AE543" s="196"/>
      <c r="AF543" s="196"/>
      <c r="AG543" s="196"/>
      <c r="AH543" s="196"/>
      <c r="AI543" s="196"/>
      <c r="AJ543" s="196"/>
      <c r="AK543" s="196"/>
      <c r="AL543" s="197"/>
      <c r="AM543" s="197"/>
      <c r="AN543" s="197"/>
      <c r="AO543" s="195"/>
      <c r="AP543" s="195"/>
      <c r="AQ543" s="195"/>
      <c r="AR543" s="195"/>
      <c r="AS543" s="195"/>
      <c r="AT543" s="195"/>
      <c r="AU543" s="195"/>
    </row>
    <row r="544" spans="1:47" ht="8.25" hidden="1" customHeight="1" x14ac:dyDescent="0.25">
      <c r="A544" s="218"/>
      <c r="B544" s="219"/>
      <c r="C544" s="1386" t="s">
        <v>379</v>
      </c>
      <c r="D544" s="199" t="s">
        <v>288</v>
      </c>
      <c r="E544" s="210"/>
      <c r="F544" s="210"/>
      <c r="G544" s="210"/>
      <c r="H544" s="210">
        <v>14.51</v>
      </c>
      <c r="I544" s="210"/>
      <c r="J544" s="210"/>
      <c r="K544" s="215"/>
      <c r="L544" s="216"/>
      <c r="M544" s="211">
        <v>14.51</v>
      </c>
      <c r="N544" s="905"/>
      <c r="O544" s="1272" t="s">
        <v>365</v>
      </c>
      <c r="P544" s="1316" t="s">
        <v>86</v>
      </c>
      <c r="Q544" s="1328" t="s">
        <v>86</v>
      </c>
      <c r="R544" s="1316" t="s">
        <v>86</v>
      </c>
      <c r="S544" s="1328" t="s">
        <v>290</v>
      </c>
      <c r="T544" s="1354">
        <v>190484</v>
      </c>
      <c r="U544" s="1354">
        <v>213035</v>
      </c>
      <c r="V544" s="926"/>
      <c r="W544" s="1328" t="s">
        <v>291</v>
      </c>
      <c r="X544" s="1328" t="s">
        <v>292</v>
      </c>
      <c r="Y544" s="1328" t="s">
        <v>293</v>
      </c>
      <c r="Z544" s="1329">
        <v>7878783</v>
      </c>
      <c r="AA544" s="195"/>
      <c r="AB544" s="195"/>
      <c r="AC544" s="196"/>
      <c r="AD544" s="196"/>
      <c r="AE544" s="196"/>
      <c r="AF544" s="196"/>
      <c r="AG544" s="196"/>
      <c r="AH544" s="196"/>
      <c r="AI544" s="196"/>
      <c r="AJ544" s="196"/>
      <c r="AK544" s="196"/>
      <c r="AL544" s="197"/>
      <c r="AM544" s="197"/>
      <c r="AN544" s="197"/>
      <c r="AO544" s="195"/>
      <c r="AP544" s="195"/>
      <c r="AQ544" s="195"/>
      <c r="AR544" s="195"/>
      <c r="AS544" s="195"/>
      <c r="AT544" s="195"/>
      <c r="AU544" s="195"/>
    </row>
    <row r="545" spans="1:47" ht="8.25" hidden="1" customHeight="1" x14ac:dyDescent="0.25">
      <c r="A545" s="218"/>
      <c r="B545" s="219"/>
      <c r="C545" s="1387"/>
      <c r="D545" s="904" t="s">
        <v>296</v>
      </c>
      <c r="E545" s="217"/>
      <c r="F545" s="905"/>
      <c r="G545" s="905"/>
      <c r="H545" s="302">
        <v>3903628.5244444446</v>
      </c>
      <c r="I545" s="302"/>
      <c r="J545" s="905"/>
      <c r="K545" s="905"/>
      <c r="L545" s="311"/>
      <c r="M545" s="312">
        <v>2160491.0286885966</v>
      </c>
      <c r="N545" s="217"/>
      <c r="O545" s="1269"/>
      <c r="P545" s="1269"/>
      <c r="Q545" s="1269"/>
      <c r="R545" s="1269"/>
      <c r="S545" s="1269"/>
      <c r="T545" s="1269"/>
      <c r="U545" s="1269"/>
      <c r="V545" s="903"/>
      <c r="W545" s="1269"/>
      <c r="X545" s="1269"/>
      <c r="Y545" s="1269"/>
      <c r="Z545" s="1284"/>
      <c r="AA545" s="195"/>
      <c r="AB545" s="195"/>
      <c r="AC545" s="196"/>
      <c r="AD545" s="196"/>
      <c r="AE545" s="196"/>
      <c r="AF545" s="196"/>
      <c r="AG545" s="196"/>
      <c r="AH545" s="196"/>
      <c r="AI545" s="196"/>
      <c r="AJ545" s="196"/>
      <c r="AK545" s="196"/>
      <c r="AL545" s="197"/>
      <c r="AM545" s="197"/>
      <c r="AN545" s="197"/>
      <c r="AO545" s="195"/>
      <c r="AP545" s="195"/>
      <c r="AQ545" s="195"/>
      <c r="AR545" s="195"/>
      <c r="AS545" s="195"/>
      <c r="AT545" s="195"/>
      <c r="AU545" s="195"/>
    </row>
    <row r="546" spans="1:47" ht="8.25" hidden="1" customHeight="1" x14ac:dyDescent="0.25">
      <c r="A546" s="218"/>
      <c r="B546" s="219"/>
      <c r="C546" s="1387"/>
      <c r="D546" s="904" t="s">
        <v>299</v>
      </c>
      <c r="E546" s="905"/>
      <c r="F546" s="198"/>
      <c r="G546" s="198"/>
      <c r="H546" s="198"/>
      <c r="I546" s="198"/>
      <c r="J546" s="905"/>
      <c r="K546" s="214"/>
      <c r="L546" s="909"/>
      <c r="M546" s="909"/>
      <c r="N546" s="909"/>
      <c r="O546" s="1269"/>
      <c r="P546" s="1269"/>
      <c r="Q546" s="1269"/>
      <c r="R546" s="1269"/>
      <c r="S546" s="1269"/>
      <c r="T546" s="1269"/>
      <c r="U546" s="1269"/>
      <c r="V546" s="903"/>
      <c r="W546" s="1269"/>
      <c r="X546" s="1269"/>
      <c r="Y546" s="1269"/>
      <c r="Z546" s="1284"/>
      <c r="AA546" s="195"/>
      <c r="AB546" s="195"/>
      <c r="AC546" s="196"/>
      <c r="AD546" s="196"/>
      <c r="AE546" s="196"/>
      <c r="AF546" s="196"/>
      <c r="AG546" s="196"/>
      <c r="AH546" s="196"/>
      <c r="AI546" s="196"/>
      <c r="AJ546" s="196"/>
      <c r="AK546" s="196"/>
      <c r="AL546" s="197"/>
      <c r="AM546" s="197"/>
      <c r="AN546" s="197"/>
      <c r="AO546" s="195"/>
      <c r="AP546" s="195"/>
      <c r="AQ546" s="195"/>
      <c r="AR546" s="195"/>
      <c r="AS546" s="195"/>
      <c r="AT546" s="195"/>
      <c r="AU546" s="195"/>
    </row>
    <row r="547" spans="1:47" ht="8.25" hidden="1" customHeight="1" x14ac:dyDescent="0.25">
      <c r="A547" s="218"/>
      <c r="B547" s="219"/>
      <c r="C547" s="1387"/>
      <c r="D547" s="1286" t="s">
        <v>302</v>
      </c>
      <c r="E547" s="1272"/>
      <c r="F547" s="1272"/>
      <c r="G547" s="1272"/>
      <c r="H547" s="1272"/>
      <c r="I547" s="905"/>
      <c r="J547" s="1272"/>
      <c r="K547" s="1272"/>
      <c r="L547" s="1297"/>
      <c r="M547" s="1272"/>
      <c r="N547" s="1272"/>
      <c r="O547" s="1269"/>
      <c r="P547" s="1269"/>
      <c r="Q547" s="1269"/>
      <c r="R547" s="1269"/>
      <c r="S547" s="1269"/>
      <c r="T547" s="1269"/>
      <c r="U547" s="1269"/>
      <c r="V547" s="903"/>
      <c r="W547" s="1269"/>
      <c r="X547" s="1269"/>
      <c r="Y547" s="1269"/>
      <c r="Z547" s="1284"/>
      <c r="AA547" s="195"/>
      <c r="AB547" s="195"/>
      <c r="AC547" s="196"/>
      <c r="AD547" s="196"/>
      <c r="AE547" s="196"/>
      <c r="AF547" s="196"/>
      <c r="AG547" s="196"/>
      <c r="AH547" s="196"/>
      <c r="AI547" s="196"/>
      <c r="AJ547" s="196"/>
      <c r="AK547" s="196"/>
      <c r="AL547" s="197"/>
      <c r="AM547" s="197"/>
      <c r="AN547" s="197"/>
      <c r="AO547" s="195"/>
      <c r="AP547" s="195"/>
      <c r="AQ547" s="195"/>
      <c r="AR547" s="195"/>
      <c r="AS547" s="195"/>
      <c r="AT547" s="195"/>
      <c r="AU547" s="195"/>
    </row>
    <row r="548" spans="1:47" ht="8.25" hidden="1" customHeight="1" x14ac:dyDescent="0.25">
      <c r="A548" s="218"/>
      <c r="B548" s="219"/>
      <c r="C548" s="1387"/>
      <c r="D548" s="1269"/>
      <c r="E548" s="1272"/>
      <c r="F548" s="1269"/>
      <c r="G548" s="1269"/>
      <c r="H548" s="1269"/>
      <c r="I548" s="903"/>
      <c r="J548" s="1269"/>
      <c r="K548" s="1269"/>
      <c r="L548" s="1300"/>
      <c r="M548" s="1269"/>
      <c r="N548" s="1269"/>
      <c r="O548" s="1269"/>
      <c r="P548" s="1269"/>
      <c r="Q548" s="1269"/>
      <c r="R548" s="1269"/>
      <c r="S548" s="1269"/>
      <c r="T548" s="1269"/>
      <c r="U548" s="1269"/>
      <c r="V548" s="903"/>
      <c r="W548" s="1269"/>
      <c r="X548" s="1269"/>
      <c r="Y548" s="1269"/>
      <c r="Z548" s="1284"/>
      <c r="AA548" s="195"/>
      <c r="AB548" s="195"/>
      <c r="AC548" s="196"/>
      <c r="AD548" s="196"/>
      <c r="AE548" s="196"/>
      <c r="AF548" s="196"/>
      <c r="AG548" s="196"/>
      <c r="AH548" s="196"/>
      <c r="AI548" s="196"/>
      <c r="AJ548" s="196"/>
      <c r="AK548" s="196"/>
      <c r="AL548" s="197"/>
      <c r="AM548" s="197"/>
      <c r="AN548" s="197"/>
      <c r="AO548" s="195"/>
      <c r="AP548" s="195"/>
      <c r="AQ548" s="195"/>
      <c r="AR548" s="195"/>
      <c r="AS548" s="195"/>
      <c r="AT548" s="195"/>
      <c r="AU548" s="195"/>
    </row>
    <row r="549" spans="1:47" ht="8.25" hidden="1" customHeight="1" x14ac:dyDescent="0.25">
      <c r="A549" s="218"/>
      <c r="B549" s="219"/>
      <c r="C549" s="1387"/>
      <c r="D549" s="1269"/>
      <c r="E549" s="1272"/>
      <c r="F549" s="1269"/>
      <c r="G549" s="1269"/>
      <c r="H549" s="1269"/>
      <c r="I549" s="903"/>
      <c r="J549" s="1269"/>
      <c r="K549" s="1269"/>
      <c r="L549" s="1300"/>
      <c r="M549" s="1269"/>
      <c r="N549" s="1269"/>
      <c r="O549" s="1269"/>
      <c r="P549" s="1269"/>
      <c r="Q549" s="1269"/>
      <c r="R549" s="1269"/>
      <c r="S549" s="1269"/>
      <c r="T549" s="1269"/>
      <c r="U549" s="1269"/>
      <c r="V549" s="903"/>
      <c r="W549" s="1269"/>
      <c r="X549" s="1269"/>
      <c r="Y549" s="1269"/>
      <c r="Z549" s="1284"/>
      <c r="AA549" s="195"/>
      <c r="AB549" s="195"/>
      <c r="AC549" s="196"/>
      <c r="AD549" s="196"/>
      <c r="AE549" s="196"/>
      <c r="AF549" s="196"/>
      <c r="AG549" s="196"/>
      <c r="AH549" s="196"/>
      <c r="AI549" s="196"/>
      <c r="AJ549" s="196"/>
      <c r="AK549" s="196"/>
      <c r="AL549" s="197"/>
      <c r="AM549" s="197"/>
      <c r="AN549" s="197"/>
      <c r="AO549" s="195"/>
      <c r="AP549" s="195"/>
      <c r="AQ549" s="195"/>
      <c r="AR549" s="195"/>
      <c r="AS549" s="195"/>
      <c r="AT549" s="195"/>
      <c r="AU549" s="195"/>
    </row>
    <row r="550" spans="1:47" ht="8.25" hidden="1" customHeight="1" x14ac:dyDescent="0.25">
      <c r="A550" s="218"/>
      <c r="B550" s="219"/>
      <c r="C550" s="1388"/>
      <c r="D550" s="1270"/>
      <c r="E550" s="1297"/>
      <c r="F550" s="1270"/>
      <c r="G550" s="1270"/>
      <c r="H550" s="1270"/>
      <c r="I550" s="908"/>
      <c r="J550" s="1270"/>
      <c r="K550" s="1270"/>
      <c r="L550" s="1353"/>
      <c r="M550" s="1270"/>
      <c r="N550" s="1270"/>
      <c r="O550" s="1270"/>
      <c r="P550" s="1270"/>
      <c r="Q550" s="1270"/>
      <c r="R550" s="1270"/>
      <c r="S550" s="1270"/>
      <c r="T550" s="1270"/>
      <c r="U550" s="1270"/>
      <c r="V550" s="908"/>
      <c r="W550" s="1270"/>
      <c r="X550" s="1270"/>
      <c r="Y550" s="1270"/>
      <c r="Z550" s="1296"/>
      <c r="AA550" s="195"/>
      <c r="AB550" s="195"/>
      <c r="AC550" s="196"/>
      <c r="AD550" s="196"/>
      <c r="AE550" s="196"/>
      <c r="AF550" s="196"/>
      <c r="AG550" s="196"/>
      <c r="AH550" s="196"/>
      <c r="AI550" s="196"/>
      <c r="AJ550" s="196"/>
      <c r="AK550" s="196"/>
      <c r="AL550" s="197"/>
      <c r="AM550" s="197"/>
      <c r="AN550" s="197"/>
      <c r="AO550" s="195"/>
      <c r="AP550" s="195"/>
      <c r="AQ550" s="195"/>
      <c r="AR550" s="195"/>
      <c r="AS550" s="195"/>
      <c r="AT550" s="195"/>
      <c r="AU550" s="195"/>
    </row>
    <row r="551" spans="1:47" ht="8.25" hidden="1" customHeight="1" x14ac:dyDescent="0.25">
      <c r="A551" s="218"/>
      <c r="B551" s="219"/>
      <c r="C551" s="1386" t="s">
        <v>379</v>
      </c>
      <c r="D551" s="199" t="s">
        <v>288</v>
      </c>
      <c r="E551" s="210"/>
      <c r="F551" s="210"/>
      <c r="G551" s="210"/>
      <c r="H551" s="210">
        <v>0.05</v>
      </c>
      <c r="I551" s="210"/>
      <c r="J551" s="210"/>
      <c r="K551" s="215"/>
      <c r="L551" s="216"/>
      <c r="M551" s="211">
        <v>0.05</v>
      </c>
      <c r="N551" s="905"/>
      <c r="O551" s="1272" t="s">
        <v>437</v>
      </c>
      <c r="P551" s="1316" t="s">
        <v>86</v>
      </c>
      <c r="Q551" s="1328" t="s">
        <v>86</v>
      </c>
      <c r="R551" s="1316" t="s">
        <v>86</v>
      </c>
      <c r="S551" s="1328" t="s">
        <v>290</v>
      </c>
      <c r="T551" s="1354">
        <v>190484</v>
      </c>
      <c r="U551" s="1354">
        <v>213035</v>
      </c>
      <c r="V551" s="926"/>
      <c r="W551" s="1328" t="s">
        <v>291</v>
      </c>
      <c r="X551" s="1328" t="s">
        <v>292</v>
      </c>
      <c r="Y551" s="1328" t="s">
        <v>293</v>
      </c>
      <c r="Z551" s="1329">
        <v>7878783</v>
      </c>
      <c r="AA551" s="195"/>
      <c r="AB551" s="195"/>
      <c r="AC551" s="196"/>
      <c r="AD551" s="196"/>
      <c r="AE551" s="196"/>
      <c r="AF551" s="196"/>
      <c r="AG551" s="196"/>
      <c r="AH551" s="196"/>
      <c r="AI551" s="196"/>
      <c r="AJ551" s="196"/>
      <c r="AK551" s="196"/>
      <c r="AL551" s="197"/>
      <c r="AM551" s="197"/>
      <c r="AN551" s="197"/>
      <c r="AO551" s="195"/>
      <c r="AP551" s="195"/>
      <c r="AQ551" s="195"/>
      <c r="AR551" s="195"/>
      <c r="AS551" s="195"/>
      <c r="AT551" s="195"/>
      <c r="AU551" s="195"/>
    </row>
    <row r="552" spans="1:47" ht="8.25" hidden="1" customHeight="1" x14ac:dyDescent="0.25">
      <c r="A552" s="218"/>
      <c r="B552" s="219"/>
      <c r="C552" s="1387"/>
      <c r="D552" s="904" t="s">
        <v>296</v>
      </c>
      <c r="E552" s="217"/>
      <c r="F552" s="905"/>
      <c r="G552" s="905"/>
      <c r="H552" s="302">
        <v>13451.511111111111</v>
      </c>
      <c r="I552" s="302"/>
      <c r="J552" s="905"/>
      <c r="K552" s="905"/>
      <c r="L552" s="311"/>
      <c r="M552" s="312">
        <v>7444.8346956877895</v>
      </c>
      <c r="N552" s="217"/>
      <c r="O552" s="1269"/>
      <c r="P552" s="1269"/>
      <c r="Q552" s="1269"/>
      <c r="R552" s="1269"/>
      <c r="S552" s="1269"/>
      <c r="T552" s="1269"/>
      <c r="U552" s="1269"/>
      <c r="V552" s="903"/>
      <c r="W552" s="1269"/>
      <c r="X552" s="1269"/>
      <c r="Y552" s="1269"/>
      <c r="Z552" s="1284"/>
      <c r="AA552" s="195"/>
      <c r="AB552" s="195"/>
      <c r="AC552" s="196"/>
      <c r="AD552" s="196"/>
      <c r="AE552" s="196"/>
      <c r="AF552" s="196"/>
      <c r="AG552" s="196"/>
      <c r="AH552" s="196"/>
      <c r="AI552" s="196"/>
      <c r="AJ552" s="196"/>
      <c r="AK552" s="196"/>
      <c r="AL552" s="197"/>
      <c r="AM552" s="197"/>
      <c r="AN552" s="197"/>
      <c r="AO552" s="195"/>
      <c r="AP552" s="195"/>
      <c r="AQ552" s="195"/>
      <c r="AR552" s="195"/>
      <c r="AS552" s="195"/>
      <c r="AT552" s="195"/>
      <c r="AU552" s="195"/>
    </row>
    <row r="553" spans="1:47" ht="8.25" hidden="1" customHeight="1" x14ac:dyDescent="0.25">
      <c r="A553" s="218"/>
      <c r="B553" s="219"/>
      <c r="C553" s="1387"/>
      <c r="D553" s="904" t="s">
        <v>299</v>
      </c>
      <c r="E553" s="905"/>
      <c r="F553" s="198"/>
      <c r="G553" s="198"/>
      <c r="H553" s="198"/>
      <c r="I553" s="198"/>
      <c r="J553" s="905"/>
      <c r="K553" s="214"/>
      <c r="L553" s="909"/>
      <c r="M553" s="909"/>
      <c r="N553" s="909"/>
      <c r="O553" s="1269"/>
      <c r="P553" s="1269"/>
      <c r="Q553" s="1269"/>
      <c r="R553" s="1269"/>
      <c r="S553" s="1269"/>
      <c r="T553" s="1269"/>
      <c r="U553" s="1269"/>
      <c r="V553" s="903"/>
      <c r="W553" s="1269"/>
      <c r="X553" s="1269"/>
      <c r="Y553" s="1269"/>
      <c r="Z553" s="1284"/>
      <c r="AA553" s="195"/>
      <c r="AB553" s="195"/>
      <c r="AC553" s="196"/>
      <c r="AD553" s="196"/>
      <c r="AE553" s="196"/>
      <c r="AF553" s="196"/>
      <c r="AG553" s="196"/>
      <c r="AH553" s="196"/>
      <c r="AI553" s="196"/>
      <c r="AJ553" s="196"/>
      <c r="AK553" s="196"/>
      <c r="AL553" s="197"/>
      <c r="AM553" s="197"/>
      <c r="AN553" s="197"/>
      <c r="AO553" s="195"/>
      <c r="AP553" s="195"/>
      <c r="AQ553" s="195"/>
      <c r="AR553" s="195"/>
      <c r="AS553" s="195"/>
      <c r="AT553" s="195"/>
      <c r="AU553" s="195"/>
    </row>
    <row r="554" spans="1:47" ht="8.25" hidden="1" customHeight="1" x14ac:dyDescent="0.25">
      <c r="A554" s="218"/>
      <c r="B554" s="219"/>
      <c r="C554" s="1387"/>
      <c r="D554" s="1286" t="s">
        <v>302</v>
      </c>
      <c r="E554" s="1272"/>
      <c r="F554" s="1272"/>
      <c r="G554" s="1272"/>
      <c r="H554" s="1272"/>
      <c r="I554" s="905"/>
      <c r="J554" s="1272"/>
      <c r="K554" s="1272"/>
      <c r="L554" s="1297"/>
      <c r="M554" s="1272"/>
      <c r="N554" s="1272"/>
      <c r="O554" s="1269"/>
      <c r="P554" s="1269"/>
      <c r="Q554" s="1269"/>
      <c r="R554" s="1269"/>
      <c r="S554" s="1269"/>
      <c r="T554" s="1269"/>
      <c r="U554" s="1269"/>
      <c r="V554" s="903"/>
      <c r="W554" s="1269"/>
      <c r="X554" s="1269"/>
      <c r="Y554" s="1269"/>
      <c r="Z554" s="1284"/>
      <c r="AA554" s="195"/>
      <c r="AB554" s="195"/>
      <c r="AC554" s="196"/>
      <c r="AD554" s="196"/>
      <c r="AE554" s="196"/>
      <c r="AF554" s="196"/>
      <c r="AG554" s="196"/>
      <c r="AH554" s="196"/>
      <c r="AI554" s="196"/>
      <c r="AJ554" s="196"/>
      <c r="AK554" s="196"/>
      <c r="AL554" s="197"/>
      <c r="AM554" s="197"/>
      <c r="AN554" s="197"/>
      <c r="AO554" s="195"/>
      <c r="AP554" s="195"/>
      <c r="AQ554" s="195"/>
      <c r="AR554" s="195"/>
      <c r="AS554" s="195"/>
      <c r="AT554" s="195"/>
      <c r="AU554" s="195"/>
    </row>
    <row r="555" spans="1:47" ht="8.25" hidden="1" customHeight="1" x14ac:dyDescent="0.25">
      <c r="A555" s="218"/>
      <c r="B555" s="219"/>
      <c r="C555" s="1387"/>
      <c r="D555" s="1269"/>
      <c r="E555" s="1272"/>
      <c r="F555" s="1269"/>
      <c r="G555" s="1269"/>
      <c r="H555" s="1269"/>
      <c r="I555" s="903"/>
      <c r="J555" s="1269"/>
      <c r="K555" s="1269"/>
      <c r="L555" s="1300"/>
      <c r="M555" s="1269"/>
      <c r="N555" s="1269"/>
      <c r="O555" s="1269"/>
      <c r="P555" s="1269"/>
      <c r="Q555" s="1269"/>
      <c r="R555" s="1269"/>
      <c r="S555" s="1269"/>
      <c r="T555" s="1269"/>
      <c r="U555" s="1269"/>
      <c r="V555" s="903"/>
      <c r="W555" s="1269"/>
      <c r="X555" s="1269"/>
      <c r="Y555" s="1269"/>
      <c r="Z555" s="1284"/>
      <c r="AA555" s="195"/>
      <c r="AB555" s="195"/>
      <c r="AC555" s="196"/>
      <c r="AD555" s="196"/>
      <c r="AE555" s="196"/>
      <c r="AF555" s="196"/>
      <c r="AG555" s="196"/>
      <c r="AH555" s="196"/>
      <c r="AI555" s="196"/>
      <c r="AJ555" s="196"/>
      <c r="AK555" s="196"/>
      <c r="AL555" s="197"/>
      <c r="AM555" s="197"/>
      <c r="AN555" s="197"/>
      <c r="AO555" s="195"/>
      <c r="AP555" s="195"/>
      <c r="AQ555" s="195"/>
      <c r="AR555" s="195"/>
      <c r="AS555" s="195"/>
      <c r="AT555" s="195"/>
      <c r="AU555" s="195"/>
    </row>
    <row r="556" spans="1:47" ht="8.25" hidden="1" customHeight="1" x14ac:dyDescent="0.25">
      <c r="A556" s="218"/>
      <c r="B556" s="219"/>
      <c r="C556" s="1387"/>
      <c r="D556" s="1269"/>
      <c r="E556" s="1272"/>
      <c r="F556" s="1269"/>
      <c r="G556" s="1269"/>
      <c r="H556" s="1269"/>
      <c r="I556" s="903"/>
      <c r="J556" s="1269"/>
      <c r="K556" s="1269"/>
      <c r="L556" s="1300"/>
      <c r="M556" s="1269"/>
      <c r="N556" s="1269"/>
      <c r="O556" s="1269"/>
      <c r="P556" s="1269"/>
      <c r="Q556" s="1269"/>
      <c r="R556" s="1269"/>
      <c r="S556" s="1269"/>
      <c r="T556" s="1269"/>
      <c r="U556" s="1269"/>
      <c r="V556" s="903"/>
      <c r="W556" s="1269"/>
      <c r="X556" s="1269"/>
      <c r="Y556" s="1269"/>
      <c r="Z556" s="1284"/>
      <c r="AA556" s="195"/>
      <c r="AB556" s="195"/>
      <c r="AC556" s="196"/>
      <c r="AD556" s="196"/>
      <c r="AE556" s="196"/>
      <c r="AF556" s="196"/>
      <c r="AG556" s="196"/>
      <c r="AH556" s="196"/>
      <c r="AI556" s="196"/>
      <c r="AJ556" s="196"/>
      <c r="AK556" s="196"/>
      <c r="AL556" s="197"/>
      <c r="AM556" s="197"/>
      <c r="AN556" s="197"/>
      <c r="AO556" s="195"/>
      <c r="AP556" s="195"/>
      <c r="AQ556" s="195"/>
      <c r="AR556" s="195"/>
      <c r="AS556" s="195"/>
      <c r="AT556" s="195"/>
      <c r="AU556" s="195"/>
    </row>
    <row r="557" spans="1:47" ht="8.25" hidden="1" customHeight="1" x14ac:dyDescent="0.25">
      <c r="A557" s="218"/>
      <c r="B557" s="219"/>
      <c r="C557" s="1388"/>
      <c r="D557" s="1270"/>
      <c r="E557" s="1297"/>
      <c r="F557" s="1270"/>
      <c r="G557" s="1270"/>
      <c r="H557" s="1270"/>
      <c r="I557" s="908"/>
      <c r="J557" s="1270"/>
      <c r="K557" s="1270"/>
      <c r="L557" s="1353"/>
      <c r="M557" s="1270"/>
      <c r="N557" s="1270"/>
      <c r="O557" s="1270"/>
      <c r="P557" s="1270"/>
      <c r="Q557" s="1270"/>
      <c r="R557" s="1270"/>
      <c r="S557" s="1270"/>
      <c r="T557" s="1270"/>
      <c r="U557" s="1270"/>
      <c r="V557" s="908"/>
      <c r="W557" s="1270"/>
      <c r="X557" s="1270"/>
      <c r="Y557" s="1270"/>
      <c r="Z557" s="1296"/>
      <c r="AA557" s="195"/>
      <c r="AB557" s="195"/>
      <c r="AC557" s="196"/>
      <c r="AD557" s="196"/>
      <c r="AE557" s="196"/>
      <c r="AF557" s="196"/>
      <c r="AG557" s="196"/>
      <c r="AH557" s="196"/>
      <c r="AI557" s="196"/>
      <c r="AJ557" s="196"/>
      <c r="AK557" s="196"/>
      <c r="AL557" s="197"/>
      <c r="AM557" s="197"/>
      <c r="AN557" s="197"/>
      <c r="AO557" s="195"/>
      <c r="AP557" s="195"/>
      <c r="AQ557" s="195"/>
      <c r="AR557" s="195"/>
      <c r="AS557" s="195"/>
      <c r="AT557" s="195"/>
      <c r="AU557" s="195"/>
    </row>
    <row r="558" spans="1:47" ht="11.25" hidden="1" customHeight="1" x14ac:dyDescent="0.25">
      <c r="A558" s="218"/>
      <c r="B558" s="219"/>
      <c r="C558" s="1386" t="s">
        <v>379</v>
      </c>
      <c r="D558" s="199" t="s">
        <v>288</v>
      </c>
      <c r="E558" s="210"/>
      <c r="F558" s="210"/>
      <c r="G558" s="210"/>
      <c r="H558" s="210">
        <v>0.16</v>
      </c>
      <c r="I558" s="210"/>
      <c r="J558" s="210"/>
      <c r="K558" s="215"/>
      <c r="L558" s="216">
        <f>M558+M551+M516+M509+M481</f>
        <v>0.80100000000000005</v>
      </c>
      <c r="M558" s="211">
        <v>0.16</v>
      </c>
      <c r="N558" s="905"/>
      <c r="O558" s="1272" t="s">
        <v>384</v>
      </c>
      <c r="P558" s="1316" t="s">
        <v>86</v>
      </c>
      <c r="Q558" s="1328" t="s">
        <v>86</v>
      </c>
      <c r="R558" s="1316" t="s">
        <v>86</v>
      </c>
      <c r="S558" s="1328" t="s">
        <v>290</v>
      </c>
      <c r="T558" s="1354">
        <v>190484</v>
      </c>
      <c r="U558" s="1354">
        <v>213035</v>
      </c>
      <c r="V558" s="926"/>
      <c r="W558" s="1328" t="s">
        <v>291</v>
      </c>
      <c r="X558" s="1328" t="s">
        <v>292</v>
      </c>
      <c r="Y558" s="1328" t="s">
        <v>293</v>
      </c>
      <c r="Z558" s="1329">
        <v>7878783</v>
      </c>
      <c r="AA558" s="195"/>
      <c r="AB558" s="195"/>
      <c r="AC558" s="196"/>
      <c r="AD558" s="196"/>
      <c r="AE558" s="196"/>
      <c r="AF558" s="196"/>
      <c r="AG558" s="196"/>
      <c r="AH558" s="196"/>
      <c r="AI558" s="196"/>
      <c r="AJ558" s="196"/>
      <c r="AK558" s="196"/>
      <c r="AL558" s="197"/>
      <c r="AM558" s="197"/>
      <c r="AN558" s="197"/>
      <c r="AO558" s="195"/>
      <c r="AP558" s="195"/>
      <c r="AQ558" s="195"/>
      <c r="AR558" s="195"/>
      <c r="AS558" s="195"/>
      <c r="AT558" s="195"/>
      <c r="AU558" s="195"/>
    </row>
    <row r="559" spans="1:47" ht="11.25" hidden="1" customHeight="1" x14ac:dyDescent="0.25">
      <c r="A559" s="218"/>
      <c r="B559" s="219"/>
      <c r="C559" s="1387"/>
      <c r="D559" s="904" t="s">
        <v>296</v>
      </c>
      <c r="E559" s="217"/>
      <c r="F559" s="905"/>
      <c r="G559" s="905"/>
      <c r="H559" s="302">
        <v>43044.835555555554</v>
      </c>
      <c r="I559" s="302"/>
      <c r="J559" s="905"/>
      <c r="K559" s="905"/>
      <c r="L559" s="311"/>
      <c r="M559" s="312">
        <v>23823.471026200928</v>
      </c>
      <c r="N559" s="217"/>
      <c r="O559" s="1269"/>
      <c r="P559" s="1269"/>
      <c r="Q559" s="1269"/>
      <c r="R559" s="1269"/>
      <c r="S559" s="1269"/>
      <c r="T559" s="1269"/>
      <c r="U559" s="1269"/>
      <c r="V559" s="903"/>
      <c r="W559" s="1269"/>
      <c r="X559" s="1269"/>
      <c r="Y559" s="1269"/>
      <c r="Z559" s="1284"/>
      <c r="AA559" s="195"/>
      <c r="AB559" s="195"/>
      <c r="AC559" s="196"/>
      <c r="AD559" s="196"/>
      <c r="AE559" s="196"/>
      <c r="AF559" s="196"/>
      <c r="AG559" s="196"/>
      <c r="AH559" s="196"/>
      <c r="AI559" s="196"/>
      <c r="AJ559" s="196"/>
      <c r="AK559" s="196"/>
      <c r="AL559" s="197"/>
      <c r="AM559" s="197"/>
      <c r="AN559" s="197"/>
      <c r="AO559" s="195"/>
      <c r="AP559" s="195"/>
      <c r="AQ559" s="195"/>
      <c r="AR559" s="195"/>
      <c r="AS559" s="195"/>
      <c r="AT559" s="195"/>
      <c r="AU559" s="195"/>
    </row>
    <row r="560" spans="1:47" ht="11.25" hidden="1" customHeight="1" x14ac:dyDescent="0.25">
      <c r="A560" s="218"/>
      <c r="B560" s="219"/>
      <c r="C560" s="1387"/>
      <c r="D560" s="904" t="s">
        <v>299</v>
      </c>
      <c r="E560" s="905"/>
      <c r="F560" s="198"/>
      <c r="G560" s="198"/>
      <c r="H560" s="198"/>
      <c r="I560" s="198"/>
      <c r="J560" s="905"/>
      <c r="K560" s="214"/>
      <c r="L560" s="909"/>
      <c r="M560" s="909"/>
      <c r="N560" s="909"/>
      <c r="O560" s="1269"/>
      <c r="P560" s="1269"/>
      <c r="Q560" s="1269"/>
      <c r="R560" s="1269"/>
      <c r="S560" s="1269"/>
      <c r="T560" s="1269"/>
      <c r="U560" s="1269"/>
      <c r="V560" s="903"/>
      <c r="W560" s="1269"/>
      <c r="X560" s="1269"/>
      <c r="Y560" s="1269"/>
      <c r="Z560" s="1284"/>
      <c r="AA560" s="195"/>
      <c r="AB560" s="195"/>
      <c r="AC560" s="196"/>
      <c r="AD560" s="196"/>
      <c r="AE560" s="196"/>
      <c r="AF560" s="196"/>
      <c r="AG560" s="196"/>
      <c r="AH560" s="196"/>
      <c r="AI560" s="196"/>
      <c r="AJ560" s="196"/>
      <c r="AK560" s="196"/>
      <c r="AL560" s="197"/>
      <c r="AM560" s="197"/>
      <c r="AN560" s="197"/>
      <c r="AO560" s="195"/>
      <c r="AP560" s="195"/>
      <c r="AQ560" s="195"/>
      <c r="AR560" s="195"/>
      <c r="AS560" s="195"/>
      <c r="AT560" s="195"/>
      <c r="AU560" s="195"/>
    </row>
    <row r="561" spans="1:84" ht="11.25" hidden="1" customHeight="1" x14ac:dyDescent="0.25">
      <c r="A561" s="218"/>
      <c r="B561" s="219"/>
      <c r="C561" s="1387"/>
      <c r="D561" s="1286" t="s">
        <v>302</v>
      </c>
      <c r="E561" s="1272"/>
      <c r="F561" s="1272"/>
      <c r="G561" s="1272"/>
      <c r="H561" s="1272"/>
      <c r="I561" s="905"/>
      <c r="J561" s="1272"/>
      <c r="K561" s="1272"/>
      <c r="L561" s="1297"/>
      <c r="M561" s="1272"/>
      <c r="N561" s="1272"/>
      <c r="O561" s="1269"/>
      <c r="P561" s="1269"/>
      <c r="Q561" s="1269"/>
      <c r="R561" s="1269"/>
      <c r="S561" s="1269"/>
      <c r="T561" s="1269"/>
      <c r="U561" s="1269"/>
      <c r="V561" s="903"/>
      <c r="W561" s="1269"/>
      <c r="X561" s="1269"/>
      <c r="Y561" s="1269"/>
      <c r="Z561" s="1284"/>
      <c r="AA561" s="204"/>
      <c r="AB561" s="204"/>
      <c r="AC561" s="205"/>
      <c r="AD561" s="205"/>
      <c r="AE561" s="205"/>
      <c r="AF561" s="205"/>
      <c r="AG561" s="205"/>
      <c r="AH561" s="205"/>
      <c r="AI561" s="205"/>
      <c r="AJ561" s="205"/>
      <c r="AK561" s="205"/>
      <c r="AL561" s="206"/>
      <c r="AM561" s="206"/>
      <c r="AN561" s="206"/>
      <c r="AO561" s="204"/>
      <c r="AP561" s="204"/>
      <c r="AQ561" s="204"/>
      <c r="AR561" s="204"/>
      <c r="AS561" s="204"/>
      <c r="AT561" s="204"/>
      <c r="AU561" s="204"/>
      <c r="AV561" s="203"/>
      <c r="AW561" s="203"/>
      <c r="AX561" s="203"/>
      <c r="AY561" s="203"/>
      <c r="AZ561" s="203"/>
      <c r="BA561" s="203"/>
      <c r="BB561" s="203"/>
      <c r="BC561" s="203"/>
      <c r="BD561" s="203"/>
      <c r="BE561" s="203"/>
      <c r="BF561" s="203"/>
      <c r="BG561" s="203"/>
      <c r="BH561" s="203"/>
      <c r="BI561" s="203"/>
      <c r="BJ561" s="203"/>
      <c r="BK561" s="203"/>
      <c r="BL561" s="203"/>
      <c r="BM561" s="203"/>
      <c r="BN561" s="203"/>
      <c r="BO561" s="203"/>
      <c r="BP561" s="203"/>
      <c r="BQ561" s="203"/>
      <c r="BR561" s="203"/>
      <c r="BS561" s="203"/>
      <c r="BT561" s="203"/>
      <c r="BU561" s="203"/>
      <c r="BV561" s="203"/>
      <c r="BW561" s="203"/>
      <c r="BX561" s="203"/>
      <c r="BY561" s="203"/>
      <c r="BZ561" s="203"/>
      <c r="CA561" s="203"/>
      <c r="CB561" s="203"/>
      <c r="CC561" s="203"/>
      <c r="CD561" s="203"/>
      <c r="CE561" s="203"/>
      <c r="CF561" s="203"/>
    </row>
    <row r="562" spans="1:84" ht="5.25" hidden="1" customHeight="1" x14ac:dyDescent="0.25">
      <c r="A562" s="218"/>
      <c r="B562" s="219"/>
      <c r="C562" s="1387"/>
      <c r="D562" s="1269"/>
      <c r="E562" s="1272"/>
      <c r="F562" s="1269"/>
      <c r="G562" s="1269"/>
      <c r="H562" s="1269"/>
      <c r="I562" s="903"/>
      <c r="J562" s="1269"/>
      <c r="K562" s="1269"/>
      <c r="L562" s="1300"/>
      <c r="M562" s="1269"/>
      <c r="N562" s="1269"/>
      <c r="O562" s="1269"/>
      <c r="P562" s="1269"/>
      <c r="Q562" s="1269"/>
      <c r="R562" s="1269"/>
      <c r="S562" s="1269"/>
      <c r="T562" s="1269"/>
      <c r="U562" s="1269"/>
      <c r="V562" s="903"/>
      <c r="W562" s="1269"/>
      <c r="X562" s="1269"/>
      <c r="Y562" s="1269"/>
      <c r="Z562" s="1284"/>
      <c r="AA562" s="204"/>
      <c r="AB562" s="204"/>
      <c r="AC562" s="205"/>
      <c r="AD562" s="205"/>
      <c r="AE562" s="205"/>
      <c r="AF562" s="205"/>
      <c r="AG562" s="205"/>
      <c r="AH562" s="205"/>
      <c r="AI562" s="205"/>
      <c r="AJ562" s="205"/>
      <c r="AK562" s="205"/>
      <c r="AL562" s="206"/>
      <c r="AM562" s="206"/>
      <c r="AN562" s="206"/>
      <c r="AO562" s="204"/>
      <c r="AP562" s="204"/>
      <c r="AQ562" s="204"/>
      <c r="AR562" s="204"/>
      <c r="AS562" s="204"/>
      <c r="AT562" s="204"/>
      <c r="AU562" s="204"/>
      <c r="AV562" s="203"/>
      <c r="AW562" s="203"/>
      <c r="AX562" s="203"/>
      <c r="AY562" s="203"/>
      <c r="AZ562" s="203"/>
      <c r="BA562" s="203"/>
      <c r="BB562" s="203"/>
      <c r="BC562" s="203"/>
      <c r="BD562" s="203"/>
      <c r="BE562" s="203"/>
      <c r="BF562" s="203"/>
      <c r="BG562" s="203"/>
      <c r="BH562" s="203"/>
      <c r="BI562" s="203"/>
      <c r="BJ562" s="203"/>
      <c r="BK562" s="203"/>
      <c r="BL562" s="203"/>
      <c r="BM562" s="203"/>
      <c r="BN562" s="203"/>
      <c r="BO562" s="203"/>
      <c r="BP562" s="203"/>
      <c r="BQ562" s="203"/>
      <c r="BR562" s="203"/>
      <c r="BS562" s="203"/>
      <c r="BT562" s="203"/>
      <c r="BU562" s="203"/>
      <c r="BV562" s="203"/>
      <c r="BW562" s="203"/>
      <c r="BX562" s="203"/>
      <c r="BY562" s="203"/>
      <c r="BZ562" s="203"/>
      <c r="CA562" s="203"/>
      <c r="CB562" s="203"/>
      <c r="CC562" s="203"/>
      <c r="CD562" s="203"/>
      <c r="CE562" s="203"/>
      <c r="CF562" s="203"/>
    </row>
    <row r="563" spans="1:84" ht="12.75" hidden="1" customHeight="1" x14ac:dyDescent="0.25">
      <c r="A563" s="218"/>
      <c r="B563" s="219"/>
      <c r="C563" s="1387"/>
      <c r="D563" s="1269"/>
      <c r="E563" s="1272"/>
      <c r="F563" s="1269"/>
      <c r="G563" s="1269"/>
      <c r="H563" s="1269"/>
      <c r="I563" s="903"/>
      <c r="J563" s="1269"/>
      <c r="K563" s="1269"/>
      <c r="L563" s="1300"/>
      <c r="M563" s="1269"/>
      <c r="N563" s="1269"/>
      <c r="O563" s="1269"/>
      <c r="P563" s="1269"/>
      <c r="Q563" s="1269"/>
      <c r="R563" s="1269"/>
      <c r="S563" s="1269"/>
      <c r="T563" s="1269"/>
      <c r="U563" s="1269"/>
      <c r="V563" s="903"/>
      <c r="W563" s="1269"/>
      <c r="X563" s="1269"/>
      <c r="Y563" s="1269"/>
      <c r="Z563" s="1284"/>
      <c r="AA563" s="204"/>
      <c r="AB563" s="204"/>
      <c r="AC563" s="205"/>
      <c r="AD563" s="205"/>
      <c r="AE563" s="205"/>
      <c r="AF563" s="205"/>
      <c r="AG563" s="205"/>
      <c r="AH563" s="205"/>
      <c r="AI563" s="205"/>
      <c r="AJ563" s="205"/>
      <c r="AK563" s="205"/>
      <c r="AL563" s="206"/>
      <c r="AM563" s="206"/>
      <c r="AN563" s="206"/>
      <c r="AO563" s="204"/>
      <c r="AP563" s="204"/>
      <c r="AQ563" s="204"/>
      <c r="AR563" s="204"/>
      <c r="AS563" s="204"/>
      <c r="AT563" s="204"/>
      <c r="AU563" s="204"/>
      <c r="AV563" s="203"/>
      <c r="AW563" s="203"/>
      <c r="AX563" s="203"/>
      <c r="AY563" s="203"/>
      <c r="AZ563" s="203"/>
      <c r="BA563" s="203"/>
      <c r="BB563" s="203"/>
      <c r="BC563" s="203"/>
      <c r="BD563" s="203"/>
      <c r="BE563" s="203"/>
      <c r="BF563" s="203"/>
      <c r="BG563" s="203"/>
      <c r="BH563" s="203"/>
      <c r="BI563" s="203"/>
      <c r="BJ563" s="203"/>
      <c r="BK563" s="203"/>
      <c r="BL563" s="203"/>
      <c r="BM563" s="203"/>
      <c r="BN563" s="203"/>
      <c r="BO563" s="203"/>
      <c r="BP563" s="203"/>
      <c r="BQ563" s="203"/>
      <c r="BR563" s="203"/>
      <c r="BS563" s="203"/>
      <c r="BT563" s="203"/>
      <c r="BU563" s="203"/>
      <c r="BV563" s="203"/>
      <c r="BW563" s="203"/>
      <c r="BX563" s="203"/>
      <c r="BY563" s="203"/>
      <c r="BZ563" s="203"/>
      <c r="CA563" s="203"/>
      <c r="CB563" s="203"/>
      <c r="CC563" s="203"/>
      <c r="CD563" s="203"/>
      <c r="CE563" s="203"/>
      <c r="CF563" s="203"/>
    </row>
    <row r="564" spans="1:84" ht="11.25" hidden="1" customHeight="1" x14ac:dyDescent="0.25">
      <c r="A564" s="218"/>
      <c r="B564" s="219"/>
      <c r="C564" s="1388"/>
      <c r="D564" s="1270"/>
      <c r="E564" s="1297"/>
      <c r="F564" s="1270"/>
      <c r="G564" s="1270"/>
      <c r="H564" s="1270"/>
      <c r="I564" s="908"/>
      <c r="J564" s="1270"/>
      <c r="K564" s="1270"/>
      <c r="L564" s="1353"/>
      <c r="M564" s="1270"/>
      <c r="N564" s="1270"/>
      <c r="O564" s="1270"/>
      <c r="P564" s="1270"/>
      <c r="Q564" s="1270"/>
      <c r="R564" s="1270"/>
      <c r="S564" s="1270"/>
      <c r="T564" s="1270"/>
      <c r="U564" s="1270"/>
      <c r="V564" s="908"/>
      <c r="W564" s="1270"/>
      <c r="X564" s="1270"/>
      <c r="Y564" s="1270"/>
      <c r="Z564" s="1296"/>
      <c r="AA564" s="204"/>
      <c r="AB564" s="204"/>
      <c r="AC564" s="205"/>
      <c r="AD564" s="205"/>
      <c r="AE564" s="205"/>
      <c r="AF564" s="205"/>
      <c r="AG564" s="205"/>
      <c r="AH564" s="205"/>
      <c r="AI564" s="205"/>
      <c r="AJ564" s="205"/>
      <c r="AK564" s="205"/>
      <c r="AL564" s="206"/>
      <c r="AM564" s="206"/>
      <c r="AN564" s="206"/>
      <c r="AO564" s="204"/>
      <c r="AP564" s="204"/>
      <c r="AQ564" s="204"/>
      <c r="AR564" s="204"/>
      <c r="AS564" s="204"/>
      <c r="AT564" s="204"/>
      <c r="AU564" s="204"/>
      <c r="AV564" s="203"/>
      <c r="AW564" s="203"/>
      <c r="AX564" s="203"/>
      <c r="AY564" s="203"/>
      <c r="AZ564" s="203"/>
      <c r="BA564" s="203"/>
      <c r="BB564" s="203"/>
      <c r="BC564" s="203"/>
      <c r="BD564" s="203"/>
      <c r="BE564" s="203"/>
      <c r="BF564" s="203"/>
      <c r="BG564" s="203"/>
      <c r="BH564" s="203"/>
      <c r="BI564" s="203"/>
      <c r="BJ564" s="203"/>
      <c r="BK564" s="203"/>
      <c r="BL564" s="203"/>
      <c r="BM564" s="203"/>
      <c r="BN564" s="203"/>
      <c r="BO564" s="203"/>
      <c r="BP564" s="203"/>
      <c r="BQ564" s="203"/>
      <c r="BR564" s="203"/>
      <c r="BS564" s="203"/>
      <c r="BT564" s="203"/>
      <c r="BU564" s="203"/>
      <c r="BV564" s="203"/>
      <c r="BW564" s="203"/>
      <c r="BX564" s="203"/>
      <c r="BY564" s="203"/>
      <c r="BZ564" s="203"/>
      <c r="CA564" s="203"/>
      <c r="CB564" s="203"/>
      <c r="CC564" s="203"/>
      <c r="CD564" s="203"/>
      <c r="CE564" s="203"/>
      <c r="CF564" s="203"/>
    </row>
    <row r="565" spans="1:84" ht="11.25" hidden="1" customHeight="1" x14ac:dyDescent="0.25">
      <c r="A565" s="218"/>
      <c r="B565" s="219"/>
      <c r="C565" s="1316" t="s">
        <v>385</v>
      </c>
      <c r="D565" s="199" t="s">
        <v>288</v>
      </c>
      <c r="E565" s="210"/>
      <c r="F565" s="210"/>
      <c r="G565" s="210"/>
      <c r="H565" s="210"/>
      <c r="I565" s="210"/>
      <c r="J565" s="210"/>
      <c r="K565" s="215"/>
      <c r="L565" s="221"/>
      <c r="M565" s="211"/>
      <c r="N565" s="905"/>
      <c r="O565" s="1374" t="s">
        <v>386</v>
      </c>
      <c r="P565" s="1316" t="s">
        <v>86</v>
      </c>
      <c r="Q565" s="1328" t="s">
        <v>86</v>
      </c>
      <c r="R565" s="1383" t="s">
        <v>387</v>
      </c>
      <c r="S565" s="1328" t="s">
        <v>290</v>
      </c>
      <c r="T565" s="1354"/>
      <c r="U565" s="1354"/>
      <c r="V565" s="926"/>
      <c r="W565" s="1328" t="s">
        <v>291</v>
      </c>
      <c r="X565" s="1328" t="s">
        <v>292</v>
      </c>
      <c r="Y565" s="1328" t="s">
        <v>293</v>
      </c>
      <c r="Z565" s="1329"/>
      <c r="AA565" s="220"/>
      <c r="AB565" s="204"/>
      <c r="AC565" s="205"/>
      <c r="AD565" s="205"/>
      <c r="AE565" s="205"/>
      <c r="AF565" s="205"/>
      <c r="AG565" s="205"/>
      <c r="AH565" s="205"/>
      <c r="AI565" s="205"/>
      <c r="AJ565" s="205"/>
      <c r="AK565" s="205"/>
      <c r="AL565" s="206"/>
      <c r="AM565" s="206"/>
      <c r="AN565" s="206"/>
      <c r="AO565" s="204"/>
      <c r="AP565" s="204"/>
      <c r="AQ565" s="204"/>
      <c r="AR565" s="204"/>
      <c r="AS565" s="204"/>
      <c r="AT565" s="204"/>
      <c r="AU565" s="204"/>
      <c r="AV565" s="203"/>
      <c r="AW565" s="203"/>
      <c r="AX565" s="203"/>
      <c r="AY565" s="203"/>
      <c r="AZ565" s="203"/>
      <c r="BA565" s="203"/>
      <c r="BB565" s="203"/>
      <c r="BC565" s="203"/>
      <c r="BD565" s="203"/>
      <c r="BE565" s="203"/>
      <c r="BF565" s="203"/>
      <c r="BG565" s="203"/>
      <c r="BH565" s="203"/>
      <c r="BI565" s="203"/>
      <c r="BJ565" s="203"/>
      <c r="BK565" s="203"/>
      <c r="BL565" s="203"/>
      <c r="BM565" s="203"/>
      <c r="BN565" s="203"/>
      <c r="BO565" s="203"/>
      <c r="BP565" s="203"/>
      <c r="BQ565" s="203"/>
      <c r="BR565" s="203"/>
      <c r="BS565" s="203"/>
      <c r="BT565" s="203"/>
      <c r="BU565" s="203"/>
      <c r="BV565" s="203"/>
      <c r="BW565" s="203"/>
      <c r="BX565" s="203"/>
      <c r="BY565" s="203"/>
      <c r="BZ565" s="203"/>
      <c r="CA565" s="203"/>
      <c r="CB565" s="203"/>
      <c r="CC565" s="203"/>
      <c r="CD565" s="203"/>
      <c r="CE565" s="203"/>
      <c r="CF565" s="203"/>
    </row>
    <row r="566" spans="1:84" ht="11.25" hidden="1" customHeight="1" x14ac:dyDescent="0.25">
      <c r="A566" s="218"/>
      <c r="B566" s="219"/>
      <c r="C566" s="1269"/>
      <c r="D566" s="904" t="s">
        <v>296</v>
      </c>
      <c r="E566" s="217"/>
      <c r="F566" s="905"/>
      <c r="G566" s="905"/>
      <c r="H566" s="198"/>
      <c r="I566" s="198"/>
      <c r="J566" s="905"/>
      <c r="K566" s="905"/>
      <c r="L566" s="311"/>
      <c r="M566" s="905"/>
      <c r="N566" s="217"/>
      <c r="O566" s="1375"/>
      <c r="P566" s="1269"/>
      <c r="Q566" s="1269"/>
      <c r="R566" s="1384"/>
      <c r="S566" s="1269"/>
      <c r="T566" s="1269"/>
      <c r="U566" s="1269"/>
      <c r="V566" s="903"/>
      <c r="W566" s="1269"/>
      <c r="X566" s="1269"/>
      <c r="Y566" s="1269"/>
      <c r="Z566" s="1284"/>
      <c r="AA566" s="204"/>
      <c r="AB566" s="204"/>
      <c r="AC566" s="205"/>
      <c r="AD566" s="205"/>
      <c r="AE566" s="205"/>
      <c r="AF566" s="205"/>
      <c r="AG566" s="205"/>
      <c r="AH566" s="205"/>
      <c r="AI566" s="205"/>
      <c r="AJ566" s="205"/>
      <c r="AK566" s="205"/>
      <c r="AL566" s="206"/>
      <c r="AM566" s="206"/>
      <c r="AN566" s="206"/>
      <c r="AO566" s="204"/>
      <c r="AP566" s="204"/>
      <c r="AQ566" s="204"/>
      <c r="AR566" s="204"/>
      <c r="AS566" s="204"/>
      <c r="AT566" s="204"/>
      <c r="AU566" s="204"/>
      <c r="AV566" s="203"/>
      <c r="AW566" s="203"/>
      <c r="AX566" s="203"/>
      <c r="AY566" s="203"/>
      <c r="AZ566" s="203"/>
      <c r="BA566" s="203"/>
      <c r="BB566" s="203"/>
      <c r="BC566" s="203"/>
      <c r="BD566" s="203"/>
      <c r="BE566" s="203"/>
      <c r="BF566" s="203"/>
      <c r="BG566" s="203"/>
      <c r="BH566" s="203"/>
      <c r="BI566" s="203"/>
      <c r="BJ566" s="203"/>
      <c r="BK566" s="203"/>
      <c r="BL566" s="203"/>
      <c r="BM566" s="203"/>
      <c r="BN566" s="203"/>
      <c r="BO566" s="203"/>
      <c r="BP566" s="203"/>
      <c r="BQ566" s="203"/>
      <c r="BR566" s="203"/>
      <c r="BS566" s="203"/>
      <c r="BT566" s="203"/>
      <c r="BU566" s="203"/>
      <c r="BV566" s="203"/>
      <c r="BW566" s="203"/>
      <c r="BX566" s="203"/>
      <c r="BY566" s="203"/>
      <c r="BZ566" s="203"/>
      <c r="CA566" s="203"/>
      <c r="CB566" s="203"/>
      <c r="CC566" s="203"/>
      <c r="CD566" s="203"/>
      <c r="CE566" s="203"/>
      <c r="CF566" s="203"/>
    </row>
    <row r="567" spans="1:84" ht="11.25" hidden="1" customHeight="1" x14ac:dyDescent="0.25">
      <c r="A567" s="218"/>
      <c r="B567" s="219"/>
      <c r="C567" s="1269"/>
      <c r="D567" s="904" t="s">
        <v>299</v>
      </c>
      <c r="E567" s="905"/>
      <c r="F567" s="198"/>
      <c r="G567" s="198"/>
      <c r="H567" s="198"/>
      <c r="I567" s="198"/>
      <c r="J567" s="905"/>
      <c r="K567" s="214"/>
      <c r="L567" s="909"/>
      <c r="M567" s="909"/>
      <c r="N567" s="909"/>
      <c r="O567" s="1375"/>
      <c r="P567" s="1269"/>
      <c r="Q567" s="1269"/>
      <c r="R567" s="1384"/>
      <c r="S567" s="1269"/>
      <c r="T567" s="1269"/>
      <c r="U567" s="1269"/>
      <c r="V567" s="903"/>
      <c r="W567" s="1269"/>
      <c r="X567" s="1269"/>
      <c r="Y567" s="1269"/>
      <c r="Z567" s="1284"/>
      <c r="AA567" s="204"/>
      <c r="AB567" s="204"/>
      <c r="AC567" s="205"/>
      <c r="AD567" s="205"/>
      <c r="AE567" s="205"/>
      <c r="AF567" s="205"/>
      <c r="AG567" s="205"/>
      <c r="AH567" s="205"/>
      <c r="AI567" s="205"/>
      <c r="AJ567" s="205"/>
      <c r="AK567" s="205"/>
      <c r="AL567" s="206"/>
      <c r="AM567" s="206"/>
      <c r="AN567" s="206"/>
      <c r="AO567" s="204"/>
      <c r="AP567" s="204"/>
      <c r="AQ567" s="204"/>
      <c r="AR567" s="204"/>
      <c r="AS567" s="204"/>
      <c r="AT567" s="204"/>
      <c r="AU567" s="204"/>
      <c r="AV567" s="203"/>
      <c r="AW567" s="203"/>
      <c r="AX567" s="203"/>
      <c r="AY567" s="203"/>
      <c r="AZ567" s="203"/>
      <c r="BA567" s="203"/>
      <c r="BB567" s="203"/>
      <c r="BC567" s="203"/>
      <c r="BD567" s="203"/>
      <c r="BE567" s="203"/>
      <c r="BF567" s="203"/>
      <c r="BG567" s="203"/>
      <c r="BH567" s="203"/>
      <c r="BI567" s="203"/>
      <c r="BJ567" s="203"/>
      <c r="BK567" s="203"/>
      <c r="BL567" s="203"/>
      <c r="BM567" s="203"/>
      <c r="BN567" s="203"/>
      <c r="BO567" s="203"/>
      <c r="BP567" s="203"/>
      <c r="BQ567" s="203"/>
      <c r="BR567" s="203"/>
      <c r="BS567" s="203"/>
      <c r="BT567" s="203"/>
      <c r="BU567" s="203"/>
      <c r="BV567" s="203"/>
      <c r="BW567" s="203"/>
      <c r="BX567" s="203"/>
      <c r="BY567" s="203"/>
      <c r="BZ567" s="203"/>
      <c r="CA567" s="203"/>
      <c r="CB567" s="203"/>
      <c r="CC567" s="203"/>
      <c r="CD567" s="203"/>
      <c r="CE567" s="203"/>
      <c r="CF567" s="203"/>
    </row>
    <row r="568" spans="1:84" ht="11.25" hidden="1" customHeight="1" x14ac:dyDescent="0.25">
      <c r="A568" s="218"/>
      <c r="B568" s="219"/>
      <c r="C568" s="1269"/>
      <c r="D568" s="1286" t="s">
        <v>302</v>
      </c>
      <c r="E568" s="1272"/>
      <c r="F568" s="1272"/>
      <c r="G568" s="1272"/>
      <c r="H568" s="1272"/>
      <c r="I568" s="905"/>
      <c r="J568" s="1272"/>
      <c r="K568" s="1272"/>
      <c r="L568" s="905"/>
      <c r="M568" s="1272"/>
      <c r="N568" s="1272"/>
      <c r="O568" s="1375"/>
      <c r="P568" s="1269"/>
      <c r="Q568" s="1269"/>
      <c r="R568" s="1384"/>
      <c r="S568" s="1269"/>
      <c r="T568" s="1269"/>
      <c r="U568" s="1269"/>
      <c r="V568" s="903"/>
      <c r="W568" s="1269"/>
      <c r="X568" s="1269"/>
      <c r="Y568" s="1269"/>
      <c r="Z568" s="1284"/>
      <c r="AA568" s="204"/>
      <c r="AB568" s="204"/>
      <c r="AC568" s="205"/>
      <c r="AD568" s="205"/>
      <c r="AE568" s="205"/>
      <c r="AF568" s="205"/>
      <c r="AG568" s="205"/>
      <c r="AH568" s="205"/>
      <c r="AI568" s="205"/>
      <c r="AJ568" s="205"/>
      <c r="AK568" s="205"/>
      <c r="AL568" s="206"/>
      <c r="AM568" s="206"/>
      <c r="AN568" s="206"/>
      <c r="AO568" s="204"/>
      <c r="AP568" s="204"/>
      <c r="AQ568" s="204"/>
      <c r="AR568" s="204"/>
      <c r="AS568" s="204"/>
      <c r="AT568" s="204"/>
      <c r="AU568" s="204"/>
      <c r="AV568" s="203"/>
      <c r="AW568" s="203"/>
      <c r="AX568" s="203"/>
      <c r="AY568" s="203"/>
      <c r="AZ568" s="203"/>
      <c r="BA568" s="203"/>
      <c r="BB568" s="203"/>
      <c r="BC568" s="203"/>
      <c r="BD568" s="203"/>
      <c r="BE568" s="203"/>
      <c r="BF568" s="203"/>
      <c r="BG568" s="203"/>
      <c r="BH568" s="203"/>
      <c r="BI568" s="203"/>
      <c r="BJ568" s="203"/>
      <c r="BK568" s="203"/>
      <c r="BL568" s="203"/>
      <c r="BM568" s="203"/>
      <c r="BN568" s="203"/>
      <c r="BO568" s="203"/>
      <c r="BP568" s="203"/>
      <c r="BQ568" s="203"/>
      <c r="BR568" s="203"/>
      <c r="BS568" s="203"/>
      <c r="BT568" s="203"/>
      <c r="BU568" s="203"/>
      <c r="BV568" s="203"/>
      <c r="BW568" s="203"/>
      <c r="BX568" s="203"/>
      <c r="BY568" s="203"/>
      <c r="BZ568" s="203"/>
      <c r="CA568" s="203"/>
      <c r="CB568" s="203"/>
      <c r="CC568" s="203"/>
      <c r="CD568" s="203"/>
      <c r="CE568" s="203"/>
      <c r="CF568" s="203"/>
    </row>
    <row r="569" spans="1:84" ht="8.25" hidden="1" customHeight="1" x14ac:dyDescent="0.25">
      <c r="A569" s="218"/>
      <c r="B569" s="219"/>
      <c r="C569" s="1269"/>
      <c r="D569" s="1269"/>
      <c r="E569" s="1272"/>
      <c r="F569" s="1269"/>
      <c r="G569" s="1269"/>
      <c r="H569" s="1269"/>
      <c r="I569" s="903"/>
      <c r="J569" s="1269"/>
      <c r="K569" s="1269"/>
      <c r="L569" s="903"/>
      <c r="M569" s="1269"/>
      <c r="N569" s="1269"/>
      <c r="O569" s="1375"/>
      <c r="P569" s="1269"/>
      <c r="Q569" s="1269"/>
      <c r="R569" s="1384"/>
      <c r="S569" s="1269"/>
      <c r="T569" s="1269"/>
      <c r="U569" s="1269"/>
      <c r="V569" s="903"/>
      <c r="W569" s="1269"/>
      <c r="X569" s="1269"/>
      <c r="Y569" s="1269"/>
      <c r="Z569" s="1284"/>
      <c r="AA569" s="204"/>
      <c r="AB569" s="204"/>
      <c r="AC569" s="205"/>
      <c r="AD569" s="205"/>
      <c r="AE569" s="205"/>
      <c r="AF569" s="205"/>
      <c r="AG569" s="205"/>
      <c r="AH569" s="205"/>
      <c r="AI569" s="205"/>
      <c r="AJ569" s="205"/>
      <c r="AK569" s="205"/>
      <c r="AL569" s="206"/>
      <c r="AM569" s="206"/>
      <c r="AN569" s="206"/>
      <c r="AO569" s="204"/>
      <c r="AP569" s="204"/>
      <c r="AQ569" s="204"/>
      <c r="AR569" s="204"/>
      <c r="AS569" s="204"/>
      <c r="AT569" s="204"/>
      <c r="AU569" s="204"/>
      <c r="AV569" s="203"/>
      <c r="AW569" s="203"/>
      <c r="AX569" s="203"/>
      <c r="AY569" s="203"/>
      <c r="AZ569" s="203"/>
      <c r="BA569" s="203"/>
      <c r="BB569" s="203"/>
      <c r="BC569" s="203"/>
      <c r="BD569" s="203"/>
      <c r="BE569" s="203"/>
      <c r="BF569" s="203"/>
      <c r="BG569" s="203"/>
      <c r="BH569" s="203"/>
      <c r="BI569" s="203"/>
      <c r="BJ569" s="203"/>
      <c r="BK569" s="203"/>
      <c r="BL569" s="203"/>
      <c r="BM569" s="203"/>
      <c r="BN569" s="203"/>
      <c r="BO569" s="203"/>
      <c r="BP569" s="203"/>
      <c r="BQ569" s="203"/>
      <c r="BR569" s="203"/>
      <c r="BS569" s="203"/>
      <c r="BT569" s="203"/>
      <c r="BU569" s="203"/>
      <c r="BV569" s="203"/>
      <c r="BW569" s="203"/>
      <c r="BX569" s="203"/>
      <c r="BY569" s="203"/>
      <c r="BZ569" s="203"/>
      <c r="CA569" s="203"/>
      <c r="CB569" s="203"/>
      <c r="CC569" s="203"/>
      <c r="CD569" s="203"/>
      <c r="CE569" s="203"/>
      <c r="CF569" s="203"/>
    </row>
    <row r="570" spans="1:84" ht="8.25" hidden="1" customHeight="1" x14ac:dyDescent="0.25">
      <c r="A570" s="218"/>
      <c r="B570" s="219"/>
      <c r="C570" s="1269"/>
      <c r="D570" s="1269"/>
      <c r="E570" s="1272"/>
      <c r="F570" s="1269"/>
      <c r="G570" s="1269"/>
      <c r="H570" s="1269"/>
      <c r="I570" s="903"/>
      <c r="J570" s="1269"/>
      <c r="K570" s="1269"/>
      <c r="L570" s="903"/>
      <c r="M570" s="1269"/>
      <c r="N570" s="1269"/>
      <c r="O570" s="1375"/>
      <c r="P570" s="1269"/>
      <c r="Q570" s="1269"/>
      <c r="R570" s="1384"/>
      <c r="S570" s="1269"/>
      <c r="T570" s="1269"/>
      <c r="U570" s="1269"/>
      <c r="V570" s="903"/>
      <c r="W570" s="1269"/>
      <c r="X570" s="1269"/>
      <c r="Y570" s="1269"/>
      <c r="Z570" s="1284"/>
      <c r="AA570" s="204"/>
      <c r="AB570" s="204"/>
      <c r="AC570" s="205"/>
      <c r="AD570" s="205"/>
      <c r="AE570" s="205"/>
      <c r="AF570" s="205"/>
      <c r="AG570" s="205"/>
      <c r="AH570" s="205"/>
      <c r="AI570" s="205"/>
      <c r="AJ570" s="205"/>
      <c r="AK570" s="205"/>
      <c r="AL570" s="206"/>
      <c r="AM570" s="206"/>
      <c r="AN570" s="206"/>
      <c r="AO570" s="204"/>
      <c r="AP570" s="204"/>
      <c r="AQ570" s="204"/>
      <c r="AR570" s="204"/>
      <c r="AS570" s="204"/>
      <c r="AT570" s="204"/>
      <c r="AU570" s="204"/>
      <c r="AV570" s="203"/>
      <c r="AW570" s="203"/>
      <c r="AX570" s="203"/>
      <c r="AY570" s="203"/>
      <c r="AZ570" s="203"/>
      <c r="BA570" s="203"/>
      <c r="BB570" s="203"/>
      <c r="BC570" s="203"/>
      <c r="BD570" s="203"/>
      <c r="BE570" s="203"/>
      <c r="BF570" s="203"/>
      <c r="BG570" s="203"/>
      <c r="BH570" s="203"/>
      <c r="BI570" s="203"/>
      <c r="BJ570" s="203"/>
      <c r="BK570" s="203"/>
      <c r="BL570" s="203"/>
      <c r="BM570" s="203"/>
      <c r="BN570" s="203"/>
      <c r="BO570" s="203"/>
      <c r="BP570" s="203"/>
      <c r="BQ570" s="203"/>
      <c r="BR570" s="203"/>
      <c r="BS570" s="203"/>
      <c r="BT570" s="203"/>
      <c r="BU570" s="203"/>
      <c r="BV570" s="203"/>
      <c r="BW570" s="203"/>
      <c r="BX570" s="203"/>
      <c r="BY570" s="203"/>
      <c r="BZ570" s="203"/>
      <c r="CA570" s="203"/>
      <c r="CB570" s="203"/>
      <c r="CC570" s="203"/>
      <c r="CD570" s="203"/>
      <c r="CE570" s="203"/>
      <c r="CF570" s="203"/>
    </row>
    <row r="571" spans="1:84" ht="11.25" hidden="1" customHeight="1" x14ac:dyDescent="0.25">
      <c r="A571" s="218"/>
      <c r="B571" s="219"/>
      <c r="C571" s="1270"/>
      <c r="D571" s="1270"/>
      <c r="E571" s="1297"/>
      <c r="F571" s="1270"/>
      <c r="G571" s="1270"/>
      <c r="H571" s="1270"/>
      <c r="I571" s="908"/>
      <c r="J571" s="1270"/>
      <c r="K571" s="1270"/>
      <c r="L571" s="908"/>
      <c r="M571" s="1270"/>
      <c r="N571" s="1270"/>
      <c r="O571" s="1376"/>
      <c r="P571" s="1270"/>
      <c r="Q571" s="1270"/>
      <c r="R571" s="1385"/>
      <c r="S571" s="1270"/>
      <c r="T571" s="1270"/>
      <c r="U571" s="1270"/>
      <c r="V571" s="908"/>
      <c r="W571" s="1270"/>
      <c r="X571" s="1270"/>
      <c r="Y571" s="1270"/>
      <c r="Z571" s="1296"/>
      <c r="AA571" s="204"/>
      <c r="AB571" s="204"/>
      <c r="AC571" s="205"/>
      <c r="AD571" s="205"/>
      <c r="AE571" s="205"/>
      <c r="AF571" s="205"/>
      <c r="AG571" s="205"/>
      <c r="AH571" s="205"/>
      <c r="AI571" s="205"/>
      <c r="AJ571" s="205"/>
      <c r="AK571" s="205"/>
      <c r="AL571" s="206"/>
      <c r="AM571" s="206"/>
      <c r="AN571" s="206"/>
      <c r="AO571" s="204"/>
      <c r="AP571" s="204"/>
      <c r="AQ571" s="204"/>
      <c r="AR571" s="204"/>
      <c r="AS571" s="204"/>
      <c r="AT571" s="204"/>
      <c r="AU571" s="204"/>
      <c r="AV571" s="203"/>
      <c r="AW571" s="203"/>
      <c r="AX571" s="203"/>
      <c r="AY571" s="203"/>
      <c r="AZ571" s="203"/>
      <c r="BA571" s="203"/>
      <c r="BB571" s="203"/>
      <c r="BC571" s="203"/>
      <c r="BD571" s="203"/>
      <c r="BE571" s="203"/>
      <c r="BF571" s="203"/>
      <c r="BG571" s="203"/>
      <c r="BH571" s="203"/>
      <c r="BI571" s="203"/>
      <c r="BJ571" s="203"/>
      <c r="BK571" s="203"/>
      <c r="BL571" s="203"/>
      <c r="BM571" s="203"/>
      <c r="BN571" s="203"/>
      <c r="BO571" s="203"/>
      <c r="BP571" s="203"/>
      <c r="BQ571" s="203"/>
      <c r="BR571" s="203"/>
      <c r="BS571" s="203"/>
      <c r="BT571" s="203"/>
      <c r="BU571" s="203"/>
      <c r="BV571" s="203"/>
      <c r="BW571" s="203"/>
      <c r="BX571" s="203"/>
      <c r="BY571" s="203"/>
      <c r="BZ571" s="203"/>
      <c r="CA571" s="203"/>
      <c r="CB571" s="203"/>
      <c r="CC571" s="203"/>
      <c r="CD571" s="203"/>
      <c r="CE571" s="203"/>
      <c r="CF571" s="203"/>
    </row>
    <row r="572" spans="1:84" ht="11.25" hidden="1" customHeight="1" x14ac:dyDescent="0.25">
      <c r="A572" s="218"/>
      <c r="B572" s="219"/>
      <c r="C572" s="1316" t="s">
        <v>385</v>
      </c>
      <c r="D572" s="199" t="s">
        <v>288</v>
      </c>
      <c r="E572" s="210"/>
      <c r="F572" s="210"/>
      <c r="G572" s="210"/>
      <c r="H572" s="210"/>
      <c r="I572" s="210"/>
      <c r="J572" s="210"/>
      <c r="K572" s="215"/>
      <c r="L572" s="221"/>
      <c r="M572" s="211"/>
      <c r="N572" s="905"/>
      <c r="O572" s="1374" t="s">
        <v>388</v>
      </c>
      <c r="P572" s="1316" t="s">
        <v>86</v>
      </c>
      <c r="Q572" s="1328" t="s">
        <v>86</v>
      </c>
      <c r="R572" s="1377" t="s">
        <v>389</v>
      </c>
      <c r="S572" s="1328" t="s">
        <v>290</v>
      </c>
      <c r="T572" s="1354"/>
      <c r="U572" s="1354"/>
      <c r="V572" s="926"/>
      <c r="W572" s="1328" t="s">
        <v>291</v>
      </c>
      <c r="X572" s="1328" t="s">
        <v>292</v>
      </c>
      <c r="Y572" s="1328" t="s">
        <v>293</v>
      </c>
      <c r="Z572" s="1329"/>
      <c r="AA572" s="220"/>
      <c r="AB572" s="204"/>
      <c r="AC572" s="205"/>
      <c r="AD572" s="205"/>
      <c r="AE572" s="205"/>
      <c r="AF572" s="205"/>
      <c r="AG572" s="205"/>
      <c r="AH572" s="205"/>
      <c r="AI572" s="205"/>
      <c r="AJ572" s="205"/>
      <c r="AK572" s="205"/>
      <c r="AL572" s="206"/>
      <c r="AM572" s="206"/>
      <c r="AN572" s="206"/>
      <c r="AO572" s="204"/>
      <c r="AP572" s="204"/>
      <c r="AQ572" s="204"/>
      <c r="AR572" s="204"/>
      <c r="AS572" s="204"/>
      <c r="AT572" s="204"/>
      <c r="AU572" s="204"/>
      <c r="AV572" s="203"/>
      <c r="AW572" s="203"/>
      <c r="AX572" s="203"/>
      <c r="AY572" s="203"/>
      <c r="AZ572" s="203"/>
      <c r="BA572" s="203"/>
      <c r="BB572" s="203"/>
      <c r="BC572" s="203"/>
      <c r="BD572" s="203"/>
      <c r="BE572" s="203"/>
      <c r="BF572" s="203"/>
      <c r="BG572" s="203"/>
      <c r="BH572" s="203"/>
      <c r="BI572" s="203"/>
      <c r="BJ572" s="203"/>
      <c r="BK572" s="203"/>
      <c r="BL572" s="203"/>
      <c r="BM572" s="203"/>
      <c r="BN572" s="203"/>
      <c r="BO572" s="203"/>
      <c r="BP572" s="203"/>
      <c r="BQ572" s="203"/>
      <c r="BR572" s="203"/>
      <c r="BS572" s="203"/>
      <c r="BT572" s="203"/>
      <c r="BU572" s="203"/>
      <c r="BV572" s="203"/>
      <c r="BW572" s="203"/>
      <c r="BX572" s="203"/>
      <c r="BY572" s="203"/>
      <c r="BZ572" s="203"/>
      <c r="CA572" s="203"/>
      <c r="CB572" s="203"/>
      <c r="CC572" s="203"/>
      <c r="CD572" s="203"/>
      <c r="CE572" s="203"/>
      <c r="CF572" s="203"/>
    </row>
    <row r="573" spans="1:84" ht="11.25" hidden="1" customHeight="1" x14ac:dyDescent="0.25">
      <c r="A573" s="218"/>
      <c r="B573" s="219"/>
      <c r="C573" s="1269"/>
      <c r="D573" s="904" t="s">
        <v>296</v>
      </c>
      <c r="E573" s="217"/>
      <c r="F573" s="905"/>
      <c r="G573" s="905"/>
      <c r="H573" s="198"/>
      <c r="I573" s="198"/>
      <c r="J573" s="905"/>
      <c r="K573" s="905"/>
      <c r="L573" s="311"/>
      <c r="M573" s="905"/>
      <c r="N573" s="217"/>
      <c r="O573" s="1375"/>
      <c r="P573" s="1269"/>
      <c r="Q573" s="1269"/>
      <c r="R573" s="1375"/>
      <c r="S573" s="1269"/>
      <c r="T573" s="1269"/>
      <c r="U573" s="1269"/>
      <c r="V573" s="903"/>
      <c r="W573" s="1269"/>
      <c r="X573" s="1269"/>
      <c r="Y573" s="1269"/>
      <c r="Z573" s="1284"/>
      <c r="AA573" s="204"/>
      <c r="AB573" s="204"/>
      <c r="AC573" s="205"/>
      <c r="AD573" s="205"/>
      <c r="AE573" s="205"/>
      <c r="AF573" s="205"/>
      <c r="AG573" s="205"/>
      <c r="AH573" s="205"/>
      <c r="AI573" s="205"/>
      <c r="AJ573" s="205"/>
      <c r="AK573" s="205"/>
      <c r="AL573" s="206"/>
      <c r="AM573" s="206"/>
      <c r="AN573" s="206"/>
      <c r="AO573" s="204"/>
      <c r="AP573" s="204"/>
      <c r="AQ573" s="204"/>
      <c r="AR573" s="204"/>
      <c r="AS573" s="204"/>
      <c r="AT573" s="204"/>
      <c r="AU573" s="204"/>
      <c r="AV573" s="203"/>
      <c r="AW573" s="203"/>
      <c r="AX573" s="203"/>
      <c r="AY573" s="203"/>
      <c r="AZ573" s="203"/>
      <c r="BA573" s="203"/>
      <c r="BB573" s="203"/>
      <c r="BC573" s="203"/>
      <c r="BD573" s="203"/>
      <c r="BE573" s="203"/>
      <c r="BF573" s="203"/>
      <c r="BG573" s="203"/>
      <c r="BH573" s="203"/>
      <c r="BI573" s="203"/>
      <c r="BJ573" s="203"/>
      <c r="BK573" s="203"/>
      <c r="BL573" s="203"/>
      <c r="BM573" s="203"/>
      <c r="BN573" s="203"/>
      <c r="BO573" s="203"/>
      <c r="BP573" s="203"/>
      <c r="BQ573" s="203"/>
      <c r="BR573" s="203"/>
      <c r="BS573" s="203"/>
      <c r="BT573" s="203"/>
      <c r="BU573" s="203"/>
      <c r="BV573" s="203"/>
      <c r="BW573" s="203"/>
      <c r="BX573" s="203"/>
      <c r="BY573" s="203"/>
      <c r="BZ573" s="203"/>
      <c r="CA573" s="203"/>
      <c r="CB573" s="203"/>
      <c r="CC573" s="203"/>
      <c r="CD573" s="203"/>
      <c r="CE573" s="203"/>
      <c r="CF573" s="203"/>
    </row>
    <row r="574" spans="1:84" ht="11.25" hidden="1" customHeight="1" x14ac:dyDescent="0.25">
      <c r="A574" s="218"/>
      <c r="B574" s="219"/>
      <c r="C574" s="1269"/>
      <c r="D574" s="904" t="s">
        <v>299</v>
      </c>
      <c r="E574" s="905"/>
      <c r="F574" s="198"/>
      <c r="G574" s="198"/>
      <c r="H574" s="198"/>
      <c r="I574" s="198"/>
      <c r="J574" s="905"/>
      <c r="K574" s="214"/>
      <c r="L574" s="909"/>
      <c r="M574" s="909"/>
      <c r="N574" s="909"/>
      <c r="O574" s="1375"/>
      <c r="P574" s="1269"/>
      <c r="Q574" s="1269"/>
      <c r="R574" s="1375"/>
      <c r="S574" s="1269"/>
      <c r="T574" s="1269"/>
      <c r="U574" s="1269"/>
      <c r="V574" s="903"/>
      <c r="W574" s="1269"/>
      <c r="X574" s="1269"/>
      <c r="Y574" s="1269"/>
      <c r="Z574" s="1284"/>
      <c r="AA574" s="204"/>
      <c r="AB574" s="204"/>
      <c r="AC574" s="205"/>
      <c r="AD574" s="205"/>
      <c r="AE574" s="205"/>
      <c r="AF574" s="205"/>
      <c r="AG574" s="205"/>
      <c r="AH574" s="205"/>
      <c r="AI574" s="205"/>
      <c r="AJ574" s="205"/>
      <c r="AK574" s="205"/>
      <c r="AL574" s="206"/>
      <c r="AM574" s="206"/>
      <c r="AN574" s="206"/>
      <c r="AO574" s="204"/>
      <c r="AP574" s="204"/>
      <c r="AQ574" s="204"/>
      <c r="AR574" s="204"/>
      <c r="AS574" s="204"/>
      <c r="AT574" s="204"/>
      <c r="AU574" s="204"/>
      <c r="AV574" s="203"/>
      <c r="AW574" s="203"/>
      <c r="AX574" s="203"/>
      <c r="AY574" s="203"/>
      <c r="AZ574" s="203"/>
      <c r="BA574" s="203"/>
      <c r="BB574" s="203"/>
      <c r="BC574" s="203"/>
      <c r="BD574" s="203"/>
      <c r="BE574" s="203"/>
      <c r="BF574" s="203"/>
      <c r="BG574" s="203"/>
      <c r="BH574" s="203"/>
      <c r="BI574" s="203"/>
      <c r="BJ574" s="203"/>
      <c r="BK574" s="203"/>
      <c r="BL574" s="203"/>
      <c r="BM574" s="203"/>
      <c r="BN574" s="203"/>
      <c r="BO574" s="203"/>
      <c r="BP574" s="203"/>
      <c r="BQ574" s="203"/>
      <c r="BR574" s="203"/>
      <c r="BS574" s="203"/>
      <c r="BT574" s="203"/>
      <c r="BU574" s="203"/>
      <c r="BV574" s="203"/>
      <c r="BW574" s="203"/>
      <c r="BX574" s="203"/>
      <c r="BY574" s="203"/>
      <c r="BZ574" s="203"/>
      <c r="CA574" s="203"/>
      <c r="CB574" s="203"/>
      <c r="CC574" s="203"/>
      <c r="CD574" s="203"/>
      <c r="CE574" s="203"/>
      <c r="CF574" s="203"/>
    </row>
    <row r="575" spans="1:84" ht="11.25" hidden="1" customHeight="1" x14ac:dyDescent="0.25">
      <c r="A575" s="218"/>
      <c r="B575" s="219"/>
      <c r="C575" s="1269"/>
      <c r="D575" s="1286" t="s">
        <v>302</v>
      </c>
      <c r="E575" s="1272"/>
      <c r="F575" s="1272"/>
      <c r="G575" s="1272"/>
      <c r="H575" s="1272"/>
      <c r="I575" s="905"/>
      <c r="J575" s="1272"/>
      <c r="K575" s="1272"/>
      <c r="L575" s="905"/>
      <c r="M575" s="1272"/>
      <c r="N575" s="1272"/>
      <c r="O575" s="1375"/>
      <c r="P575" s="1269"/>
      <c r="Q575" s="1269"/>
      <c r="R575" s="1375"/>
      <c r="S575" s="1269"/>
      <c r="T575" s="1269"/>
      <c r="U575" s="1269"/>
      <c r="V575" s="903"/>
      <c r="W575" s="1269"/>
      <c r="X575" s="1269"/>
      <c r="Y575" s="1269"/>
      <c r="Z575" s="1284"/>
      <c r="AA575" s="204"/>
      <c r="AB575" s="204"/>
      <c r="AC575" s="205"/>
      <c r="AD575" s="205"/>
      <c r="AE575" s="205"/>
      <c r="AF575" s="205"/>
      <c r="AG575" s="205"/>
      <c r="AH575" s="205"/>
      <c r="AI575" s="205"/>
      <c r="AJ575" s="205"/>
      <c r="AK575" s="205"/>
      <c r="AL575" s="206"/>
      <c r="AM575" s="206"/>
      <c r="AN575" s="206"/>
      <c r="AO575" s="204"/>
      <c r="AP575" s="204"/>
      <c r="AQ575" s="204"/>
      <c r="AR575" s="204"/>
      <c r="AS575" s="204"/>
      <c r="AT575" s="204"/>
      <c r="AU575" s="204"/>
      <c r="AV575" s="203"/>
      <c r="AW575" s="203"/>
      <c r="AX575" s="203"/>
      <c r="AY575" s="203"/>
      <c r="AZ575" s="203"/>
      <c r="BA575" s="203"/>
      <c r="BB575" s="203"/>
      <c r="BC575" s="203"/>
      <c r="BD575" s="203"/>
      <c r="BE575" s="203"/>
      <c r="BF575" s="203"/>
      <c r="BG575" s="203"/>
      <c r="BH575" s="203"/>
      <c r="BI575" s="203"/>
      <c r="BJ575" s="203"/>
      <c r="BK575" s="203"/>
      <c r="BL575" s="203"/>
      <c r="BM575" s="203"/>
      <c r="BN575" s="203"/>
      <c r="BO575" s="203"/>
      <c r="BP575" s="203"/>
      <c r="BQ575" s="203"/>
      <c r="BR575" s="203"/>
      <c r="BS575" s="203"/>
      <c r="BT575" s="203"/>
      <c r="BU575" s="203"/>
      <c r="BV575" s="203"/>
      <c r="BW575" s="203"/>
      <c r="BX575" s="203"/>
      <c r="BY575" s="203"/>
      <c r="BZ575" s="203"/>
      <c r="CA575" s="203"/>
      <c r="CB575" s="203"/>
      <c r="CC575" s="203"/>
      <c r="CD575" s="203"/>
      <c r="CE575" s="203"/>
      <c r="CF575" s="203"/>
    </row>
    <row r="576" spans="1:84" ht="8.25" hidden="1" customHeight="1" x14ac:dyDescent="0.25">
      <c r="A576" s="218"/>
      <c r="B576" s="219"/>
      <c r="C576" s="1269"/>
      <c r="D576" s="1269"/>
      <c r="E576" s="1272"/>
      <c r="F576" s="1269"/>
      <c r="G576" s="1269"/>
      <c r="H576" s="1269"/>
      <c r="I576" s="903"/>
      <c r="J576" s="1269"/>
      <c r="K576" s="1269"/>
      <c r="L576" s="903"/>
      <c r="M576" s="1269"/>
      <c r="N576" s="1269"/>
      <c r="O576" s="1375"/>
      <c r="P576" s="1269"/>
      <c r="Q576" s="1269"/>
      <c r="R576" s="1375"/>
      <c r="S576" s="1269"/>
      <c r="T576" s="1269"/>
      <c r="U576" s="1269"/>
      <c r="V576" s="903"/>
      <c r="W576" s="1269"/>
      <c r="X576" s="1269"/>
      <c r="Y576" s="1269"/>
      <c r="Z576" s="1284"/>
      <c r="AA576" s="204"/>
      <c r="AB576" s="204"/>
      <c r="AC576" s="205"/>
      <c r="AD576" s="205"/>
      <c r="AE576" s="205"/>
      <c r="AF576" s="205"/>
      <c r="AG576" s="205"/>
      <c r="AH576" s="205"/>
      <c r="AI576" s="205"/>
      <c r="AJ576" s="205"/>
      <c r="AK576" s="205"/>
      <c r="AL576" s="206"/>
      <c r="AM576" s="206"/>
      <c r="AN576" s="206"/>
      <c r="AO576" s="204"/>
      <c r="AP576" s="204"/>
      <c r="AQ576" s="204"/>
      <c r="AR576" s="204"/>
      <c r="AS576" s="204"/>
      <c r="AT576" s="204"/>
      <c r="AU576" s="204"/>
      <c r="AV576" s="203"/>
      <c r="AW576" s="203"/>
      <c r="AX576" s="203"/>
      <c r="AY576" s="203"/>
      <c r="AZ576" s="203"/>
      <c r="BA576" s="203"/>
      <c r="BB576" s="203"/>
      <c r="BC576" s="203"/>
      <c r="BD576" s="203"/>
      <c r="BE576" s="203"/>
      <c r="BF576" s="203"/>
      <c r="BG576" s="203"/>
      <c r="BH576" s="203"/>
      <c r="BI576" s="203"/>
      <c r="BJ576" s="203"/>
      <c r="BK576" s="203"/>
      <c r="BL576" s="203"/>
      <c r="BM576" s="203"/>
      <c r="BN576" s="203"/>
      <c r="BO576" s="203"/>
      <c r="BP576" s="203"/>
      <c r="BQ576" s="203"/>
      <c r="BR576" s="203"/>
      <c r="BS576" s="203"/>
      <c r="BT576" s="203"/>
      <c r="BU576" s="203"/>
      <c r="BV576" s="203"/>
      <c r="BW576" s="203"/>
      <c r="BX576" s="203"/>
      <c r="BY576" s="203"/>
      <c r="BZ576" s="203"/>
      <c r="CA576" s="203"/>
      <c r="CB576" s="203"/>
      <c r="CC576" s="203"/>
      <c r="CD576" s="203"/>
      <c r="CE576" s="203"/>
      <c r="CF576" s="203"/>
    </row>
    <row r="577" spans="1:84" ht="8.25" hidden="1" customHeight="1" x14ac:dyDescent="0.25">
      <c r="A577" s="218"/>
      <c r="B577" s="219"/>
      <c r="C577" s="1269"/>
      <c r="D577" s="1269"/>
      <c r="E577" s="1272"/>
      <c r="F577" s="1269"/>
      <c r="G577" s="1269"/>
      <c r="H577" s="1269"/>
      <c r="I577" s="903"/>
      <c r="J577" s="1269"/>
      <c r="K577" s="1269"/>
      <c r="L577" s="903"/>
      <c r="M577" s="1269"/>
      <c r="N577" s="1269"/>
      <c r="O577" s="1375"/>
      <c r="P577" s="1269"/>
      <c r="Q577" s="1269"/>
      <c r="R577" s="1375"/>
      <c r="S577" s="1269"/>
      <c r="T577" s="1269"/>
      <c r="U577" s="1269"/>
      <c r="V577" s="903"/>
      <c r="W577" s="1269"/>
      <c r="X577" s="1269"/>
      <c r="Y577" s="1269"/>
      <c r="Z577" s="1284"/>
      <c r="AA577" s="204"/>
      <c r="AB577" s="204"/>
      <c r="AC577" s="205"/>
      <c r="AD577" s="205"/>
      <c r="AE577" s="205"/>
      <c r="AF577" s="205"/>
      <c r="AG577" s="205"/>
      <c r="AH577" s="205"/>
      <c r="AI577" s="205"/>
      <c r="AJ577" s="205"/>
      <c r="AK577" s="205"/>
      <c r="AL577" s="206"/>
      <c r="AM577" s="206"/>
      <c r="AN577" s="206"/>
      <c r="AO577" s="204"/>
      <c r="AP577" s="204"/>
      <c r="AQ577" s="204"/>
      <c r="AR577" s="204"/>
      <c r="AS577" s="204"/>
      <c r="AT577" s="204"/>
      <c r="AU577" s="204"/>
      <c r="AV577" s="203"/>
      <c r="AW577" s="203"/>
      <c r="AX577" s="203"/>
      <c r="AY577" s="203"/>
      <c r="AZ577" s="203"/>
      <c r="BA577" s="203"/>
      <c r="BB577" s="203"/>
      <c r="BC577" s="203"/>
      <c r="BD577" s="203"/>
      <c r="BE577" s="203"/>
      <c r="BF577" s="203"/>
      <c r="BG577" s="203"/>
      <c r="BH577" s="203"/>
      <c r="BI577" s="203"/>
      <c r="BJ577" s="203"/>
      <c r="BK577" s="203"/>
      <c r="BL577" s="203"/>
      <c r="BM577" s="203"/>
      <c r="BN577" s="203"/>
      <c r="BO577" s="203"/>
      <c r="BP577" s="203"/>
      <c r="BQ577" s="203"/>
      <c r="BR577" s="203"/>
      <c r="BS577" s="203"/>
      <c r="BT577" s="203"/>
      <c r="BU577" s="203"/>
      <c r="BV577" s="203"/>
      <c r="BW577" s="203"/>
      <c r="BX577" s="203"/>
      <c r="BY577" s="203"/>
      <c r="BZ577" s="203"/>
      <c r="CA577" s="203"/>
      <c r="CB577" s="203"/>
      <c r="CC577" s="203"/>
      <c r="CD577" s="203"/>
      <c r="CE577" s="203"/>
      <c r="CF577" s="203"/>
    </row>
    <row r="578" spans="1:84" ht="11.25" hidden="1" customHeight="1" x14ac:dyDescent="0.25">
      <c r="A578" s="218"/>
      <c r="B578" s="219"/>
      <c r="C578" s="1270"/>
      <c r="D578" s="1270"/>
      <c r="E578" s="1297"/>
      <c r="F578" s="1270"/>
      <c r="G578" s="1270"/>
      <c r="H578" s="1270"/>
      <c r="I578" s="908"/>
      <c r="J578" s="1270"/>
      <c r="K578" s="1270"/>
      <c r="L578" s="908"/>
      <c r="M578" s="1270"/>
      <c r="N578" s="1270"/>
      <c r="O578" s="1376"/>
      <c r="P578" s="1270"/>
      <c r="Q578" s="1270"/>
      <c r="R578" s="1376"/>
      <c r="S578" s="1270"/>
      <c r="T578" s="1270"/>
      <c r="U578" s="1270"/>
      <c r="V578" s="908"/>
      <c r="W578" s="1270"/>
      <c r="X578" s="1270"/>
      <c r="Y578" s="1270"/>
      <c r="Z578" s="1296"/>
      <c r="AA578" s="204"/>
      <c r="AB578" s="204"/>
      <c r="AC578" s="205"/>
      <c r="AD578" s="205"/>
      <c r="AE578" s="205"/>
      <c r="AF578" s="205"/>
      <c r="AG578" s="205"/>
      <c r="AH578" s="205"/>
      <c r="AI578" s="205"/>
      <c r="AJ578" s="205"/>
      <c r="AK578" s="205"/>
      <c r="AL578" s="206"/>
      <c r="AM578" s="206"/>
      <c r="AN578" s="206"/>
      <c r="AO578" s="204"/>
      <c r="AP578" s="204"/>
      <c r="AQ578" s="204"/>
      <c r="AR578" s="204"/>
      <c r="AS578" s="204"/>
      <c r="AT578" s="204"/>
      <c r="AU578" s="204"/>
      <c r="AV578" s="203"/>
      <c r="AW578" s="203"/>
      <c r="AX578" s="203"/>
      <c r="AY578" s="203"/>
      <c r="AZ578" s="203"/>
      <c r="BA578" s="203"/>
      <c r="BB578" s="203"/>
      <c r="BC578" s="203"/>
      <c r="BD578" s="203"/>
      <c r="BE578" s="203"/>
      <c r="BF578" s="203"/>
      <c r="BG578" s="203"/>
      <c r="BH578" s="203"/>
      <c r="BI578" s="203"/>
      <c r="BJ578" s="203"/>
      <c r="BK578" s="203"/>
      <c r="BL578" s="203"/>
      <c r="BM578" s="203"/>
      <c r="BN578" s="203"/>
      <c r="BO578" s="203"/>
      <c r="BP578" s="203"/>
      <c r="BQ578" s="203"/>
      <c r="BR578" s="203"/>
      <c r="BS578" s="203"/>
      <c r="BT578" s="203"/>
      <c r="BU578" s="203"/>
      <c r="BV578" s="203"/>
      <c r="BW578" s="203"/>
      <c r="BX578" s="203"/>
      <c r="BY578" s="203"/>
      <c r="BZ578" s="203"/>
      <c r="CA578" s="203"/>
      <c r="CB578" s="203"/>
      <c r="CC578" s="203"/>
      <c r="CD578" s="203"/>
      <c r="CE578" s="203"/>
      <c r="CF578" s="203"/>
    </row>
    <row r="579" spans="1:84" ht="11.25" hidden="1" customHeight="1" x14ac:dyDescent="0.25">
      <c r="A579" s="218"/>
      <c r="B579" s="219"/>
      <c r="C579" s="1316" t="s">
        <v>385</v>
      </c>
      <c r="D579" s="199" t="s">
        <v>288</v>
      </c>
      <c r="E579" s="210"/>
      <c r="F579" s="210"/>
      <c r="G579" s="210"/>
      <c r="H579" s="210"/>
      <c r="I579" s="210"/>
      <c r="J579" s="210"/>
      <c r="K579" s="215"/>
      <c r="L579" s="221"/>
      <c r="M579" s="211"/>
      <c r="N579" s="905"/>
      <c r="O579" s="1374" t="s">
        <v>390</v>
      </c>
      <c r="P579" s="1316" t="s">
        <v>86</v>
      </c>
      <c r="Q579" s="1328" t="s">
        <v>86</v>
      </c>
      <c r="R579" s="1377" t="s">
        <v>391</v>
      </c>
      <c r="S579" s="1328" t="s">
        <v>290</v>
      </c>
      <c r="T579" s="1354"/>
      <c r="U579" s="1354"/>
      <c r="V579" s="926"/>
      <c r="W579" s="1328" t="s">
        <v>291</v>
      </c>
      <c r="X579" s="1328" t="s">
        <v>292</v>
      </c>
      <c r="Y579" s="1328" t="s">
        <v>293</v>
      </c>
      <c r="Z579" s="1329"/>
      <c r="AA579" s="220"/>
      <c r="AB579" s="204"/>
      <c r="AC579" s="205"/>
      <c r="AD579" s="205"/>
      <c r="AE579" s="205"/>
      <c r="AF579" s="205"/>
      <c r="AG579" s="205"/>
      <c r="AH579" s="205"/>
      <c r="AI579" s="205"/>
      <c r="AJ579" s="205"/>
      <c r="AK579" s="205"/>
      <c r="AL579" s="206"/>
      <c r="AM579" s="206"/>
      <c r="AN579" s="206"/>
      <c r="AO579" s="204"/>
      <c r="AP579" s="204"/>
      <c r="AQ579" s="204"/>
      <c r="AR579" s="204"/>
      <c r="AS579" s="204"/>
      <c r="AT579" s="204"/>
      <c r="AU579" s="204"/>
      <c r="AV579" s="203"/>
      <c r="AW579" s="203"/>
      <c r="AX579" s="203"/>
      <c r="AY579" s="203"/>
      <c r="AZ579" s="203"/>
      <c r="BA579" s="203"/>
      <c r="BB579" s="203"/>
      <c r="BC579" s="203"/>
      <c r="BD579" s="203"/>
      <c r="BE579" s="203"/>
      <c r="BF579" s="203"/>
      <c r="BG579" s="203"/>
      <c r="BH579" s="203"/>
      <c r="BI579" s="203"/>
      <c r="BJ579" s="203"/>
      <c r="BK579" s="203"/>
      <c r="BL579" s="203"/>
      <c r="BM579" s="203"/>
      <c r="BN579" s="203"/>
      <c r="BO579" s="203"/>
      <c r="BP579" s="203"/>
      <c r="BQ579" s="203"/>
      <c r="BR579" s="203"/>
      <c r="BS579" s="203"/>
      <c r="BT579" s="203"/>
      <c r="BU579" s="203"/>
      <c r="BV579" s="203"/>
      <c r="BW579" s="203"/>
      <c r="BX579" s="203"/>
      <c r="BY579" s="203"/>
      <c r="BZ579" s="203"/>
      <c r="CA579" s="203"/>
      <c r="CB579" s="203"/>
      <c r="CC579" s="203"/>
      <c r="CD579" s="203"/>
      <c r="CE579" s="203"/>
      <c r="CF579" s="203"/>
    </row>
    <row r="580" spans="1:84" ht="11.25" hidden="1" customHeight="1" x14ac:dyDescent="0.25">
      <c r="A580" s="218"/>
      <c r="B580" s="219"/>
      <c r="C580" s="1269"/>
      <c r="D580" s="904" t="s">
        <v>296</v>
      </c>
      <c r="E580" s="217"/>
      <c r="F580" s="905"/>
      <c r="G580" s="905"/>
      <c r="H580" s="198"/>
      <c r="I580" s="198"/>
      <c r="J580" s="905"/>
      <c r="K580" s="905"/>
      <c r="L580" s="311"/>
      <c r="M580" s="905"/>
      <c r="N580" s="217"/>
      <c r="O580" s="1375"/>
      <c r="P580" s="1269"/>
      <c r="Q580" s="1269"/>
      <c r="R580" s="1375"/>
      <c r="S580" s="1269"/>
      <c r="T580" s="1269"/>
      <c r="U580" s="1269"/>
      <c r="V580" s="903"/>
      <c r="W580" s="1269"/>
      <c r="X580" s="1269"/>
      <c r="Y580" s="1269"/>
      <c r="Z580" s="1284"/>
      <c r="AA580" s="204"/>
      <c r="AB580" s="204"/>
      <c r="AC580" s="205"/>
      <c r="AD580" s="205"/>
      <c r="AE580" s="205"/>
      <c r="AF580" s="205"/>
      <c r="AG580" s="205"/>
      <c r="AH580" s="205"/>
      <c r="AI580" s="205"/>
      <c r="AJ580" s="205"/>
      <c r="AK580" s="205"/>
      <c r="AL580" s="206"/>
      <c r="AM580" s="206"/>
      <c r="AN580" s="206"/>
      <c r="AO580" s="204"/>
      <c r="AP580" s="204"/>
      <c r="AQ580" s="204"/>
      <c r="AR580" s="204"/>
      <c r="AS580" s="204"/>
      <c r="AT580" s="204"/>
      <c r="AU580" s="204"/>
      <c r="AV580" s="203"/>
      <c r="AW580" s="203"/>
      <c r="AX580" s="203"/>
      <c r="AY580" s="203"/>
      <c r="AZ580" s="203"/>
      <c r="BA580" s="203"/>
      <c r="BB580" s="203"/>
      <c r="BC580" s="203"/>
      <c r="BD580" s="203"/>
      <c r="BE580" s="203"/>
      <c r="BF580" s="203"/>
      <c r="BG580" s="203"/>
      <c r="BH580" s="203"/>
      <c r="BI580" s="203"/>
      <c r="BJ580" s="203"/>
      <c r="BK580" s="203"/>
      <c r="BL580" s="203"/>
      <c r="BM580" s="203"/>
      <c r="BN580" s="203"/>
      <c r="BO580" s="203"/>
      <c r="BP580" s="203"/>
      <c r="BQ580" s="203"/>
      <c r="BR580" s="203"/>
      <c r="BS580" s="203"/>
      <c r="BT580" s="203"/>
      <c r="BU580" s="203"/>
      <c r="BV580" s="203"/>
      <c r="BW580" s="203"/>
      <c r="BX580" s="203"/>
      <c r="BY580" s="203"/>
      <c r="BZ580" s="203"/>
      <c r="CA580" s="203"/>
      <c r="CB580" s="203"/>
      <c r="CC580" s="203"/>
      <c r="CD580" s="203"/>
      <c r="CE580" s="203"/>
      <c r="CF580" s="203"/>
    </row>
    <row r="581" spans="1:84" ht="11.25" hidden="1" customHeight="1" x14ac:dyDescent="0.25">
      <c r="A581" s="218"/>
      <c r="B581" s="219"/>
      <c r="C581" s="1269"/>
      <c r="D581" s="904" t="s">
        <v>299</v>
      </c>
      <c r="E581" s="905"/>
      <c r="F581" s="198"/>
      <c r="G581" s="198"/>
      <c r="H581" s="198"/>
      <c r="I581" s="198"/>
      <c r="J581" s="905"/>
      <c r="K581" s="214"/>
      <c r="L581" s="909"/>
      <c r="M581" s="909"/>
      <c r="N581" s="909"/>
      <c r="O581" s="1375"/>
      <c r="P581" s="1269"/>
      <c r="Q581" s="1269"/>
      <c r="R581" s="1375"/>
      <c r="S581" s="1269"/>
      <c r="T581" s="1269"/>
      <c r="U581" s="1269"/>
      <c r="V581" s="903"/>
      <c r="W581" s="1269"/>
      <c r="X581" s="1269"/>
      <c r="Y581" s="1269"/>
      <c r="Z581" s="1284"/>
      <c r="AA581" s="204"/>
      <c r="AB581" s="204"/>
      <c r="AC581" s="205"/>
      <c r="AD581" s="205"/>
      <c r="AE581" s="205"/>
      <c r="AF581" s="205"/>
      <c r="AG581" s="205"/>
      <c r="AH581" s="205"/>
      <c r="AI581" s="205"/>
      <c r="AJ581" s="205"/>
      <c r="AK581" s="205"/>
      <c r="AL581" s="206"/>
      <c r="AM581" s="206"/>
      <c r="AN581" s="206"/>
      <c r="AO581" s="204"/>
      <c r="AP581" s="204"/>
      <c r="AQ581" s="204"/>
      <c r="AR581" s="204"/>
      <c r="AS581" s="204"/>
      <c r="AT581" s="204"/>
      <c r="AU581" s="204"/>
      <c r="AV581" s="203"/>
      <c r="AW581" s="203"/>
      <c r="AX581" s="203"/>
      <c r="AY581" s="203"/>
      <c r="AZ581" s="203"/>
      <c r="BA581" s="203"/>
      <c r="BB581" s="203"/>
      <c r="BC581" s="203"/>
      <c r="BD581" s="203"/>
      <c r="BE581" s="203"/>
      <c r="BF581" s="203"/>
      <c r="BG581" s="203"/>
      <c r="BH581" s="203"/>
      <c r="BI581" s="203"/>
      <c r="BJ581" s="203"/>
      <c r="BK581" s="203"/>
      <c r="BL581" s="203"/>
      <c r="BM581" s="203"/>
      <c r="BN581" s="203"/>
      <c r="BO581" s="203"/>
      <c r="BP581" s="203"/>
      <c r="BQ581" s="203"/>
      <c r="BR581" s="203"/>
      <c r="BS581" s="203"/>
      <c r="BT581" s="203"/>
      <c r="BU581" s="203"/>
      <c r="BV581" s="203"/>
      <c r="BW581" s="203"/>
      <c r="BX581" s="203"/>
      <c r="BY581" s="203"/>
      <c r="BZ581" s="203"/>
      <c r="CA581" s="203"/>
      <c r="CB581" s="203"/>
      <c r="CC581" s="203"/>
      <c r="CD581" s="203"/>
      <c r="CE581" s="203"/>
      <c r="CF581" s="203"/>
    </row>
    <row r="582" spans="1:84" ht="11.25" hidden="1" customHeight="1" x14ac:dyDescent="0.25">
      <c r="A582" s="218"/>
      <c r="B582" s="219"/>
      <c r="C582" s="1269"/>
      <c r="D582" s="1286" t="s">
        <v>302</v>
      </c>
      <c r="E582" s="1272"/>
      <c r="F582" s="1272"/>
      <c r="G582" s="1272"/>
      <c r="H582" s="1272"/>
      <c r="I582" s="905"/>
      <c r="J582" s="1272"/>
      <c r="K582" s="1272"/>
      <c r="L582" s="905"/>
      <c r="M582" s="1272"/>
      <c r="N582" s="1272"/>
      <c r="O582" s="1375"/>
      <c r="P582" s="1269"/>
      <c r="Q582" s="1269"/>
      <c r="R582" s="1375"/>
      <c r="S582" s="1269"/>
      <c r="T582" s="1269"/>
      <c r="U582" s="1269"/>
      <c r="V582" s="903"/>
      <c r="W582" s="1269"/>
      <c r="X582" s="1269"/>
      <c r="Y582" s="1269"/>
      <c r="Z582" s="1284"/>
      <c r="AA582" s="204"/>
      <c r="AB582" s="204"/>
      <c r="AC582" s="205"/>
      <c r="AD582" s="205"/>
      <c r="AE582" s="205"/>
      <c r="AF582" s="205"/>
      <c r="AG582" s="205"/>
      <c r="AH582" s="205"/>
      <c r="AI582" s="205"/>
      <c r="AJ582" s="205"/>
      <c r="AK582" s="205"/>
      <c r="AL582" s="206"/>
      <c r="AM582" s="206"/>
      <c r="AN582" s="206"/>
      <c r="AO582" s="204"/>
      <c r="AP582" s="204"/>
      <c r="AQ582" s="204"/>
      <c r="AR582" s="204"/>
      <c r="AS582" s="204"/>
      <c r="AT582" s="204"/>
      <c r="AU582" s="204"/>
      <c r="AV582" s="203"/>
      <c r="AW582" s="203"/>
      <c r="AX582" s="203"/>
      <c r="AY582" s="203"/>
      <c r="AZ582" s="203"/>
      <c r="BA582" s="203"/>
      <c r="BB582" s="203"/>
      <c r="BC582" s="203"/>
      <c r="BD582" s="203"/>
      <c r="BE582" s="203"/>
      <c r="BF582" s="203"/>
      <c r="BG582" s="203"/>
      <c r="BH582" s="203"/>
      <c r="BI582" s="203"/>
      <c r="BJ582" s="203"/>
      <c r="BK582" s="203"/>
      <c r="BL582" s="203"/>
      <c r="BM582" s="203"/>
      <c r="BN582" s="203"/>
      <c r="BO582" s="203"/>
      <c r="BP582" s="203"/>
      <c r="BQ582" s="203"/>
      <c r="BR582" s="203"/>
      <c r="BS582" s="203"/>
      <c r="BT582" s="203"/>
      <c r="BU582" s="203"/>
      <c r="BV582" s="203"/>
      <c r="BW582" s="203"/>
      <c r="BX582" s="203"/>
      <c r="BY582" s="203"/>
      <c r="BZ582" s="203"/>
      <c r="CA582" s="203"/>
      <c r="CB582" s="203"/>
      <c r="CC582" s="203"/>
      <c r="CD582" s="203"/>
      <c r="CE582" s="203"/>
      <c r="CF582" s="203"/>
    </row>
    <row r="583" spans="1:84" ht="8.25" hidden="1" customHeight="1" x14ac:dyDescent="0.25">
      <c r="A583" s="218"/>
      <c r="B583" s="219"/>
      <c r="C583" s="1269"/>
      <c r="D583" s="1269"/>
      <c r="E583" s="1272"/>
      <c r="F583" s="1269"/>
      <c r="G583" s="1269"/>
      <c r="H583" s="1269"/>
      <c r="I583" s="903"/>
      <c r="J583" s="1269"/>
      <c r="K583" s="1269"/>
      <c r="L583" s="903"/>
      <c r="M583" s="1269"/>
      <c r="N583" s="1269"/>
      <c r="O583" s="1375"/>
      <c r="P583" s="1269"/>
      <c r="Q583" s="1269"/>
      <c r="R583" s="1375"/>
      <c r="S583" s="1269"/>
      <c r="T583" s="1269"/>
      <c r="U583" s="1269"/>
      <c r="V583" s="903"/>
      <c r="W583" s="1269"/>
      <c r="X583" s="1269"/>
      <c r="Y583" s="1269"/>
      <c r="Z583" s="1284"/>
      <c r="AA583" s="204"/>
      <c r="AB583" s="204"/>
      <c r="AC583" s="205"/>
      <c r="AD583" s="205"/>
      <c r="AE583" s="205"/>
      <c r="AF583" s="205"/>
      <c r="AG583" s="205"/>
      <c r="AH583" s="205"/>
      <c r="AI583" s="205"/>
      <c r="AJ583" s="205"/>
      <c r="AK583" s="205"/>
      <c r="AL583" s="206"/>
      <c r="AM583" s="206"/>
      <c r="AN583" s="206"/>
      <c r="AO583" s="204"/>
      <c r="AP583" s="204"/>
      <c r="AQ583" s="204"/>
      <c r="AR583" s="204"/>
      <c r="AS583" s="204"/>
      <c r="AT583" s="204"/>
      <c r="AU583" s="204"/>
      <c r="AV583" s="203"/>
      <c r="AW583" s="203"/>
      <c r="AX583" s="203"/>
      <c r="AY583" s="203"/>
      <c r="AZ583" s="203"/>
      <c r="BA583" s="203"/>
      <c r="BB583" s="203"/>
      <c r="BC583" s="203"/>
      <c r="BD583" s="203"/>
      <c r="BE583" s="203"/>
      <c r="BF583" s="203"/>
      <c r="BG583" s="203"/>
      <c r="BH583" s="203"/>
      <c r="BI583" s="203"/>
      <c r="BJ583" s="203"/>
      <c r="BK583" s="203"/>
      <c r="BL583" s="203"/>
      <c r="BM583" s="203"/>
      <c r="BN583" s="203"/>
      <c r="BO583" s="203"/>
      <c r="BP583" s="203"/>
      <c r="BQ583" s="203"/>
      <c r="BR583" s="203"/>
      <c r="BS583" s="203"/>
      <c r="BT583" s="203"/>
      <c r="BU583" s="203"/>
      <c r="BV583" s="203"/>
      <c r="BW583" s="203"/>
      <c r="BX583" s="203"/>
      <c r="BY583" s="203"/>
      <c r="BZ583" s="203"/>
      <c r="CA583" s="203"/>
      <c r="CB583" s="203"/>
      <c r="CC583" s="203"/>
      <c r="CD583" s="203"/>
      <c r="CE583" s="203"/>
      <c r="CF583" s="203"/>
    </row>
    <row r="584" spans="1:84" ht="8.25" hidden="1" customHeight="1" x14ac:dyDescent="0.25">
      <c r="A584" s="218"/>
      <c r="B584" s="219"/>
      <c r="C584" s="1269"/>
      <c r="D584" s="1269"/>
      <c r="E584" s="1272"/>
      <c r="F584" s="1269"/>
      <c r="G584" s="1269"/>
      <c r="H584" s="1269"/>
      <c r="I584" s="903"/>
      <c r="J584" s="1269"/>
      <c r="K584" s="1269"/>
      <c r="L584" s="903"/>
      <c r="M584" s="1269"/>
      <c r="N584" s="1269"/>
      <c r="O584" s="1375"/>
      <c r="P584" s="1269"/>
      <c r="Q584" s="1269"/>
      <c r="R584" s="1375"/>
      <c r="S584" s="1269"/>
      <c r="T584" s="1269"/>
      <c r="U584" s="1269"/>
      <c r="V584" s="903"/>
      <c r="W584" s="1269"/>
      <c r="X584" s="1269"/>
      <c r="Y584" s="1269"/>
      <c r="Z584" s="1284"/>
      <c r="AA584" s="204"/>
      <c r="AB584" s="204"/>
      <c r="AC584" s="205"/>
      <c r="AD584" s="205"/>
      <c r="AE584" s="205"/>
      <c r="AF584" s="205"/>
      <c r="AG584" s="205"/>
      <c r="AH584" s="205"/>
      <c r="AI584" s="205"/>
      <c r="AJ584" s="205"/>
      <c r="AK584" s="205"/>
      <c r="AL584" s="206"/>
      <c r="AM584" s="206"/>
      <c r="AN584" s="206"/>
      <c r="AO584" s="204"/>
      <c r="AP584" s="204"/>
      <c r="AQ584" s="204"/>
      <c r="AR584" s="204"/>
      <c r="AS584" s="204"/>
      <c r="AT584" s="204"/>
      <c r="AU584" s="204"/>
      <c r="AV584" s="203"/>
      <c r="AW584" s="203"/>
      <c r="AX584" s="203"/>
      <c r="AY584" s="203"/>
      <c r="AZ584" s="203"/>
      <c r="BA584" s="203"/>
      <c r="BB584" s="203"/>
      <c r="BC584" s="203"/>
      <c r="BD584" s="203"/>
      <c r="BE584" s="203"/>
      <c r="BF584" s="203"/>
      <c r="BG584" s="203"/>
      <c r="BH584" s="203"/>
      <c r="BI584" s="203"/>
      <c r="BJ584" s="203"/>
      <c r="BK584" s="203"/>
      <c r="BL584" s="203"/>
      <c r="BM584" s="203"/>
      <c r="BN584" s="203"/>
      <c r="BO584" s="203"/>
      <c r="BP584" s="203"/>
      <c r="BQ584" s="203"/>
      <c r="BR584" s="203"/>
      <c r="BS584" s="203"/>
      <c r="BT584" s="203"/>
      <c r="BU584" s="203"/>
      <c r="BV584" s="203"/>
      <c r="BW584" s="203"/>
      <c r="BX584" s="203"/>
      <c r="BY584" s="203"/>
      <c r="BZ584" s="203"/>
      <c r="CA584" s="203"/>
      <c r="CB584" s="203"/>
      <c r="CC584" s="203"/>
      <c r="CD584" s="203"/>
      <c r="CE584" s="203"/>
      <c r="CF584" s="203"/>
    </row>
    <row r="585" spans="1:84" ht="11.25" hidden="1" customHeight="1" x14ac:dyDescent="0.25">
      <c r="A585" s="218"/>
      <c r="B585" s="219"/>
      <c r="C585" s="1270"/>
      <c r="D585" s="1270"/>
      <c r="E585" s="1297"/>
      <c r="F585" s="1270"/>
      <c r="G585" s="1270"/>
      <c r="H585" s="1270"/>
      <c r="I585" s="908"/>
      <c r="J585" s="1270"/>
      <c r="K585" s="1270"/>
      <c r="L585" s="908"/>
      <c r="M585" s="1270"/>
      <c r="N585" s="1270"/>
      <c r="O585" s="1376"/>
      <c r="P585" s="1270"/>
      <c r="Q585" s="1270"/>
      <c r="R585" s="1376"/>
      <c r="S585" s="1270"/>
      <c r="T585" s="1270"/>
      <c r="U585" s="1270"/>
      <c r="V585" s="908"/>
      <c r="W585" s="1270"/>
      <c r="X585" s="1270"/>
      <c r="Y585" s="1270"/>
      <c r="Z585" s="1296"/>
      <c r="AA585" s="204"/>
      <c r="AB585" s="204"/>
      <c r="AC585" s="205"/>
      <c r="AD585" s="205"/>
      <c r="AE585" s="205"/>
      <c r="AF585" s="205"/>
      <c r="AG585" s="205"/>
      <c r="AH585" s="205"/>
      <c r="AI585" s="205"/>
      <c r="AJ585" s="205"/>
      <c r="AK585" s="205"/>
      <c r="AL585" s="206"/>
      <c r="AM585" s="206"/>
      <c r="AN585" s="206"/>
      <c r="AO585" s="204"/>
      <c r="AP585" s="204"/>
      <c r="AQ585" s="204"/>
      <c r="AR585" s="204"/>
      <c r="AS585" s="204"/>
      <c r="AT585" s="204"/>
      <c r="AU585" s="204"/>
      <c r="AV585" s="203"/>
      <c r="AW585" s="203"/>
      <c r="AX585" s="203"/>
      <c r="AY585" s="203"/>
      <c r="AZ585" s="203"/>
      <c r="BA585" s="203"/>
      <c r="BB585" s="203"/>
      <c r="BC585" s="203"/>
      <c r="BD585" s="203"/>
      <c r="BE585" s="203"/>
      <c r="BF585" s="203"/>
      <c r="BG585" s="203"/>
      <c r="BH585" s="203"/>
      <c r="BI585" s="203"/>
      <c r="BJ585" s="203"/>
      <c r="BK585" s="203"/>
      <c r="BL585" s="203"/>
      <c r="BM585" s="203"/>
      <c r="BN585" s="203"/>
      <c r="BO585" s="203"/>
      <c r="BP585" s="203"/>
      <c r="BQ585" s="203"/>
      <c r="BR585" s="203"/>
      <c r="BS585" s="203"/>
      <c r="BT585" s="203"/>
      <c r="BU585" s="203"/>
      <c r="BV585" s="203"/>
      <c r="BW585" s="203"/>
      <c r="BX585" s="203"/>
      <c r="BY585" s="203"/>
      <c r="BZ585" s="203"/>
      <c r="CA585" s="203"/>
      <c r="CB585" s="203"/>
      <c r="CC585" s="203"/>
      <c r="CD585" s="203"/>
      <c r="CE585" s="203"/>
      <c r="CF585" s="203"/>
    </row>
    <row r="586" spans="1:84" ht="11.25" hidden="1" customHeight="1" x14ac:dyDescent="0.25">
      <c r="A586" s="218"/>
      <c r="B586" s="219"/>
      <c r="C586" s="1316" t="s">
        <v>385</v>
      </c>
      <c r="D586" s="199" t="s">
        <v>288</v>
      </c>
      <c r="E586" s="210"/>
      <c r="F586" s="210"/>
      <c r="G586" s="210"/>
      <c r="H586" s="210"/>
      <c r="I586" s="210"/>
      <c r="J586" s="210"/>
      <c r="K586" s="215"/>
      <c r="L586" s="221"/>
      <c r="M586" s="211"/>
      <c r="N586" s="905"/>
      <c r="O586" s="1374" t="s">
        <v>392</v>
      </c>
      <c r="P586" s="1316" t="s">
        <v>86</v>
      </c>
      <c r="Q586" s="1328" t="s">
        <v>86</v>
      </c>
      <c r="R586" s="1377" t="s">
        <v>393</v>
      </c>
      <c r="S586" s="1328" t="s">
        <v>290</v>
      </c>
      <c r="T586" s="1354"/>
      <c r="U586" s="1354"/>
      <c r="V586" s="926"/>
      <c r="W586" s="1328" t="s">
        <v>291</v>
      </c>
      <c r="X586" s="1328" t="s">
        <v>292</v>
      </c>
      <c r="Y586" s="1328" t="s">
        <v>293</v>
      </c>
      <c r="Z586" s="1329"/>
      <c r="AA586" s="220"/>
      <c r="AB586" s="204"/>
      <c r="AC586" s="205"/>
      <c r="AD586" s="205"/>
      <c r="AE586" s="205"/>
      <c r="AF586" s="205"/>
      <c r="AG586" s="205"/>
      <c r="AH586" s="205"/>
      <c r="AI586" s="205"/>
      <c r="AJ586" s="205"/>
      <c r="AK586" s="205"/>
      <c r="AL586" s="206"/>
      <c r="AM586" s="206"/>
      <c r="AN586" s="206"/>
      <c r="AO586" s="204"/>
      <c r="AP586" s="204"/>
      <c r="AQ586" s="204"/>
      <c r="AR586" s="204"/>
      <c r="AS586" s="204"/>
      <c r="AT586" s="204"/>
      <c r="AU586" s="204"/>
      <c r="AV586" s="203"/>
      <c r="AW586" s="203"/>
      <c r="AX586" s="203"/>
      <c r="AY586" s="203"/>
      <c r="AZ586" s="203"/>
      <c r="BA586" s="203"/>
      <c r="BB586" s="203"/>
      <c r="BC586" s="203"/>
      <c r="BD586" s="203"/>
      <c r="BE586" s="203"/>
      <c r="BF586" s="203"/>
      <c r="BG586" s="203"/>
      <c r="BH586" s="203"/>
      <c r="BI586" s="203"/>
      <c r="BJ586" s="203"/>
      <c r="BK586" s="203"/>
      <c r="BL586" s="203"/>
      <c r="BM586" s="203"/>
      <c r="BN586" s="203"/>
      <c r="BO586" s="203"/>
      <c r="BP586" s="203"/>
      <c r="BQ586" s="203"/>
      <c r="BR586" s="203"/>
      <c r="BS586" s="203"/>
      <c r="BT586" s="203"/>
      <c r="BU586" s="203"/>
      <c r="BV586" s="203"/>
      <c r="BW586" s="203"/>
      <c r="BX586" s="203"/>
      <c r="BY586" s="203"/>
      <c r="BZ586" s="203"/>
      <c r="CA586" s="203"/>
      <c r="CB586" s="203"/>
      <c r="CC586" s="203"/>
      <c r="CD586" s="203"/>
      <c r="CE586" s="203"/>
      <c r="CF586" s="203"/>
    </row>
    <row r="587" spans="1:84" ht="11.25" hidden="1" customHeight="1" x14ac:dyDescent="0.25">
      <c r="A587" s="218"/>
      <c r="B587" s="219"/>
      <c r="C587" s="1269"/>
      <c r="D587" s="904" t="s">
        <v>296</v>
      </c>
      <c r="E587" s="217"/>
      <c r="F587" s="905"/>
      <c r="G587" s="905"/>
      <c r="H587" s="198"/>
      <c r="I587" s="198"/>
      <c r="J587" s="905"/>
      <c r="K587" s="905"/>
      <c r="L587" s="207"/>
      <c r="M587" s="905"/>
      <c r="N587" s="217"/>
      <c r="O587" s="1375"/>
      <c r="P587" s="1269"/>
      <c r="Q587" s="1269"/>
      <c r="R587" s="1375"/>
      <c r="S587" s="1269"/>
      <c r="T587" s="1269"/>
      <c r="U587" s="1269"/>
      <c r="V587" s="903"/>
      <c r="W587" s="1269"/>
      <c r="X587" s="1269"/>
      <c r="Y587" s="1269"/>
      <c r="Z587" s="1284"/>
      <c r="AA587" s="204"/>
      <c r="AB587" s="204"/>
      <c r="AC587" s="205"/>
      <c r="AD587" s="205"/>
      <c r="AE587" s="205"/>
      <c r="AF587" s="205"/>
      <c r="AG587" s="205"/>
      <c r="AH587" s="205"/>
      <c r="AI587" s="205"/>
      <c r="AJ587" s="205"/>
      <c r="AK587" s="205"/>
      <c r="AL587" s="206"/>
      <c r="AM587" s="206"/>
      <c r="AN587" s="206"/>
      <c r="AO587" s="204"/>
      <c r="AP587" s="204"/>
      <c r="AQ587" s="204"/>
      <c r="AR587" s="204"/>
      <c r="AS587" s="204"/>
      <c r="AT587" s="204"/>
      <c r="AU587" s="204"/>
      <c r="AV587" s="203"/>
      <c r="AW587" s="203"/>
      <c r="AX587" s="203"/>
      <c r="AY587" s="203"/>
      <c r="AZ587" s="203"/>
      <c r="BA587" s="203"/>
      <c r="BB587" s="203"/>
      <c r="BC587" s="203"/>
      <c r="BD587" s="203"/>
      <c r="BE587" s="203"/>
      <c r="BF587" s="203"/>
      <c r="BG587" s="203"/>
      <c r="BH587" s="203"/>
      <c r="BI587" s="203"/>
      <c r="BJ587" s="203"/>
      <c r="BK587" s="203"/>
      <c r="BL587" s="203"/>
      <c r="BM587" s="203"/>
      <c r="BN587" s="203"/>
      <c r="BO587" s="203"/>
      <c r="BP587" s="203"/>
      <c r="BQ587" s="203"/>
      <c r="BR587" s="203"/>
      <c r="BS587" s="203"/>
      <c r="BT587" s="203"/>
      <c r="BU587" s="203"/>
      <c r="BV587" s="203"/>
      <c r="BW587" s="203"/>
      <c r="BX587" s="203"/>
      <c r="BY587" s="203"/>
      <c r="BZ587" s="203"/>
      <c r="CA587" s="203"/>
      <c r="CB587" s="203"/>
      <c r="CC587" s="203"/>
      <c r="CD587" s="203"/>
      <c r="CE587" s="203"/>
      <c r="CF587" s="203"/>
    </row>
    <row r="588" spans="1:84" ht="11.25" hidden="1" customHeight="1" x14ac:dyDescent="0.25">
      <c r="A588" s="218"/>
      <c r="B588" s="219"/>
      <c r="C588" s="1269"/>
      <c r="D588" s="904" t="s">
        <v>299</v>
      </c>
      <c r="E588" s="905"/>
      <c r="F588" s="198"/>
      <c r="G588" s="198"/>
      <c r="H588" s="198"/>
      <c r="I588" s="198"/>
      <c r="J588" s="905"/>
      <c r="K588" s="214"/>
      <c r="L588" s="207"/>
      <c r="M588" s="909"/>
      <c r="N588" s="909"/>
      <c r="O588" s="1375"/>
      <c r="P588" s="1269"/>
      <c r="Q588" s="1269"/>
      <c r="R588" s="1375"/>
      <c r="S588" s="1269"/>
      <c r="T588" s="1269"/>
      <c r="U588" s="1269"/>
      <c r="V588" s="903"/>
      <c r="W588" s="1269"/>
      <c r="X588" s="1269"/>
      <c r="Y588" s="1269"/>
      <c r="Z588" s="1284"/>
      <c r="AA588" s="204"/>
      <c r="AB588" s="204"/>
      <c r="AC588" s="205"/>
      <c r="AD588" s="205"/>
      <c r="AE588" s="205"/>
      <c r="AF588" s="205"/>
      <c r="AG588" s="205"/>
      <c r="AH588" s="205"/>
      <c r="AI588" s="205"/>
      <c r="AJ588" s="205"/>
      <c r="AK588" s="205"/>
      <c r="AL588" s="206"/>
      <c r="AM588" s="206"/>
      <c r="AN588" s="206"/>
      <c r="AO588" s="204"/>
      <c r="AP588" s="204"/>
      <c r="AQ588" s="204"/>
      <c r="AR588" s="204"/>
      <c r="AS588" s="204"/>
      <c r="AT588" s="204"/>
      <c r="AU588" s="204"/>
      <c r="AV588" s="203"/>
      <c r="AW588" s="203"/>
      <c r="AX588" s="203"/>
      <c r="AY588" s="203"/>
      <c r="AZ588" s="203"/>
      <c r="BA588" s="203"/>
      <c r="BB588" s="203"/>
      <c r="BC588" s="203"/>
      <c r="BD588" s="203"/>
      <c r="BE588" s="203"/>
      <c r="BF588" s="203"/>
      <c r="BG588" s="203"/>
      <c r="BH588" s="203"/>
      <c r="BI588" s="203"/>
      <c r="BJ588" s="203"/>
      <c r="BK588" s="203"/>
      <c r="BL588" s="203"/>
      <c r="BM588" s="203"/>
      <c r="BN588" s="203"/>
      <c r="BO588" s="203"/>
      <c r="BP588" s="203"/>
      <c r="BQ588" s="203"/>
      <c r="BR588" s="203"/>
      <c r="BS588" s="203"/>
      <c r="BT588" s="203"/>
      <c r="BU588" s="203"/>
      <c r="BV588" s="203"/>
      <c r="BW588" s="203"/>
      <c r="BX588" s="203"/>
      <c r="BY588" s="203"/>
      <c r="BZ588" s="203"/>
      <c r="CA588" s="203"/>
      <c r="CB588" s="203"/>
      <c r="CC588" s="203"/>
      <c r="CD588" s="203"/>
      <c r="CE588" s="203"/>
      <c r="CF588" s="203"/>
    </row>
    <row r="589" spans="1:84" ht="11.25" hidden="1" customHeight="1" x14ac:dyDescent="0.25">
      <c r="A589" s="218"/>
      <c r="B589" s="219"/>
      <c r="C589" s="1269"/>
      <c r="D589" s="1286" t="s">
        <v>302</v>
      </c>
      <c r="E589" s="1272"/>
      <c r="F589" s="1272"/>
      <c r="G589" s="1272"/>
      <c r="H589" s="1272"/>
      <c r="I589" s="905"/>
      <c r="J589" s="1272"/>
      <c r="K589" s="1272"/>
      <c r="L589" s="1381"/>
      <c r="M589" s="1272"/>
      <c r="N589" s="1272"/>
      <c r="O589" s="1375"/>
      <c r="P589" s="1269"/>
      <c r="Q589" s="1269"/>
      <c r="R589" s="1375"/>
      <c r="S589" s="1269"/>
      <c r="T589" s="1269"/>
      <c r="U589" s="1269"/>
      <c r="V589" s="903"/>
      <c r="W589" s="1269"/>
      <c r="X589" s="1269"/>
      <c r="Y589" s="1269"/>
      <c r="Z589" s="1284"/>
      <c r="AA589" s="204"/>
      <c r="AB589" s="204"/>
      <c r="AC589" s="205"/>
      <c r="AD589" s="205"/>
      <c r="AE589" s="205"/>
      <c r="AF589" s="205"/>
      <c r="AG589" s="205"/>
      <c r="AH589" s="205"/>
      <c r="AI589" s="205"/>
      <c r="AJ589" s="205"/>
      <c r="AK589" s="205"/>
      <c r="AL589" s="206"/>
      <c r="AM589" s="206"/>
      <c r="AN589" s="206"/>
      <c r="AO589" s="204"/>
      <c r="AP589" s="204"/>
      <c r="AQ589" s="204"/>
      <c r="AR589" s="204"/>
      <c r="AS589" s="204"/>
      <c r="AT589" s="204"/>
      <c r="AU589" s="204"/>
      <c r="AV589" s="203"/>
      <c r="AW589" s="203"/>
      <c r="AX589" s="203"/>
      <c r="AY589" s="203"/>
      <c r="AZ589" s="203"/>
      <c r="BA589" s="203"/>
      <c r="BB589" s="203"/>
      <c r="BC589" s="203"/>
      <c r="BD589" s="203"/>
      <c r="BE589" s="203"/>
      <c r="BF589" s="203"/>
      <c r="BG589" s="203"/>
      <c r="BH589" s="203"/>
      <c r="BI589" s="203"/>
      <c r="BJ589" s="203"/>
      <c r="BK589" s="203"/>
      <c r="BL589" s="203"/>
      <c r="BM589" s="203"/>
      <c r="BN589" s="203"/>
      <c r="BO589" s="203"/>
      <c r="BP589" s="203"/>
      <c r="BQ589" s="203"/>
      <c r="BR589" s="203"/>
      <c r="BS589" s="203"/>
      <c r="BT589" s="203"/>
      <c r="BU589" s="203"/>
      <c r="BV589" s="203"/>
      <c r="BW589" s="203"/>
      <c r="BX589" s="203"/>
      <c r="BY589" s="203"/>
      <c r="BZ589" s="203"/>
      <c r="CA589" s="203"/>
      <c r="CB589" s="203"/>
      <c r="CC589" s="203"/>
      <c r="CD589" s="203"/>
      <c r="CE589" s="203"/>
      <c r="CF589" s="203"/>
    </row>
    <row r="590" spans="1:84" ht="8.25" hidden="1" customHeight="1" x14ac:dyDescent="0.25">
      <c r="A590" s="218"/>
      <c r="B590" s="219"/>
      <c r="C590" s="1269"/>
      <c r="D590" s="1269"/>
      <c r="E590" s="1272"/>
      <c r="F590" s="1269"/>
      <c r="G590" s="1269"/>
      <c r="H590" s="1269"/>
      <c r="I590" s="903"/>
      <c r="J590" s="1269"/>
      <c r="K590" s="1269"/>
      <c r="L590" s="1382"/>
      <c r="M590" s="1269"/>
      <c r="N590" s="1269"/>
      <c r="O590" s="1375"/>
      <c r="P590" s="1269"/>
      <c r="Q590" s="1269"/>
      <c r="R590" s="1375"/>
      <c r="S590" s="1269"/>
      <c r="T590" s="1269"/>
      <c r="U590" s="1269"/>
      <c r="V590" s="903"/>
      <c r="W590" s="1269"/>
      <c r="X590" s="1269"/>
      <c r="Y590" s="1269"/>
      <c r="Z590" s="1284"/>
      <c r="AA590" s="204"/>
      <c r="AB590" s="204"/>
      <c r="AC590" s="205"/>
      <c r="AD590" s="205"/>
      <c r="AE590" s="205"/>
      <c r="AF590" s="205"/>
      <c r="AG590" s="205"/>
      <c r="AH590" s="205"/>
      <c r="AI590" s="205"/>
      <c r="AJ590" s="205"/>
      <c r="AK590" s="205"/>
      <c r="AL590" s="206"/>
      <c r="AM590" s="206"/>
      <c r="AN590" s="206"/>
      <c r="AO590" s="204"/>
      <c r="AP590" s="204"/>
      <c r="AQ590" s="204"/>
      <c r="AR590" s="204"/>
      <c r="AS590" s="204"/>
      <c r="AT590" s="204"/>
      <c r="AU590" s="204"/>
      <c r="AV590" s="203"/>
      <c r="AW590" s="203"/>
      <c r="AX590" s="203"/>
      <c r="AY590" s="203"/>
      <c r="AZ590" s="203"/>
      <c r="BA590" s="203"/>
      <c r="BB590" s="203"/>
      <c r="BC590" s="203"/>
      <c r="BD590" s="203"/>
      <c r="BE590" s="203"/>
      <c r="BF590" s="203"/>
      <c r="BG590" s="203"/>
      <c r="BH590" s="203"/>
      <c r="BI590" s="203"/>
      <c r="BJ590" s="203"/>
      <c r="BK590" s="203"/>
      <c r="BL590" s="203"/>
      <c r="BM590" s="203"/>
      <c r="BN590" s="203"/>
      <c r="BO590" s="203"/>
      <c r="BP590" s="203"/>
      <c r="BQ590" s="203"/>
      <c r="BR590" s="203"/>
      <c r="BS590" s="203"/>
      <c r="BT590" s="203"/>
      <c r="BU590" s="203"/>
      <c r="BV590" s="203"/>
      <c r="BW590" s="203"/>
      <c r="BX590" s="203"/>
      <c r="BY590" s="203"/>
      <c r="BZ590" s="203"/>
      <c r="CA590" s="203"/>
      <c r="CB590" s="203"/>
      <c r="CC590" s="203"/>
      <c r="CD590" s="203"/>
      <c r="CE590" s="203"/>
      <c r="CF590" s="203"/>
    </row>
    <row r="591" spans="1:84" hidden="1" x14ac:dyDescent="0.25">
      <c r="A591" s="218"/>
      <c r="B591" s="219"/>
      <c r="C591" s="1269"/>
      <c r="D591" s="1269"/>
      <c r="E591" s="1272"/>
      <c r="F591" s="1269"/>
      <c r="G591" s="1269"/>
      <c r="H591" s="1269"/>
      <c r="I591" s="903"/>
      <c r="J591" s="1269"/>
      <c r="K591" s="1269"/>
      <c r="L591" s="1382"/>
      <c r="M591" s="1269"/>
      <c r="N591" s="1269"/>
      <c r="O591" s="1375"/>
      <c r="P591" s="1269"/>
      <c r="Q591" s="1269"/>
      <c r="R591" s="1375"/>
      <c r="S591" s="1269"/>
      <c r="T591" s="1269"/>
      <c r="U591" s="1269"/>
      <c r="V591" s="903"/>
      <c r="W591" s="1269"/>
      <c r="X591" s="1269"/>
      <c r="Y591" s="1269"/>
      <c r="Z591" s="1284"/>
      <c r="AA591" s="204"/>
      <c r="AB591" s="204"/>
      <c r="AC591" s="205"/>
      <c r="AD591" s="205"/>
      <c r="AE591" s="205"/>
      <c r="AF591" s="205"/>
      <c r="AG591" s="205"/>
      <c r="AH591" s="205"/>
      <c r="AI591" s="205"/>
      <c r="AJ591" s="205"/>
      <c r="AK591" s="205"/>
      <c r="AL591" s="206"/>
      <c r="AM591" s="206"/>
      <c r="AN591" s="206"/>
      <c r="AO591" s="204"/>
      <c r="AP591" s="204"/>
      <c r="AQ591" s="204"/>
      <c r="AR591" s="204"/>
      <c r="AS591" s="204"/>
      <c r="AT591" s="204"/>
      <c r="AU591" s="204"/>
      <c r="AV591" s="203"/>
      <c r="AW591" s="203"/>
      <c r="AX591" s="203"/>
      <c r="AY591" s="203"/>
      <c r="AZ591" s="203"/>
      <c r="BA591" s="203"/>
      <c r="BB591" s="203"/>
      <c r="BC591" s="203"/>
      <c r="BD591" s="203"/>
      <c r="BE591" s="203"/>
      <c r="BF591" s="203"/>
      <c r="BG591" s="203"/>
      <c r="BH591" s="203"/>
      <c r="BI591" s="203"/>
      <c r="BJ591" s="203"/>
      <c r="BK591" s="203"/>
      <c r="BL591" s="203"/>
      <c r="BM591" s="203"/>
      <c r="BN591" s="203"/>
      <c r="BO591" s="203"/>
      <c r="BP591" s="203"/>
      <c r="BQ591" s="203"/>
      <c r="BR591" s="203"/>
      <c r="BS591" s="203"/>
      <c r="BT591" s="203"/>
      <c r="BU591" s="203"/>
      <c r="BV591" s="203"/>
      <c r="BW591" s="203"/>
      <c r="BX591" s="203"/>
      <c r="BY591" s="203"/>
      <c r="BZ591" s="203"/>
      <c r="CA591" s="203"/>
      <c r="CB591" s="203"/>
      <c r="CC591" s="203"/>
      <c r="CD591" s="203"/>
      <c r="CE591" s="203"/>
      <c r="CF591" s="203"/>
    </row>
    <row r="592" spans="1:84" hidden="1" x14ac:dyDescent="0.25">
      <c r="A592" s="218"/>
      <c r="B592" s="219"/>
      <c r="C592" s="1270"/>
      <c r="D592" s="1270"/>
      <c r="E592" s="1297"/>
      <c r="F592" s="1270"/>
      <c r="G592" s="1270"/>
      <c r="H592" s="1270"/>
      <c r="I592" s="908"/>
      <c r="J592" s="1270"/>
      <c r="K592" s="1270"/>
      <c r="L592" s="1382"/>
      <c r="M592" s="1270"/>
      <c r="N592" s="1270"/>
      <c r="O592" s="1376"/>
      <c r="P592" s="1270"/>
      <c r="Q592" s="1270"/>
      <c r="R592" s="1376"/>
      <c r="S592" s="1270"/>
      <c r="T592" s="1270"/>
      <c r="U592" s="1270"/>
      <c r="V592" s="908"/>
      <c r="W592" s="1270"/>
      <c r="X592" s="1270"/>
      <c r="Y592" s="1270"/>
      <c r="Z592" s="1296"/>
      <c r="AA592" s="204"/>
      <c r="AB592" s="204"/>
      <c r="AC592" s="205"/>
      <c r="AD592" s="205"/>
      <c r="AE592" s="205"/>
      <c r="AF592" s="205"/>
      <c r="AG592" s="205"/>
      <c r="AH592" s="205"/>
      <c r="AI592" s="205"/>
      <c r="AJ592" s="205"/>
      <c r="AK592" s="205"/>
      <c r="AL592" s="206"/>
      <c r="AM592" s="206"/>
      <c r="AN592" s="206"/>
      <c r="AO592" s="204"/>
      <c r="AP592" s="204"/>
      <c r="AQ592" s="204"/>
      <c r="AR592" s="204"/>
      <c r="AS592" s="204"/>
      <c r="AT592" s="204"/>
      <c r="AU592" s="204"/>
      <c r="AV592" s="203"/>
      <c r="AW592" s="203"/>
      <c r="AX592" s="203"/>
      <c r="AY592" s="203"/>
      <c r="AZ592" s="203"/>
      <c r="BA592" s="203"/>
      <c r="BB592" s="203"/>
      <c r="BC592" s="203"/>
      <c r="BD592" s="203"/>
      <c r="BE592" s="203"/>
      <c r="BF592" s="203"/>
      <c r="BG592" s="203"/>
      <c r="BH592" s="203"/>
      <c r="BI592" s="203"/>
      <c r="BJ592" s="203"/>
      <c r="BK592" s="203"/>
      <c r="BL592" s="203"/>
      <c r="BM592" s="203"/>
      <c r="BN592" s="203"/>
      <c r="BO592" s="203"/>
      <c r="BP592" s="203"/>
      <c r="BQ592" s="203"/>
      <c r="BR592" s="203"/>
      <c r="BS592" s="203"/>
      <c r="BT592" s="203"/>
      <c r="BU592" s="203"/>
      <c r="BV592" s="203"/>
      <c r="BW592" s="203"/>
      <c r="BX592" s="203"/>
      <c r="BY592" s="203"/>
      <c r="BZ592" s="203"/>
      <c r="CA592" s="203"/>
      <c r="CB592" s="203"/>
      <c r="CC592" s="203"/>
      <c r="CD592" s="203"/>
      <c r="CE592" s="203"/>
      <c r="CF592" s="203"/>
    </row>
    <row r="593" spans="1:84" s="228" customFormat="1" ht="11.25" customHeight="1" x14ac:dyDescent="0.25">
      <c r="A593" s="222"/>
      <c r="B593" s="223"/>
      <c r="C593" s="1378" t="s">
        <v>324</v>
      </c>
      <c r="D593" s="224" t="s">
        <v>288</v>
      </c>
      <c r="E593" s="225">
        <f t="shared" ref="E593:G594" si="0">E474+E467+E460+E453+E446+E439+E432+E425+E418+E411+E404+E397+E390+E383+E376+E369+E362+E355+E348+E341+E334</f>
        <v>2250.0500000000002</v>
      </c>
      <c r="F593" s="225">
        <f t="shared" si="0"/>
        <v>0</v>
      </c>
      <c r="G593" s="225">
        <f t="shared" si="0"/>
        <v>0</v>
      </c>
      <c r="H593" s="225">
        <v>2250.21</v>
      </c>
      <c r="I593" s="225">
        <v>2250</v>
      </c>
      <c r="J593" s="225">
        <f>+J474+J467+J460+J453+J446+J439+J432+J425+J418+J411+J404+J397+J390+J383+J376+J369+J362+J355+J348+J341+J334</f>
        <v>2627</v>
      </c>
      <c r="K593" s="225">
        <f>K474+K467+K460+K453+K446+K439+K432+K425+K418+K411+K404+K397+K390+K383+K376+K369+K362+K355+K348+K341</f>
        <v>363.20000000000005</v>
      </c>
      <c r="L593" s="225">
        <f>L474+L467+L460+L453+L446+L439+L432+L425+L418+L411+L404+L397+L390+L383+L376+L369+L362+L355+L348+L341</f>
        <v>601.90000000000009</v>
      </c>
      <c r="M593" s="225">
        <v>1591.8520000000001</v>
      </c>
      <c r="N593" s="225">
        <f>N474+N467+N460+N453+N446+N439+N432+N425+N418+N411+N404+N397+N390+N383+N376+N369+N362+N355+N348+N341+N334</f>
        <v>2425.1999999999998</v>
      </c>
      <c r="O593" s="223"/>
      <c r="P593" s="223"/>
      <c r="Q593" s="223"/>
      <c r="R593" s="223"/>
      <c r="S593" s="223"/>
      <c r="T593" s="223"/>
      <c r="U593" s="223"/>
      <c r="V593" s="223"/>
      <c r="W593" s="223"/>
      <c r="X593" s="223"/>
      <c r="Y593" s="223"/>
      <c r="Z593" s="227"/>
      <c r="AA593" s="204"/>
      <c r="AB593" s="204"/>
      <c r="AC593" s="205"/>
      <c r="AD593" s="205"/>
      <c r="AE593" s="205"/>
      <c r="AF593" s="205"/>
      <c r="AG593" s="205"/>
      <c r="AH593" s="205"/>
      <c r="AI593" s="205"/>
      <c r="AJ593" s="205"/>
      <c r="AK593" s="205"/>
      <c r="AL593" s="206"/>
      <c r="AM593" s="206"/>
      <c r="AN593" s="206"/>
      <c r="AO593" s="204"/>
      <c r="AP593" s="204"/>
      <c r="AQ593" s="204"/>
      <c r="AR593" s="204"/>
      <c r="AS593" s="204"/>
      <c r="AT593" s="204"/>
      <c r="AU593" s="204"/>
      <c r="AV593" s="203"/>
      <c r="AW593" s="203"/>
      <c r="AX593" s="203"/>
      <c r="AY593" s="203"/>
      <c r="AZ593" s="203"/>
      <c r="BA593" s="203"/>
      <c r="BB593" s="203"/>
      <c r="BC593" s="203"/>
      <c r="BD593" s="203"/>
      <c r="BE593" s="203"/>
      <c r="BF593" s="203"/>
      <c r="BG593" s="203"/>
      <c r="BH593" s="203"/>
      <c r="BI593" s="203"/>
      <c r="BJ593" s="203"/>
      <c r="BK593" s="203"/>
      <c r="BL593" s="203"/>
      <c r="BM593" s="203"/>
      <c r="BN593" s="203"/>
      <c r="BO593" s="203"/>
      <c r="BP593" s="203"/>
      <c r="BQ593" s="203"/>
      <c r="BR593" s="203"/>
      <c r="BS593" s="203"/>
      <c r="BT593" s="203"/>
      <c r="BU593" s="203"/>
      <c r="BV593" s="203"/>
      <c r="BW593" s="203"/>
      <c r="BX593" s="203"/>
      <c r="BY593" s="203"/>
      <c r="BZ593" s="203"/>
      <c r="CA593" s="203"/>
      <c r="CB593" s="203"/>
      <c r="CC593" s="203"/>
      <c r="CD593" s="203"/>
      <c r="CE593" s="203"/>
      <c r="CF593" s="203"/>
    </row>
    <row r="594" spans="1:84" s="228" customFormat="1" ht="11.25" customHeight="1" x14ac:dyDescent="0.25">
      <c r="A594" s="222"/>
      <c r="B594" s="223"/>
      <c r="C594" s="1378"/>
      <c r="D594" s="229" t="s">
        <v>296</v>
      </c>
      <c r="E594" s="225">
        <f t="shared" si="0"/>
        <v>605318000</v>
      </c>
      <c r="F594" s="225">
        <f t="shared" si="0"/>
        <v>0</v>
      </c>
      <c r="G594" s="225">
        <f t="shared" si="0"/>
        <v>0</v>
      </c>
      <c r="H594" s="225">
        <v>605374496.34666669</v>
      </c>
      <c r="I594" s="225">
        <v>605318000</v>
      </c>
      <c r="J594" s="225">
        <f>+J475+J468+J461+J454+J447+J440+J433+J426+J419+J412+J405+J398+J391+J384+J377+J370+J363+J356+J349+J342+J335</f>
        <v>804524633</v>
      </c>
      <c r="K594" s="225">
        <f>+[4]INVERSIÓN!AF52</f>
        <v>196390000</v>
      </c>
      <c r="L594" s="225">
        <f>+[4]INVERSIÓN!AG52</f>
        <v>247700000</v>
      </c>
      <c r="M594" s="225">
        <v>237021500</v>
      </c>
      <c r="N594" s="225">
        <f>N475+N468+N461+N454+N447+N440+N433+N426+N419+N412+N405+N398+N391+N384+N377+N370+N363+N356+N349+N342+N335</f>
        <v>732048829.99050677</v>
      </c>
      <c r="O594" s="223"/>
      <c r="P594" s="223"/>
      <c r="Q594" s="223"/>
      <c r="R594" s="223"/>
      <c r="S594" s="223"/>
      <c r="T594" s="223"/>
      <c r="U594" s="223"/>
      <c r="V594" s="223"/>
      <c r="W594" s="223"/>
      <c r="X594" s="223"/>
      <c r="Y594" s="223"/>
      <c r="Z594" s="227"/>
      <c r="AA594" s="204"/>
      <c r="AB594" s="204"/>
      <c r="AC594" s="205"/>
      <c r="AD594" s="205"/>
      <c r="AE594" s="205"/>
      <c r="AF594" s="205"/>
      <c r="AG594" s="205"/>
      <c r="AH594" s="205"/>
      <c r="AI594" s="205"/>
      <c r="AJ594" s="205"/>
      <c r="AK594" s="205"/>
      <c r="AL594" s="206"/>
      <c r="AM594" s="206"/>
      <c r="AN594" s="206"/>
      <c r="AO594" s="204"/>
      <c r="AP594" s="204"/>
      <c r="AQ594" s="204"/>
      <c r="AR594" s="204"/>
      <c r="AS594" s="204"/>
      <c r="AT594" s="204"/>
      <c r="AU594" s="204"/>
      <c r="AV594" s="203"/>
      <c r="AW594" s="203"/>
      <c r="AX594" s="203"/>
      <c r="AY594" s="203"/>
      <c r="AZ594" s="203"/>
      <c r="BA594" s="203"/>
      <c r="BB594" s="203"/>
      <c r="BC594" s="203"/>
      <c r="BD594" s="203"/>
      <c r="BE594" s="203"/>
      <c r="BF594" s="203"/>
      <c r="BG594" s="203"/>
      <c r="BH594" s="203"/>
      <c r="BI594" s="203"/>
      <c r="BJ594" s="203"/>
      <c r="BK594" s="203"/>
      <c r="BL594" s="203"/>
      <c r="BM594" s="203"/>
      <c r="BN594" s="203"/>
      <c r="BO594" s="203"/>
      <c r="BP594" s="203"/>
      <c r="BQ594" s="203"/>
      <c r="BR594" s="203"/>
      <c r="BS594" s="203"/>
      <c r="BT594" s="203"/>
      <c r="BU594" s="203"/>
      <c r="BV594" s="203"/>
      <c r="BW594" s="203"/>
      <c r="BX594" s="203"/>
      <c r="BY594" s="203"/>
      <c r="BZ594" s="203"/>
      <c r="CA594" s="203"/>
      <c r="CB594" s="203"/>
      <c r="CC594" s="203"/>
      <c r="CD594" s="203"/>
      <c r="CE594" s="203"/>
      <c r="CF594" s="203"/>
    </row>
    <row r="595" spans="1:84" s="228" customFormat="1" ht="11.25" customHeight="1" x14ac:dyDescent="0.25">
      <c r="A595" s="222"/>
      <c r="B595" s="223"/>
      <c r="C595" s="1378"/>
      <c r="D595" s="229" t="s">
        <v>299</v>
      </c>
      <c r="E595" s="225"/>
      <c r="F595" s="226"/>
      <c r="G595" s="226"/>
      <c r="H595" s="226"/>
      <c r="I595" s="226"/>
      <c r="J595" s="226"/>
      <c r="K595" s="226">
        <f>+K594-K328</f>
        <v>0</v>
      </c>
      <c r="L595" s="226">
        <f>+L594-L328</f>
        <v>0</v>
      </c>
      <c r="M595" s="226">
        <f>+M594-M328</f>
        <v>0</v>
      </c>
      <c r="N595" s="226"/>
      <c r="O595" s="223"/>
      <c r="P595" s="223"/>
      <c r="Q595" s="223"/>
      <c r="R595" s="223"/>
      <c r="S595" s="223"/>
      <c r="T595" s="223"/>
      <c r="U595" s="223"/>
      <c r="V595" s="223"/>
      <c r="W595" s="223"/>
      <c r="X595" s="223"/>
      <c r="Y595" s="223"/>
      <c r="Z595" s="227"/>
      <c r="AA595" s="204"/>
      <c r="AB595" s="204"/>
      <c r="AC595" s="205"/>
      <c r="AD595" s="205"/>
      <c r="AE595" s="205"/>
      <c r="AF595" s="205"/>
      <c r="AG595" s="205"/>
      <c r="AH595" s="205"/>
      <c r="AI595" s="205"/>
      <c r="AJ595" s="205"/>
      <c r="AK595" s="205"/>
      <c r="AL595" s="206"/>
      <c r="AM595" s="206"/>
      <c r="AN595" s="206"/>
      <c r="AO595" s="204"/>
      <c r="AP595" s="204"/>
      <c r="AQ595" s="204"/>
      <c r="AR595" s="204"/>
      <c r="AS595" s="204"/>
      <c r="AT595" s="204"/>
      <c r="AU595" s="204"/>
      <c r="AV595" s="203"/>
      <c r="AW595" s="203"/>
      <c r="AX595" s="203"/>
      <c r="AY595" s="203"/>
      <c r="AZ595" s="203"/>
      <c r="BA595" s="203"/>
      <c r="BB595" s="203"/>
      <c r="BC595" s="203"/>
      <c r="BD595" s="203"/>
      <c r="BE595" s="203"/>
      <c r="BF595" s="203"/>
      <c r="BG595" s="203"/>
      <c r="BH595" s="203"/>
      <c r="BI595" s="203"/>
      <c r="BJ595" s="203"/>
      <c r="BK595" s="203"/>
      <c r="BL595" s="203"/>
      <c r="BM595" s="203"/>
      <c r="BN595" s="203"/>
      <c r="BO595" s="203"/>
      <c r="BP595" s="203"/>
      <c r="BQ595" s="203"/>
      <c r="BR595" s="203"/>
      <c r="BS595" s="203"/>
      <c r="BT595" s="203"/>
      <c r="BU595" s="203"/>
      <c r="BV595" s="203"/>
      <c r="BW595" s="203"/>
      <c r="BX595" s="203"/>
      <c r="BY595" s="203"/>
      <c r="BZ595" s="203"/>
      <c r="CA595" s="203"/>
      <c r="CB595" s="203"/>
      <c r="CC595" s="203"/>
      <c r="CD595" s="203"/>
      <c r="CE595" s="203"/>
      <c r="CF595" s="203"/>
    </row>
    <row r="596" spans="1:84" s="228" customFormat="1" ht="11.25" customHeight="1" x14ac:dyDescent="0.25">
      <c r="A596" s="222"/>
      <c r="B596" s="223"/>
      <c r="C596" s="1378"/>
      <c r="D596" s="1379" t="s">
        <v>302</v>
      </c>
      <c r="E596" s="225">
        <v>105773637</v>
      </c>
      <c r="F596" s="226"/>
      <c r="G596" s="225">
        <v>105773637</v>
      </c>
      <c r="H596" s="226"/>
      <c r="I596" s="226">
        <v>105773637</v>
      </c>
      <c r="J596" s="226">
        <f>+J330</f>
        <v>105773637</v>
      </c>
      <c r="K596" s="226">
        <f>+[4]INVERSIÓN!AF54</f>
        <v>42892971</v>
      </c>
      <c r="L596" s="226">
        <f>+[4]INVERSIÓN!AG54</f>
        <v>59661260</v>
      </c>
      <c r="M596" s="226">
        <v>80371846</v>
      </c>
      <c r="N596" s="226">
        <v>105773637</v>
      </c>
      <c r="O596" s="310">
        <f>L598+K598</f>
        <v>3379.56</v>
      </c>
      <c r="P596" s="223"/>
      <c r="Q596" s="223"/>
      <c r="R596" s="223"/>
      <c r="S596" s="223"/>
      <c r="T596" s="223"/>
      <c r="U596" s="223"/>
      <c r="V596" s="223"/>
      <c r="W596" s="223"/>
      <c r="X596" s="223"/>
      <c r="Y596" s="223"/>
      <c r="Z596" s="227"/>
      <c r="AA596" s="204"/>
      <c r="AB596" s="204"/>
      <c r="AC596" s="205"/>
      <c r="AD596" s="205"/>
      <c r="AE596" s="205"/>
      <c r="AF596" s="205"/>
      <c r="AG596" s="205"/>
      <c r="AH596" s="205"/>
      <c r="AI596" s="205"/>
      <c r="AJ596" s="205"/>
      <c r="AK596" s="205"/>
      <c r="AL596" s="206"/>
      <c r="AM596" s="206"/>
      <c r="AN596" s="206"/>
      <c r="AO596" s="204"/>
      <c r="AP596" s="204"/>
      <c r="AQ596" s="204"/>
      <c r="AR596" s="204"/>
      <c r="AS596" s="204"/>
      <c r="AT596" s="204"/>
      <c r="AU596" s="204"/>
      <c r="AV596" s="203"/>
      <c r="AW596" s="203"/>
      <c r="AX596" s="203"/>
      <c r="AY596" s="203"/>
      <c r="AZ596" s="203"/>
      <c r="BA596" s="203"/>
      <c r="BB596" s="203"/>
      <c r="BC596" s="203"/>
      <c r="BD596" s="203"/>
      <c r="BE596" s="203"/>
      <c r="BF596" s="203"/>
      <c r="BG596" s="203"/>
      <c r="BH596" s="203"/>
      <c r="BI596" s="203"/>
      <c r="BJ596" s="203"/>
      <c r="BK596" s="203"/>
      <c r="BL596" s="203"/>
      <c r="BM596" s="203"/>
      <c r="BN596" s="203"/>
      <c r="BO596" s="203"/>
      <c r="BP596" s="203"/>
      <c r="BQ596" s="203"/>
      <c r="BR596" s="203"/>
      <c r="BS596" s="203"/>
      <c r="BT596" s="203"/>
      <c r="BU596" s="203"/>
      <c r="BV596" s="203"/>
      <c r="BW596" s="203"/>
      <c r="BX596" s="203"/>
      <c r="BY596" s="203"/>
      <c r="BZ596" s="203"/>
      <c r="CA596" s="203"/>
      <c r="CB596" s="203"/>
      <c r="CC596" s="203"/>
      <c r="CD596" s="203"/>
      <c r="CE596" s="203"/>
      <c r="CF596" s="203"/>
    </row>
    <row r="597" spans="1:84" s="228" customFormat="1" ht="11.25" customHeight="1" thickBot="1" x14ac:dyDescent="0.3">
      <c r="A597" s="222"/>
      <c r="B597" s="223"/>
      <c r="C597" s="1378"/>
      <c r="D597" s="1380"/>
      <c r="E597" s="230"/>
      <c r="F597" s="231"/>
      <c r="G597" s="231"/>
      <c r="H597" s="231"/>
      <c r="I597" s="231"/>
      <c r="J597" s="231"/>
      <c r="K597" s="231"/>
      <c r="L597" s="231"/>
      <c r="M597" s="231"/>
      <c r="N597" s="231"/>
      <c r="O597" s="223"/>
      <c r="P597" s="223"/>
      <c r="Q597" s="223"/>
      <c r="R597" s="223"/>
      <c r="S597" s="223"/>
      <c r="T597" s="223"/>
      <c r="U597" s="223"/>
      <c r="V597" s="223"/>
      <c r="W597" s="223"/>
      <c r="X597" s="223"/>
      <c r="Y597" s="223"/>
      <c r="Z597" s="227"/>
      <c r="AA597" s="204"/>
      <c r="AB597" s="204"/>
      <c r="AC597" s="205"/>
      <c r="AD597" s="205"/>
      <c r="AE597" s="205"/>
      <c r="AF597" s="205"/>
      <c r="AG597" s="205"/>
      <c r="AH597" s="205"/>
      <c r="AI597" s="205"/>
      <c r="AJ597" s="205"/>
      <c r="AK597" s="205"/>
      <c r="AL597" s="206"/>
      <c r="AM597" s="206"/>
      <c r="AN597" s="206"/>
      <c r="AO597" s="204"/>
      <c r="AP597" s="204"/>
      <c r="AQ597" s="204"/>
      <c r="AR597" s="204"/>
      <c r="AS597" s="204"/>
      <c r="AT597" s="204"/>
      <c r="AU597" s="204"/>
      <c r="AV597" s="203"/>
      <c r="AW597" s="203"/>
      <c r="AX597" s="203"/>
      <c r="AY597" s="203"/>
      <c r="AZ597" s="203"/>
      <c r="BA597" s="203"/>
      <c r="BB597" s="203"/>
      <c r="BC597" s="203"/>
      <c r="BD597" s="203"/>
      <c r="BE597" s="203"/>
      <c r="BF597" s="203"/>
      <c r="BG597" s="203"/>
      <c r="BH597" s="203"/>
      <c r="BI597" s="203"/>
      <c r="BJ597" s="203"/>
      <c r="BK597" s="203"/>
      <c r="BL597" s="203"/>
      <c r="BM597" s="203"/>
      <c r="BN597" s="203"/>
      <c r="BO597" s="203"/>
      <c r="BP597" s="203"/>
      <c r="BQ597" s="203"/>
      <c r="BR597" s="203"/>
      <c r="BS597" s="203"/>
      <c r="BT597" s="203"/>
      <c r="BU597" s="203"/>
      <c r="BV597" s="203"/>
      <c r="BW597" s="203"/>
      <c r="BX597" s="203"/>
      <c r="BY597" s="203"/>
      <c r="BZ597" s="203"/>
      <c r="CA597" s="203"/>
      <c r="CB597" s="203"/>
      <c r="CC597" s="203"/>
      <c r="CD597" s="203"/>
      <c r="CE597" s="203"/>
      <c r="CF597" s="203"/>
    </row>
    <row r="598" spans="1:84" ht="12" customHeight="1" x14ac:dyDescent="0.25">
      <c r="A598" s="1292">
        <v>8</v>
      </c>
      <c r="B598" s="1325" t="s">
        <v>121</v>
      </c>
      <c r="C598" s="1268" t="s">
        <v>436</v>
      </c>
      <c r="D598" s="194" t="s">
        <v>288</v>
      </c>
      <c r="E598" s="233">
        <f>+E612+E619+E626+E633+E640+E647+E654+E661+E668+E675+E682+E689+E696+E703+E710+E717+E724</f>
        <v>1368.22</v>
      </c>
      <c r="F598" s="233">
        <f>+F612+F619+F626+F633+F640+F647+F654+F661+F668+F675+F682+F689+F696+F703+F710+F717+F724</f>
        <v>0</v>
      </c>
      <c r="G598" s="233">
        <f>+G612+G619+G626+G633+G640+G647+G654+G661+G668+G675+G682+G689+G696+G703+G710+G717+G724</f>
        <v>0</v>
      </c>
      <c r="H598" s="233">
        <v>7000</v>
      </c>
      <c r="I598" s="233"/>
      <c r="J598" s="233">
        <f>+[2]INVERSIÓN!Q51</f>
        <v>7910.66</v>
      </c>
      <c r="K598" s="233">
        <f>+K612+K619+K626+K633+K640+K647+K654+K661+K668+K675+K682+K689+K696+K703+K710+K717+K724</f>
        <v>1368.22</v>
      </c>
      <c r="L598" s="234">
        <v>2011.34</v>
      </c>
      <c r="M598" s="309">
        <v>5265.4219999999996</v>
      </c>
      <c r="N598" s="927">
        <v>7910.66</v>
      </c>
      <c r="O598" s="1295" t="s">
        <v>290</v>
      </c>
      <c r="P598" s="1268" t="s">
        <v>86</v>
      </c>
      <c r="Q598" s="1271" t="s">
        <v>86</v>
      </c>
      <c r="R598" s="1268" t="s">
        <v>86</v>
      </c>
      <c r="S598" s="1271" t="s">
        <v>290</v>
      </c>
      <c r="T598" s="1359">
        <v>7878783</v>
      </c>
      <c r="U598" s="1360"/>
      <c r="V598" s="1361"/>
      <c r="W598" s="1271" t="s">
        <v>291</v>
      </c>
      <c r="X598" s="1271" t="s">
        <v>292</v>
      </c>
      <c r="Y598" s="1271" t="s">
        <v>293</v>
      </c>
      <c r="Z598" s="1283">
        <v>7878783</v>
      </c>
      <c r="AA598" s="204"/>
      <c r="AB598" s="204"/>
      <c r="AC598" s="205"/>
      <c r="AD598" s="205"/>
      <c r="AE598" s="205"/>
      <c r="AF598" s="205"/>
      <c r="AG598" s="205"/>
      <c r="AH598" s="205"/>
      <c r="AI598" s="205"/>
      <c r="AJ598" s="205"/>
      <c r="AK598" s="205"/>
      <c r="AL598" s="206"/>
      <c r="AM598" s="206"/>
      <c r="AN598" s="206"/>
      <c r="AO598" s="204"/>
      <c r="AP598" s="204"/>
      <c r="AQ598" s="204"/>
      <c r="AR598" s="204"/>
      <c r="AS598" s="204"/>
      <c r="AT598" s="204"/>
      <c r="AU598" s="204"/>
      <c r="AV598" s="203"/>
      <c r="AW598" s="203"/>
      <c r="AX598" s="203"/>
      <c r="AY598" s="203"/>
      <c r="AZ598" s="203"/>
      <c r="BA598" s="203"/>
      <c r="BB598" s="203"/>
      <c r="BC598" s="203"/>
      <c r="BD598" s="203"/>
      <c r="BE598" s="203"/>
      <c r="BF598" s="203"/>
      <c r="BG598" s="203"/>
      <c r="BH598" s="203"/>
      <c r="BI598" s="203"/>
      <c r="BJ598" s="203"/>
      <c r="BK598" s="203"/>
      <c r="BL598" s="203"/>
      <c r="BM598" s="203"/>
      <c r="BN598" s="203"/>
      <c r="BO598" s="203"/>
      <c r="BP598" s="203"/>
      <c r="BQ598" s="203"/>
      <c r="BR598" s="203"/>
      <c r="BS598" s="203"/>
      <c r="BT598" s="203"/>
      <c r="BU598" s="203"/>
      <c r="BV598" s="203"/>
      <c r="BW598" s="203"/>
      <c r="BX598" s="203"/>
      <c r="BY598" s="203"/>
      <c r="BZ598" s="203"/>
      <c r="CA598" s="203"/>
      <c r="CB598" s="203"/>
      <c r="CC598" s="203"/>
      <c r="CD598" s="203"/>
      <c r="CE598" s="203"/>
      <c r="CF598" s="203"/>
    </row>
    <row r="599" spans="1:84" ht="12" customHeight="1" x14ac:dyDescent="0.25">
      <c r="A599" s="1355"/>
      <c r="B599" s="1326"/>
      <c r="C599" s="1269"/>
      <c r="D599" s="904" t="s">
        <v>296</v>
      </c>
      <c r="E599" s="905" t="e">
        <f>#REF!</f>
        <v>#REF!</v>
      </c>
      <c r="F599" s="198"/>
      <c r="G599" s="198"/>
      <c r="H599" s="198">
        <v>353881000</v>
      </c>
      <c r="I599" s="198"/>
      <c r="J599" s="198">
        <f>+[2]INVERSIÓN!Q52</f>
        <v>364740267</v>
      </c>
      <c r="K599" s="215">
        <f>+[3]INVERSIÓN!AF58</f>
        <v>94926500</v>
      </c>
      <c r="L599" s="909">
        <v>293689000</v>
      </c>
      <c r="M599" s="909">
        <v>293689000</v>
      </c>
      <c r="N599" s="927">
        <v>354644867</v>
      </c>
      <c r="O599" s="1269"/>
      <c r="P599" s="1269"/>
      <c r="Q599" s="1269"/>
      <c r="R599" s="1269"/>
      <c r="S599" s="1269"/>
      <c r="T599" s="1359"/>
      <c r="U599" s="1360"/>
      <c r="V599" s="1361"/>
      <c r="W599" s="1269"/>
      <c r="X599" s="1269"/>
      <c r="Y599" s="1269"/>
      <c r="Z599" s="1284"/>
      <c r="AA599" s="195"/>
      <c r="AB599" s="195"/>
      <c r="AC599" s="196"/>
      <c r="AD599" s="196"/>
      <c r="AE599" s="196"/>
      <c r="AF599" s="196"/>
      <c r="AG599" s="196"/>
      <c r="AH599" s="196"/>
      <c r="AI599" s="196"/>
      <c r="AJ599" s="196"/>
      <c r="AK599" s="196"/>
      <c r="AL599" s="197"/>
      <c r="AM599" s="197"/>
      <c r="AN599" s="197"/>
      <c r="AO599" s="195"/>
      <c r="AP599" s="195"/>
      <c r="AQ599" s="195"/>
      <c r="AR599" s="195"/>
      <c r="AS599" s="195"/>
      <c r="AT599" s="195"/>
      <c r="AU599" s="195"/>
    </row>
    <row r="600" spans="1:84" ht="8.25" customHeight="1" x14ac:dyDescent="0.25">
      <c r="A600" s="1355"/>
      <c r="B600" s="1326"/>
      <c r="C600" s="1269"/>
      <c r="D600" s="904" t="s">
        <v>299</v>
      </c>
      <c r="E600" s="905"/>
      <c r="F600" s="198"/>
      <c r="G600" s="198"/>
      <c r="H600" s="198"/>
      <c r="I600" s="198"/>
      <c r="J600" s="905"/>
      <c r="K600" s="214"/>
      <c r="L600" s="909"/>
      <c r="M600" s="909"/>
      <c r="N600" s="909"/>
      <c r="O600" s="1269"/>
      <c r="P600" s="1269"/>
      <c r="Q600" s="1269"/>
      <c r="R600" s="1269"/>
      <c r="S600" s="1269"/>
      <c r="T600" s="1359"/>
      <c r="U600" s="1360"/>
      <c r="V600" s="1361"/>
      <c r="W600" s="1269"/>
      <c r="X600" s="1269"/>
      <c r="Y600" s="1269"/>
      <c r="Z600" s="1284"/>
      <c r="AA600" s="195"/>
      <c r="AB600" s="195"/>
      <c r="AC600" s="196"/>
      <c r="AD600" s="196"/>
      <c r="AE600" s="196"/>
      <c r="AF600" s="196"/>
      <c r="AG600" s="196"/>
      <c r="AH600" s="196"/>
      <c r="AI600" s="196"/>
      <c r="AJ600" s="196"/>
      <c r="AK600" s="196"/>
      <c r="AL600" s="197"/>
      <c r="AM600" s="197"/>
      <c r="AN600" s="197"/>
      <c r="AO600" s="195"/>
      <c r="AP600" s="195"/>
      <c r="AQ600" s="195"/>
      <c r="AR600" s="195"/>
      <c r="AS600" s="195"/>
      <c r="AT600" s="195"/>
      <c r="AU600" s="195"/>
    </row>
    <row r="601" spans="1:84" ht="13.5" customHeight="1" x14ac:dyDescent="0.25">
      <c r="A601" s="1355"/>
      <c r="B601" s="1326"/>
      <c r="C601" s="1269"/>
      <c r="D601" s="1286" t="s">
        <v>302</v>
      </c>
      <c r="E601" s="1272">
        <v>179241931</v>
      </c>
      <c r="F601" s="1272"/>
      <c r="G601" s="1272"/>
      <c r="H601" s="1272"/>
      <c r="I601" s="905"/>
      <c r="J601" s="1272">
        <f>+[2]INVERSIÓN!Q54</f>
        <v>179241931</v>
      </c>
      <c r="K601" s="1272">
        <f>+[3]INVERSIÓN!AF60</f>
        <v>65520468</v>
      </c>
      <c r="L601" s="1272">
        <v>82075853</v>
      </c>
      <c r="M601" s="1272">
        <f>+[2]INVERSIÓN!AM54</f>
        <v>179199239</v>
      </c>
      <c r="N601" s="1272">
        <v>179199239</v>
      </c>
      <c r="O601" s="1269"/>
      <c r="P601" s="1269"/>
      <c r="Q601" s="1269"/>
      <c r="R601" s="1269"/>
      <c r="S601" s="1269"/>
      <c r="T601" s="1359"/>
      <c r="U601" s="1360"/>
      <c r="V601" s="1361"/>
      <c r="W601" s="1269"/>
      <c r="X601" s="1269"/>
      <c r="Y601" s="1269"/>
      <c r="Z601" s="1284"/>
      <c r="AA601" s="195"/>
      <c r="AB601" s="195"/>
      <c r="AC601" s="196"/>
      <c r="AD601" s="196"/>
      <c r="AE601" s="196"/>
      <c r="AF601" s="196"/>
      <c r="AG601" s="196"/>
      <c r="AH601" s="196"/>
      <c r="AI601" s="196"/>
      <c r="AJ601" s="196"/>
      <c r="AK601" s="196"/>
      <c r="AL601" s="197"/>
      <c r="AM601" s="197"/>
      <c r="AN601" s="197"/>
      <c r="AO601" s="195"/>
      <c r="AP601" s="195"/>
      <c r="AQ601" s="195"/>
      <c r="AR601" s="195"/>
      <c r="AS601" s="195"/>
      <c r="AT601" s="195"/>
      <c r="AU601" s="195"/>
    </row>
    <row r="602" spans="1:84" ht="9" customHeight="1" x14ac:dyDescent="0.25">
      <c r="A602" s="1355"/>
      <c r="B602" s="1326"/>
      <c r="C602" s="1269"/>
      <c r="D602" s="1269"/>
      <c r="E602" s="1272"/>
      <c r="F602" s="1269"/>
      <c r="G602" s="1269"/>
      <c r="H602" s="1269"/>
      <c r="I602" s="903"/>
      <c r="J602" s="1269"/>
      <c r="K602" s="1269"/>
      <c r="L602" s="1269"/>
      <c r="M602" s="1269"/>
      <c r="N602" s="1269"/>
      <c r="O602" s="1269"/>
      <c r="P602" s="1269"/>
      <c r="Q602" s="1269"/>
      <c r="R602" s="1269"/>
      <c r="S602" s="1269"/>
      <c r="T602" s="1359"/>
      <c r="U602" s="1360"/>
      <c r="V602" s="1361"/>
      <c r="W602" s="1269"/>
      <c r="X602" s="1269"/>
      <c r="Y602" s="1269"/>
      <c r="Z602" s="1284"/>
      <c r="AA602" s="195"/>
      <c r="AB602" s="195"/>
      <c r="AC602" s="196"/>
      <c r="AD602" s="196"/>
      <c r="AE602" s="196"/>
      <c r="AF602" s="196"/>
      <c r="AG602" s="196"/>
      <c r="AH602" s="196"/>
      <c r="AI602" s="196"/>
      <c r="AJ602" s="196"/>
      <c r="AK602" s="196"/>
      <c r="AL602" s="197"/>
      <c r="AM602" s="197"/>
      <c r="AN602" s="197"/>
      <c r="AO602" s="195"/>
      <c r="AP602" s="195"/>
      <c r="AQ602" s="195"/>
      <c r="AR602" s="195"/>
      <c r="AS602" s="195"/>
      <c r="AT602" s="195"/>
      <c r="AU602" s="195"/>
    </row>
    <row r="603" spans="1:84" ht="11.25" customHeight="1" x14ac:dyDescent="0.25">
      <c r="A603" s="1355"/>
      <c r="B603" s="1326"/>
      <c r="C603" s="1269"/>
      <c r="D603" s="1269"/>
      <c r="E603" s="1272"/>
      <c r="F603" s="1269"/>
      <c r="G603" s="1269"/>
      <c r="H603" s="1269"/>
      <c r="I603" s="903"/>
      <c r="J603" s="1269"/>
      <c r="K603" s="1269"/>
      <c r="L603" s="1269"/>
      <c r="M603" s="1269"/>
      <c r="N603" s="1269"/>
      <c r="O603" s="1269"/>
      <c r="P603" s="1269"/>
      <c r="Q603" s="1269"/>
      <c r="R603" s="1269"/>
      <c r="S603" s="1269"/>
      <c r="T603" s="1359"/>
      <c r="U603" s="1360"/>
      <c r="V603" s="1361"/>
      <c r="W603" s="1269"/>
      <c r="X603" s="1269"/>
      <c r="Y603" s="1269"/>
      <c r="Z603" s="1284"/>
      <c r="AA603" s="195"/>
      <c r="AB603" s="195"/>
      <c r="AC603" s="196"/>
      <c r="AD603" s="196"/>
      <c r="AE603" s="196"/>
      <c r="AF603" s="196"/>
      <c r="AG603" s="196"/>
      <c r="AH603" s="196"/>
      <c r="AI603" s="196"/>
      <c r="AJ603" s="196"/>
      <c r="AK603" s="196"/>
      <c r="AL603" s="197"/>
      <c r="AM603" s="197"/>
      <c r="AN603" s="197"/>
      <c r="AO603" s="195"/>
      <c r="AP603" s="195"/>
      <c r="AQ603" s="195"/>
      <c r="AR603" s="195"/>
      <c r="AS603" s="195"/>
      <c r="AT603" s="195"/>
      <c r="AU603" s="195"/>
    </row>
    <row r="604" spans="1:84" ht="12" customHeight="1" x14ac:dyDescent="0.25">
      <c r="A604" s="1355"/>
      <c r="B604" s="1326"/>
      <c r="C604" s="1269"/>
      <c r="D604" s="1269"/>
      <c r="E604" s="1272"/>
      <c r="F604" s="1269"/>
      <c r="G604" s="1269"/>
      <c r="H604" s="1269"/>
      <c r="I604" s="903"/>
      <c r="J604" s="1269"/>
      <c r="K604" s="1269"/>
      <c r="L604" s="1269"/>
      <c r="M604" s="1269"/>
      <c r="N604" s="1269"/>
      <c r="O604" s="1269"/>
      <c r="P604" s="1269"/>
      <c r="Q604" s="1269"/>
      <c r="R604" s="1269"/>
      <c r="S604" s="1269"/>
      <c r="T604" s="1362"/>
      <c r="U604" s="1363"/>
      <c r="V604" s="1364"/>
      <c r="W604" s="1269"/>
      <c r="X604" s="1269"/>
      <c r="Y604" s="1269"/>
      <c r="Z604" s="1284"/>
      <c r="AA604" s="195"/>
      <c r="AB604" s="195"/>
      <c r="AC604" s="196"/>
      <c r="AD604" s="196"/>
      <c r="AE604" s="196"/>
      <c r="AF604" s="196"/>
      <c r="AG604" s="196"/>
      <c r="AH604" s="196"/>
      <c r="AI604" s="196"/>
      <c r="AJ604" s="196"/>
      <c r="AK604" s="196"/>
      <c r="AL604" s="197"/>
      <c r="AM604" s="197"/>
      <c r="AN604" s="197"/>
      <c r="AO604" s="195"/>
      <c r="AP604" s="195"/>
      <c r="AQ604" s="195"/>
      <c r="AR604" s="195"/>
      <c r="AS604" s="195"/>
      <c r="AT604" s="195"/>
      <c r="AU604" s="195"/>
    </row>
    <row r="605" spans="1:84" s="294" customFormat="1" ht="12" customHeight="1" x14ac:dyDescent="0.2">
      <c r="A605" s="1355"/>
      <c r="B605" s="1326"/>
      <c r="C605" s="1351" t="s">
        <v>363</v>
      </c>
      <c r="D605" s="299" t="s">
        <v>288</v>
      </c>
      <c r="E605" s="925">
        <v>5631.78</v>
      </c>
      <c r="F605" s="236"/>
      <c r="G605" s="280"/>
      <c r="H605" s="925">
        <v>4135</v>
      </c>
      <c r="I605" s="925"/>
      <c r="J605" s="925">
        <v>3554.6800000000003</v>
      </c>
      <c r="K605" s="237"/>
      <c r="L605" s="238">
        <v>1752.76</v>
      </c>
      <c r="M605" s="216">
        <v>2400.69</v>
      </c>
      <c r="N605" s="925">
        <v>3554.6800000000003</v>
      </c>
      <c r="O605" s="1342" t="s">
        <v>394</v>
      </c>
      <c r="P605" s="1351" t="s">
        <v>86</v>
      </c>
      <c r="Q605" s="1350" t="s">
        <v>86</v>
      </c>
      <c r="R605" s="1351" t="s">
        <v>86</v>
      </c>
      <c r="S605" s="1350" t="s">
        <v>290</v>
      </c>
      <c r="T605" s="1365">
        <v>7878783</v>
      </c>
      <c r="U605" s="1366"/>
      <c r="V605" s="1367"/>
      <c r="W605" s="1350" t="s">
        <v>291</v>
      </c>
      <c r="X605" s="1350" t="s">
        <v>292</v>
      </c>
      <c r="Y605" s="1350" t="s">
        <v>293</v>
      </c>
      <c r="Z605" s="1336">
        <v>7878783</v>
      </c>
      <c r="AA605" s="296"/>
      <c r="AB605" s="296"/>
      <c r="AC605" s="298"/>
      <c r="AD605" s="298"/>
      <c r="AE605" s="298"/>
      <c r="AF605" s="298"/>
      <c r="AG605" s="298"/>
      <c r="AH605" s="298"/>
      <c r="AI605" s="298"/>
      <c r="AJ605" s="298"/>
      <c r="AK605" s="298"/>
      <c r="AL605" s="297"/>
      <c r="AM605" s="297"/>
      <c r="AN605" s="297"/>
      <c r="AO605" s="296"/>
      <c r="AP605" s="296"/>
      <c r="AQ605" s="296"/>
      <c r="AR605" s="296"/>
      <c r="AS605" s="296"/>
      <c r="AT605" s="296"/>
      <c r="AU605" s="296"/>
      <c r="AV605" s="295"/>
      <c r="AW605" s="295"/>
      <c r="AX605" s="295"/>
      <c r="AY605" s="295"/>
      <c r="AZ605" s="295"/>
      <c r="BA605" s="295"/>
      <c r="BB605" s="295"/>
      <c r="BC605" s="295"/>
      <c r="BD605" s="295"/>
      <c r="BE605" s="295"/>
      <c r="BF605" s="295"/>
      <c r="BG605" s="295"/>
      <c r="BH605" s="295"/>
      <c r="BI605" s="295"/>
      <c r="BJ605" s="295"/>
      <c r="BK605" s="295"/>
      <c r="BL605" s="295"/>
      <c r="BM605" s="295"/>
      <c r="BN605" s="295"/>
      <c r="BO605" s="295"/>
      <c r="BP605" s="295"/>
      <c r="BQ605" s="295"/>
      <c r="BR605" s="295"/>
      <c r="BS605" s="295"/>
      <c r="BT605" s="295"/>
      <c r="BU605" s="295"/>
      <c r="BV605" s="295"/>
      <c r="BW605" s="295"/>
      <c r="BX605" s="295"/>
      <c r="BY605" s="295"/>
      <c r="BZ605" s="295"/>
      <c r="CA605" s="295"/>
      <c r="CB605" s="295"/>
      <c r="CC605" s="295"/>
      <c r="CD605" s="295"/>
      <c r="CE605" s="295"/>
      <c r="CF605" s="295"/>
    </row>
    <row r="606" spans="1:84" s="294" customFormat="1" ht="12" customHeight="1" x14ac:dyDescent="0.2">
      <c r="A606" s="1355"/>
      <c r="B606" s="1326"/>
      <c r="C606" s="1343"/>
      <c r="D606" s="930" t="s">
        <v>296</v>
      </c>
      <c r="E606" s="925">
        <v>0</v>
      </c>
      <c r="F606" s="280"/>
      <c r="G606" s="280"/>
      <c r="H606" s="302">
        <v>209042562.14285713</v>
      </c>
      <c r="I606" s="302"/>
      <c r="J606" s="301">
        <f>+J605*$J$599/$J$598</f>
        <v>163897188.38877666</v>
      </c>
      <c r="K606" s="239"/>
      <c r="L606" s="300">
        <v>55690734</v>
      </c>
      <c r="M606" s="300">
        <v>133903084.199139</v>
      </c>
      <c r="N606" s="301">
        <v>159360788.584968</v>
      </c>
      <c r="O606" s="1342"/>
      <c r="P606" s="1343"/>
      <c r="Q606" s="1343"/>
      <c r="R606" s="1343"/>
      <c r="S606" s="1343"/>
      <c r="T606" s="1368"/>
      <c r="U606" s="1369"/>
      <c r="V606" s="1370"/>
      <c r="W606" s="1343"/>
      <c r="X606" s="1343"/>
      <c r="Y606" s="1343"/>
      <c r="Z606" s="1337"/>
      <c r="AA606" s="296"/>
      <c r="AB606" s="296"/>
      <c r="AC606" s="298"/>
      <c r="AD606" s="298"/>
      <c r="AE606" s="298"/>
      <c r="AF606" s="298"/>
      <c r="AG606" s="298"/>
      <c r="AH606" s="298"/>
      <c r="AI606" s="298"/>
      <c r="AJ606" s="298"/>
      <c r="AK606" s="298"/>
      <c r="AL606" s="297"/>
      <c r="AM606" s="297"/>
      <c r="AN606" s="297"/>
      <c r="AO606" s="296"/>
      <c r="AP606" s="296"/>
      <c r="AQ606" s="296"/>
      <c r="AR606" s="296"/>
      <c r="AS606" s="296"/>
      <c r="AT606" s="296"/>
      <c r="AU606" s="296"/>
      <c r="AV606" s="295"/>
      <c r="AW606" s="295"/>
      <c r="AX606" s="295"/>
      <c r="AY606" s="295"/>
      <c r="AZ606" s="295"/>
      <c r="BA606" s="295"/>
      <c r="BB606" s="295"/>
      <c r="BC606" s="295"/>
      <c r="BD606" s="295"/>
      <c r="BE606" s="295"/>
      <c r="BF606" s="295"/>
      <c r="BG606" s="295"/>
      <c r="BH606" s="295"/>
      <c r="BI606" s="295"/>
      <c r="BJ606" s="295"/>
      <c r="BK606" s="295"/>
      <c r="BL606" s="295"/>
      <c r="BM606" s="295"/>
      <c r="BN606" s="295"/>
      <c r="BO606" s="295"/>
      <c r="BP606" s="295"/>
      <c r="BQ606" s="295"/>
      <c r="BR606" s="295"/>
      <c r="BS606" s="295"/>
      <c r="BT606" s="295"/>
      <c r="BU606" s="295"/>
      <c r="BV606" s="295"/>
      <c r="BW606" s="295"/>
      <c r="BX606" s="295"/>
      <c r="BY606" s="295"/>
      <c r="BZ606" s="295"/>
      <c r="CA606" s="295"/>
      <c r="CB606" s="295"/>
      <c r="CC606" s="295"/>
      <c r="CD606" s="295"/>
      <c r="CE606" s="295"/>
      <c r="CF606" s="295"/>
    </row>
    <row r="607" spans="1:84" s="294" customFormat="1" ht="11.25" customHeight="1" x14ac:dyDescent="0.2">
      <c r="A607" s="1355"/>
      <c r="B607" s="1326"/>
      <c r="C607" s="1343"/>
      <c r="D607" s="930" t="s">
        <v>299</v>
      </c>
      <c r="E607" s="925"/>
      <c r="F607" s="280"/>
      <c r="G607" s="280"/>
      <c r="H607" s="280"/>
      <c r="I607" s="280"/>
      <c r="J607" s="925"/>
      <c r="K607" s="308"/>
      <c r="L607" s="300"/>
      <c r="M607" s="300"/>
      <c r="N607" s="300"/>
      <c r="O607" s="1342"/>
      <c r="P607" s="1343"/>
      <c r="Q607" s="1343"/>
      <c r="R607" s="1343"/>
      <c r="S607" s="1343"/>
      <c r="T607" s="1368"/>
      <c r="U607" s="1369"/>
      <c r="V607" s="1370"/>
      <c r="W607" s="1343"/>
      <c r="X607" s="1343"/>
      <c r="Y607" s="1343"/>
      <c r="Z607" s="1337"/>
      <c r="AA607" s="296"/>
      <c r="AB607" s="296"/>
      <c r="AC607" s="298"/>
      <c r="AD607" s="298"/>
      <c r="AE607" s="298"/>
      <c r="AF607" s="298"/>
      <c r="AG607" s="298"/>
      <c r="AH607" s="298"/>
      <c r="AI607" s="298"/>
      <c r="AJ607" s="298"/>
      <c r="AK607" s="298"/>
      <c r="AL607" s="297"/>
      <c r="AM607" s="297"/>
      <c r="AN607" s="297"/>
      <c r="AO607" s="296"/>
      <c r="AP607" s="296"/>
      <c r="AQ607" s="296"/>
      <c r="AR607" s="296"/>
      <c r="AS607" s="296"/>
      <c r="AT607" s="296"/>
      <c r="AU607" s="296"/>
      <c r="AV607" s="295"/>
      <c r="AW607" s="295"/>
      <c r="AX607" s="295"/>
      <c r="AY607" s="295"/>
      <c r="AZ607" s="295"/>
      <c r="BA607" s="295"/>
      <c r="BB607" s="295"/>
      <c r="BC607" s="295"/>
      <c r="BD607" s="295"/>
      <c r="BE607" s="295"/>
      <c r="BF607" s="295"/>
      <c r="BG607" s="295"/>
      <c r="BH607" s="295"/>
      <c r="BI607" s="295"/>
      <c r="BJ607" s="295"/>
      <c r="BK607" s="295"/>
      <c r="BL607" s="295"/>
      <c r="BM607" s="295"/>
      <c r="BN607" s="295"/>
      <c r="BO607" s="295"/>
      <c r="BP607" s="295"/>
      <c r="BQ607" s="295"/>
      <c r="BR607" s="295"/>
      <c r="BS607" s="295"/>
      <c r="BT607" s="295"/>
      <c r="BU607" s="295"/>
      <c r="BV607" s="295"/>
      <c r="BW607" s="295"/>
      <c r="BX607" s="295"/>
      <c r="BY607" s="295"/>
      <c r="BZ607" s="295"/>
      <c r="CA607" s="295"/>
      <c r="CB607" s="295"/>
      <c r="CC607" s="295"/>
      <c r="CD607" s="295"/>
      <c r="CE607" s="295"/>
      <c r="CF607" s="295"/>
    </row>
    <row r="608" spans="1:84" s="294" customFormat="1" ht="11.25" customHeight="1" x14ac:dyDescent="0.2">
      <c r="A608" s="1355"/>
      <c r="B608" s="1326"/>
      <c r="C608" s="1343"/>
      <c r="D608" s="1352" t="s">
        <v>302</v>
      </c>
      <c r="E608" s="1342"/>
      <c r="F608" s="1342"/>
      <c r="G608" s="1342"/>
      <c r="H608" s="1342"/>
      <c r="I608" s="925"/>
      <c r="J608" s="1342"/>
      <c r="K608" s="1357"/>
      <c r="L608" s="1345"/>
      <c r="M608" s="1342"/>
      <c r="N608" s="1342"/>
      <c r="O608" s="1342"/>
      <c r="P608" s="1343"/>
      <c r="Q608" s="1343"/>
      <c r="R608" s="1343"/>
      <c r="S608" s="1343"/>
      <c r="T608" s="1368"/>
      <c r="U608" s="1369"/>
      <c r="V608" s="1370"/>
      <c r="W608" s="1343"/>
      <c r="X608" s="1343"/>
      <c r="Y608" s="1343"/>
      <c r="Z608" s="1337"/>
      <c r="AA608" s="296"/>
      <c r="AB608" s="296"/>
      <c r="AC608" s="298"/>
      <c r="AD608" s="298"/>
      <c r="AE608" s="298"/>
      <c r="AF608" s="298"/>
      <c r="AG608" s="298"/>
      <c r="AH608" s="298"/>
      <c r="AI608" s="298"/>
      <c r="AJ608" s="298"/>
      <c r="AK608" s="298"/>
      <c r="AL608" s="297"/>
      <c r="AM608" s="297"/>
      <c r="AN608" s="297"/>
      <c r="AO608" s="296"/>
      <c r="AP608" s="296"/>
      <c r="AQ608" s="296"/>
      <c r="AR608" s="296"/>
      <c r="AS608" s="296"/>
      <c r="AT608" s="296"/>
      <c r="AU608" s="296"/>
      <c r="AV608" s="295"/>
      <c r="AW608" s="295"/>
      <c r="AX608" s="295"/>
      <c r="AY608" s="295"/>
      <c r="AZ608" s="295"/>
      <c r="BA608" s="295"/>
      <c r="BB608" s="295"/>
      <c r="BC608" s="295"/>
      <c r="BD608" s="295"/>
      <c r="BE608" s="295"/>
      <c r="BF608" s="295"/>
      <c r="BG608" s="295"/>
      <c r="BH608" s="295"/>
      <c r="BI608" s="295"/>
      <c r="BJ608" s="295"/>
      <c r="BK608" s="295"/>
      <c r="BL608" s="295"/>
      <c r="BM608" s="295"/>
      <c r="BN608" s="295"/>
      <c r="BO608" s="295"/>
      <c r="BP608" s="295"/>
      <c r="BQ608" s="295"/>
      <c r="BR608" s="295"/>
      <c r="BS608" s="295"/>
      <c r="BT608" s="295"/>
      <c r="BU608" s="295"/>
      <c r="BV608" s="295"/>
      <c r="BW608" s="295"/>
      <c r="BX608" s="295"/>
      <c r="BY608" s="295"/>
      <c r="BZ608" s="295"/>
      <c r="CA608" s="295"/>
      <c r="CB608" s="295"/>
      <c r="CC608" s="295"/>
      <c r="CD608" s="295"/>
      <c r="CE608" s="295"/>
      <c r="CF608" s="295"/>
    </row>
    <row r="609" spans="1:84" s="294" customFormat="1" ht="11.25" customHeight="1" x14ac:dyDescent="0.2">
      <c r="A609" s="1355"/>
      <c r="B609" s="1326"/>
      <c r="C609" s="1343"/>
      <c r="D609" s="1343"/>
      <c r="E609" s="1343"/>
      <c r="F609" s="1343"/>
      <c r="G609" s="1343"/>
      <c r="H609" s="1343"/>
      <c r="I609" s="913"/>
      <c r="J609" s="1343"/>
      <c r="K609" s="1358"/>
      <c r="L609" s="1346"/>
      <c r="M609" s="1343"/>
      <c r="N609" s="1343"/>
      <c r="O609" s="1342"/>
      <c r="P609" s="1343"/>
      <c r="Q609" s="1343"/>
      <c r="R609" s="1343"/>
      <c r="S609" s="1343"/>
      <c r="T609" s="1368"/>
      <c r="U609" s="1369"/>
      <c r="V609" s="1370"/>
      <c r="W609" s="1343"/>
      <c r="X609" s="1343"/>
      <c r="Y609" s="1343"/>
      <c r="Z609" s="1337"/>
      <c r="AA609" s="296"/>
      <c r="AB609" s="296"/>
      <c r="AC609" s="298"/>
      <c r="AD609" s="298"/>
      <c r="AE609" s="298"/>
      <c r="AF609" s="298"/>
      <c r="AG609" s="298"/>
      <c r="AH609" s="298"/>
      <c r="AI609" s="298"/>
      <c r="AJ609" s="298"/>
      <c r="AK609" s="298"/>
      <c r="AL609" s="297"/>
      <c r="AM609" s="297"/>
      <c r="AN609" s="297"/>
      <c r="AO609" s="296"/>
      <c r="AP609" s="296"/>
      <c r="AQ609" s="296"/>
      <c r="AR609" s="296"/>
      <c r="AS609" s="296"/>
      <c r="AT609" s="296"/>
      <c r="AU609" s="296"/>
      <c r="AV609" s="295"/>
      <c r="AW609" s="295"/>
      <c r="AX609" s="295"/>
      <c r="AY609" s="295"/>
      <c r="AZ609" s="295"/>
      <c r="BA609" s="295"/>
      <c r="BB609" s="295"/>
      <c r="BC609" s="295"/>
      <c r="BD609" s="295"/>
      <c r="BE609" s="295"/>
      <c r="BF609" s="295"/>
      <c r="BG609" s="295"/>
      <c r="BH609" s="295"/>
      <c r="BI609" s="295"/>
      <c r="BJ609" s="295"/>
      <c r="BK609" s="295"/>
      <c r="BL609" s="295"/>
      <c r="BM609" s="295"/>
      <c r="BN609" s="295"/>
      <c r="BO609" s="295"/>
      <c r="BP609" s="295"/>
      <c r="BQ609" s="295"/>
      <c r="BR609" s="295"/>
      <c r="BS609" s="295"/>
      <c r="BT609" s="295"/>
      <c r="BU609" s="295"/>
      <c r="BV609" s="295"/>
      <c r="BW609" s="295"/>
      <c r="BX609" s="295"/>
      <c r="BY609" s="295"/>
      <c r="BZ609" s="295"/>
      <c r="CA609" s="295"/>
      <c r="CB609" s="295"/>
      <c r="CC609" s="295"/>
      <c r="CD609" s="295"/>
      <c r="CE609" s="295"/>
      <c r="CF609" s="295"/>
    </row>
    <row r="610" spans="1:84" s="294" customFormat="1" ht="11.25" customHeight="1" x14ac:dyDescent="0.2">
      <c r="A610" s="1355"/>
      <c r="B610" s="1326"/>
      <c r="C610" s="1343"/>
      <c r="D610" s="1343"/>
      <c r="E610" s="1343"/>
      <c r="F610" s="1343"/>
      <c r="G610" s="1343"/>
      <c r="H610" s="1343"/>
      <c r="I610" s="913"/>
      <c r="J610" s="1343"/>
      <c r="K610" s="1358"/>
      <c r="L610" s="1346"/>
      <c r="M610" s="1343"/>
      <c r="N610" s="1343"/>
      <c r="O610" s="1342"/>
      <c r="P610" s="1343"/>
      <c r="Q610" s="1343"/>
      <c r="R610" s="1343"/>
      <c r="S610" s="1343"/>
      <c r="T610" s="1368"/>
      <c r="U610" s="1369"/>
      <c r="V610" s="1370"/>
      <c r="W610" s="1343"/>
      <c r="X610" s="1343"/>
      <c r="Y610" s="1343"/>
      <c r="Z610" s="1337"/>
      <c r="AA610" s="296"/>
      <c r="AB610" s="296"/>
      <c r="AC610" s="298"/>
      <c r="AD610" s="298"/>
      <c r="AE610" s="298"/>
      <c r="AF610" s="298"/>
      <c r="AG610" s="298"/>
      <c r="AH610" s="298"/>
      <c r="AI610" s="298"/>
      <c r="AJ610" s="298"/>
      <c r="AK610" s="298"/>
      <c r="AL610" s="297"/>
      <c r="AM610" s="297"/>
      <c r="AN610" s="297"/>
      <c r="AO610" s="296"/>
      <c r="AP610" s="296"/>
      <c r="AQ610" s="296"/>
      <c r="AR610" s="296"/>
      <c r="AS610" s="296"/>
      <c r="AT610" s="296"/>
      <c r="AU610" s="296"/>
      <c r="AV610" s="295"/>
      <c r="AW610" s="295"/>
      <c r="AX610" s="295"/>
      <c r="AY610" s="295"/>
      <c r="AZ610" s="295"/>
      <c r="BA610" s="295"/>
      <c r="BB610" s="295"/>
      <c r="BC610" s="295"/>
      <c r="BD610" s="295"/>
      <c r="BE610" s="295"/>
      <c r="BF610" s="295"/>
      <c r="BG610" s="295"/>
      <c r="BH610" s="295"/>
      <c r="BI610" s="295"/>
      <c r="BJ610" s="295"/>
      <c r="BK610" s="295"/>
      <c r="BL610" s="295"/>
      <c r="BM610" s="295"/>
      <c r="BN610" s="295"/>
      <c r="BO610" s="295"/>
      <c r="BP610" s="295"/>
      <c r="BQ610" s="295"/>
      <c r="BR610" s="295"/>
      <c r="BS610" s="295"/>
      <c r="BT610" s="295"/>
      <c r="BU610" s="295"/>
      <c r="BV610" s="295"/>
      <c r="BW610" s="295"/>
      <c r="BX610" s="295"/>
      <c r="BY610" s="295"/>
      <c r="BZ610" s="295"/>
      <c r="CA610" s="295"/>
      <c r="CB610" s="295"/>
      <c r="CC610" s="295"/>
      <c r="CD610" s="295"/>
      <c r="CE610" s="295"/>
      <c r="CF610" s="295"/>
    </row>
    <row r="611" spans="1:84" s="294" customFormat="1" ht="12" customHeight="1" x14ac:dyDescent="0.2">
      <c r="A611" s="1355"/>
      <c r="B611" s="1326"/>
      <c r="C611" s="1343"/>
      <c r="D611" s="1343"/>
      <c r="E611" s="1343"/>
      <c r="F611" s="1343"/>
      <c r="G611" s="1343"/>
      <c r="H611" s="1343"/>
      <c r="I611" s="913"/>
      <c r="J611" s="1343"/>
      <c r="K611" s="1358"/>
      <c r="L611" s="1347"/>
      <c r="M611" s="1343"/>
      <c r="N611" s="1343"/>
      <c r="O611" s="1342"/>
      <c r="P611" s="1343"/>
      <c r="Q611" s="1343"/>
      <c r="R611" s="1343"/>
      <c r="S611" s="1343"/>
      <c r="T611" s="1371"/>
      <c r="U611" s="1372"/>
      <c r="V611" s="1373"/>
      <c r="W611" s="1343"/>
      <c r="X611" s="1343"/>
      <c r="Y611" s="1343"/>
      <c r="Z611" s="1337"/>
      <c r="AA611" s="296"/>
      <c r="AB611" s="296"/>
      <c r="AC611" s="298"/>
      <c r="AD611" s="298"/>
      <c r="AE611" s="298"/>
      <c r="AF611" s="298"/>
      <c r="AG611" s="298"/>
      <c r="AH611" s="298"/>
      <c r="AI611" s="298"/>
      <c r="AJ611" s="298"/>
      <c r="AK611" s="298"/>
      <c r="AL611" s="297"/>
      <c r="AM611" s="297"/>
      <c r="AN611" s="297"/>
      <c r="AO611" s="296"/>
      <c r="AP611" s="296"/>
      <c r="AQ611" s="296"/>
      <c r="AR611" s="296"/>
      <c r="AS611" s="296"/>
      <c r="AT611" s="296"/>
      <c r="AU611" s="296"/>
      <c r="AV611" s="295"/>
      <c r="AW611" s="295"/>
      <c r="AX611" s="295"/>
      <c r="AY611" s="295"/>
      <c r="AZ611" s="295"/>
      <c r="BA611" s="295"/>
      <c r="BB611" s="295"/>
      <c r="BC611" s="295"/>
      <c r="BD611" s="295"/>
      <c r="BE611" s="295"/>
      <c r="BF611" s="295"/>
      <c r="BG611" s="295"/>
      <c r="BH611" s="295"/>
      <c r="BI611" s="295"/>
      <c r="BJ611" s="295"/>
      <c r="BK611" s="295"/>
      <c r="BL611" s="295"/>
      <c r="BM611" s="295"/>
      <c r="BN611" s="295"/>
      <c r="BO611" s="295"/>
      <c r="BP611" s="295"/>
      <c r="BQ611" s="295"/>
      <c r="BR611" s="295"/>
      <c r="BS611" s="295"/>
      <c r="BT611" s="295"/>
      <c r="BU611" s="295"/>
      <c r="BV611" s="295"/>
      <c r="BW611" s="295"/>
      <c r="BX611" s="295"/>
      <c r="BY611" s="295"/>
      <c r="BZ611" s="295"/>
      <c r="CA611" s="295"/>
      <c r="CB611" s="295"/>
      <c r="CC611" s="295"/>
      <c r="CD611" s="295"/>
      <c r="CE611" s="295"/>
      <c r="CF611" s="295"/>
    </row>
    <row r="612" spans="1:84" ht="12" customHeight="1" x14ac:dyDescent="0.25">
      <c r="A612" s="1355"/>
      <c r="B612" s="1326"/>
      <c r="C612" s="1316" t="s">
        <v>363</v>
      </c>
      <c r="D612" s="199" t="s">
        <v>288</v>
      </c>
      <c r="E612" s="935">
        <v>36.92</v>
      </c>
      <c r="F612" s="198"/>
      <c r="G612" s="198"/>
      <c r="H612" s="905">
        <v>284.8</v>
      </c>
      <c r="I612" s="905"/>
      <c r="J612" s="905">
        <v>402.8</v>
      </c>
      <c r="K612" s="215">
        <f>E612</f>
        <v>36.92</v>
      </c>
      <c r="L612" s="216">
        <v>100</v>
      </c>
      <c r="M612" s="210">
        <v>284.8</v>
      </c>
      <c r="N612" s="935">
        <v>402.8</v>
      </c>
      <c r="O612" s="1272" t="s">
        <v>364</v>
      </c>
      <c r="P612" s="1316" t="s">
        <v>86</v>
      </c>
      <c r="Q612" s="1328" t="s">
        <v>86</v>
      </c>
      <c r="R612" s="1316" t="s">
        <v>86</v>
      </c>
      <c r="S612" s="1328" t="s">
        <v>290</v>
      </c>
      <c r="T612" s="1354">
        <v>419262</v>
      </c>
      <c r="U612" s="1354">
        <v>453981</v>
      </c>
      <c r="V612" s="1328" t="s">
        <v>435</v>
      </c>
      <c r="W612" s="1328" t="s">
        <v>291</v>
      </c>
      <c r="X612" s="1328" t="s">
        <v>292</v>
      </c>
      <c r="Y612" s="1328" t="s">
        <v>293</v>
      </c>
      <c r="Z612" s="1329">
        <v>7878783</v>
      </c>
      <c r="AA612" s="195"/>
      <c r="AB612" s="195"/>
      <c r="AC612" s="196"/>
      <c r="AD612" s="196"/>
      <c r="AE612" s="196"/>
      <c r="AF612" s="196"/>
      <c r="AG612" s="196"/>
      <c r="AH612" s="196"/>
      <c r="AI612" s="196"/>
      <c r="AJ612" s="196"/>
      <c r="AK612" s="196"/>
      <c r="AL612" s="197"/>
      <c r="AM612" s="197"/>
      <c r="AN612" s="197"/>
      <c r="AO612" s="195"/>
      <c r="AP612" s="195"/>
      <c r="AQ612" s="195"/>
      <c r="AR612" s="195"/>
      <c r="AS612" s="195"/>
      <c r="AT612" s="195"/>
      <c r="AU612" s="195"/>
    </row>
    <row r="613" spans="1:84" ht="11.25" customHeight="1" x14ac:dyDescent="0.25">
      <c r="A613" s="1355"/>
      <c r="B613" s="1326"/>
      <c r="C613" s="1269"/>
      <c r="D613" s="904" t="s">
        <v>296</v>
      </c>
      <c r="E613" s="905">
        <v>1866469.5028571428</v>
      </c>
      <c r="F613" s="198"/>
      <c r="G613" s="198"/>
      <c r="H613" s="302">
        <v>14397901.257142857</v>
      </c>
      <c r="I613" s="302"/>
      <c r="J613" s="301">
        <f>+J612*$J$599/$J$598</f>
        <v>18572076.103333984</v>
      </c>
      <c r="K613" s="214">
        <f>+K612*$K$599/$K$598</f>
        <v>2561493.312478987</v>
      </c>
      <c r="L613" s="300">
        <v>14684450</v>
      </c>
      <c r="M613" s="300">
        <v>15885265.6444251</v>
      </c>
      <c r="N613" s="301">
        <v>18058032.127230901</v>
      </c>
      <c r="O613" s="1269"/>
      <c r="P613" s="1269"/>
      <c r="Q613" s="1269"/>
      <c r="R613" s="1269"/>
      <c r="S613" s="1269"/>
      <c r="T613" s="1269"/>
      <c r="U613" s="1269"/>
      <c r="V613" s="1269"/>
      <c r="W613" s="1269"/>
      <c r="X613" s="1269"/>
      <c r="Y613" s="1269"/>
      <c r="Z613" s="1284"/>
      <c r="AA613" s="195"/>
      <c r="AB613" s="195"/>
      <c r="AC613" s="196"/>
      <c r="AD613" s="196"/>
      <c r="AE613" s="196"/>
      <c r="AF613" s="196"/>
      <c r="AG613" s="196"/>
      <c r="AH613" s="196"/>
      <c r="AI613" s="196"/>
      <c r="AJ613" s="196"/>
      <c r="AK613" s="196"/>
      <c r="AL613" s="197"/>
      <c r="AM613" s="197"/>
      <c r="AN613" s="197"/>
      <c r="AO613" s="195"/>
      <c r="AP613" s="195"/>
      <c r="AQ613" s="195"/>
      <c r="AR613" s="195"/>
      <c r="AS613" s="195"/>
      <c r="AT613" s="195"/>
      <c r="AU613" s="195"/>
    </row>
    <row r="614" spans="1:84" ht="11.25" customHeight="1" x14ac:dyDescent="0.25">
      <c r="A614" s="1355"/>
      <c r="B614" s="1326"/>
      <c r="C614" s="1269"/>
      <c r="D614" s="904" t="s">
        <v>299</v>
      </c>
      <c r="E614" s="905"/>
      <c r="F614" s="198"/>
      <c r="G614" s="198"/>
      <c r="H614" s="198"/>
      <c r="I614" s="198"/>
      <c r="J614" s="905"/>
      <c r="K614" s="209"/>
      <c r="L614" s="909"/>
      <c r="M614" s="909"/>
      <c r="N614" s="909"/>
      <c r="O614" s="1269"/>
      <c r="P614" s="1269"/>
      <c r="Q614" s="1269"/>
      <c r="R614" s="1269"/>
      <c r="S614" s="1269"/>
      <c r="T614" s="1269"/>
      <c r="U614" s="1269"/>
      <c r="V614" s="1269"/>
      <c r="W614" s="1269"/>
      <c r="X614" s="1269"/>
      <c r="Y614" s="1269"/>
      <c r="Z614" s="1284"/>
      <c r="AA614" s="195"/>
      <c r="AB614" s="195"/>
      <c r="AC614" s="196"/>
      <c r="AD614" s="196"/>
      <c r="AE614" s="196"/>
      <c r="AF614" s="196"/>
      <c r="AG614" s="196"/>
      <c r="AH614" s="196"/>
      <c r="AI614" s="196"/>
      <c r="AJ614" s="196"/>
      <c r="AK614" s="196"/>
      <c r="AL614" s="197"/>
      <c r="AM614" s="197"/>
      <c r="AN614" s="197"/>
      <c r="AO614" s="195"/>
      <c r="AP614" s="195"/>
      <c r="AQ614" s="195"/>
      <c r="AR614" s="195"/>
      <c r="AS614" s="195"/>
      <c r="AT614" s="195"/>
      <c r="AU614" s="195"/>
    </row>
    <row r="615" spans="1:84" ht="13.5" customHeight="1" x14ac:dyDescent="0.25">
      <c r="A615" s="1355"/>
      <c r="B615" s="1326"/>
      <c r="C615" s="1269"/>
      <c r="D615" s="1286" t="s">
        <v>302</v>
      </c>
      <c r="E615" s="1272"/>
      <c r="F615" s="1272"/>
      <c r="G615" s="1272"/>
      <c r="H615" s="1272"/>
      <c r="I615" s="905"/>
      <c r="J615" s="1272"/>
      <c r="K615" s="1272"/>
      <c r="L615" s="1297"/>
      <c r="M615" s="1272"/>
      <c r="N615" s="1272"/>
      <c r="O615" s="1269"/>
      <c r="P615" s="1269"/>
      <c r="Q615" s="1269"/>
      <c r="R615" s="1269"/>
      <c r="S615" s="1269"/>
      <c r="T615" s="1269"/>
      <c r="U615" s="1269"/>
      <c r="V615" s="1269"/>
      <c r="W615" s="1269"/>
      <c r="X615" s="1269"/>
      <c r="Y615" s="1269"/>
      <c r="Z615" s="1284"/>
      <c r="AA615" s="195"/>
      <c r="AB615" s="195"/>
      <c r="AC615" s="196"/>
      <c r="AD615" s="196"/>
      <c r="AE615" s="196"/>
      <c r="AF615" s="196"/>
      <c r="AG615" s="196"/>
      <c r="AH615" s="196"/>
      <c r="AI615" s="196"/>
      <c r="AJ615" s="196"/>
      <c r="AK615" s="196"/>
      <c r="AL615" s="197"/>
      <c r="AM615" s="197"/>
      <c r="AN615" s="197"/>
      <c r="AO615" s="195"/>
      <c r="AP615" s="195"/>
      <c r="AQ615" s="195"/>
      <c r="AR615" s="195"/>
      <c r="AS615" s="195"/>
      <c r="AT615" s="195"/>
      <c r="AU615" s="195"/>
    </row>
    <row r="616" spans="1:84" ht="9" customHeight="1" x14ac:dyDescent="0.25">
      <c r="A616" s="1355"/>
      <c r="B616" s="1326"/>
      <c r="C616" s="1269"/>
      <c r="D616" s="1269"/>
      <c r="E616" s="1272"/>
      <c r="F616" s="1269"/>
      <c r="G616" s="1269"/>
      <c r="H616" s="1269"/>
      <c r="I616" s="903"/>
      <c r="J616" s="1269"/>
      <c r="K616" s="1269"/>
      <c r="L616" s="1300"/>
      <c r="M616" s="1269"/>
      <c r="N616" s="1269"/>
      <c r="O616" s="1269"/>
      <c r="P616" s="1269"/>
      <c r="Q616" s="1269"/>
      <c r="R616" s="1269"/>
      <c r="S616" s="1269"/>
      <c r="T616" s="1269"/>
      <c r="U616" s="1269"/>
      <c r="V616" s="1269"/>
      <c r="W616" s="1269"/>
      <c r="X616" s="1269"/>
      <c r="Y616" s="1269"/>
      <c r="Z616" s="1284"/>
      <c r="AA616" s="195"/>
      <c r="AB616" s="195"/>
      <c r="AC616" s="196"/>
      <c r="AD616" s="196"/>
      <c r="AE616" s="196"/>
      <c r="AF616" s="196"/>
      <c r="AG616" s="196"/>
      <c r="AH616" s="196"/>
      <c r="AI616" s="196"/>
      <c r="AJ616" s="196"/>
      <c r="AK616" s="196"/>
      <c r="AL616" s="197"/>
      <c r="AM616" s="197"/>
      <c r="AN616" s="197"/>
      <c r="AO616" s="195"/>
      <c r="AP616" s="195"/>
      <c r="AQ616" s="195"/>
      <c r="AR616" s="195"/>
      <c r="AS616" s="195"/>
      <c r="AT616" s="195"/>
      <c r="AU616" s="195"/>
    </row>
    <row r="617" spans="1:84" ht="11.25" customHeight="1" x14ac:dyDescent="0.25">
      <c r="A617" s="1355"/>
      <c r="B617" s="1326"/>
      <c r="C617" s="1269"/>
      <c r="D617" s="1269"/>
      <c r="E617" s="1272"/>
      <c r="F617" s="1269"/>
      <c r="G617" s="1269"/>
      <c r="H617" s="1269"/>
      <c r="I617" s="903"/>
      <c r="J617" s="1269"/>
      <c r="K617" s="1269"/>
      <c r="L617" s="1300"/>
      <c r="M617" s="1269"/>
      <c r="N617" s="1269"/>
      <c r="O617" s="1269"/>
      <c r="P617" s="1269"/>
      <c r="Q617" s="1269"/>
      <c r="R617" s="1269"/>
      <c r="S617" s="1269"/>
      <c r="T617" s="1269"/>
      <c r="U617" s="1269"/>
      <c r="V617" s="1269"/>
      <c r="W617" s="1269"/>
      <c r="X617" s="1269"/>
      <c r="Y617" s="1269"/>
      <c r="Z617" s="1284"/>
      <c r="AA617" s="195"/>
      <c r="AB617" s="195"/>
      <c r="AC617" s="196"/>
      <c r="AD617" s="196"/>
      <c r="AE617" s="196"/>
      <c r="AF617" s="196"/>
      <c r="AG617" s="196"/>
      <c r="AH617" s="196"/>
      <c r="AI617" s="196"/>
      <c r="AJ617" s="196"/>
      <c r="AK617" s="196"/>
      <c r="AL617" s="197"/>
      <c r="AM617" s="197"/>
      <c r="AN617" s="197"/>
      <c r="AO617" s="195"/>
      <c r="AP617" s="195"/>
      <c r="AQ617" s="195"/>
      <c r="AR617" s="195"/>
      <c r="AS617" s="195"/>
      <c r="AT617" s="195"/>
      <c r="AU617" s="195"/>
    </row>
    <row r="618" spans="1:84" ht="12" customHeight="1" x14ac:dyDescent="0.25">
      <c r="A618" s="1355"/>
      <c r="B618" s="1326"/>
      <c r="C618" s="1269"/>
      <c r="D618" s="1269"/>
      <c r="E618" s="1272"/>
      <c r="F618" s="1269"/>
      <c r="G618" s="1269"/>
      <c r="H618" s="1269"/>
      <c r="I618" s="903"/>
      <c r="J618" s="1269"/>
      <c r="K618" s="1269"/>
      <c r="L618" s="1353"/>
      <c r="M618" s="1269"/>
      <c r="N618" s="1269"/>
      <c r="O618" s="1269"/>
      <c r="P618" s="1269"/>
      <c r="Q618" s="1269"/>
      <c r="R618" s="1269"/>
      <c r="S618" s="1269"/>
      <c r="T618" s="1269"/>
      <c r="U618" s="1269"/>
      <c r="V618" s="1269"/>
      <c r="W618" s="1269"/>
      <c r="X618" s="1269"/>
      <c r="Y618" s="1269"/>
      <c r="Z618" s="1284"/>
      <c r="AA618" s="195"/>
      <c r="AB618" s="195"/>
      <c r="AC618" s="196"/>
      <c r="AD618" s="196"/>
      <c r="AE618" s="196"/>
      <c r="AF618" s="196"/>
      <c r="AG618" s="196"/>
      <c r="AH618" s="196"/>
      <c r="AI618" s="196"/>
      <c r="AJ618" s="196"/>
      <c r="AK618" s="196"/>
      <c r="AL618" s="197"/>
      <c r="AM618" s="197"/>
      <c r="AN618" s="197"/>
      <c r="AO618" s="195"/>
      <c r="AP618" s="195"/>
      <c r="AQ618" s="195"/>
      <c r="AR618" s="195"/>
      <c r="AS618" s="195"/>
      <c r="AT618" s="195"/>
      <c r="AU618" s="195"/>
    </row>
    <row r="619" spans="1:84" ht="11.25" customHeight="1" x14ac:dyDescent="0.25">
      <c r="A619" s="1355"/>
      <c r="B619" s="1326"/>
      <c r="C619" s="1316" t="s">
        <v>363</v>
      </c>
      <c r="D619" s="199" t="s">
        <v>288</v>
      </c>
      <c r="E619" s="935">
        <v>9.92</v>
      </c>
      <c r="F619" s="198"/>
      <c r="G619" s="198"/>
      <c r="H619" s="905">
        <v>140.44</v>
      </c>
      <c r="I619" s="905"/>
      <c r="J619" s="905">
        <v>259.83</v>
      </c>
      <c r="K619" s="215">
        <f>E619</f>
        <v>9.92</v>
      </c>
      <c r="L619" s="216">
        <v>100</v>
      </c>
      <c r="M619" s="210">
        <v>140.44</v>
      </c>
      <c r="N619" s="935">
        <v>259.83</v>
      </c>
      <c r="O619" s="1272" t="s">
        <v>365</v>
      </c>
      <c r="P619" s="1316" t="s">
        <v>86</v>
      </c>
      <c r="Q619" s="1328" t="s">
        <v>86</v>
      </c>
      <c r="R619" s="1316" t="s">
        <v>86</v>
      </c>
      <c r="S619" s="1328" t="s">
        <v>290</v>
      </c>
      <c r="T619" s="1354">
        <v>595157</v>
      </c>
      <c r="U619" s="1354">
        <v>655577</v>
      </c>
      <c r="V619" s="1328" t="s">
        <v>435</v>
      </c>
      <c r="W619" s="1328" t="s">
        <v>291</v>
      </c>
      <c r="X619" s="1328" t="s">
        <v>292</v>
      </c>
      <c r="Y619" s="1328" t="s">
        <v>293</v>
      </c>
      <c r="Z619" s="1329">
        <v>7878783</v>
      </c>
      <c r="AA619" s="195"/>
      <c r="AB619" s="195"/>
      <c r="AC619" s="196"/>
      <c r="AD619" s="196"/>
      <c r="AE619" s="196"/>
      <c r="AF619" s="196"/>
      <c r="AG619" s="196"/>
      <c r="AH619" s="196"/>
      <c r="AI619" s="196"/>
      <c r="AJ619" s="196"/>
      <c r="AK619" s="196"/>
      <c r="AL619" s="197"/>
      <c r="AM619" s="197"/>
      <c r="AN619" s="197"/>
      <c r="AO619" s="195"/>
      <c r="AP619" s="195"/>
      <c r="AQ619" s="195"/>
      <c r="AR619" s="195"/>
      <c r="AS619" s="195"/>
      <c r="AT619" s="195"/>
      <c r="AU619" s="195"/>
    </row>
    <row r="620" spans="1:84" ht="11.25" customHeight="1" x14ac:dyDescent="0.25">
      <c r="A620" s="1355"/>
      <c r="B620" s="1326"/>
      <c r="C620" s="1269"/>
      <c r="D620" s="904" t="s">
        <v>296</v>
      </c>
      <c r="E620" s="905">
        <v>504608</v>
      </c>
      <c r="F620" s="198"/>
      <c r="G620" s="198"/>
      <c r="H620" s="302">
        <v>7099863.9485714287</v>
      </c>
      <c r="I620" s="302"/>
      <c r="J620" s="301">
        <f>+J619*$J$599/$J$598</f>
        <v>11980095.665167002</v>
      </c>
      <c r="K620" s="214">
        <f>+K619*$K$599/$K$598</f>
        <v>688245.22372133133</v>
      </c>
      <c r="L620" s="300">
        <v>14684450</v>
      </c>
      <c r="M620" s="300">
        <v>7833310.0670753503</v>
      </c>
      <c r="N620" s="301">
        <v>11648506.672339603</v>
      </c>
      <c r="O620" s="1269"/>
      <c r="P620" s="1269"/>
      <c r="Q620" s="1269"/>
      <c r="R620" s="1269"/>
      <c r="S620" s="1269"/>
      <c r="T620" s="1269"/>
      <c r="U620" s="1269"/>
      <c r="V620" s="1269"/>
      <c r="W620" s="1269"/>
      <c r="X620" s="1269"/>
      <c r="Y620" s="1269"/>
      <c r="Z620" s="1284"/>
      <c r="AA620" s="195"/>
      <c r="AB620" s="195"/>
      <c r="AC620" s="196"/>
      <c r="AD620" s="196"/>
      <c r="AE620" s="196"/>
      <c r="AF620" s="196"/>
      <c r="AG620" s="196"/>
      <c r="AH620" s="196"/>
      <c r="AI620" s="196"/>
      <c r="AJ620" s="196"/>
      <c r="AK620" s="196"/>
      <c r="AL620" s="197"/>
      <c r="AM620" s="197"/>
      <c r="AN620" s="197"/>
      <c r="AO620" s="195"/>
      <c r="AP620" s="195"/>
      <c r="AQ620" s="195"/>
      <c r="AR620" s="195"/>
      <c r="AS620" s="195"/>
      <c r="AT620" s="195"/>
      <c r="AU620" s="195"/>
    </row>
    <row r="621" spans="1:84" ht="8.25" customHeight="1" x14ac:dyDescent="0.25">
      <c r="A621" s="1355"/>
      <c r="B621" s="1326"/>
      <c r="C621" s="1269"/>
      <c r="D621" s="904" t="s">
        <v>299</v>
      </c>
      <c r="E621" s="209"/>
      <c r="F621" s="198"/>
      <c r="G621" s="198"/>
      <c r="H621" s="198"/>
      <c r="I621" s="198"/>
      <c r="J621" s="905"/>
      <c r="K621" s="209"/>
      <c r="L621" s="909"/>
      <c r="M621" s="909"/>
      <c r="N621" s="909"/>
      <c r="O621" s="1269"/>
      <c r="P621" s="1269"/>
      <c r="Q621" s="1269"/>
      <c r="R621" s="1269"/>
      <c r="S621" s="1269"/>
      <c r="T621" s="1269"/>
      <c r="U621" s="1269"/>
      <c r="V621" s="1269"/>
      <c r="W621" s="1269"/>
      <c r="X621" s="1269"/>
      <c r="Y621" s="1269"/>
      <c r="Z621" s="1284"/>
      <c r="AA621" s="195"/>
      <c r="AB621" s="195"/>
      <c r="AC621" s="196"/>
      <c r="AD621" s="196"/>
      <c r="AE621" s="196"/>
      <c r="AF621" s="196"/>
      <c r="AG621" s="196"/>
      <c r="AH621" s="196"/>
      <c r="AI621" s="196"/>
      <c r="AJ621" s="196"/>
      <c r="AK621" s="196"/>
      <c r="AL621" s="197"/>
      <c r="AM621" s="197"/>
      <c r="AN621" s="197"/>
      <c r="AO621" s="195"/>
      <c r="AP621" s="195"/>
      <c r="AQ621" s="195"/>
      <c r="AR621" s="195"/>
      <c r="AS621" s="195"/>
      <c r="AT621" s="195"/>
      <c r="AU621" s="195"/>
    </row>
    <row r="622" spans="1:84" ht="13.5" customHeight="1" x14ac:dyDescent="0.25">
      <c r="A622" s="1355"/>
      <c r="B622" s="1326"/>
      <c r="C622" s="1269"/>
      <c r="D622" s="1286" t="s">
        <v>302</v>
      </c>
      <c r="E622" s="1272"/>
      <c r="F622" s="1272"/>
      <c r="G622" s="1272"/>
      <c r="H622" s="1272"/>
      <c r="I622" s="905"/>
      <c r="J622" s="1272"/>
      <c r="K622" s="1272"/>
      <c r="L622" s="1297"/>
      <c r="M622" s="1272"/>
      <c r="N622" s="1272"/>
      <c r="O622" s="1269"/>
      <c r="P622" s="1269"/>
      <c r="Q622" s="1269"/>
      <c r="R622" s="1269"/>
      <c r="S622" s="1269"/>
      <c r="T622" s="1269"/>
      <c r="U622" s="1269"/>
      <c r="V622" s="1269"/>
      <c r="W622" s="1269"/>
      <c r="X622" s="1269"/>
      <c r="Y622" s="1269"/>
      <c r="Z622" s="1284"/>
      <c r="AA622" s="195"/>
      <c r="AB622" s="195"/>
      <c r="AC622" s="196"/>
      <c r="AD622" s="196"/>
      <c r="AE622" s="196"/>
      <c r="AF622" s="196"/>
      <c r="AG622" s="196"/>
      <c r="AH622" s="196"/>
      <c r="AI622" s="196"/>
      <c r="AJ622" s="196"/>
      <c r="AK622" s="196"/>
      <c r="AL622" s="197"/>
      <c r="AM622" s="197"/>
      <c r="AN622" s="197"/>
      <c r="AO622" s="195"/>
      <c r="AP622" s="195"/>
      <c r="AQ622" s="195"/>
      <c r="AR622" s="195"/>
      <c r="AS622" s="195"/>
      <c r="AT622" s="195"/>
      <c r="AU622" s="195"/>
    </row>
    <row r="623" spans="1:84" ht="9" customHeight="1" x14ac:dyDescent="0.25">
      <c r="A623" s="1355"/>
      <c r="B623" s="1326"/>
      <c r="C623" s="1269"/>
      <c r="D623" s="1269"/>
      <c r="E623" s="1272"/>
      <c r="F623" s="1269"/>
      <c r="G623" s="1269"/>
      <c r="H623" s="1269"/>
      <c r="I623" s="903"/>
      <c r="J623" s="1269"/>
      <c r="K623" s="1269"/>
      <c r="L623" s="1300"/>
      <c r="M623" s="1269"/>
      <c r="N623" s="1269"/>
      <c r="O623" s="1269"/>
      <c r="P623" s="1269"/>
      <c r="Q623" s="1269"/>
      <c r="R623" s="1269"/>
      <c r="S623" s="1269"/>
      <c r="T623" s="1269"/>
      <c r="U623" s="1269"/>
      <c r="V623" s="1269"/>
      <c r="W623" s="1269"/>
      <c r="X623" s="1269"/>
      <c r="Y623" s="1269"/>
      <c r="Z623" s="1284"/>
      <c r="AA623" s="195"/>
      <c r="AB623" s="195"/>
      <c r="AC623" s="196"/>
      <c r="AD623" s="196"/>
      <c r="AE623" s="196"/>
      <c r="AF623" s="196"/>
      <c r="AG623" s="196"/>
      <c r="AH623" s="196"/>
      <c r="AI623" s="196"/>
      <c r="AJ623" s="196"/>
      <c r="AK623" s="196"/>
      <c r="AL623" s="197"/>
      <c r="AM623" s="197"/>
      <c r="AN623" s="197"/>
      <c r="AO623" s="195"/>
      <c r="AP623" s="195"/>
      <c r="AQ623" s="195"/>
      <c r="AR623" s="195"/>
      <c r="AS623" s="195"/>
      <c r="AT623" s="195"/>
      <c r="AU623" s="195"/>
    </row>
    <row r="624" spans="1:84" ht="14.25" customHeight="1" x14ac:dyDescent="0.25">
      <c r="A624" s="1355"/>
      <c r="B624" s="1326"/>
      <c r="C624" s="1269"/>
      <c r="D624" s="1269"/>
      <c r="E624" s="1272"/>
      <c r="F624" s="1269"/>
      <c r="G624" s="1269"/>
      <c r="H624" s="1269"/>
      <c r="I624" s="903"/>
      <c r="J624" s="1269"/>
      <c r="K624" s="1269"/>
      <c r="L624" s="1300"/>
      <c r="M624" s="1269"/>
      <c r="N624" s="1269"/>
      <c r="O624" s="1269"/>
      <c r="P624" s="1269"/>
      <c r="Q624" s="1269"/>
      <c r="R624" s="1269"/>
      <c r="S624" s="1269"/>
      <c r="T624" s="1269"/>
      <c r="U624" s="1269"/>
      <c r="V624" s="1269"/>
      <c r="W624" s="1269"/>
      <c r="X624" s="1269"/>
      <c r="Y624" s="1269"/>
      <c r="Z624" s="1284"/>
      <c r="AA624" s="195"/>
      <c r="AB624" s="195"/>
      <c r="AC624" s="196"/>
      <c r="AD624" s="196"/>
      <c r="AE624" s="196"/>
      <c r="AF624" s="196"/>
      <c r="AG624" s="196"/>
      <c r="AH624" s="196"/>
      <c r="AI624" s="196"/>
      <c r="AJ624" s="196"/>
      <c r="AK624" s="196"/>
      <c r="AL624" s="197"/>
      <c r="AM624" s="197"/>
      <c r="AN624" s="197"/>
      <c r="AO624" s="195"/>
      <c r="AP624" s="195"/>
      <c r="AQ624" s="195"/>
      <c r="AR624" s="195"/>
      <c r="AS624" s="195"/>
      <c r="AT624" s="195"/>
      <c r="AU624" s="195"/>
    </row>
    <row r="625" spans="1:47" ht="14.25" customHeight="1" x14ac:dyDescent="0.25">
      <c r="A625" s="1355"/>
      <c r="B625" s="1326"/>
      <c r="C625" s="1269"/>
      <c r="D625" s="1269"/>
      <c r="E625" s="1272"/>
      <c r="F625" s="1269"/>
      <c r="G625" s="1269"/>
      <c r="H625" s="1269"/>
      <c r="I625" s="903"/>
      <c r="J625" s="1269"/>
      <c r="K625" s="1269"/>
      <c r="L625" s="1353"/>
      <c r="M625" s="1269"/>
      <c r="N625" s="1269"/>
      <c r="O625" s="1269"/>
      <c r="P625" s="1269"/>
      <c r="Q625" s="1269"/>
      <c r="R625" s="1269"/>
      <c r="S625" s="1269"/>
      <c r="T625" s="1269"/>
      <c r="U625" s="1269"/>
      <c r="V625" s="1269"/>
      <c r="W625" s="1269"/>
      <c r="X625" s="1269"/>
      <c r="Y625" s="1269"/>
      <c r="Z625" s="1284"/>
      <c r="AA625" s="195"/>
      <c r="AB625" s="195"/>
      <c r="AC625" s="196"/>
      <c r="AD625" s="196"/>
      <c r="AE625" s="196"/>
      <c r="AF625" s="196"/>
      <c r="AG625" s="196"/>
      <c r="AH625" s="196"/>
      <c r="AI625" s="196"/>
      <c r="AJ625" s="196"/>
      <c r="AK625" s="196"/>
      <c r="AL625" s="197"/>
      <c r="AM625" s="197"/>
      <c r="AN625" s="197"/>
      <c r="AO625" s="195"/>
      <c r="AP625" s="195"/>
      <c r="AQ625" s="195"/>
      <c r="AR625" s="195"/>
      <c r="AS625" s="195"/>
      <c r="AT625" s="195"/>
      <c r="AU625" s="195"/>
    </row>
    <row r="626" spans="1:47" ht="11.25" customHeight="1" x14ac:dyDescent="0.25">
      <c r="A626" s="1355"/>
      <c r="B626" s="1326"/>
      <c r="C626" s="1316" t="s">
        <v>363</v>
      </c>
      <c r="D626" s="199" t="s">
        <v>288</v>
      </c>
      <c r="E626" s="935">
        <v>198.82</v>
      </c>
      <c r="F626" s="198"/>
      <c r="G626" s="198"/>
      <c r="H626" s="905">
        <v>264.57</v>
      </c>
      <c r="I626" s="905"/>
      <c r="J626" s="905">
        <v>422.34000000000003</v>
      </c>
      <c r="K626" s="215">
        <f>E626</f>
        <v>198.82</v>
      </c>
      <c r="L626" s="216">
        <v>100</v>
      </c>
      <c r="M626" s="210">
        <v>264.57</v>
      </c>
      <c r="N626" s="935">
        <v>422.34000000000003</v>
      </c>
      <c r="O626" s="1272" t="s">
        <v>359</v>
      </c>
      <c r="P626" s="1316" t="s">
        <v>86</v>
      </c>
      <c r="Q626" s="1328" t="s">
        <v>86</v>
      </c>
      <c r="R626" s="1316" t="s">
        <v>86</v>
      </c>
      <c r="S626" s="1328" t="s">
        <v>290</v>
      </c>
      <c r="T626" s="1354">
        <v>132267</v>
      </c>
      <c r="U626" s="1354">
        <v>131616</v>
      </c>
      <c r="V626" s="1328" t="s">
        <v>435</v>
      </c>
      <c r="W626" s="1328" t="s">
        <v>291</v>
      </c>
      <c r="X626" s="1328" t="s">
        <v>292</v>
      </c>
      <c r="Y626" s="1328" t="s">
        <v>293</v>
      </c>
      <c r="Z626" s="1329">
        <v>7878783</v>
      </c>
      <c r="AA626" s="195"/>
      <c r="AB626" s="195"/>
      <c r="AC626" s="196"/>
      <c r="AD626" s="196"/>
      <c r="AE626" s="196"/>
      <c r="AF626" s="196"/>
      <c r="AG626" s="196"/>
      <c r="AH626" s="196"/>
      <c r="AI626" s="196"/>
      <c r="AJ626" s="196"/>
      <c r="AK626" s="196"/>
      <c r="AL626" s="197"/>
      <c r="AM626" s="197"/>
      <c r="AN626" s="197"/>
      <c r="AO626" s="195"/>
      <c r="AP626" s="195"/>
      <c r="AQ626" s="195"/>
      <c r="AR626" s="195"/>
      <c r="AS626" s="195"/>
      <c r="AT626" s="195"/>
      <c r="AU626" s="195"/>
    </row>
    <row r="627" spans="1:47" ht="11.25" customHeight="1" x14ac:dyDescent="0.25">
      <c r="A627" s="1355"/>
      <c r="B627" s="1326"/>
      <c r="C627" s="1269"/>
      <c r="D627" s="904" t="s">
        <v>296</v>
      </c>
      <c r="E627" s="905">
        <v>10051354</v>
      </c>
      <c r="F627" s="198"/>
      <c r="G627" s="198"/>
      <c r="H627" s="302">
        <v>13375185.167142857</v>
      </c>
      <c r="I627" s="302"/>
      <c r="J627" s="301">
        <f>+J626*$J$599/$J$598</f>
        <v>19473015.445586082</v>
      </c>
      <c r="K627" s="214">
        <f>+K626*$K$599/$K$598</f>
        <v>13794043.889140636</v>
      </c>
      <c r="L627" s="300">
        <v>14684450</v>
      </c>
      <c r="M627" s="300">
        <v>14756898.6360447</v>
      </c>
      <c r="N627" s="301">
        <v>18934034.976699799</v>
      </c>
      <c r="O627" s="1269"/>
      <c r="P627" s="1269"/>
      <c r="Q627" s="1269"/>
      <c r="R627" s="1269"/>
      <c r="S627" s="1269"/>
      <c r="T627" s="1269"/>
      <c r="U627" s="1269"/>
      <c r="V627" s="1269"/>
      <c r="W627" s="1269"/>
      <c r="X627" s="1269"/>
      <c r="Y627" s="1269"/>
      <c r="Z627" s="1284"/>
      <c r="AA627" s="195"/>
      <c r="AB627" s="195"/>
      <c r="AC627" s="196"/>
      <c r="AD627" s="196"/>
      <c r="AE627" s="196"/>
      <c r="AF627" s="196"/>
      <c r="AG627" s="196"/>
      <c r="AH627" s="196"/>
      <c r="AI627" s="196"/>
      <c r="AJ627" s="196"/>
      <c r="AK627" s="196"/>
      <c r="AL627" s="197"/>
      <c r="AM627" s="197"/>
      <c r="AN627" s="197"/>
      <c r="AO627" s="195"/>
      <c r="AP627" s="195"/>
      <c r="AQ627" s="195"/>
      <c r="AR627" s="195"/>
      <c r="AS627" s="195"/>
      <c r="AT627" s="195"/>
      <c r="AU627" s="195"/>
    </row>
    <row r="628" spans="1:47" ht="8.25" customHeight="1" x14ac:dyDescent="0.25">
      <c r="A628" s="1355"/>
      <c r="B628" s="1326"/>
      <c r="C628" s="1269"/>
      <c r="D628" s="904" t="s">
        <v>299</v>
      </c>
      <c r="E628" s="209"/>
      <c r="F628" s="198"/>
      <c r="G628" s="198"/>
      <c r="H628" s="198"/>
      <c r="I628" s="198"/>
      <c r="J628" s="905"/>
      <c r="K628" s="209"/>
      <c r="L628" s="909"/>
      <c r="M628" s="909"/>
      <c r="N628" s="909"/>
      <c r="O628" s="1269"/>
      <c r="P628" s="1269"/>
      <c r="Q628" s="1269"/>
      <c r="R628" s="1269"/>
      <c r="S628" s="1269"/>
      <c r="T628" s="1269"/>
      <c r="U628" s="1269"/>
      <c r="V628" s="1269"/>
      <c r="W628" s="1269"/>
      <c r="X628" s="1269"/>
      <c r="Y628" s="1269"/>
      <c r="Z628" s="1284"/>
      <c r="AA628" s="195"/>
      <c r="AB628" s="195"/>
      <c r="AC628" s="196"/>
      <c r="AD628" s="196"/>
      <c r="AE628" s="196"/>
      <c r="AF628" s="196"/>
      <c r="AG628" s="196"/>
      <c r="AH628" s="196"/>
      <c r="AI628" s="196"/>
      <c r="AJ628" s="196"/>
      <c r="AK628" s="196"/>
      <c r="AL628" s="197"/>
      <c r="AM628" s="197"/>
      <c r="AN628" s="197"/>
      <c r="AO628" s="195"/>
      <c r="AP628" s="195"/>
      <c r="AQ628" s="195"/>
      <c r="AR628" s="195"/>
      <c r="AS628" s="195"/>
      <c r="AT628" s="195"/>
      <c r="AU628" s="195"/>
    </row>
    <row r="629" spans="1:47" ht="13.5" customHeight="1" x14ac:dyDescent="0.25">
      <c r="A629" s="1355"/>
      <c r="B629" s="1326"/>
      <c r="C629" s="1269"/>
      <c r="D629" s="1286" t="s">
        <v>302</v>
      </c>
      <c r="E629" s="1272"/>
      <c r="F629" s="1272"/>
      <c r="G629" s="1272"/>
      <c r="H629" s="1272"/>
      <c r="I629" s="905"/>
      <c r="J629" s="1272"/>
      <c r="K629" s="1272"/>
      <c r="L629" s="1297"/>
      <c r="M629" s="1272"/>
      <c r="N629" s="1272"/>
      <c r="O629" s="1269"/>
      <c r="P629" s="1269"/>
      <c r="Q629" s="1269"/>
      <c r="R629" s="1269"/>
      <c r="S629" s="1269"/>
      <c r="T629" s="1269"/>
      <c r="U629" s="1269"/>
      <c r="V629" s="1269"/>
      <c r="W629" s="1269"/>
      <c r="X629" s="1269"/>
      <c r="Y629" s="1269"/>
      <c r="Z629" s="1284"/>
      <c r="AA629" s="195"/>
      <c r="AB629" s="195"/>
      <c r="AC629" s="196"/>
      <c r="AD629" s="196"/>
      <c r="AE629" s="196"/>
      <c r="AF629" s="196"/>
      <c r="AG629" s="196"/>
      <c r="AH629" s="196"/>
      <c r="AI629" s="196"/>
      <c r="AJ629" s="196"/>
      <c r="AK629" s="196"/>
      <c r="AL629" s="197"/>
      <c r="AM629" s="197"/>
      <c r="AN629" s="197"/>
      <c r="AO629" s="195"/>
      <c r="AP629" s="195"/>
      <c r="AQ629" s="195"/>
      <c r="AR629" s="195"/>
      <c r="AS629" s="195"/>
      <c r="AT629" s="195"/>
      <c r="AU629" s="195"/>
    </row>
    <row r="630" spans="1:47" ht="9" customHeight="1" x14ac:dyDescent="0.25">
      <c r="A630" s="1355"/>
      <c r="B630" s="1326"/>
      <c r="C630" s="1269"/>
      <c r="D630" s="1269"/>
      <c r="E630" s="1272"/>
      <c r="F630" s="1269"/>
      <c r="G630" s="1269"/>
      <c r="H630" s="1269"/>
      <c r="I630" s="903"/>
      <c r="J630" s="1269"/>
      <c r="K630" s="1269"/>
      <c r="L630" s="1300"/>
      <c r="M630" s="1269"/>
      <c r="N630" s="1269"/>
      <c r="O630" s="1269"/>
      <c r="P630" s="1269"/>
      <c r="Q630" s="1269"/>
      <c r="R630" s="1269"/>
      <c r="S630" s="1269"/>
      <c r="T630" s="1269"/>
      <c r="U630" s="1269"/>
      <c r="V630" s="1269"/>
      <c r="W630" s="1269"/>
      <c r="X630" s="1269"/>
      <c r="Y630" s="1269"/>
      <c r="Z630" s="1284"/>
      <c r="AA630" s="195"/>
      <c r="AB630" s="195"/>
      <c r="AC630" s="196"/>
      <c r="AD630" s="196"/>
      <c r="AE630" s="196"/>
      <c r="AF630" s="196"/>
      <c r="AG630" s="196"/>
      <c r="AH630" s="196"/>
      <c r="AI630" s="196"/>
      <c r="AJ630" s="196"/>
      <c r="AK630" s="196"/>
      <c r="AL630" s="197"/>
      <c r="AM630" s="197"/>
      <c r="AN630" s="197"/>
      <c r="AO630" s="195"/>
      <c r="AP630" s="195"/>
      <c r="AQ630" s="195"/>
      <c r="AR630" s="195"/>
      <c r="AS630" s="195"/>
      <c r="AT630" s="195"/>
      <c r="AU630" s="195"/>
    </row>
    <row r="631" spans="1:47" ht="11.25" customHeight="1" x14ac:dyDescent="0.25">
      <c r="A631" s="1355"/>
      <c r="B631" s="1326"/>
      <c r="C631" s="1269"/>
      <c r="D631" s="1269"/>
      <c r="E631" s="1272"/>
      <c r="F631" s="1269"/>
      <c r="G631" s="1269"/>
      <c r="H631" s="1269"/>
      <c r="I631" s="903"/>
      <c r="J631" s="1269"/>
      <c r="K631" s="1269"/>
      <c r="L631" s="1300"/>
      <c r="M631" s="1269"/>
      <c r="N631" s="1269"/>
      <c r="O631" s="1269"/>
      <c r="P631" s="1269"/>
      <c r="Q631" s="1269"/>
      <c r="R631" s="1269"/>
      <c r="S631" s="1269"/>
      <c r="T631" s="1269"/>
      <c r="U631" s="1269"/>
      <c r="V631" s="1269"/>
      <c r="W631" s="1269"/>
      <c r="X631" s="1269"/>
      <c r="Y631" s="1269"/>
      <c r="Z631" s="1284"/>
      <c r="AA631" s="195"/>
      <c r="AB631" s="195"/>
      <c r="AC631" s="196"/>
      <c r="AD631" s="196"/>
      <c r="AE631" s="196"/>
      <c r="AF631" s="196"/>
      <c r="AG631" s="196"/>
      <c r="AH631" s="196"/>
      <c r="AI631" s="196"/>
      <c r="AJ631" s="196"/>
      <c r="AK631" s="196"/>
      <c r="AL631" s="197"/>
      <c r="AM631" s="197"/>
      <c r="AN631" s="197"/>
      <c r="AO631" s="195"/>
      <c r="AP631" s="195"/>
      <c r="AQ631" s="195"/>
      <c r="AR631" s="195"/>
      <c r="AS631" s="195"/>
      <c r="AT631" s="195"/>
      <c r="AU631" s="195"/>
    </row>
    <row r="632" spans="1:47" ht="12" customHeight="1" x14ac:dyDescent="0.25">
      <c r="A632" s="1355"/>
      <c r="B632" s="1326"/>
      <c r="C632" s="1269"/>
      <c r="D632" s="1269"/>
      <c r="E632" s="1272"/>
      <c r="F632" s="1269"/>
      <c r="G632" s="1269"/>
      <c r="H632" s="1269"/>
      <c r="I632" s="903"/>
      <c r="J632" s="1269"/>
      <c r="K632" s="1269"/>
      <c r="L632" s="1353"/>
      <c r="M632" s="1269"/>
      <c r="N632" s="1269"/>
      <c r="O632" s="1269"/>
      <c r="P632" s="1269"/>
      <c r="Q632" s="1269"/>
      <c r="R632" s="1269"/>
      <c r="S632" s="1269"/>
      <c r="T632" s="1269"/>
      <c r="U632" s="1269"/>
      <c r="V632" s="1269"/>
      <c r="W632" s="1269"/>
      <c r="X632" s="1269"/>
      <c r="Y632" s="1269"/>
      <c r="Z632" s="1284"/>
      <c r="AA632" s="195"/>
      <c r="AB632" s="195"/>
      <c r="AC632" s="196"/>
      <c r="AD632" s="196"/>
      <c r="AE632" s="196"/>
      <c r="AF632" s="196"/>
      <c r="AG632" s="196"/>
      <c r="AH632" s="196"/>
      <c r="AI632" s="196"/>
      <c r="AJ632" s="196"/>
      <c r="AK632" s="196"/>
      <c r="AL632" s="197"/>
      <c r="AM632" s="197"/>
      <c r="AN632" s="197"/>
      <c r="AO632" s="195"/>
      <c r="AP632" s="195"/>
      <c r="AQ632" s="195"/>
      <c r="AR632" s="195"/>
      <c r="AS632" s="195"/>
      <c r="AT632" s="195"/>
      <c r="AU632" s="195"/>
    </row>
    <row r="633" spans="1:47" ht="11.25" customHeight="1" x14ac:dyDescent="0.25">
      <c r="A633" s="1355"/>
      <c r="B633" s="1326"/>
      <c r="C633" s="1316" t="s">
        <v>363</v>
      </c>
      <c r="D633" s="199" t="s">
        <v>288</v>
      </c>
      <c r="E633" s="210">
        <v>332.8</v>
      </c>
      <c r="F633" s="198"/>
      <c r="G633" s="198"/>
      <c r="H633" s="905">
        <v>100.22</v>
      </c>
      <c r="I633" s="905"/>
      <c r="J633" s="905">
        <v>100.22</v>
      </c>
      <c r="K633" s="215">
        <f>E633</f>
        <v>332.8</v>
      </c>
      <c r="L633" s="216">
        <v>100</v>
      </c>
      <c r="M633" s="210">
        <v>100.22</v>
      </c>
      <c r="N633" s="935">
        <v>100.22</v>
      </c>
      <c r="O633" s="1272" t="s">
        <v>366</v>
      </c>
      <c r="P633" s="1316" t="s">
        <v>86</v>
      </c>
      <c r="Q633" s="1328" t="s">
        <v>86</v>
      </c>
      <c r="R633" s="1316" t="s">
        <v>86</v>
      </c>
      <c r="S633" s="1328" t="s">
        <v>290</v>
      </c>
      <c r="T633" s="1354">
        <v>66622</v>
      </c>
      <c r="U633" s="1354">
        <v>74145</v>
      </c>
      <c r="V633" s="1328" t="s">
        <v>435</v>
      </c>
      <c r="W633" s="1328" t="s">
        <v>291</v>
      </c>
      <c r="X633" s="1328" t="s">
        <v>292</v>
      </c>
      <c r="Y633" s="1328" t="s">
        <v>293</v>
      </c>
      <c r="Z633" s="1329">
        <v>7878783</v>
      </c>
      <c r="AA633" s="195"/>
      <c r="AB633" s="195"/>
      <c r="AC633" s="196"/>
      <c r="AD633" s="196"/>
      <c r="AE633" s="196"/>
      <c r="AF633" s="196"/>
      <c r="AG633" s="196"/>
      <c r="AH633" s="196"/>
      <c r="AI633" s="196"/>
      <c r="AJ633" s="196"/>
      <c r="AK633" s="196"/>
      <c r="AL633" s="197"/>
      <c r="AM633" s="197"/>
      <c r="AN633" s="197"/>
      <c r="AO633" s="195"/>
      <c r="AP633" s="195"/>
      <c r="AQ633" s="195"/>
      <c r="AR633" s="195"/>
      <c r="AS633" s="195"/>
      <c r="AT633" s="195"/>
      <c r="AU633" s="195"/>
    </row>
    <row r="634" spans="1:47" ht="14.25" customHeight="1" x14ac:dyDescent="0.25">
      <c r="A634" s="1355"/>
      <c r="B634" s="1326"/>
      <c r="C634" s="1269"/>
      <c r="D634" s="904" t="s">
        <v>296</v>
      </c>
      <c r="E634" s="905">
        <v>16824747</v>
      </c>
      <c r="F634" s="198"/>
      <c r="G634" s="198"/>
      <c r="H634" s="302">
        <v>5066564.8314285716</v>
      </c>
      <c r="I634" s="302"/>
      <c r="J634" s="301">
        <f>+J633*$J$599/$J$598</f>
        <v>4620887.4555018162</v>
      </c>
      <c r="K634" s="214">
        <f>+K633*$K$599/$K$598</f>
        <v>23089517.182909179</v>
      </c>
      <c r="L634" s="300">
        <v>14684450</v>
      </c>
      <c r="M634" s="300">
        <v>5589962.5101273898</v>
      </c>
      <c r="N634" s="301">
        <v>4492989.0262936298</v>
      </c>
      <c r="O634" s="1269"/>
      <c r="P634" s="1269"/>
      <c r="Q634" s="1269"/>
      <c r="R634" s="1269"/>
      <c r="S634" s="1269"/>
      <c r="T634" s="1269"/>
      <c r="U634" s="1269"/>
      <c r="V634" s="1269"/>
      <c r="W634" s="1269"/>
      <c r="X634" s="1269"/>
      <c r="Y634" s="1269"/>
      <c r="Z634" s="1284"/>
      <c r="AA634" s="195"/>
      <c r="AB634" s="195"/>
      <c r="AC634" s="196"/>
      <c r="AD634" s="196"/>
      <c r="AE634" s="196"/>
      <c r="AF634" s="196"/>
      <c r="AG634" s="196"/>
      <c r="AH634" s="196"/>
      <c r="AI634" s="196"/>
      <c r="AJ634" s="196"/>
      <c r="AK634" s="196"/>
      <c r="AL634" s="197"/>
      <c r="AM634" s="197"/>
      <c r="AN634" s="197"/>
      <c r="AO634" s="195"/>
      <c r="AP634" s="195"/>
      <c r="AQ634" s="195"/>
      <c r="AR634" s="195"/>
      <c r="AS634" s="195"/>
      <c r="AT634" s="195"/>
      <c r="AU634" s="195"/>
    </row>
    <row r="635" spans="1:47" ht="8.25" customHeight="1" x14ac:dyDescent="0.25">
      <c r="A635" s="1355"/>
      <c r="B635" s="1326"/>
      <c r="C635" s="1269"/>
      <c r="D635" s="904" t="s">
        <v>299</v>
      </c>
      <c r="E635" s="209"/>
      <c r="F635" s="198"/>
      <c r="G635" s="198"/>
      <c r="H635" s="198"/>
      <c r="I635" s="198"/>
      <c r="J635" s="905"/>
      <c r="K635" s="209"/>
      <c r="L635" s="909"/>
      <c r="M635" s="909"/>
      <c r="N635" s="909"/>
      <c r="O635" s="1269"/>
      <c r="P635" s="1269"/>
      <c r="Q635" s="1269"/>
      <c r="R635" s="1269"/>
      <c r="S635" s="1269"/>
      <c r="T635" s="1269"/>
      <c r="U635" s="1269"/>
      <c r="V635" s="1269"/>
      <c r="W635" s="1269"/>
      <c r="X635" s="1269"/>
      <c r="Y635" s="1269"/>
      <c r="Z635" s="1284"/>
      <c r="AA635" s="195"/>
      <c r="AB635" s="195"/>
      <c r="AC635" s="196"/>
      <c r="AD635" s="196"/>
      <c r="AE635" s="196"/>
      <c r="AF635" s="196"/>
      <c r="AG635" s="196"/>
      <c r="AH635" s="196"/>
      <c r="AI635" s="196"/>
      <c r="AJ635" s="196"/>
      <c r="AK635" s="196"/>
      <c r="AL635" s="197"/>
      <c r="AM635" s="197"/>
      <c r="AN635" s="197"/>
      <c r="AO635" s="195"/>
      <c r="AP635" s="195"/>
      <c r="AQ635" s="195"/>
      <c r="AR635" s="195"/>
      <c r="AS635" s="195"/>
      <c r="AT635" s="195"/>
      <c r="AU635" s="195"/>
    </row>
    <row r="636" spans="1:47" ht="13.5" customHeight="1" x14ac:dyDescent="0.25">
      <c r="A636" s="1355"/>
      <c r="B636" s="1326"/>
      <c r="C636" s="1269"/>
      <c r="D636" s="1286" t="s">
        <v>302</v>
      </c>
      <c r="E636" s="1272"/>
      <c r="F636" s="1272"/>
      <c r="G636" s="1272"/>
      <c r="H636" s="1272"/>
      <c r="I636" s="905"/>
      <c r="J636" s="1272"/>
      <c r="K636" s="1272"/>
      <c r="L636" s="1297"/>
      <c r="M636" s="1272"/>
      <c r="N636" s="1272"/>
      <c r="O636" s="1269"/>
      <c r="P636" s="1269"/>
      <c r="Q636" s="1269"/>
      <c r="R636" s="1269"/>
      <c r="S636" s="1269"/>
      <c r="T636" s="1269"/>
      <c r="U636" s="1269"/>
      <c r="V636" s="1269"/>
      <c r="W636" s="1269"/>
      <c r="X636" s="1269"/>
      <c r="Y636" s="1269"/>
      <c r="Z636" s="1284"/>
      <c r="AA636" s="195"/>
      <c r="AB636" s="195"/>
      <c r="AC636" s="196"/>
      <c r="AD636" s="196"/>
      <c r="AE636" s="196"/>
      <c r="AF636" s="196"/>
      <c r="AG636" s="196"/>
      <c r="AH636" s="196"/>
      <c r="AI636" s="196"/>
      <c r="AJ636" s="196"/>
      <c r="AK636" s="196"/>
      <c r="AL636" s="197"/>
      <c r="AM636" s="197"/>
      <c r="AN636" s="197"/>
      <c r="AO636" s="195"/>
      <c r="AP636" s="195"/>
      <c r="AQ636" s="195"/>
      <c r="AR636" s="195"/>
      <c r="AS636" s="195"/>
      <c r="AT636" s="195"/>
      <c r="AU636" s="195"/>
    </row>
    <row r="637" spans="1:47" ht="9" customHeight="1" x14ac:dyDescent="0.25">
      <c r="A637" s="1355"/>
      <c r="B637" s="1326"/>
      <c r="C637" s="1269"/>
      <c r="D637" s="1269"/>
      <c r="E637" s="1272"/>
      <c r="F637" s="1269"/>
      <c r="G637" s="1269"/>
      <c r="H637" s="1269"/>
      <c r="I637" s="903"/>
      <c r="J637" s="1269"/>
      <c r="K637" s="1269"/>
      <c r="L637" s="1300"/>
      <c r="M637" s="1269"/>
      <c r="N637" s="1269"/>
      <c r="O637" s="1269"/>
      <c r="P637" s="1269"/>
      <c r="Q637" s="1269"/>
      <c r="R637" s="1269"/>
      <c r="S637" s="1269"/>
      <c r="T637" s="1269"/>
      <c r="U637" s="1269"/>
      <c r="V637" s="1269"/>
      <c r="W637" s="1269"/>
      <c r="X637" s="1269"/>
      <c r="Y637" s="1269"/>
      <c r="Z637" s="1284"/>
      <c r="AA637" s="195"/>
      <c r="AB637" s="195"/>
      <c r="AC637" s="196"/>
      <c r="AD637" s="196"/>
      <c r="AE637" s="196"/>
      <c r="AF637" s="196"/>
      <c r="AG637" s="196"/>
      <c r="AH637" s="196"/>
      <c r="AI637" s="196"/>
      <c r="AJ637" s="196"/>
      <c r="AK637" s="196"/>
      <c r="AL637" s="197"/>
      <c r="AM637" s="197"/>
      <c r="AN637" s="197"/>
      <c r="AO637" s="195"/>
      <c r="AP637" s="195"/>
      <c r="AQ637" s="195"/>
      <c r="AR637" s="195"/>
      <c r="AS637" s="195"/>
      <c r="AT637" s="195"/>
      <c r="AU637" s="195"/>
    </row>
    <row r="638" spans="1:47" ht="11.25" customHeight="1" x14ac:dyDescent="0.25">
      <c r="A638" s="1355"/>
      <c r="B638" s="1326"/>
      <c r="C638" s="1269"/>
      <c r="D638" s="1269"/>
      <c r="E638" s="1272"/>
      <c r="F638" s="1269"/>
      <c r="G638" s="1269"/>
      <c r="H638" s="1269"/>
      <c r="I638" s="903"/>
      <c r="J638" s="1269"/>
      <c r="K638" s="1269"/>
      <c r="L638" s="1300"/>
      <c r="M638" s="1269"/>
      <c r="N638" s="1269"/>
      <c r="O638" s="1269"/>
      <c r="P638" s="1269"/>
      <c r="Q638" s="1269"/>
      <c r="R638" s="1269"/>
      <c r="S638" s="1269"/>
      <c r="T638" s="1269"/>
      <c r="U638" s="1269"/>
      <c r="V638" s="1269"/>
      <c r="W638" s="1269"/>
      <c r="X638" s="1269"/>
      <c r="Y638" s="1269"/>
      <c r="Z638" s="1284"/>
      <c r="AA638" s="195"/>
      <c r="AB638" s="195"/>
      <c r="AC638" s="196"/>
      <c r="AD638" s="196"/>
      <c r="AE638" s="196"/>
      <c r="AF638" s="196"/>
      <c r="AG638" s="196"/>
      <c r="AH638" s="196"/>
      <c r="AI638" s="196"/>
      <c r="AJ638" s="196"/>
      <c r="AK638" s="196"/>
      <c r="AL638" s="197"/>
      <c r="AM638" s="197"/>
      <c r="AN638" s="197"/>
      <c r="AO638" s="195"/>
      <c r="AP638" s="195"/>
      <c r="AQ638" s="195"/>
      <c r="AR638" s="195"/>
      <c r="AS638" s="195"/>
      <c r="AT638" s="195"/>
      <c r="AU638" s="195"/>
    </row>
    <row r="639" spans="1:47" ht="12" customHeight="1" x14ac:dyDescent="0.25">
      <c r="A639" s="1355"/>
      <c r="B639" s="1326"/>
      <c r="C639" s="1269"/>
      <c r="D639" s="1269"/>
      <c r="E639" s="1272"/>
      <c r="F639" s="1269"/>
      <c r="G639" s="1269"/>
      <c r="H639" s="1269"/>
      <c r="I639" s="903"/>
      <c r="J639" s="1269"/>
      <c r="K639" s="1269"/>
      <c r="L639" s="1353"/>
      <c r="M639" s="1269"/>
      <c r="N639" s="1269"/>
      <c r="O639" s="1269"/>
      <c r="P639" s="1269"/>
      <c r="Q639" s="1269"/>
      <c r="R639" s="1269"/>
      <c r="S639" s="1269"/>
      <c r="T639" s="1269"/>
      <c r="U639" s="1269"/>
      <c r="V639" s="1269"/>
      <c r="W639" s="1269"/>
      <c r="X639" s="1269"/>
      <c r="Y639" s="1269"/>
      <c r="Z639" s="1284"/>
      <c r="AA639" s="195"/>
      <c r="AB639" s="195"/>
      <c r="AC639" s="196"/>
      <c r="AD639" s="196"/>
      <c r="AE639" s="196"/>
      <c r="AF639" s="196"/>
      <c r="AG639" s="196"/>
      <c r="AH639" s="196"/>
      <c r="AI639" s="196"/>
      <c r="AJ639" s="196"/>
      <c r="AK639" s="196"/>
      <c r="AL639" s="197"/>
      <c r="AM639" s="197"/>
      <c r="AN639" s="197"/>
      <c r="AO639" s="195"/>
      <c r="AP639" s="195"/>
      <c r="AQ639" s="195"/>
      <c r="AR639" s="195"/>
      <c r="AS639" s="195"/>
      <c r="AT639" s="195"/>
      <c r="AU639" s="195"/>
    </row>
    <row r="640" spans="1:47" ht="11.25" customHeight="1" x14ac:dyDescent="0.25">
      <c r="A640" s="1355"/>
      <c r="B640" s="1326"/>
      <c r="C640" s="1316" t="s">
        <v>363</v>
      </c>
      <c r="D640" s="199" t="s">
        <v>288</v>
      </c>
      <c r="E640" s="210">
        <v>36.76</v>
      </c>
      <c r="F640" s="198"/>
      <c r="G640" s="198"/>
      <c r="H640" s="905">
        <v>104.91</v>
      </c>
      <c r="I640" s="905"/>
      <c r="J640" s="905">
        <v>116.28999999999999</v>
      </c>
      <c r="K640" s="215">
        <f>E640</f>
        <v>36.76</v>
      </c>
      <c r="L640" s="216">
        <v>100</v>
      </c>
      <c r="M640" s="210">
        <v>104.91</v>
      </c>
      <c r="N640" s="935">
        <v>116.28999999999999</v>
      </c>
      <c r="O640" s="1272" t="s">
        <v>367</v>
      </c>
      <c r="P640" s="1316" t="s">
        <v>86</v>
      </c>
      <c r="Q640" s="1328" t="s">
        <v>86</v>
      </c>
      <c r="R640" s="1316" t="s">
        <v>86</v>
      </c>
      <c r="S640" s="1328" t="s">
        <v>290</v>
      </c>
      <c r="T640" s="1354">
        <v>47587</v>
      </c>
      <c r="U640" s="1354">
        <v>46543</v>
      </c>
      <c r="V640" s="1328"/>
      <c r="W640" s="1328" t="s">
        <v>291</v>
      </c>
      <c r="X640" s="1328" t="s">
        <v>292</v>
      </c>
      <c r="Y640" s="1328" t="s">
        <v>293</v>
      </c>
      <c r="Z640" s="1329">
        <v>7878783</v>
      </c>
      <c r="AA640" s="195"/>
      <c r="AB640" s="195"/>
      <c r="AC640" s="196"/>
      <c r="AD640" s="196"/>
      <c r="AE640" s="196"/>
      <c r="AF640" s="196"/>
      <c r="AG640" s="196"/>
      <c r="AH640" s="196"/>
      <c r="AI640" s="196"/>
      <c r="AJ640" s="196"/>
      <c r="AK640" s="196"/>
      <c r="AL640" s="197"/>
      <c r="AM640" s="197"/>
      <c r="AN640" s="197"/>
      <c r="AO640" s="195"/>
      <c r="AP640" s="195"/>
      <c r="AQ640" s="195"/>
      <c r="AR640" s="195"/>
      <c r="AS640" s="195"/>
      <c r="AT640" s="195"/>
      <c r="AU640" s="195"/>
    </row>
    <row r="641" spans="1:47" ht="14.25" customHeight="1" x14ac:dyDescent="0.25">
      <c r="A641" s="1355"/>
      <c r="B641" s="1326"/>
      <c r="C641" s="1269"/>
      <c r="D641" s="904" t="s">
        <v>296</v>
      </c>
      <c r="E641" s="905">
        <v>1858192</v>
      </c>
      <c r="F641" s="198"/>
      <c r="G641" s="198"/>
      <c r="H641" s="302">
        <v>5303665.1014285712</v>
      </c>
      <c r="I641" s="302"/>
      <c r="J641" s="301">
        <f>+J640*$J$599/$J$598</f>
        <v>5361833.987231154</v>
      </c>
      <c r="K641" s="214">
        <f>+K640*$K$599/$K$598</f>
        <v>2550392.5830641272</v>
      </c>
      <c r="L641" s="300">
        <v>14684450</v>
      </c>
      <c r="M641" s="300">
        <v>5851556.2456342503</v>
      </c>
      <c r="N641" s="301">
        <v>5213427.3984003868</v>
      </c>
      <c r="O641" s="1269"/>
      <c r="P641" s="1269"/>
      <c r="Q641" s="1269"/>
      <c r="R641" s="1269"/>
      <c r="S641" s="1269"/>
      <c r="T641" s="1269"/>
      <c r="U641" s="1269"/>
      <c r="V641" s="1269"/>
      <c r="W641" s="1269"/>
      <c r="X641" s="1269"/>
      <c r="Y641" s="1269"/>
      <c r="Z641" s="1284"/>
      <c r="AA641" s="195"/>
      <c r="AB641" s="195"/>
      <c r="AC641" s="196"/>
      <c r="AD641" s="196"/>
      <c r="AE641" s="196"/>
      <c r="AF641" s="196"/>
      <c r="AG641" s="196"/>
      <c r="AH641" s="196"/>
      <c r="AI641" s="196"/>
      <c r="AJ641" s="196"/>
      <c r="AK641" s="196"/>
      <c r="AL641" s="197"/>
      <c r="AM641" s="197"/>
      <c r="AN641" s="197"/>
      <c r="AO641" s="195"/>
      <c r="AP641" s="195"/>
      <c r="AQ641" s="195"/>
      <c r="AR641" s="195"/>
      <c r="AS641" s="195"/>
      <c r="AT641" s="195"/>
      <c r="AU641" s="195"/>
    </row>
    <row r="642" spans="1:47" ht="8.25" customHeight="1" x14ac:dyDescent="0.25">
      <c r="A642" s="1355"/>
      <c r="B642" s="1326"/>
      <c r="C642" s="1269"/>
      <c r="D642" s="904" t="s">
        <v>299</v>
      </c>
      <c r="E642" s="209"/>
      <c r="F642" s="198"/>
      <c r="G642" s="198"/>
      <c r="H642" s="198"/>
      <c r="I642" s="198"/>
      <c r="J642" s="905"/>
      <c r="K642" s="209"/>
      <c r="L642" s="909"/>
      <c r="M642" s="909"/>
      <c r="N642" s="909"/>
      <c r="O642" s="1269"/>
      <c r="P642" s="1269"/>
      <c r="Q642" s="1269"/>
      <c r="R642" s="1269"/>
      <c r="S642" s="1269"/>
      <c r="T642" s="1269"/>
      <c r="U642" s="1269"/>
      <c r="V642" s="1269"/>
      <c r="W642" s="1269"/>
      <c r="X642" s="1269"/>
      <c r="Y642" s="1269"/>
      <c r="Z642" s="1284"/>
      <c r="AA642" s="195"/>
      <c r="AB642" s="195"/>
      <c r="AC642" s="196"/>
      <c r="AD642" s="196"/>
      <c r="AE642" s="196"/>
      <c r="AF642" s="196"/>
      <c r="AG642" s="196"/>
      <c r="AH642" s="196"/>
      <c r="AI642" s="196"/>
      <c r="AJ642" s="196"/>
      <c r="AK642" s="196"/>
      <c r="AL642" s="197"/>
      <c r="AM642" s="197"/>
      <c r="AN642" s="197"/>
      <c r="AO642" s="195"/>
      <c r="AP642" s="195"/>
      <c r="AQ642" s="195"/>
      <c r="AR642" s="195"/>
      <c r="AS642" s="195"/>
      <c r="AT642" s="195"/>
      <c r="AU642" s="195"/>
    </row>
    <row r="643" spans="1:47" ht="13.5" customHeight="1" x14ac:dyDescent="0.25">
      <c r="A643" s="1355"/>
      <c r="B643" s="1326"/>
      <c r="C643" s="1269"/>
      <c r="D643" s="1286" t="s">
        <v>302</v>
      </c>
      <c r="E643" s="1272"/>
      <c r="F643" s="1272"/>
      <c r="G643" s="1272"/>
      <c r="H643" s="1272"/>
      <c r="I643" s="905"/>
      <c r="J643" s="1272"/>
      <c r="K643" s="1272"/>
      <c r="L643" s="1297"/>
      <c r="M643" s="1272"/>
      <c r="N643" s="1272"/>
      <c r="O643" s="1269"/>
      <c r="P643" s="1269"/>
      <c r="Q643" s="1269"/>
      <c r="R643" s="1269"/>
      <c r="S643" s="1269"/>
      <c r="T643" s="1269"/>
      <c r="U643" s="1269"/>
      <c r="V643" s="1269"/>
      <c r="W643" s="1269"/>
      <c r="X643" s="1269"/>
      <c r="Y643" s="1269"/>
      <c r="Z643" s="1284"/>
      <c r="AA643" s="195"/>
      <c r="AB643" s="195"/>
      <c r="AC643" s="196"/>
      <c r="AD643" s="196"/>
      <c r="AE643" s="196"/>
      <c r="AF643" s="196"/>
      <c r="AG643" s="196"/>
      <c r="AH643" s="196"/>
      <c r="AI643" s="196"/>
      <c r="AJ643" s="196"/>
      <c r="AK643" s="196"/>
      <c r="AL643" s="197"/>
      <c r="AM643" s="197"/>
      <c r="AN643" s="197"/>
      <c r="AO643" s="195"/>
      <c r="AP643" s="195"/>
      <c r="AQ643" s="195"/>
      <c r="AR643" s="195"/>
      <c r="AS643" s="195"/>
      <c r="AT643" s="195"/>
      <c r="AU643" s="195"/>
    </row>
    <row r="644" spans="1:47" ht="9" customHeight="1" x14ac:dyDescent="0.25">
      <c r="A644" s="1355"/>
      <c r="B644" s="1326"/>
      <c r="C644" s="1269"/>
      <c r="D644" s="1269"/>
      <c r="E644" s="1272"/>
      <c r="F644" s="1269"/>
      <c r="G644" s="1269"/>
      <c r="H644" s="1269"/>
      <c r="I644" s="903"/>
      <c r="J644" s="1269"/>
      <c r="K644" s="1269"/>
      <c r="L644" s="1300"/>
      <c r="M644" s="1269"/>
      <c r="N644" s="1269"/>
      <c r="O644" s="1269"/>
      <c r="P644" s="1269"/>
      <c r="Q644" s="1269"/>
      <c r="R644" s="1269"/>
      <c r="S644" s="1269"/>
      <c r="T644" s="1269"/>
      <c r="U644" s="1269"/>
      <c r="V644" s="1269"/>
      <c r="W644" s="1269"/>
      <c r="X644" s="1269"/>
      <c r="Y644" s="1269"/>
      <c r="Z644" s="1284"/>
      <c r="AA644" s="195"/>
      <c r="AB644" s="195"/>
      <c r="AC644" s="196"/>
      <c r="AD644" s="196"/>
      <c r="AE644" s="196"/>
      <c r="AF644" s="196"/>
      <c r="AG644" s="196"/>
      <c r="AH644" s="196"/>
      <c r="AI644" s="196"/>
      <c r="AJ644" s="196"/>
      <c r="AK644" s="196"/>
      <c r="AL644" s="197"/>
      <c r="AM644" s="197"/>
      <c r="AN644" s="197"/>
      <c r="AO644" s="195"/>
      <c r="AP644" s="195"/>
      <c r="AQ644" s="195"/>
      <c r="AR644" s="195"/>
      <c r="AS644" s="195"/>
      <c r="AT644" s="195"/>
      <c r="AU644" s="195"/>
    </row>
    <row r="645" spans="1:47" ht="11.25" customHeight="1" x14ac:dyDescent="0.25">
      <c r="A645" s="1355"/>
      <c r="B645" s="1326"/>
      <c r="C645" s="1269"/>
      <c r="D645" s="1269"/>
      <c r="E645" s="1272"/>
      <c r="F645" s="1269"/>
      <c r="G645" s="1269"/>
      <c r="H645" s="1269"/>
      <c r="I645" s="903"/>
      <c r="J645" s="1269"/>
      <c r="K645" s="1269"/>
      <c r="L645" s="1300"/>
      <c r="M645" s="1269"/>
      <c r="N645" s="1269"/>
      <c r="O645" s="1269"/>
      <c r="P645" s="1269"/>
      <c r="Q645" s="1269"/>
      <c r="R645" s="1269"/>
      <c r="S645" s="1269"/>
      <c r="T645" s="1269"/>
      <c r="U645" s="1269"/>
      <c r="V645" s="1269"/>
      <c r="W645" s="1269"/>
      <c r="X645" s="1269"/>
      <c r="Y645" s="1269"/>
      <c r="Z645" s="1284"/>
      <c r="AA645" s="195"/>
      <c r="AB645" s="195"/>
      <c r="AC645" s="196"/>
      <c r="AD645" s="196"/>
      <c r="AE645" s="196"/>
      <c r="AF645" s="196"/>
      <c r="AG645" s="196"/>
      <c r="AH645" s="196"/>
      <c r="AI645" s="196"/>
      <c r="AJ645" s="196"/>
      <c r="AK645" s="196"/>
      <c r="AL645" s="197"/>
      <c r="AM645" s="197"/>
      <c r="AN645" s="197"/>
      <c r="AO645" s="195"/>
      <c r="AP645" s="195"/>
      <c r="AQ645" s="195"/>
      <c r="AR645" s="195"/>
      <c r="AS645" s="195"/>
      <c r="AT645" s="195"/>
      <c r="AU645" s="195"/>
    </row>
    <row r="646" spans="1:47" ht="12" customHeight="1" x14ac:dyDescent="0.25">
      <c r="A646" s="1355"/>
      <c r="B646" s="1326"/>
      <c r="C646" s="1269"/>
      <c r="D646" s="1269"/>
      <c r="E646" s="1272"/>
      <c r="F646" s="1269"/>
      <c r="G646" s="1269"/>
      <c r="H646" s="1269"/>
      <c r="I646" s="903"/>
      <c r="J646" s="1269"/>
      <c r="K646" s="1269"/>
      <c r="L646" s="1353"/>
      <c r="M646" s="1269"/>
      <c r="N646" s="1269"/>
      <c r="O646" s="1269"/>
      <c r="P646" s="1269"/>
      <c r="Q646" s="1269"/>
      <c r="R646" s="1269"/>
      <c r="S646" s="1269"/>
      <c r="T646" s="1269"/>
      <c r="U646" s="1269"/>
      <c r="V646" s="1269"/>
      <c r="W646" s="1269"/>
      <c r="X646" s="1269"/>
      <c r="Y646" s="1269"/>
      <c r="Z646" s="1284"/>
      <c r="AA646" s="195"/>
      <c r="AB646" s="195"/>
      <c r="AC646" s="196"/>
      <c r="AD646" s="196"/>
      <c r="AE646" s="196"/>
      <c r="AF646" s="196"/>
      <c r="AG646" s="196"/>
      <c r="AH646" s="196"/>
      <c r="AI646" s="196"/>
      <c r="AJ646" s="196"/>
      <c r="AK646" s="196"/>
      <c r="AL646" s="197"/>
      <c r="AM646" s="197"/>
      <c r="AN646" s="197"/>
      <c r="AO646" s="195"/>
      <c r="AP646" s="195"/>
      <c r="AQ646" s="195"/>
      <c r="AR646" s="195"/>
      <c r="AS646" s="195"/>
      <c r="AT646" s="195"/>
      <c r="AU646" s="195"/>
    </row>
    <row r="647" spans="1:47" ht="14.25" customHeight="1" x14ac:dyDescent="0.25">
      <c r="A647" s="1355"/>
      <c r="B647" s="1326"/>
      <c r="C647" s="1316" t="s">
        <v>363</v>
      </c>
      <c r="D647" s="199" t="s">
        <v>288</v>
      </c>
      <c r="E647" s="210">
        <v>25.46</v>
      </c>
      <c r="F647" s="198"/>
      <c r="G647" s="198"/>
      <c r="H647" s="905">
        <v>132.94999999999999</v>
      </c>
      <c r="I647" s="905"/>
      <c r="J647" s="905">
        <v>390.87</v>
      </c>
      <c r="K647" s="215">
        <f>E647</f>
        <v>25.46</v>
      </c>
      <c r="L647" s="216">
        <v>100</v>
      </c>
      <c r="M647" s="210">
        <v>132.94999999999999</v>
      </c>
      <c r="N647" s="935">
        <v>390.87</v>
      </c>
      <c r="O647" s="1272" t="s">
        <v>360</v>
      </c>
      <c r="P647" s="1316" t="s">
        <v>86</v>
      </c>
      <c r="Q647" s="1328" t="s">
        <v>86</v>
      </c>
      <c r="R647" s="1316" t="s">
        <v>86</v>
      </c>
      <c r="S647" s="1328" t="s">
        <v>290</v>
      </c>
      <c r="T647" s="1354">
        <v>111898</v>
      </c>
      <c r="U647" s="1354">
        <v>113322</v>
      </c>
      <c r="V647" s="1328"/>
      <c r="W647" s="1328" t="s">
        <v>291</v>
      </c>
      <c r="X647" s="1328" t="s">
        <v>292</v>
      </c>
      <c r="Y647" s="1328" t="s">
        <v>293</v>
      </c>
      <c r="Z647" s="1329">
        <v>7878783</v>
      </c>
      <c r="AA647" s="195"/>
      <c r="AB647" s="195"/>
      <c r="AC647" s="196"/>
      <c r="AD647" s="196"/>
      <c r="AE647" s="196"/>
      <c r="AF647" s="196"/>
      <c r="AG647" s="196"/>
      <c r="AH647" s="196"/>
      <c r="AI647" s="196"/>
      <c r="AJ647" s="196"/>
      <c r="AK647" s="196"/>
      <c r="AL647" s="197"/>
      <c r="AM647" s="197"/>
      <c r="AN647" s="197"/>
      <c r="AO647" s="195"/>
      <c r="AP647" s="195"/>
      <c r="AQ647" s="195"/>
      <c r="AR647" s="195"/>
      <c r="AS647" s="195"/>
      <c r="AT647" s="195"/>
      <c r="AU647" s="195"/>
    </row>
    <row r="648" spans="1:47" ht="9.75" customHeight="1" x14ac:dyDescent="0.25">
      <c r="A648" s="1355"/>
      <c r="B648" s="1326"/>
      <c r="C648" s="1269"/>
      <c r="D648" s="904" t="s">
        <v>296</v>
      </c>
      <c r="E648" s="905">
        <v>1286900</v>
      </c>
      <c r="F648" s="198"/>
      <c r="G648" s="198"/>
      <c r="H648" s="302">
        <v>6721211.2785714278</v>
      </c>
      <c r="I648" s="302"/>
      <c r="J648" s="301">
        <f>+J647*$J$599/$J$598</f>
        <v>18022014.365715377</v>
      </c>
      <c r="K648" s="214">
        <f>+K647*$K$599/$K$598</f>
        <v>1766403.5681396266</v>
      </c>
      <c r="L648" s="300">
        <v>14684450</v>
      </c>
      <c r="M648" s="300">
        <v>7415540.9670867799</v>
      </c>
      <c r="N648" s="301">
        <v>17523195.177683</v>
      </c>
      <c r="O648" s="1269"/>
      <c r="P648" s="1269"/>
      <c r="Q648" s="1269"/>
      <c r="R648" s="1269"/>
      <c r="S648" s="1269"/>
      <c r="T648" s="1269"/>
      <c r="U648" s="1269"/>
      <c r="V648" s="1269"/>
      <c r="W648" s="1269"/>
      <c r="X648" s="1269"/>
      <c r="Y648" s="1269"/>
      <c r="Z648" s="1284"/>
      <c r="AA648" s="195"/>
      <c r="AB648" s="195"/>
      <c r="AC648" s="196"/>
      <c r="AD648" s="196"/>
      <c r="AE648" s="196"/>
      <c r="AF648" s="196"/>
      <c r="AG648" s="196"/>
      <c r="AH648" s="196"/>
      <c r="AI648" s="196"/>
      <c r="AJ648" s="196"/>
      <c r="AK648" s="196"/>
      <c r="AL648" s="197"/>
      <c r="AM648" s="197"/>
      <c r="AN648" s="197"/>
      <c r="AO648" s="195"/>
      <c r="AP648" s="195"/>
      <c r="AQ648" s="195"/>
      <c r="AR648" s="195"/>
      <c r="AS648" s="195"/>
      <c r="AT648" s="195"/>
      <c r="AU648" s="195"/>
    </row>
    <row r="649" spans="1:47" ht="8.25" customHeight="1" x14ac:dyDescent="0.25">
      <c r="A649" s="1355"/>
      <c r="B649" s="1326"/>
      <c r="C649" s="1269"/>
      <c r="D649" s="904" t="s">
        <v>299</v>
      </c>
      <c r="E649" s="209"/>
      <c r="F649" s="198"/>
      <c r="G649" s="198"/>
      <c r="H649" s="198"/>
      <c r="I649" s="198"/>
      <c r="J649" s="905"/>
      <c r="K649" s="209"/>
      <c r="L649" s="909"/>
      <c r="M649" s="909"/>
      <c r="N649" s="909"/>
      <c r="O649" s="1269"/>
      <c r="P649" s="1269"/>
      <c r="Q649" s="1269"/>
      <c r="R649" s="1269"/>
      <c r="S649" s="1269"/>
      <c r="T649" s="1269"/>
      <c r="U649" s="1269"/>
      <c r="V649" s="1269"/>
      <c r="W649" s="1269"/>
      <c r="X649" s="1269"/>
      <c r="Y649" s="1269"/>
      <c r="Z649" s="1284"/>
      <c r="AA649" s="195"/>
      <c r="AB649" s="195"/>
      <c r="AC649" s="196"/>
      <c r="AD649" s="196"/>
      <c r="AE649" s="196"/>
      <c r="AF649" s="196"/>
      <c r="AG649" s="196"/>
      <c r="AH649" s="196"/>
      <c r="AI649" s="196"/>
      <c r="AJ649" s="196"/>
      <c r="AK649" s="196"/>
      <c r="AL649" s="197"/>
      <c r="AM649" s="197"/>
      <c r="AN649" s="197"/>
      <c r="AO649" s="195"/>
      <c r="AP649" s="195"/>
      <c r="AQ649" s="195"/>
      <c r="AR649" s="195"/>
      <c r="AS649" s="195"/>
      <c r="AT649" s="195"/>
      <c r="AU649" s="195"/>
    </row>
    <row r="650" spans="1:47" ht="13.5" customHeight="1" x14ac:dyDescent="0.25">
      <c r="A650" s="1355"/>
      <c r="B650" s="1326"/>
      <c r="C650" s="1269"/>
      <c r="D650" s="1286" t="s">
        <v>302</v>
      </c>
      <c r="E650" s="1272"/>
      <c r="F650" s="1272"/>
      <c r="G650" s="1272"/>
      <c r="H650" s="1272"/>
      <c r="I650" s="905"/>
      <c r="J650" s="1272"/>
      <c r="K650" s="1272"/>
      <c r="L650" s="1272"/>
      <c r="M650" s="1272"/>
      <c r="N650" s="1272"/>
      <c r="O650" s="1269"/>
      <c r="P650" s="1269"/>
      <c r="Q650" s="1269"/>
      <c r="R650" s="1269"/>
      <c r="S650" s="1269"/>
      <c r="T650" s="1269"/>
      <c r="U650" s="1269"/>
      <c r="V650" s="1269"/>
      <c r="W650" s="1269"/>
      <c r="X650" s="1269"/>
      <c r="Y650" s="1269"/>
      <c r="Z650" s="1284"/>
      <c r="AA650" s="195"/>
      <c r="AB650" s="195"/>
      <c r="AC650" s="196"/>
      <c r="AD650" s="196"/>
      <c r="AE650" s="196"/>
      <c r="AF650" s="196"/>
      <c r="AG650" s="196"/>
      <c r="AH650" s="196"/>
      <c r="AI650" s="196"/>
      <c r="AJ650" s="196"/>
      <c r="AK650" s="196"/>
      <c r="AL650" s="197"/>
      <c r="AM650" s="197"/>
      <c r="AN650" s="197"/>
      <c r="AO650" s="195"/>
      <c r="AP650" s="195"/>
      <c r="AQ650" s="195"/>
      <c r="AR650" s="195"/>
      <c r="AS650" s="195"/>
      <c r="AT650" s="195"/>
      <c r="AU650" s="195"/>
    </row>
    <row r="651" spans="1:47" ht="9" customHeight="1" x14ac:dyDescent="0.25">
      <c r="A651" s="1355"/>
      <c r="B651" s="1326"/>
      <c r="C651" s="1269"/>
      <c r="D651" s="1269"/>
      <c r="E651" s="1272"/>
      <c r="F651" s="1269"/>
      <c r="G651" s="1269"/>
      <c r="H651" s="1269"/>
      <c r="I651" s="903"/>
      <c r="J651" s="1269"/>
      <c r="K651" s="1269"/>
      <c r="L651" s="1272"/>
      <c r="M651" s="1269"/>
      <c r="N651" s="1269"/>
      <c r="O651" s="1269"/>
      <c r="P651" s="1269"/>
      <c r="Q651" s="1269"/>
      <c r="R651" s="1269"/>
      <c r="S651" s="1269"/>
      <c r="T651" s="1269"/>
      <c r="U651" s="1269"/>
      <c r="V651" s="1269"/>
      <c r="W651" s="1269"/>
      <c r="X651" s="1269"/>
      <c r="Y651" s="1269"/>
      <c r="Z651" s="1284"/>
      <c r="AA651" s="195"/>
      <c r="AB651" s="195"/>
      <c r="AC651" s="196"/>
      <c r="AD651" s="196"/>
      <c r="AE651" s="196"/>
      <c r="AF651" s="196"/>
      <c r="AG651" s="196"/>
      <c r="AH651" s="196"/>
      <c r="AI651" s="196"/>
      <c r="AJ651" s="196"/>
      <c r="AK651" s="196"/>
      <c r="AL651" s="197"/>
      <c r="AM651" s="197"/>
      <c r="AN651" s="197"/>
      <c r="AO651" s="195"/>
      <c r="AP651" s="195"/>
      <c r="AQ651" s="195"/>
      <c r="AR651" s="195"/>
      <c r="AS651" s="195"/>
      <c r="AT651" s="195"/>
      <c r="AU651" s="195"/>
    </row>
    <row r="652" spans="1:47" ht="9" customHeight="1" x14ac:dyDescent="0.25">
      <c r="A652" s="1355"/>
      <c r="B652" s="1326"/>
      <c r="C652" s="1269"/>
      <c r="D652" s="1269"/>
      <c r="E652" s="1272"/>
      <c r="F652" s="1269"/>
      <c r="G652" s="1269"/>
      <c r="H652" s="1269"/>
      <c r="I652" s="903"/>
      <c r="J652" s="1269"/>
      <c r="K652" s="1269"/>
      <c r="L652" s="1272"/>
      <c r="M652" s="1269"/>
      <c r="N652" s="1269"/>
      <c r="O652" s="1269"/>
      <c r="P652" s="1269"/>
      <c r="Q652" s="1269"/>
      <c r="R652" s="1269"/>
      <c r="S652" s="1269"/>
      <c r="T652" s="1269"/>
      <c r="U652" s="1269"/>
      <c r="V652" s="1269"/>
      <c r="W652" s="1269"/>
      <c r="X652" s="1269"/>
      <c r="Y652" s="1269"/>
      <c r="Z652" s="1284"/>
      <c r="AA652" s="195"/>
      <c r="AB652" s="195"/>
      <c r="AC652" s="196"/>
      <c r="AD652" s="196"/>
      <c r="AE652" s="196"/>
      <c r="AF652" s="196"/>
      <c r="AG652" s="196"/>
      <c r="AH652" s="196"/>
      <c r="AI652" s="196"/>
      <c r="AJ652" s="196"/>
      <c r="AK652" s="196"/>
      <c r="AL652" s="197"/>
      <c r="AM652" s="197"/>
      <c r="AN652" s="197"/>
      <c r="AO652" s="195"/>
      <c r="AP652" s="195"/>
      <c r="AQ652" s="195"/>
      <c r="AR652" s="195"/>
      <c r="AS652" s="195"/>
      <c r="AT652" s="195"/>
      <c r="AU652" s="195"/>
    </row>
    <row r="653" spans="1:47" ht="1.5" customHeight="1" x14ac:dyDescent="0.25">
      <c r="A653" s="1355"/>
      <c r="B653" s="1326"/>
      <c r="C653" s="1269"/>
      <c r="D653" s="1269"/>
      <c r="E653" s="1272"/>
      <c r="F653" s="1269"/>
      <c r="G653" s="1269"/>
      <c r="H653" s="1269"/>
      <c r="I653" s="903"/>
      <c r="J653" s="1269"/>
      <c r="K653" s="1269"/>
      <c r="L653" s="903"/>
      <c r="M653" s="1269"/>
      <c r="N653" s="1269"/>
      <c r="O653" s="1269"/>
      <c r="P653" s="1269"/>
      <c r="Q653" s="1269"/>
      <c r="R653" s="1269"/>
      <c r="S653" s="1269"/>
      <c r="T653" s="1269"/>
      <c r="U653" s="1269"/>
      <c r="V653" s="1269"/>
      <c r="W653" s="1269"/>
      <c r="X653" s="1269"/>
      <c r="Y653" s="1269"/>
      <c r="Z653" s="1284"/>
      <c r="AA653" s="195"/>
      <c r="AB653" s="195"/>
      <c r="AC653" s="196"/>
      <c r="AD653" s="196"/>
      <c r="AE653" s="196"/>
      <c r="AF653" s="196"/>
      <c r="AG653" s="196"/>
      <c r="AH653" s="196"/>
      <c r="AI653" s="196"/>
      <c r="AJ653" s="196"/>
      <c r="AK653" s="196"/>
      <c r="AL653" s="197"/>
      <c r="AM653" s="197"/>
      <c r="AN653" s="197"/>
      <c r="AO653" s="195"/>
      <c r="AP653" s="195"/>
      <c r="AQ653" s="195"/>
      <c r="AR653" s="195"/>
      <c r="AS653" s="195"/>
      <c r="AT653" s="195"/>
      <c r="AU653" s="195"/>
    </row>
    <row r="654" spans="1:47" ht="11.25" customHeight="1" x14ac:dyDescent="0.25">
      <c r="A654" s="1355"/>
      <c r="B654" s="1326"/>
      <c r="C654" s="1316" t="s">
        <v>363</v>
      </c>
      <c r="D654" s="199" t="s">
        <v>288</v>
      </c>
      <c r="E654" s="210">
        <v>18.96</v>
      </c>
      <c r="F654" s="198"/>
      <c r="G654" s="198"/>
      <c r="H654" s="905">
        <v>101.26</v>
      </c>
      <c r="I654" s="905"/>
      <c r="J654" s="905">
        <v>101.26</v>
      </c>
      <c r="K654" s="215">
        <f>E654</f>
        <v>18.96</v>
      </c>
      <c r="L654" s="216">
        <v>100</v>
      </c>
      <c r="M654" s="210">
        <v>101.26</v>
      </c>
      <c r="N654" s="935">
        <v>101.26</v>
      </c>
      <c r="O654" s="1272" t="s">
        <v>370</v>
      </c>
      <c r="P654" s="1316" t="s">
        <v>86</v>
      </c>
      <c r="Q654" s="1328" t="s">
        <v>86</v>
      </c>
      <c r="R654" s="1316" t="s">
        <v>86</v>
      </c>
      <c r="S654" s="1328" t="s">
        <v>290</v>
      </c>
      <c r="T654" s="1354">
        <v>172915</v>
      </c>
      <c r="U654" s="1354">
        <v>180846</v>
      </c>
      <c r="V654" s="1328"/>
      <c r="W654" s="1328" t="s">
        <v>291</v>
      </c>
      <c r="X654" s="1328" t="s">
        <v>292</v>
      </c>
      <c r="Y654" s="1328" t="s">
        <v>293</v>
      </c>
      <c r="Z654" s="1329">
        <v>7878783</v>
      </c>
      <c r="AA654" s="195"/>
      <c r="AB654" s="195"/>
      <c r="AC654" s="196"/>
      <c r="AD654" s="196"/>
      <c r="AE654" s="196"/>
      <c r="AF654" s="196"/>
      <c r="AG654" s="196"/>
      <c r="AH654" s="196"/>
      <c r="AI654" s="196"/>
      <c r="AJ654" s="196"/>
      <c r="AK654" s="196"/>
      <c r="AL654" s="197"/>
      <c r="AM654" s="197"/>
      <c r="AN654" s="197"/>
      <c r="AO654" s="195"/>
      <c r="AP654" s="195"/>
      <c r="AQ654" s="195"/>
      <c r="AR654" s="195"/>
      <c r="AS654" s="195"/>
      <c r="AT654" s="195"/>
      <c r="AU654" s="195"/>
    </row>
    <row r="655" spans="1:47" ht="11.25" customHeight="1" x14ac:dyDescent="0.25">
      <c r="A655" s="1355"/>
      <c r="B655" s="1326"/>
      <c r="C655" s="1269"/>
      <c r="D655" s="904" t="s">
        <v>296</v>
      </c>
      <c r="E655" s="905">
        <v>958457</v>
      </c>
      <c r="F655" s="198"/>
      <c r="G655" s="198"/>
      <c r="H655" s="302">
        <v>5119141.4371428574</v>
      </c>
      <c r="I655" s="302"/>
      <c r="J655" s="301">
        <f>+J654*$J$599/$J$598</f>
        <v>4668839.1912204539</v>
      </c>
      <c r="K655" s="214">
        <f>+K654*$K$599/$K$598</f>
        <v>1315436.4356609317</v>
      </c>
      <c r="L655" s="300">
        <v>14684450</v>
      </c>
      <c r="M655" s="300">
        <v>5647970.5026491703</v>
      </c>
      <c r="N655" s="301">
        <v>4539613.5382408043</v>
      </c>
      <c r="O655" s="1269"/>
      <c r="P655" s="1269"/>
      <c r="Q655" s="1269"/>
      <c r="R655" s="1269"/>
      <c r="S655" s="1269"/>
      <c r="T655" s="1269"/>
      <c r="U655" s="1269"/>
      <c r="V655" s="1269"/>
      <c r="W655" s="1269"/>
      <c r="X655" s="1269"/>
      <c r="Y655" s="1269"/>
      <c r="Z655" s="1284"/>
      <c r="AA655" s="195"/>
      <c r="AB655" s="195"/>
      <c r="AC655" s="196"/>
      <c r="AD655" s="196"/>
      <c r="AE655" s="196"/>
      <c r="AF655" s="196"/>
      <c r="AG655" s="196"/>
      <c r="AH655" s="196"/>
      <c r="AI655" s="196"/>
      <c r="AJ655" s="196"/>
      <c r="AK655" s="196"/>
      <c r="AL655" s="197"/>
      <c r="AM655" s="197"/>
      <c r="AN655" s="197"/>
      <c r="AO655" s="195"/>
      <c r="AP655" s="195"/>
      <c r="AQ655" s="195"/>
      <c r="AR655" s="195"/>
      <c r="AS655" s="195"/>
      <c r="AT655" s="195"/>
      <c r="AU655" s="195"/>
    </row>
    <row r="656" spans="1:47" ht="8.25" customHeight="1" x14ac:dyDescent="0.25">
      <c r="A656" s="1355"/>
      <c r="B656" s="1326"/>
      <c r="C656" s="1269"/>
      <c r="D656" s="904" t="s">
        <v>299</v>
      </c>
      <c r="E656" s="209"/>
      <c r="F656" s="198"/>
      <c r="G656" s="198"/>
      <c r="H656" s="198"/>
      <c r="I656" s="198"/>
      <c r="J656" s="905"/>
      <c r="K656" s="209"/>
      <c r="L656" s="909"/>
      <c r="M656" s="909"/>
      <c r="N656" s="909"/>
      <c r="O656" s="1269"/>
      <c r="P656" s="1269"/>
      <c r="Q656" s="1269"/>
      <c r="R656" s="1269"/>
      <c r="S656" s="1269"/>
      <c r="T656" s="1269"/>
      <c r="U656" s="1269"/>
      <c r="V656" s="1269"/>
      <c r="W656" s="1269"/>
      <c r="X656" s="1269"/>
      <c r="Y656" s="1269"/>
      <c r="Z656" s="1284"/>
      <c r="AA656" s="195"/>
      <c r="AB656" s="195"/>
      <c r="AC656" s="196"/>
      <c r="AD656" s="196"/>
      <c r="AE656" s="196"/>
      <c r="AF656" s="196"/>
      <c r="AG656" s="196"/>
      <c r="AH656" s="196"/>
      <c r="AI656" s="196"/>
      <c r="AJ656" s="196"/>
      <c r="AK656" s="196"/>
      <c r="AL656" s="197"/>
      <c r="AM656" s="197"/>
      <c r="AN656" s="197"/>
      <c r="AO656" s="195"/>
      <c r="AP656" s="195"/>
      <c r="AQ656" s="195"/>
      <c r="AR656" s="195"/>
      <c r="AS656" s="195"/>
      <c r="AT656" s="195"/>
      <c r="AU656" s="195"/>
    </row>
    <row r="657" spans="1:47" ht="13.5" customHeight="1" x14ac:dyDescent="0.25">
      <c r="A657" s="1355"/>
      <c r="B657" s="1326"/>
      <c r="C657" s="1269"/>
      <c r="D657" s="1286" t="s">
        <v>302</v>
      </c>
      <c r="E657" s="1272"/>
      <c r="F657" s="1272"/>
      <c r="G657" s="1272"/>
      <c r="H657" s="1272"/>
      <c r="I657" s="905"/>
      <c r="J657" s="1272"/>
      <c r="K657" s="1272"/>
      <c r="L657" s="1272"/>
      <c r="M657" s="1272"/>
      <c r="N657" s="1272"/>
      <c r="O657" s="1269"/>
      <c r="P657" s="1269"/>
      <c r="Q657" s="1269"/>
      <c r="R657" s="1269"/>
      <c r="S657" s="1269"/>
      <c r="T657" s="1269"/>
      <c r="U657" s="1269"/>
      <c r="V657" s="1269"/>
      <c r="W657" s="1269"/>
      <c r="X657" s="1269"/>
      <c r="Y657" s="1269"/>
      <c r="Z657" s="1284"/>
      <c r="AA657" s="195"/>
      <c r="AB657" s="195"/>
      <c r="AC657" s="196"/>
      <c r="AD657" s="196"/>
      <c r="AE657" s="196"/>
      <c r="AF657" s="196"/>
      <c r="AG657" s="196"/>
      <c r="AH657" s="196"/>
      <c r="AI657" s="196"/>
      <c r="AJ657" s="196"/>
      <c r="AK657" s="196"/>
      <c r="AL657" s="197"/>
      <c r="AM657" s="197"/>
      <c r="AN657" s="197"/>
      <c r="AO657" s="195"/>
      <c r="AP657" s="195"/>
      <c r="AQ657" s="195"/>
      <c r="AR657" s="195"/>
      <c r="AS657" s="195"/>
      <c r="AT657" s="195"/>
      <c r="AU657" s="195"/>
    </row>
    <row r="658" spans="1:47" ht="9" customHeight="1" x14ac:dyDescent="0.25">
      <c r="A658" s="1355"/>
      <c r="B658" s="1326"/>
      <c r="C658" s="1269"/>
      <c r="D658" s="1269"/>
      <c r="E658" s="1272"/>
      <c r="F658" s="1269"/>
      <c r="G658" s="1269"/>
      <c r="H658" s="1269"/>
      <c r="I658" s="903"/>
      <c r="J658" s="1269"/>
      <c r="K658" s="1269"/>
      <c r="L658" s="1272"/>
      <c r="M658" s="1269"/>
      <c r="N658" s="1269"/>
      <c r="O658" s="1269"/>
      <c r="P658" s="1269"/>
      <c r="Q658" s="1269"/>
      <c r="R658" s="1269"/>
      <c r="S658" s="1269"/>
      <c r="T658" s="1269"/>
      <c r="U658" s="1269"/>
      <c r="V658" s="1269"/>
      <c r="W658" s="1269"/>
      <c r="X658" s="1269"/>
      <c r="Y658" s="1269"/>
      <c r="Z658" s="1284"/>
      <c r="AA658" s="195"/>
      <c r="AB658" s="195"/>
      <c r="AC658" s="196"/>
      <c r="AD658" s="196"/>
      <c r="AE658" s="196"/>
      <c r="AF658" s="196"/>
      <c r="AG658" s="196"/>
      <c r="AH658" s="196"/>
      <c r="AI658" s="196"/>
      <c r="AJ658" s="196"/>
      <c r="AK658" s="196"/>
      <c r="AL658" s="197"/>
      <c r="AM658" s="197"/>
      <c r="AN658" s="197"/>
      <c r="AO658" s="195"/>
      <c r="AP658" s="195"/>
      <c r="AQ658" s="195"/>
      <c r="AR658" s="195"/>
      <c r="AS658" s="195"/>
      <c r="AT658" s="195"/>
      <c r="AU658" s="195"/>
    </row>
    <row r="659" spans="1:47" ht="9.75" customHeight="1" x14ac:dyDescent="0.25">
      <c r="A659" s="1355"/>
      <c r="B659" s="1326"/>
      <c r="C659" s="1269"/>
      <c r="D659" s="1269"/>
      <c r="E659" s="1272"/>
      <c r="F659" s="1269"/>
      <c r="G659" s="1269"/>
      <c r="H659" s="1269"/>
      <c r="I659" s="903"/>
      <c r="J659" s="1269"/>
      <c r="K659" s="1269"/>
      <c r="L659" s="1272"/>
      <c r="M659" s="1269"/>
      <c r="N659" s="1269"/>
      <c r="O659" s="1269"/>
      <c r="P659" s="1269"/>
      <c r="Q659" s="1269"/>
      <c r="R659" s="1269"/>
      <c r="S659" s="1269"/>
      <c r="T659" s="1269"/>
      <c r="U659" s="1269"/>
      <c r="V659" s="1269"/>
      <c r="W659" s="1269"/>
      <c r="X659" s="1269"/>
      <c r="Y659" s="1269"/>
      <c r="Z659" s="1284"/>
      <c r="AA659" s="195"/>
      <c r="AB659" s="195"/>
      <c r="AC659" s="196"/>
      <c r="AD659" s="196"/>
      <c r="AE659" s="196"/>
      <c r="AF659" s="196"/>
      <c r="AG659" s="196"/>
      <c r="AH659" s="196"/>
      <c r="AI659" s="196"/>
      <c r="AJ659" s="196"/>
      <c r="AK659" s="196"/>
      <c r="AL659" s="197"/>
      <c r="AM659" s="197"/>
      <c r="AN659" s="197"/>
      <c r="AO659" s="195"/>
      <c r="AP659" s="195"/>
      <c r="AQ659" s="195"/>
      <c r="AR659" s="195"/>
      <c r="AS659" s="195"/>
      <c r="AT659" s="195"/>
      <c r="AU659" s="195"/>
    </row>
    <row r="660" spans="1:47" ht="14.25" customHeight="1" x14ac:dyDescent="0.25">
      <c r="A660" s="1355"/>
      <c r="B660" s="1326"/>
      <c r="C660" s="1269"/>
      <c r="D660" s="1269"/>
      <c r="E660" s="1272"/>
      <c r="F660" s="1269"/>
      <c r="G660" s="1269"/>
      <c r="H660" s="1269"/>
      <c r="I660" s="903"/>
      <c r="J660" s="1269"/>
      <c r="K660" s="1269"/>
      <c r="L660" s="1272"/>
      <c r="M660" s="1269"/>
      <c r="N660" s="1269"/>
      <c r="O660" s="1269"/>
      <c r="P660" s="1269"/>
      <c r="Q660" s="1269"/>
      <c r="R660" s="1269"/>
      <c r="S660" s="1269"/>
      <c r="T660" s="1269"/>
      <c r="U660" s="1269"/>
      <c r="V660" s="1269"/>
      <c r="W660" s="1269"/>
      <c r="X660" s="1269"/>
      <c r="Y660" s="1269"/>
      <c r="Z660" s="1284"/>
      <c r="AA660" s="195"/>
      <c r="AB660" s="195"/>
      <c r="AC660" s="196"/>
      <c r="AD660" s="196"/>
      <c r="AE660" s="196"/>
      <c r="AF660" s="196"/>
      <c r="AG660" s="196"/>
      <c r="AH660" s="196"/>
      <c r="AI660" s="196"/>
      <c r="AJ660" s="196"/>
      <c r="AK660" s="196"/>
      <c r="AL660" s="197"/>
      <c r="AM660" s="197"/>
      <c r="AN660" s="197"/>
      <c r="AO660" s="195"/>
      <c r="AP660" s="195"/>
      <c r="AQ660" s="195"/>
      <c r="AR660" s="195"/>
      <c r="AS660" s="195"/>
      <c r="AT660" s="195"/>
      <c r="AU660" s="195"/>
    </row>
    <row r="661" spans="1:47" ht="11.25" customHeight="1" x14ac:dyDescent="0.25">
      <c r="A661" s="1355"/>
      <c r="B661" s="1326"/>
      <c r="C661" s="1316" t="s">
        <v>363</v>
      </c>
      <c r="D661" s="199" t="s">
        <v>288</v>
      </c>
      <c r="E661" s="210">
        <v>45.15</v>
      </c>
      <c r="F661" s="198"/>
      <c r="G661" s="198"/>
      <c r="H661" s="905">
        <v>101.93</v>
      </c>
      <c r="I661" s="905"/>
      <c r="J661" s="905">
        <v>105.31</v>
      </c>
      <c r="K661" s="215">
        <f>E661</f>
        <v>45.15</v>
      </c>
      <c r="L661" s="216">
        <v>100</v>
      </c>
      <c r="M661" s="210">
        <v>101.93</v>
      </c>
      <c r="N661" s="935">
        <v>106.94800000000001</v>
      </c>
      <c r="O661" s="1272" t="s">
        <v>320</v>
      </c>
      <c r="P661" s="1316" t="s">
        <v>86</v>
      </c>
      <c r="Q661" s="1328" t="s">
        <v>86</v>
      </c>
      <c r="R661" s="1316" t="s">
        <v>86</v>
      </c>
      <c r="S661" s="1328" t="s">
        <v>290</v>
      </c>
      <c r="T661" s="1354">
        <v>351333</v>
      </c>
      <c r="U661" s="1354">
        <v>368367</v>
      </c>
      <c r="V661" s="1328"/>
      <c r="W661" s="1328" t="s">
        <v>291</v>
      </c>
      <c r="X661" s="1328" t="s">
        <v>292</v>
      </c>
      <c r="Y661" s="1328" t="s">
        <v>293</v>
      </c>
      <c r="Z661" s="1329">
        <v>7878783</v>
      </c>
      <c r="AA661" s="195"/>
      <c r="AB661" s="195"/>
      <c r="AC661" s="196"/>
      <c r="AD661" s="196"/>
      <c r="AE661" s="196"/>
      <c r="AF661" s="196"/>
      <c r="AG661" s="196"/>
      <c r="AH661" s="196"/>
      <c r="AI661" s="196"/>
      <c r="AJ661" s="196"/>
      <c r="AK661" s="196"/>
      <c r="AL661" s="197"/>
      <c r="AM661" s="197"/>
      <c r="AN661" s="197"/>
      <c r="AO661" s="195"/>
      <c r="AP661" s="195"/>
      <c r="AQ661" s="195"/>
      <c r="AR661" s="195"/>
      <c r="AS661" s="195"/>
      <c r="AT661" s="195"/>
      <c r="AU661" s="195"/>
    </row>
    <row r="662" spans="1:47" ht="11.25" customHeight="1" x14ac:dyDescent="0.25">
      <c r="A662" s="1355"/>
      <c r="B662" s="1326"/>
      <c r="C662" s="1269"/>
      <c r="D662" s="904" t="s">
        <v>296</v>
      </c>
      <c r="E662" s="905">
        <v>2282680</v>
      </c>
      <c r="F662" s="198"/>
      <c r="G662" s="198"/>
      <c r="H662" s="302">
        <v>5153012.904285714</v>
      </c>
      <c r="I662" s="302"/>
      <c r="J662" s="301">
        <f>+J661*$J$599/$J$598</f>
        <v>4855574.3158939965</v>
      </c>
      <c r="K662" s="214">
        <f>+K661*$K$599/$K$598</f>
        <v>3132487.0817558579</v>
      </c>
      <c r="L662" s="300">
        <v>14684450</v>
      </c>
      <c r="M662" s="300">
        <v>5685341.0362930102</v>
      </c>
      <c r="N662" s="301">
        <v>4794613.7535826303</v>
      </c>
      <c r="O662" s="1269"/>
      <c r="P662" s="1269"/>
      <c r="Q662" s="1269"/>
      <c r="R662" s="1269"/>
      <c r="S662" s="1269"/>
      <c r="T662" s="1269"/>
      <c r="U662" s="1269"/>
      <c r="V662" s="1269"/>
      <c r="W662" s="1269"/>
      <c r="X662" s="1269"/>
      <c r="Y662" s="1269"/>
      <c r="Z662" s="1284"/>
      <c r="AA662" s="195"/>
      <c r="AB662" s="195"/>
      <c r="AC662" s="196"/>
      <c r="AD662" s="196"/>
      <c r="AE662" s="196"/>
      <c r="AF662" s="196"/>
      <c r="AG662" s="196"/>
      <c r="AH662" s="196"/>
      <c r="AI662" s="196"/>
      <c r="AJ662" s="196"/>
      <c r="AK662" s="196"/>
      <c r="AL662" s="197"/>
      <c r="AM662" s="197"/>
      <c r="AN662" s="197"/>
      <c r="AO662" s="195"/>
      <c r="AP662" s="195"/>
      <c r="AQ662" s="195"/>
      <c r="AR662" s="195"/>
      <c r="AS662" s="195"/>
      <c r="AT662" s="195"/>
      <c r="AU662" s="195"/>
    </row>
    <row r="663" spans="1:47" ht="8.25" customHeight="1" x14ac:dyDescent="0.25">
      <c r="A663" s="1355"/>
      <c r="B663" s="1326"/>
      <c r="C663" s="1269"/>
      <c r="D663" s="904" t="s">
        <v>299</v>
      </c>
      <c r="E663" s="209"/>
      <c r="F663" s="198"/>
      <c r="G663" s="198"/>
      <c r="H663" s="198"/>
      <c r="I663" s="198"/>
      <c r="J663" s="905"/>
      <c r="K663" s="209"/>
      <c r="L663" s="909"/>
      <c r="M663" s="909"/>
      <c r="N663" s="909"/>
      <c r="O663" s="1269"/>
      <c r="P663" s="1269"/>
      <c r="Q663" s="1269"/>
      <c r="R663" s="1269"/>
      <c r="S663" s="1269"/>
      <c r="T663" s="1269"/>
      <c r="U663" s="1269"/>
      <c r="V663" s="1269"/>
      <c r="W663" s="1269"/>
      <c r="X663" s="1269"/>
      <c r="Y663" s="1269"/>
      <c r="Z663" s="1284"/>
      <c r="AA663" s="195"/>
      <c r="AB663" s="195"/>
      <c r="AC663" s="196"/>
      <c r="AD663" s="196"/>
      <c r="AE663" s="196"/>
      <c r="AF663" s="196"/>
      <c r="AG663" s="196"/>
      <c r="AH663" s="196"/>
      <c r="AI663" s="196"/>
      <c r="AJ663" s="196"/>
      <c r="AK663" s="196"/>
      <c r="AL663" s="197"/>
      <c r="AM663" s="197"/>
      <c r="AN663" s="197"/>
      <c r="AO663" s="195"/>
      <c r="AP663" s="195"/>
      <c r="AQ663" s="195"/>
      <c r="AR663" s="195"/>
      <c r="AS663" s="195"/>
      <c r="AT663" s="195"/>
      <c r="AU663" s="195"/>
    </row>
    <row r="664" spans="1:47" ht="9.75" customHeight="1" x14ac:dyDescent="0.25">
      <c r="A664" s="1355"/>
      <c r="B664" s="1326"/>
      <c r="C664" s="1269"/>
      <c r="D664" s="1286" t="s">
        <v>302</v>
      </c>
      <c r="E664" s="1272"/>
      <c r="F664" s="1272"/>
      <c r="G664" s="1272"/>
      <c r="H664" s="1272"/>
      <c r="I664" s="905"/>
      <c r="J664" s="1272"/>
      <c r="K664" s="1272"/>
      <c r="L664" s="1297"/>
      <c r="M664" s="1272"/>
      <c r="N664" s="1272"/>
      <c r="O664" s="1269"/>
      <c r="P664" s="1269"/>
      <c r="Q664" s="1269"/>
      <c r="R664" s="1269"/>
      <c r="S664" s="1269"/>
      <c r="T664" s="1269"/>
      <c r="U664" s="1269"/>
      <c r="V664" s="1269"/>
      <c r="W664" s="1269"/>
      <c r="X664" s="1269"/>
      <c r="Y664" s="1269"/>
      <c r="Z664" s="1284"/>
      <c r="AA664" s="195"/>
      <c r="AB664" s="195"/>
      <c r="AC664" s="196"/>
      <c r="AD664" s="196"/>
      <c r="AE664" s="196"/>
      <c r="AF664" s="196"/>
      <c r="AG664" s="196"/>
      <c r="AH664" s="196"/>
      <c r="AI664" s="196"/>
      <c r="AJ664" s="196"/>
      <c r="AK664" s="196"/>
      <c r="AL664" s="197"/>
      <c r="AM664" s="197"/>
      <c r="AN664" s="197"/>
      <c r="AO664" s="195"/>
      <c r="AP664" s="195"/>
      <c r="AQ664" s="195"/>
      <c r="AR664" s="195"/>
      <c r="AS664" s="195"/>
      <c r="AT664" s="195"/>
      <c r="AU664" s="195"/>
    </row>
    <row r="665" spans="1:47" ht="9" customHeight="1" x14ac:dyDescent="0.25">
      <c r="A665" s="1355"/>
      <c r="B665" s="1326"/>
      <c r="C665" s="1269"/>
      <c r="D665" s="1269"/>
      <c r="E665" s="1272"/>
      <c r="F665" s="1269"/>
      <c r="G665" s="1269"/>
      <c r="H665" s="1269"/>
      <c r="I665" s="903"/>
      <c r="J665" s="1269"/>
      <c r="K665" s="1269"/>
      <c r="L665" s="1300"/>
      <c r="M665" s="1269"/>
      <c r="N665" s="1269"/>
      <c r="O665" s="1269"/>
      <c r="P665" s="1269"/>
      <c r="Q665" s="1269"/>
      <c r="R665" s="1269"/>
      <c r="S665" s="1269"/>
      <c r="T665" s="1269"/>
      <c r="U665" s="1269"/>
      <c r="V665" s="1269"/>
      <c r="W665" s="1269"/>
      <c r="X665" s="1269"/>
      <c r="Y665" s="1269"/>
      <c r="Z665" s="1284"/>
      <c r="AA665" s="195"/>
      <c r="AB665" s="195"/>
      <c r="AC665" s="196"/>
      <c r="AD665" s="196"/>
      <c r="AE665" s="196"/>
      <c r="AF665" s="196"/>
      <c r="AG665" s="196"/>
      <c r="AH665" s="196"/>
      <c r="AI665" s="196"/>
      <c r="AJ665" s="196"/>
      <c r="AK665" s="196"/>
      <c r="AL665" s="197"/>
      <c r="AM665" s="197"/>
      <c r="AN665" s="197"/>
      <c r="AO665" s="195"/>
      <c r="AP665" s="195"/>
      <c r="AQ665" s="195"/>
      <c r="AR665" s="195"/>
      <c r="AS665" s="195"/>
      <c r="AT665" s="195"/>
      <c r="AU665" s="195"/>
    </row>
    <row r="666" spans="1:47" ht="9" customHeight="1" x14ac:dyDescent="0.25">
      <c r="A666" s="1355"/>
      <c r="B666" s="1326"/>
      <c r="C666" s="1269"/>
      <c r="D666" s="1269"/>
      <c r="E666" s="1272"/>
      <c r="F666" s="1269"/>
      <c r="G666" s="1269"/>
      <c r="H666" s="1269"/>
      <c r="I666" s="903"/>
      <c r="J666" s="1269"/>
      <c r="K666" s="1269"/>
      <c r="L666" s="1300"/>
      <c r="M666" s="1269"/>
      <c r="N666" s="1269"/>
      <c r="O666" s="1269"/>
      <c r="P666" s="1269"/>
      <c r="Q666" s="1269"/>
      <c r="R666" s="1269"/>
      <c r="S666" s="1269"/>
      <c r="T666" s="1269"/>
      <c r="U666" s="1269"/>
      <c r="V666" s="1269"/>
      <c r="W666" s="1269"/>
      <c r="X666" s="1269"/>
      <c r="Y666" s="1269"/>
      <c r="Z666" s="1284"/>
      <c r="AA666" s="195"/>
      <c r="AB666" s="195"/>
      <c r="AC666" s="196"/>
      <c r="AD666" s="196"/>
      <c r="AE666" s="196"/>
      <c r="AF666" s="196"/>
      <c r="AG666" s="196"/>
      <c r="AH666" s="196"/>
      <c r="AI666" s="196"/>
      <c r="AJ666" s="196"/>
      <c r="AK666" s="196"/>
      <c r="AL666" s="197"/>
      <c r="AM666" s="197"/>
      <c r="AN666" s="197"/>
      <c r="AO666" s="195"/>
      <c r="AP666" s="195"/>
      <c r="AQ666" s="195"/>
      <c r="AR666" s="195"/>
      <c r="AS666" s="195"/>
      <c r="AT666" s="195"/>
      <c r="AU666" s="195"/>
    </row>
    <row r="667" spans="1:47" ht="14.25" customHeight="1" x14ac:dyDescent="0.25">
      <c r="A667" s="1355"/>
      <c r="B667" s="1326"/>
      <c r="C667" s="1269"/>
      <c r="D667" s="1269"/>
      <c r="E667" s="1272"/>
      <c r="F667" s="1269"/>
      <c r="G667" s="1269"/>
      <c r="H667" s="1269"/>
      <c r="I667" s="903"/>
      <c r="J667" s="1269"/>
      <c r="K667" s="1269"/>
      <c r="L667" s="1353"/>
      <c r="M667" s="1269"/>
      <c r="N667" s="1269"/>
      <c r="O667" s="1269"/>
      <c r="P667" s="1269"/>
      <c r="Q667" s="1269"/>
      <c r="R667" s="1269"/>
      <c r="S667" s="1269"/>
      <c r="T667" s="1269"/>
      <c r="U667" s="1269"/>
      <c r="V667" s="1269"/>
      <c r="W667" s="1269"/>
      <c r="X667" s="1269"/>
      <c r="Y667" s="1269"/>
      <c r="Z667" s="1284"/>
      <c r="AA667" s="195"/>
      <c r="AB667" s="195"/>
      <c r="AC667" s="196"/>
      <c r="AD667" s="196"/>
      <c r="AE667" s="196"/>
      <c r="AF667" s="196"/>
      <c r="AG667" s="196"/>
      <c r="AH667" s="196"/>
      <c r="AI667" s="196"/>
      <c r="AJ667" s="196"/>
      <c r="AK667" s="196"/>
      <c r="AL667" s="197"/>
      <c r="AM667" s="197"/>
      <c r="AN667" s="197"/>
      <c r="AO667" s="195"/>
      <c r="AP667" s="195"/>
      <c r="AQ667" s="195"/>
      <c r="AR667" s="195"/>
      <c r="AS667" s="195"/>
      <c r="AT667" s="195"/>
      <c r="AU667" s="195"/>
    </row>
    <row r="668" spans="1:47" ht="11.25" customHeight="1" x14ac:dyDescent="0.25">
      <c r="A668" s="1355"/>
      <c r="B668" s="1326"/>
      <c r="C668" s="1316" t="s">
        <v>363</v>
      </c>
      <c r="D668" s="199" t="s">
        <v>288</v>
      </c>
      <c r="E668" s="210">
        <v>0.28999999999999998</v>
      </c>
      <c r="F668" s="198"/>
      <c r="G668" s="198"/>
      <c r="H668" s="905">
        <v>124.49</v>
      </c>
      <c r="I668" s="905"/>
      <c r="J668" s="905">
        <v>175.72</v>
      </c>
      <c r="K668" s="215">
        <f>E668</f>
        <v>0.28999999999999998</v>
      </c>
      <c r="L668" s="216">
        <v>100</v>
      </c>
      <c r="M668" s="210">
        <v>124.49</v>
      </c>
      <c r="N668" s="935">
        <v>206.05199999999999</v>
      </c>
      <c r="O668" s="1272" t="s">
        <v>371</v>
      </c>
      <c r="P668" s="1316" t="s">
        <v>86</v>
      </c>
      <c r="Q668" s="1328" t="s">
        <v>86</v>
      </c>
      <c r="R668" s="1316" t="s">
        <v>86</v>
      </c>
      <c r="S668" s="1328" t="s">
        <v>290</v>
      </c>
      <c r="T668" s="1354">
        <v>60502</v>
      </c>
      <c r="U668" s="1354">
        <v>66449</v>
      </c>
      <c r="V668" s="1350"/>
      <c r="W668" s="1328" t="s">
        <v>291</v>
      </c>
      <c r="X668" s="1328" t="s">
        <v>292</v>
      </c>
      <c r="Y668" s="1328" t="s">
        <v>293</v>
      </c>
      <c r="Z668" s="1329">
        <v>7878783</v>
      </c>
      <c r="AA668" s="195"/>
      <c r="AB668" s="195"/>
      <c r="AC668" s="196"/>
      <c r="AD668" s="196"/>
      <c r="AE668" s="196"/>
      <c r="AF668" s="196"/>
      <c r="AG668" s="196"/>
      <c r="AH668" s="196"/>
      <c r="AI668" s="196"/>
      <c r="AJ668" s="196"/>
      <c r="AK668" s="196"/>
      <c r="AL668" s="197"/>
      <c r="AM668" s="197"/>
      <c r="AN668" s="197"/>
      <c r="AO668" s="195"/>
      <c r="AP668" s="195"/>
      <c r="AQ668" s="195"/>
      <c r="AR668" s="195"/>
      <c r="AS668" s="195"/>
      <c r="AT668" s="195"/>
      <c r="AU668" s="195"/>
    </row>
    <row r="669" spans="1:47" ht="11.25" customHeight="1" x14ac:dyDescent="0.25">
      <c r="A669" s="1355"/>
      <c r="B669" s="1326"/>
      <c r="C669" s="1269"/>
      <c r="D669" s="904" t="s">
        <v>296</v>
      </c>
      <c r="E669" s="905">
        <v>141724</v>
      </c>
      <c r="F669" s="198"/>
      <c r="G669" s="198"/>
      <c r="H669" s="302">
        <v>6293520.8128571426</v>
      </c>
      <c r="I669" s="302"/>
      <c r="J669" s="301">
        <f>+J668*$J$599/$J$598</f>
        <v>8101999.0389221627</v>
      </c>
      <c r="K669" s="214">
        <f>+K668*$K$599/$K$598</f>
        <v>20120.07206443408</v>
      </c>
      <c r="L669" s="300">
        <v>14684450</v>
      </c>
      <c r="M669" s="300">
        <v>6943668.2586884797</v>
      </c>
      <c r="N669" s="301">
        <v>9237571.0920560397</v>
      </c>
      <c r="O669" s="1269"/>
      <c r="P669" s="1269"/>
      <c r="Q669" s="1269"/>
      <c r="R669" s="1269"/>
      <c r="S669" s="1269"/>
      <c r="T669" s="1269"/>
      <c r="U669" s="1269"/>
      <c r="V669" s="1343"/>
      <c r="W669" s="1269"/>
      <c r="X669" s="1269"/>
      <c r="Y669" s="1269"/>
      <c r="Z669" s="1284"/>
      <c r="AA669" s="195"/>
      <c r="AB669" s="195"/>
      <c r="AC669" s="196"/>
      <c r="AD669" s="196"/>
      <c r="AE669" s="196"/>
      <c r="AF669" s="196"/>
      <c r="AG669" s="196"/>
      <c r="AH669" s="196"/>
      <c r="AI669" s="196"/>
      <c r="AJ669" s="196"/>
      <c r="AK669" s="196"/>
      <c r="AL669" s="197"/>
      <c r="AM669" s="197"/>
      <c r="AN669" s="197"/>
      <c r="AO669" s="195"/>
      <c r="AP669" s="195"/>
      <c r="AQ669" s="195"/>
      <c r="AR669" s="195"/>
      <c r="AS669" s="195"/>
      <c r="AT669" s="195"/>
      <c r="AU669" s="195"/>
    </row>
    <row r="670" spans="1:47" ht="8.25" customHeight="1" x14ac:dyDescent="0.25">
      <c r="A670" s="1355"/>
      <c r="B670" s="1326"/>
      <c r="C670" s="1269"/>
      <c r="D670" s="904" t="s">
        <v>299</v>
      </c>
      <c r="E670" s="209"/>
      <c r="F670" s="198"/>
      <c r="G670" s="198"/>
      <c r="H670" s="198"/>
      <c r="I670" s="198"/>
      <c r="J670" s="905"/>
      <c r="K670" s="209"/>
      <c r="L670" s="909"/>
      <c r="M670" s="909"/>
      <c r="N670" s="909"/>
      <c r="O670" s="1269"/>
      <c r="P670" s="1269"/>
      <c r="Q670" s="1269"/>
      <c r="R670" s="1269"/>
      <c r="S670" s="1269"/>
      <c r="T670" s="1269"/>
      <c r="U670" s="1269"/>
      <c r="V670" s="1343"/>
      <c r="W670" s="1269"/>
      <c r="X670" s="1269"/>
      <c r="Y670" s="1269"/>
      <c r="Z670" s="1284"/>
      <c r="AA670" s="195"/>
      <c r="AB670" s="195"/>
      <c r="AC670" s="196"/>
      <c r="AD670" s="196"/>
      <c r="AE670" s="196"/>
      <c r="AF670" s="196"/>
      <c r="AG670" s="196"/>
      <c r="AH670" s="196"/>
      <c r="AI670" s="196"/>
      <c r="AJ670" s="196"/>
      <c r="AK670" s="196"/>
      <c r="AL670" s="197"/>
      <c r="AM670" s="197"/>
      <c r="AN670" s="197"/>
      <c r="AO670" s="195"/>
      <c r="AP670" s="195"/>
      <c r="AQ670" s="195"/>
      <c r="AR670" s="195"/>
      <c r="AS670" s="195"/>
      <c r="AT670" s="195"/>
      <c r="AU670" s="195"/>
    </row>
    <row r="671" spans="1:47" ht="13.5" customHeight="1" x14ac:dyDescent="0.25">
      <c r="A671" s="1355"/>
      <c r="B671" s="1326"/>
      <c r="C671" s="1269"/>
      <c r="D671" s="1286" t="s">
        <v>302</v>
      </c>
      <c r="E671" s="1272"/>
      <c r="F671" s="1272"/>
      <c r="G671" s="1272"/>
      <c r="H671" s="1272"/>
      <c r="I671" s="905"/>
      <c r="J671" s="1272"/>
      <c r="K671" s="1272"/>
      <c r="L671" s="1297"/>
      <c r="M671" s="1272"/>
      <c r="N671" s="1272"/>
      <c r="O671" s="1269"/>
      <c r="P671" s="1269"/>
      <c r="Q671" s="1269"/>
      <c r="R671" s="1269"/>
      <c r="S671" s="1269"/>
      <c r="T671" s="1269"/>
      <c r="U671" s="1269"/>
      <c r="V671" s="1343"/>
      <c r="W671" s="1269"/>
      <c r="X671" s="1269"/>
      <c r="Y671" s="1269"/>
      <c r="Z671" s="1284"/>
      <c r="AA671" s="195"/>
      <c r="AB671" s="195"/>
      <c r="AC671" s="196"/>
      <c r="AD671" s="196"/>
      <c r="AE671" s="196"/>
      <c r="AF671" s="196"/>
      <c r="AG671" s="196"/>
      <c r="AH671" s="196"/>
      <c r="AI671" s="196"/>
      <c r="AJ671" s="196"/>
      <c r="AK671" s="196"/>
      <c r="AL671" s="197"/>
      <c r="AM671" s="197"/>
      <c r="AN671" s="197"/>
      <c r="AO671" s="195"/>
      <c r="AP671" s="195"/>
      <c r="AQ671" s="195"/>
      <c r="AR671" s="195"/>
      <c r="AS671" s="195"/>
      <c r="AT671" s="195"/>
      <c r="AU671" s="195"/>
    </row>
    <row r="672" spans="1:47" ht="9" customHeight="1" x14ac:dyDescent="0.25">
      <c r="A672" s="1355"/>
      <c r="B672" s="1326"/>
      <c r="C672" s="1269"/>
      <c r="D672" s="1269"/>
      <c r="E672" s="1272"/>
      <c r="F672" s="1269"/>
      <c r="G672" s="1269"/>
      <c r="H672" s="1269"/>
      <c r="I672" s="903"/>
      <c r="J672" s="1269"/>
      <c r="K672" s="1269"/>
      <c r="L672" s="1300"/>
      <c r="M672" s="1269"/>
      <c r="N672" s="1269"/>
      <c r="O672" s="1269"/>
      <c r="P672" s="1269"/>
      <c r="Q672" s="1269"/>
      <c r="R672" s="1269"/>
      <c r="S672" s="1269"/>
      <c r="T672" s="1269"/>
      <c r="U672" s="1269"/>
      <c r="V672" s="1343"/>
      <c r="W672" s="1269"/>
      <c r="X672" s="1269"/>
      <c r="Y672" s="1269"/>
      <c r="Z672" s="1284"/>
      <c r="AA672" s="195"/>
      <c r="AB672" s="195"/>
      <c r="AC672" s="196"/>
      <c r="AD672" s="196"/>
      <c r="AE672" s="196"/>
      <c r="AF672" s="196"/>
      <c r="AG672" s="196"/>
      <c r="AH672" s="196"/>
      <c r="AI672" s="196"/>
      <c r="AJ672" s="196"/>
      <c r="AK672" s="196"/>
      <c r="AL672" s="197"/>
      <c r="AM672" s="197"/>
      <c r="AN672" s="197"/>
      <c r="AO672" s="195"/>
      <c r="AP672" s="195"/>
      <c r="AQ672" s="195"/>
      <c r="AR672" s="195"/>
      <c r="AS672" s="195"/>
      <c r="AT672" s="195"/>
      <c r="AU672" s="195"/>
    </row>
    <row r="673" spans="1:47" ht="7.5" customHeight="1" x14ac:dyDescent="0.25">
      <c r="A673" s="1355"/>
      <c r="B673" s="1326"/>
      <c r="C673" s="1269"/>
      <c r="D673" s="1269"/>
      <c r="E673" s="1272"/>
      <c r="F673" s="1269"/>
      <c r="G673" s="1269"/>
      <c r="H673" s="1269"/>
      <c r="I673" s="903"/>
      <c r="J673" s="1269"/>
      <c r="K673" s="1269"/>
      <c r="L673" s="1300"/>
      <c r="M673" s="1269"/>
      <c r="N673" s="1269"/>
      <c r="O673" s="1269"/>
      <c r="P673" s="1269"/>
      <c r="Q673" s="1269"/>
      <c r="R673" s="1269"/>
      <c r="S673" s="1269"/>
      <c r="T673" s="1269"/>
      <c r="U673" s="1269"/>
      <c r="V673" s="1343"/>
      <c r="W673" s="1269"/>
      <c r="X673" s="1269"/>
      <c r="Y673" s="1269"/>
      <c r="Z673" s="1284"/>
      <c r="AA673" s="195"/>
      <c r="AB673" s="195"/>
      <c r="AC673" s="196"/>
      <c r="AD673" s="196"/>
      <c r="AE673" s="196"/>
      <c r="AF673" s="196"/>
      <c r="AG673" s="196"/>
      <c r="AH673" s="196"/>
      <c r="AI673" s="196"/>
      <c r="AJ673" s="196"/>
      <c r="AK673" s="196"/>
      <c r="AL673" s="197"/>
      <c r="AM673" s="197"/>
      <c r="AN673" s="197"/>
      <c r="AO673" s="195"/>
      <c r="AP673" s="195"/>
      <c r="AQ673" s="195"/>
      <c r="AR673" s="195"/>
      <c r="AS673" s="195"/>
      <c r="AT673" s="195"/>
      <c r="AU673" s="195"/>
    </row>
    <row r="674" spans="1:47" ht="7.5" customHeight="1" x14ac:dyDescent="0.25">
      <c r="A674" s="1355"/>
      <c r="B674" s="1326"/>
      <c r="C674" s="1269"/>
      <c r="D674" s="1269"/>
      <c r="E674" s="1272"/>
      <c r="F674" s="1269"/>
      <c r="G674" s="1269"/>
      <c r="H674" s="1269"/>
      <c r="I674" s="903"/>
      <c r="J674" s="1269"/>
      <c r="K674" s="1269"/>
      <c r="L674" s="1353"/>
      <c r="M674" s="1269"/>
      <c r="N674" s="1269"/>
      <c r="O674" s="1269"/>
      <c r="P674" s="1269"/>
      <c r="Q674" s="1269"/>
      <c r="R674" s="1269"/>
      <c r="S674" s="1269"/>
      <c r="T674" s="1269"/>
      <c r="U674" s="1269"/>
      <c r="V674" s="1343"/>
      <c r="W674" s="1269"/>
      <c r="X674" s="1269"/>
      <c r="Y674" s="1269"/>
      <c r="Z674" s="1284"/>
      <c r="AA674" s="195"/>
      <c r="AB674" s="195"/>
      <c r="AC674" s="196"/>
      <c r="AD674" s="196"/>
      <c r="AE674" s="196"/>
      <c r="AF674" s="196"/>
      <c r="AG674" s="196"/>
      <c r="AH674" s="196"/>
      <c r="AI674" s="196"/>
      <c r="AJ674" s="196"/>
      <c r="AK674" s="196"/>
      <c r="AL674" s="197"/>
      <c r="AM674" s="197"/>
      <c r="AN674" s="197"/>
      <c r="AO674" s="195"/>
      <c r="AP674" s="195"/>
      <c r="AQ674" s="195"/>
      <c r="AR674" s="195"/>
      <c r="AS674" s="195"/>
      <c r="AT674" s="195"/>
      <c r="AU674" s="195"/>
    </row>
    <row r="675" spans="1:47" ht="11.25" customHeight="1" x14ac:dyDescent="0.25">
      <c r="A675" s="1355"/>
      <c r="B675" s="1326"/>
      <c r="C675" s="1316" t="s">
        <v>363</v>
      </c>
      <c r="D675" s="199" t="s">
        <v>288</v>
      </c>
      <c r="E675" s="210">
        <v>9.74</v>
      </c>
      <c r="F675" s="198"/>
      <c r="G675" s="198"/>
      <c r="H675" s="905">
        <v>9.74</v>
      </c>
      <c r="I675" s="905"/>
      <c r="J675" s="905">
        <v>9.74</v>
      </c>
      <c r="K675" s="215">
        <f>E675</f>
        <v>9.74</v>
      </c>
      <c r="L675" s="216">
        <v>9.74</v>
      </c>
      <c r="M675" s="210">
        <v>9.74</v>
      </c>
      <c r="N675" s="935">
        <v>9.74</v>
      </c>
      <c r="O675" s="1272" t="s">
        <v>372</v>
      </c>
      <c r="P675" s="1316" t="s">
        <v>86</v>
      </c>
      <c r="Q675" s="1328" t="s">
        <v>86</v>
      </c>
      <c r="R675" s="1316" t="s">
        <v>86</v>
      </c>
      <c r="S675" s="1328" t="s">
        <v>290</v>
      </c>
      <c r="T675" s="1354">
        <v>3765</v>
      </c>
      <c r="U675" s="1354">
        <v>3565</v>
      </c>
      <c r="V675" s="1328"/>
      <c r="W675" s="1328" t="s">
        <v>291</v>
      </c>
      <c r="X675" s="1328" t="s">
        <v>292</v>
      </c>
      <c r="Y675" s="1328" t="s">
        <v>293</v>
      </c>
      <c r="Z675" s="1329">
        <v>7878783</v>
      </c>
      <c r="AA675" s="195"/>
      <c r="AB675" s="195"/>
      <c r="AC675" s="196"/>
      <c r="AD675" s="196"/>
      <c r="AE675" s="196"/>
      <c r="AF675" s="196"/>
      <c r="AG675" s="196"/>
      <c r="AH675" s="196"/>
      <c r="AI675" s="196"/>
      <c r="AJ675" s="196"/>
      <c r="AK675" s="196"/>
      <c r="AL675" s="197"/>
      <c r="AM675" s="197"/>
      <c r="AN675" s="197"/>
      <c r="AO675" s="195"/>
      <c r="AP675" s="195"/>
      <c r="AQ675" s="195"/>
      <c r="AR675" s="195"/>
      <c r="AS675" s="195"/>
      <c r="AT675" s="195"/>
      <c r="AU675" s="195"/>
    </row>
    <row r="676" spans="1:47" ht="11.25" customHeight="1" x14ac:dyDescent="0.25">
      <c r="A676" s="1355"/>
      <c r="B676" s="1326"/>
      <c r="C676" s="1269"/>
      <c r="D676" s="904" t="s">
        <v>296</v>
      </c>
      <c r="E676" s="905">
        <v>492167</v>
      </c>
      <c r="F676" s="198"/>
      <c r="G676" s="198"/>
      <c r="H676" s="302">
        <v>492400.1342857143</v>
      </c>
      <c r="I676" s="302"/>
      <c r="J676" s="301">
        <f>+J675*$J$599/$J$598</f>
        <v>449086.4479803202</v>
      </c>
      <c r="K676" s="214">
        <f>+K675*$K$599/$K$598</f>
        <v>675756.90312961361</v>
      </c>
      <c r="L676" s="300">
        <v>675756.90312961361</v>
      </c>
      <c r="M676" s="300">
        <v>543267.16073279595</v>
      </c>
      <c r="N676" s="301">
        <v>436656.48688984232</v>
      </c>
      <c r="O676" s="1269"/>
      <c r="P676" s="1269"/>
      <c r="Q676" s="1269"/>
      <c r="R676" s="1269"/>
      <c r="S676" s="1269"/>
      <c r="T676" s="1269"/>
      <c r="U676" s="1269"/>
      <c r="V676" s="1269"/>
      <c r="W676" s="1269"/>
      <c r="X676" s="1269"/>
      <c r="Y676" s="1269"/>
      <c r="Z676" s="1284"/>
      <c r="AA676" s="195"/>
      <c r="AB676" s="195"/>
      <c r="AC676" s="196"/>
      <c r="AD676" s="196"/>
      <c r="AE676" s="196"/>
      <c r="AF676" s="196"/>
      <c r="AG676" s="196"/>
      <c r="AH676" s="196"/>
      <c r="AI676" s="196"/>
      <c r="AJ676" s="196"/>
      <c r="AK676" s="196"/>
      <c r="AL676" s="197"/>
      <c r="AM676" s="197"/>
      <c r="AN676" s="197"/>
      <c r="AO676" s="195"/>
      <c r="AP676" s="195"/>
      <c r="AQ676" s="195"/>
      <c r="AR676" s="195"/>
      <c r="AS676" s="195"/>
      <c r="AT676" s="195"/>
      <c r="AU676" s="195"/>
    </row>
    <row r="677" spans="1:47" ht="8.25" customHeight="1" x14ac:dyDescent="0.25">
      <c r="A677" s="1355"/>
      <c r="B677" s="1326"/>
      <c r="C677" s="1269"/>
      <c r="D677" s="904" t="s">
        <v>299</v>
      </c>
      <c r="E677" s="209"/>
      <c r="F677" s="198"/>
      <c r="G677" s="198"/>
      <c r="H677" s="198"/>
      <c r="I677" s="198"/>
      <c r="J677" s="905"/>
      <c r="K677" s="209"/>
      <c r="L677" s="909"/>
      <c r="M677" s="909"/>
      <c r="N677" s="909"/>
      <c r="O677" s="1269"/>
      <c r="P677" s="1269"/>
      <c r="Q677" s="1269"/>
      <c r="R677" s="1269"/>
      <c r="S677" s="1269"/>
      <c r="T677" s="1269"/>
      <c r="U677" s="1269"/>
      <c r="V677" s="1269"/>
      <c r="W677" s="1269"/>
      <c r="X677" s="1269"/>
      <c r="Y677" s="1269"/>
      <c r="Z677" s="1284"/>
      <c r="AA677" s="195"/>
      <c r="AB677" s="195"/>
      <c r="AC677" s="196"/>
      <c r="AD677" s="196"/>
      <c r="AE677" s="196"/>
      <c r="AF677" s="196"/>
      <c r="AG677" s="196"/>
      <c r="AH677" s="196"/>
      <c r="AI677" s="196"/>
      <c r="AJ677" s="196"/>
      <c r="AK677" s="196"/>
      <c r="AL677" s="197"/>
      <c r="AM677" s="197"/>
      <c r="AN677" s="197"/>
      <c r="AO677" s="195"/>
      <c r="AP677" s="195"/>
      <c r="AQ677" s="195"/>
      <c r="AR677" s="195"/>
      <c r="AS677" s="195"/>
      <c r="AT677" s="195"/>
      <c r="AU677" s="195"/>
    </row>
    <row r="678" spans="1:47" ht="13.5" customHeight="1" x14ac:dyDescent="0.25">
      <c r="A678" s="1355"/>
      <c r="B678" s="1326"/>
      <c r="C678" s="1269"/>
      <c r="D678" s="1286" t="s">
        <v>302</v>
      </c>
      <c r="E678" s="1272"/>
      <c r="F678" s="1272"/>
      <c r="G678" s="1272"/>
      <c r="H678" s="1272"/>
      <c r="I678" s="905"/>
      <c r="J678" s="1272"/>
      <c r="K678" s="1272"/>
      <c r="L678" s="1297"/>
      <c r="M678" s="1272"/>
      <c r="N678" s="1272"/>
      <c r="O678" s="1269"/>
      <c r="P678" s="1269"/>
      <c r="Q678" s="1269"/>
      <c r="R678" s="1269"/>
      <c r="S678" s="1269"/>
      <c r="T678" s="1269"/>
      <c r="U678" s="1269"/>
      <c r="V678" s="1269"/>
      <c r="W678" s="1269"/>
      <c r="X678" s="1269"/>
      <c r="Y678" s="1269"/>
      <c r="Z678" s="1284"/>
      <c r="AA678" s="195"/>
      <c r="AB678" s="195"/>
      <c r="AC678" s="196"/>
      <c r="AD678" s="196"/>
      <c r="AE678" s="196"/>
      <c r="AF678" s="196"/>
      <c r="AG678" s="196"/>
      <c r="AH678" s="196"/>
      <c r="AI678" s="196"/>
      <c r="AJ678" s="196"/>
      <c r="AK678" s="196"/>
      <c r="AL678" s="197"/>
      <c r="AM678" s="197"/>
      <c r="AN678" s="197"/>
      <c r="AO678" s="195"/>
      <c r="AP678" s="195"/>
      <c r="AQ678" s="195"/>
      <c r="AR678" s="195"/>
      <c r="AS678" s="195"/>
      <c r="AT678" s="195"/>
      <c r="AU678" s="195"/>
    </row>
    <row r="679" spans="1:47" ht="9" customHeight="1" x14ac:dyDescent="0.25">
      <c r="A679" s="1355"/>
      <c r="B679" s="1326"/>
      <c r="C679" s="1269"/>
      <c r="D679" s="1269"/>
      <c r="E679" s="1272"/>
      <c r="F679" s="1269"/>
      <c r="G679" s="1269"/>
      <c r="H679" s="1269"/>
      <c r="I679" s="903"/>
      <c r="J679" s="1269"/>
      <c r="K679" s="1269"/>
      <c r="L679" s="1300"/>
      <c r="M679" s="1269"/>
      <c r="N679" s="1269"/>
      <c r="O679" s="1269"/>
      <c r="P679" s="1269"/>
      <c r="Q679" s="1269"/>
      <c r="R679" s="1269"/>
      <c r="S679" s="1269"/>
      <c r="T679" s="1269"/>
      <c r="U679" s="1269"/>
      <c r="V679" s="1269"/>
      <c r="W679" s="1269"/>
      <c r="X679" s="1269"/>
      <c r="Y679" s="1269"/>
      <c r="Z679" s="1284"/>
      <c r="AA679" s="195"/>
      <c r="AB679" s="195"/>
      <c r="AC679" s="196"/>
      <c r="AD679" s="196"/>
      <c r="AE679" s="196"/>
      <c r="AF679" s="196"/>
      <c r="AG679" s="196"/>
      <c r="AH679" s="196"/>
      <c r="AI679" s="196"/>
      <c r="AJ679" s="196"/>
      <c r="AK679" s="196"/>
      <c r="AL679" s="197"/>
      <c r="AM679" s="197"/>
      <c r="AN679" s="197"/>
      <c r="AO679" s="195"/>
      <c r="AP679" s="195"/>
      <c r="AQ679" s="195"/>
      <c r="AR679" s="195"/>
      <c r="AS679" s="195"/>
      <c r="AT679" s="195"/>
      <c r="AU679" s="195"/>
    </row>
    <row r="680" spans="1:47" ht="11.25" customHeight="1" x14ac:dyDescent="0.25">
      <c r="A680" s="1355"/>
      <c r="B680" s="1326"/>
      <c r="C680" s="1269"/>
      <c r="D680" s="1269"/>
      <c r="E680" s="1272"/>
      <c r="F680" s="1269"/>
      <c r="G680" s="1269"/>
      <c r="H680" s="1269"/>
      <c r="I680" s="903"/>
      <c r="J680" s="1269"/>
      <c r="K680" s="1269"/>
      <c r="L680" s="1300"/>
      <c r="M680" s="1269"/>
      <c r="N680" s="1269"/>
      <c r="O680" s="1269"/>
      <c r="P680" s="1269"/>
      <c r="Q680" s="1269"/>
      <c r="R680" s="1269"/>
      <c r="S680" s="1269"/>
      <c r="T680" s="1269"/>
      <c r="U680" s="1269"/>
      <c r="V680" s="1269"/>
      <c r="W680" s="1269"/>
      <c r="X680" s="1269"/>
      <c r="Y680" s="1269"/>
      <c r="Z680" s="1284"/>
      <c r="AA680" s="195"/>
      <c r="AB680" s="195"/>
      <c r="AC680" s="196"/>
      <c r="AD680" s="196"/>
      <c r="AE680" s="196"/>
      <c r="AF680" s="196"/>
      <c r="AG680" s="196"/>
      <c r="AH680" s="196"/>
      <c r="AI680" s="196"/>
      <c r="AJ680" s="196"/>
      <c r="AK680" s="196"/>
      <c r="AL680" s="197"/>
      <c r="AM680" s="197"/>
      <c r="AN680" s="197"/>
      <c r="AO680" s="195"/>
      <c r="AP680" s="195"/>
      <c r="AQ680" s="195"/>
      <c r="AR680" s="195"/>
      <c r="AS680" s="195"/>
      <c r="AT680" s="195"/>
      <c r="AU680" s="195"/>
    </row>
    <row r="681" spans="1:47" ht="12" customHeight="1" x14ac:dyDescent="0.25">
      <c r="A681" s="1355"/>
      <c r="B681" s="1326"/>
      <c r="C681" s="1269"/>
      <c r="D681" s="1269"/>
      <c r="E681" s="1272"/>
      <c r="F681" s="1269"/>
      <c r="G681" s="1269"/>
      <c r="H681" s="1269"/>
      <c r="I681" s="903"/>
      <c r="J681" s="1269"/>
      <c r="K681" s="1269"/>
      <c r="L681" s="1353"/>
      <c r="M681" s="1269"/>
      <c r="N681" s="1269"/>
      <c r="O681" s="1269"/>
      <c r="P681" s="1269"/>
      <c r="Q681" s="1269"/>
      <c r="R681" s="1269"/>
      <c r="S681" s="1269"/>
      <c r="T681" s="1269"/>
      <c r="U681" s="1269"/>
      <c r="V681" s="1269"/>
      <c r="W681" s="1269"/>
      <c r="X681" s="1269"/>
      <c r="Y681" s="1269"/>
      <c r="Z681" s="1284"/>
      <c r="AA681" s="195"/>
      <c r="AB681" s="195"/>
      <c r="AC681" s="196"/>
      <c r="AD681" s="196"/>
      <c r="AE681" s="196"/>
      <c r="AF681" s="196"/>
      <c r="AG681" s="196"/>
      <c r="AH681" s="196"/>
      <c r="AI681" s="196"/>
      <c r="AJ681" s="196"/>
      <c r="AK681" s="196"/>
      <c r="AL681" s="197"/>
      <c r="AM681" s="197"/>
      <c r="AN681" s="197"/>
      <c r="AO681" s="195"/>
      <c r="AP681" s="195"/>
      <c r="AQ681" s="195"/>
      <c r="AR681" s="195"/>
      <c r="AS681" s="195"/>
      <c r="AT681" s="195"/>
      <c r="AU681" s="195"/>
    </row>
    <row r="682" spans="1:47" ht="14.25" customHeight="1" x14ac:dyDescent="0.25">
      <c r="A682" s="1355"/>
      <c r="B682" s="1326"/>
      <c r="C682" s="1316" t="s">
        <v>363</v>
      </c>
      <c r="D682" s="199" t="s">
        <v>288</v>
      </c>
      <c r="E682" s="210">
        <v>16.05</v>
      </c>
      <c r="F682" s="198"/>
      <c r="G682" s="198"/>
      <c r="H682" s="905">
        <v>100</v>
      </c>
      <c r="I682" s="905"/>
      <c r="J682" s="905">
        <v>100</v>
      </c>
      <c r="K682" s="215">
        <f>E682</f>
        <v>16.05</v>
      </c>
      <c r="L682" s="216">
        <v>100</v>
      </c>
      <c r="M682" s="210">
        <v>100</v>
      </c>
      <c r="N682" s="905">
        <v>100</v>
      </c>
      <c r="O682" s="1272" t="s">
        <v>374</v>
      </c>
      <c r="P682" s="1316" t="s">
        <v>86</v>
      </c>
      <c r="Q682" s="1328" t="s">
        <v>86</v>
      </c>
      <c r="R682" s="1316" t="s">
        <v>86</v>
      </c>
      <c r="S682" s="1328" t="s">
        <v>290</v>
      </c>
      <c r="T682" s="1354">
        <v>192514</v>
      </c>
      <c r="U682" s="1354">
        <v>203869</v>
      </c>
      <c r="V682" s="1328"/>
      <c r="W682" s="1328" t="s">
        <v>291</v>
      </c>
      <c r="X682" s="1328" t="s">
        <v>292</v>
      </c>
      <c r="Y682" s="1328" t="s">
        <v>293</v>
      </c>
      <c r="Z682" s="1329">
        <v>7878783</v>
      </c>
      <c r="AA682" s="195"/>
      <c r="AB682" s="195"/>
      <c r="AC682" s="196"/>
      <c r="AD682" s="196"/>
      <c r="AE682" s="196"/>
      <c r="AF682" s="196"/>
      <c r="AG682" s="196"/>
      <c r="AH682" s="196"/>
      <c r="AI682" s="196"/>
      <c r="AJ682" s="196"/>
      <c r="AK682" s="196"/>
      <c r="AL682" s="197"/>
      <c r="AM682" s="197"/>
      <c r="AN682" s="197"/>
      <c r="AO682" s="195"/>
      <c r="AP682" s="195"/>
      <c r="AQ682" s="195"/>
      <c r="AR682" s="195"/>
      <c r="AS682" s="195"/>
      <c r="AT682" s="195"/>
      <c r="AU682" s="195"/>
    </row>
    <row r="683" spans="1:47" ht="14.25" customHeight="1" x14ac:dyDescent="0.25">
      <c r="A683" s="1355"/>
      <c r="B683" s="1326"/>
      <c r="C683" s="1269"/>
      <c r="D683" s="904" t="s">
        <v>296</v>
      </c>
      <c r="E683" s="905">
        <v>811155</v>
      </c>
      <c r="F683" s="198"/>
      <c r="G683" s="198"/>
      <c r="H683" s="302">
        <v>5055442.8571428573</v>
      </c>
      <c r="I683" s="302"/>
      <c r="J683" s="301">
        <f>+J682*$J$599/$J$598</f>
        <v>4610743.8190997969</v>
      </c>
      <c r="K683" s="214">
        <f>+K682*$K$599/$K$598</f>
        <v>1113541.919428162</v>
      </c>
      <c r="L683" s="300">
        <v>14684450</v>
      </c>
      <c r="M683" s="300">
        <v>5577691.5886324001</v>
      </c>
      <c r="N683" s="301">
        <v>4483126.1487663481</v>
      </c>
      <c r="O683" s="1269"/>
      <c r="P683" s="1269"/>
      <c r="Q683" s="1269"/>
      <c r="R683" s="1269"/>
      <c r="S683" s="1269"/>
      <c r="T683" s="1269"/>
      <c r="U683" s="1269"/>
      <c r="V683" s="1269"/>
      <c r="W683" s="1269"/>
      <c r="X683" s="1269"/>
      <c r="Y683" s="1269"/>
      <c r="Z683" s="1284"/>
      <c r="AA683" s="195"/>
      <c r="AB683" s="195"/>
      <c r="AC683" s="196"/>
      <c r="AD683" s="196"/>
      <c r="AE683" s="196"/>
      <c r="AF683" s="196"/>
      <c r="AG683" s="196"/>
      <c r="AH683" s="196"/>
      <c r="AI683" s="196"/>
      <c r="AJ683" s="196"/>
      <c r="AK683" s="196"/>
      <c r="AL683" s="197"/>
      <c r="AM683" s="197"/>
      <c r="AN683" s="197"/>
      <c r="AO683" s="195"/>
      <c r="AP683" s="195"/>
      <c r="AQ683" s="195"/>
      <c r="AR683" s="195"/>
      <c r="AS683" s="195"/>
      <c r="AT683" s="195"/>
      <c r="AU683" s="195"/>
    </row>
    <row r="684" spans="1:47" ht="8.25" customHeight="1" x14ac:dyDescent="0.25">
      <c r="A684" s="1355"/>
      <c r="B684" s="1326"/>
      <c r="C684" s="1269"/>
      <c r="D684" s="904" t="s">
        <v>299</v>
      </c>
      <c r="E684" s="209"/>
      <c r="F684" s="198"/>
      <c r="G684" s="198"/>
      <c r="H684" s="198"/>
      <c r="I684" s="198"/>
      <c r="J684" s="905"/>
      <c r="K684" s="209"/>
      <c r="L684" s="909"/>
      <c r="M684" s="909"/>
      <c r="N684" s="909"/>
      <c r="O684" s="1269"/>
      <c r="P684" s="1269"/>
      <c r="Q684" s="1269"/>
      <c r="R684" s="1269"/>
      <c r="S684" s="1269"/>
      <c r="T684" s="1269"/>
      <c r="U684" s="1269"/>
      <c r="V684" s="1269"/>
      <c r="W684" s="1269"/>
      <c r="X684" s="1269"/>
      <c r="Y684" s="1269"/>
      <c r="Z684" s="1284"/>
      <c r="AA684" s="195"/>
      <c r="AB684" s="195"/>
      <c r="AC684" s="196"/>
      <c r="AD684" s="196"/>
      <c r="AE684" s="196"/>
      <c r="AF684" s="196"/>
      <c r="AG684" s="196"/>
      <c r="AH684" s="196"/>
      <c r="AI684" s="196"/>
      <c r="AJ684" s="196"/>
      <c r="AK684" s="196"/>
      <c r="AL684" s="197"/>
      <c r="AM684" s="197"/>
      <c r="AN684" s="197"/>
      <c r="AO684" s="195"/>
      <c r="AP684" s="195"/>
      <c r="AQ684" s="195"/>
      <c r="AR684" s="195"/>
      <c r="AS684" s="195"/>
      <c r="AT684" s="195"/>
      <c r="AU684" s="195"/>
    </row>
    <row r="685" spans="1:47" ht="13.5" customHeight="1" x14ac:dyDescent="0.25">
      <c r="A685" s="1355"/>
      <c r="B685" s="1326"/>
      <c r="C685" s="1269"/>
      <c r="D685" s="1286" t="s">
        <v>302</v>
      </c>
      <c r="E685" s="1272"/>
      <c r="F685" s="1272"/>
      <c r="G685" s="1272"/>
      <c r="H685" s="1272"/>
      <c r="I685" s="905"/>
      <c r="J685" s="1272"/>
      <c r="K685" s="1272"/>
      <c r="L685" s="1297"/>
      <c r="M685" s="1272"/>
      <c r="N685" s="1272"/>
      <c r="O685" s="1269"/>
      <c r="P685" s="1269"/>
      <c r="Q685" s="1269"/>
      <c r="R685" s="1269"/>
      <c r="S685" s="1269"/>
      <c r="T685" s="1269"/>
      <c r="U685" s="1269"/>
      <c r="V685" s="1269"/>
      <c r="W685" s="1269"/>
      <c r="X685" s="1269"/>
      <c r="Y685" s="1269"/>
      <c r="Z685" s="1284"/>
      <c r="AA685" s="195"/>
      <c r="AB685" s="195"/>
      <c r="AC685" s="196"/>
      <c r="AD685" s="196"/>
      <c r="AE685" s="196"/>
      <c r="AF685" s="196"/>
      <c r="AG685" s="196"/>
      <c r="AH685" s="196"/>
      <c r="AI685" s="196"/>
      <c r="AJ685" s="196"/>
      <c r="AK685" s="196"/>
      <c r="AL685" s="197"/>
      <c r="AM685" s="197"/>
      <c r="AN685" s="197"/>
      <c r="AO685" s="195"/>
      <c r="AP685" s="195"/>
      <c r="AQ685" s="195"/>
      <c r="AR685" s="195"/>
      <c r="AS685" s="195"/>
      <c r="AT685" s="195"/>
      <c r="AU685" s="195"/>
    </row>
    <row r="686" spans="1:47" ht="9" customHeight="1" x14ac:dyDescent="0.25">
      <c r="A686" s="1355"/>
      <c r="B686" s="1326"/>
      <c r="C686" s="1269"/>
      <c r="D686" s="1269"/>
      <c r="E686" s="1272"/>
      <c r="F686" s="1269"/>
      <c r="G686" s="1269"/>
      <c r="H686" s="1269"/>
      <c r="I686" s="903"/>
      <c r="J686" s="1269"/>
      <c r="K686" s="1269"/>
      <c r="L686" s="1300"/>
      <c r="M686" s="1269"/>
      <c r="N686" s="1269"/>
      <c r="O686" s="1269"/>
      <c r="P686" s="1269"/>
      <c r="Q686" s="1269"/>
      <c r="R686" s="1269"/>
      <c r="S686" s="1269"/>
      <c r="T686" s="1269"/>
      <c r="U686" s="1269"/>
      <c r="V686" s="1269"/>
      <c r="W686" s="1269"/>
      <c r="X686" s="1269"/>
      <c r="Y686" s="1269"/>
      <c r="Z686" s="1284"/>
      <c r="AA686" s="195"/>
      <c r="AB686" s="195"/>
      <c r="AC686" s="196"/>
      <c r="AD686" s="196"/>
      <c r="AE686" s="196"/>
      <c r="AF686" s="196"/>
      <c r="AG686" s="196"/>
      <c r="AH686" s="196"/>
      <c r="AI686" s="196"/>
      <c r="AJ686" s="196"/>
      <c r="AK686" s="196"/>
      <c r="AL686" s="197"/>
      <c r="AM686" s="197"/>
      <c r="AN686" s="197"/>
      <c r="AO686" s="195"/>
      <c r="AP686" s="195"/>
      <c r="AQ686" s="195"/>
      <c r="AR686" s="195"/>
      <c r="AS686" s="195"/>
      <c r="AT686" s="195"/>
      <c r="AU686" s="195"/>
    </row>
    <row r="687" spans="1:47" ht="11.25" customHeight="1" x14ac:dyDescent="0.25">
      <c r="A687" s="1355"/>
      <c r="B687" s="1326"/>
      <c r="C687" s="1269"/>
      <c r="D687" s="1269"/>
      <c r="E687" s="1272"/>
      <c r="F687" s="1269"/>
      <c r="G687" s="1269"/>
      <c r="H687" s="1269"/>
      <c r="I687" s="903"/>
      <c r="J687" s="1269"/>
      <c r="K687" s="1269"/>
      <c r="L687" s="1300"/>
      <c r="M687" s="1269"/>
      <c r="N687" s="1269"/>
      <c r="O687" s="1269"/>
      <c r="P687" s="1269"/>
      <c r="Q687" s="1269"/>
      <c r="R687" s="1269"/>
      <c r="S687" s="1269"/>
      <c r="T687" s="1269"/>
      <c r="U687" s="1269"/>
      <c r="V687" s="1269"/>
      <c r="W687" s="1269"/>
      <c r="X687" s="1269"/>
      <c r="Y687" s="1269"/>
      <c r="Z687" s="1284"/>
      <c r="AA687" s="195"/>
      <c r="AB687" s="195"/>
      <c r="AC687" s="196"/>
      <c r="AD687" s="196"/>
      <c r="AE687" s="196"/>
      <c r="AF687" s="196"/>
      <c r="AG687" s="196"/>
      <c r="AH687" s="196"/>
      <c r="AI687" s="196"/>
      <c r="AJ687" s="196"/>
      <c r="AK687" s="196"/>
      <c r="AL687" s="197"/>
      <c r="AM687" s="197"/>
      <c r="AN687" s="197"/>
      <c r="AO687" s="195"/>
      <c r="AP687" s="195"/>
      <c r="AQ687" s="195"/>
      <c r="AR687" s="195"/>
      <c r="AS687" s="195"/>
      <c r="AT687" s="195"/>
      <c r="AU687" s="195"/>
    </row>
    <row r="688" spans="1:47" ht="14.25" customHeight="1" x14ac:dyDescent="0.25">
      <c r="A688" s="1355"/>
      <c r="B688" s="1326"/>
      <c r="C688" s="1269"/>
      <c r="D688" s="1269"/>
      <c r="E688" s="1272"/>
      <c r="F688" s="1269"/>
      <c r="G688" s="1269"/>
      <c r="H688" s="1269"/>
      <c r="I688" s="903"/>
      <c r="J688" s="1269"/>
      <c r="K688" s="1269"/>
      <c r="L688" s="1353"/>
      <c r="M688" s="1269"/>
      <c r="N688" s="1269"/>
      <c r="O688" s="1269"/>
      <c r="P688" s="1269"/>
      <c r="Q688" s="1269"/>
      <c r="R688" s="1269"/>
      <c r="S688" s="1269"/>
      <c r="T688" s="1269"/>
      <c r="U688" s="1269"/>
      <c r="V688" s="1269"/>
      <c r="W688" s="1269"/>
      <c r="X688" s="1269"/>
      <c r="Y688" s="1269"/>
      <c r="Z688" s="1284"/>
      <c r="AA688" s="195"/>
      <c r="AB688" s="195"/>
      <c r="AC688" s="196"/>
      <c r="AD688" s="196"/>
      <c r="AE688" s="196"/>
      <c r="AF688" s="196"/>
      <c r="AG688" s="196"/>
      <c r="AH688" s="196"/>
      <c r="AI688" s="196"/>
      <c r="AJ688" s="196"/>
      <c r="AK688" s="196"/>
      <c r="AL688" s="197"/>
      <c r="AM688" s="197"/>
      <c r="AN688" s="197"/>
      <c r="AO688" s="195"/>
      <c r="AP688" s="195"/>
      <c r="AQ688" s="195"/>
      <c r="AR688" s="195"/>
      <c r="AS688" s="195"/>
      <c r="AT688" s="195"/>
      <c r="AU688" s="195"/>
    </row>
    <row r="689" spans="1:47" ht="11.25" customHeight="1" x14ac:dyDescent="0.25">
      <c r="A689" s="1355"/>
      <c r="B689" s="1326"/>
      <c r="C689" s="1316" t="s">
        <v>363</v>
      </c>
      <c r="D689" s="199" t="s">
        <v>288</v>
      </c>
      <c r="E689" s="210">
        <v>4.96</v>
      </c>
      <c r="F689" s="198"/>
      <c r="G689" s="198"/>
      <c r="H689" s="905">
        <v>104.59</v>
      </c>
      <c r="I689" s="905"/>
      <c r="J689" s="905">
        <v>104.59</v>
      </c>
      <c r="K689" s="215">
        <f>E689</f>
        <v>4.96</v>
      </c>
      <c r="L689" s="216">
        <v>100</v>
      </c>
      <c r="M689" s="210">
        <v>104.59</v>
      </c>
      <c r="N689" s="935">
        <v>104.59</v>
      </c>
      <c r="O689" s="1272" t="s">
        <v>375</v>
      </c>
      <c r="P689" s="1316" t="s">
        <v>86</v>
      </c>
      <c r="Q689" s="1328" t="s">
        <v>86</v>
      </c>
      <c r="R689" s="1316" t="s">
        <v>86</v>
      </c>
      <c r="S689" s="1328" t="s">
        <v>290</v>
      </c>
      <c r="T689" s="1354">
        <v>164937</v>
      </c>
      <c r="U689" s="1354">
        <v>172215</v>
      </c>
      <c r="V689" s="1328"/>
      <c r="W689" s="1328" t="s">
        <v>291</v>
      </c>
      <c r="X689" s="1328" t="s">
        <v>292</v>
      </c>
      <c r="Y689" s="1328" t="s">
        <v>293</v>
      </c>
      <c r="Z689" s="1329">
        <v>7878783</v>
      </c>
      <c r="AA689" s="195"/>
      <c r="AB689" s="195"/>
      <c r="AC689" s="196"/>
      <c r="AD689" s="196"/>
      <c r="AE689" s="196"/>
      <c r="AF689" s="196"/>
      <c r="AG689" s="196"/>
      <c r="AH689" s="196"/>
      <c r="AI689" s="196"/>
      <c r="AJ689" s="196"/>
      <c r="AK689" s="196"/>
      <c r="AL689" s="197"/>
      <c r="AM689" s="197"/>
      <c r="AN689" s="197"/>
      <c r="AO689" s="195"/>
      <c r="AP689" s="195"/>
      <c r="AQ689" s="195"/>
      <c r="AR689" s="195"/>
      <c r="AS689" s="195"/>
      <c r="AT689" s="195"/>
      <c r="AU689" s="195"/>
    </row>
    <row r="690" spans="1:47" ht="11.25" customHeight="1" x14ac:dyDescent="0.25">
      <c r="A690" s="1355"/>
      <c r="B690" s="1326"/>
      <c r="C690" s="1269"/>
      <c r="D690" s="904" t="s">
        <v>296</v>
      </c>
      <c r="E690" s="905">
        <v>250811</v>
      </c>
      <c r="F690" s="198"/>
      <c r="G690" s="198"/>
      <c r="H690" s="302">
        <v>5287487.6842857143</v>
      </c>
      <c r="I690" s="302"/>
      <c r="J690" s="301">
        <f>+J689*$J$599/$J$598</f>
        <v>4822376.960396478</v>
      </c>
      <c r="K690" s="214">
        <f>+K689*$K$599/$K$598</f>
        <v>344122.61186066567</v>
      </c>
      <c r="L690" s="300">
        <v>14684450</v>
      </c>
      <c r="M690" s="300">
        <v>5833707.6325506298</v>
      </c>
      <c r="N690" s="301">
        <v>4688901.6389947236</v>
      </c>
      <c r="O690" s="1269"/>
      <c r="P690" s="1269"/>
      <c r="Q690" s="1269"/>
      <c r="R690" s="1269"/>
      <c r="S690" s="1269"/>
      <c r="T690" s="1269"/>
      <c r="U690" s="1269"/>
      <c r="V690" s="1269"/>
      <c r="W690" s="1269"/>
      <c r="X690" s="1269"/>
      <c r="Y690" s="1269"/>
      <c r="Z690" s="1284"/>
      <c r="AA690" s="195"/>
      <c r="AB690" s="195"/>
      <c r="AC690" s="196"/>
      <c r="AD690" s="196"/>
      <c r="AE690" s="196"/>
      <c r="AF690" s="196"/>
      <c r="AG690" s="196"/>
      <c r="AH690" s="196"/>
      <c r="AI690" s="196"/>
      <c r="AJ690" s="196"/>
      <c r="AK690" s="196"/>
      <c r="AL690" s="197"/>
      <c r="AM690" s="197"/>
      <c r="AN690" s="197"/>
      <c r="AO690" s="195"/>
      <c r="AP690" s="195"/>
      <c r="AQ690" s="195"/>
      <c r="AR690" s="195"/>
      <c r="AS690" s="195"/>
      <c r="AT690" s="195"/>
      <c r="AU690" s="195"/>
    </row>
    <row r="691" spans="1:47" ht="8.25" customHeight="1" x14ac:dyDescent="0.25">
      <c r="A691" s="1355"/>
      <c r="B691" s="1326"/>
      <c r="C691" s="1269"/>
      <c r="D691" s="904" t="s">
        <v>299</v>
      </c>
      <c r="E691" s="209"/>
      <c r="F691" s="198"/>
      <c r="G691" s="198"/>
      <c r="H691" s="198"/>
      <c r="I691" s="198"/>
      <c r="J691" s="905"/>
      <c r="K691" s="209"/>
      <c r="L691" s="909"/>
      <c r="M691" s="909"/>
      <c r="N691" s="909"/>
      <c r="O691" s="1269"/>
      <c r="P691" s="1269"/>
      <c r="Q691" s="1269"/>
      <c r="R691" s="1269"/>
      <c r="S691" s="1269"/>
      <c r="T691" s="1269"/>
      <c r="U691" s="1269"/>
      <c r="V691" s="1269"/>
      <c r="W691" s="1269"/>
      <c r="X691" s="1269"/>
      <c r="Y691" s="1269"/>
      <c r="Z691" s="1284"/>
      <c r="AA691" s="195"/>
      <c r="AB691" s="195"/>
      <c r="AC691" s="196"/>
      <c r="AD691" s="196"/>
      <c r="AE691" s="196"/>
      <c r="AF691" s="196"/>
      <c r="AG691" s="196"/>
      <c r="AH691" s="196"/>
      <c r="AI691" s="196"/>
      <c r="AJ691" s="196"/>
      <c r="AK691" s="196"/>
      <c r="AL691" s="197"/>
      <c r="AM691" s="197"/>
      <c r="AN691" s="197"/>
      <c r="AO691" s="195"/>
      <c r="AP691" s="195"/>
      <c r="AQ691" s="195"/>
      <c r="AR691" s="195"/>
      <c r="AS691" s="195"/>
      <c r="AT691" s="195"/>
      <c r="AU691" s="195"/>
    </row>
    <row r="692" spans="1:47" ht="13.5" customHeight="1" x14ac:dyDescent="0.25">
      <c r="A692" s="1355"/>
      <c r="B692" s="1326"/>
      <c r="C692" s="1269"/>
      <c r="D692" s="1286" t="s">
        <v>302</v>
      </c>
      <c r="E692" s="1272"/>
      <c r="F692" s="1272"/>
      <c r="G692" s="1272"/>
      <c r="H692" s="1272"/>
      <c r="I692" s="905"/>
      <c r="J692" s="1272"/>
      <c r="K692" s="1272"/>
      <c r="L692" s="1297"/>
      <c r="M692" s="1272"/>
      <c r="N692" s="1272"/>
      <c r="O692" s="1269"/>
      <c r="P692" s="1269"/>
      <c r="Q692" s="1269"/>
      <c r="R692" s="1269"/>
      <c r="S692" s="1269"/>
      <c r="T692" s="1269"/>
      <c r="U692" s="1269"/>
      <c r="V692" s="1269"/>
      <c r="W692" s="1269"/>
      <c r="X692" s="1269"/>
      <c r="Y692" s="1269"/>
      <c r="Z692" s="1284"/>
      <c r="AA692" s="195"/>
      <c r="AB692" s="195"/>
      <c r="AC692" s="196"/>
      <c r="AD692" s="196"/>
      <c r="AE692" s="196"/>
      <c r="AF692" s="196"/>
      <c r="AG692" s="196"/>
      <c r="AH692" s="196"/>
      <c r="AI692" s="196"/>
      <c r="AJ692" s="196"/>
      <c r="AK692" s="196"/>
      <c r="AL692" s="197"/>
      <c r="AM692" s="197"/>
      <c r="AN692" s="197"/>
      <c r="AO692" s="195"/>
      <c r="AP692" s="195"/>
      <c r="AQ692" s="195"/>
      <c r="AR692" s="195"/>
      <c r="AS692" s="195"/>
      <c r="AT692" s="195"/>
      <c r="AU692" s="195"/>
    </row>
    <row r="693" spans="1:47" ht="9" customHeight="1" x14ac:dyDescent="0.25">
      <c r="A693" s="1355"/>
      <c r="B693" s="1326"/>
      <c r="C693" s="1269"/>
      <c r="D693" s="1269"/>
      <c r="E693" s="1272"/>
      <c r="F693" s="1269"/>
      <c r="G693" s="1269"/>
      <c r="H693" s="1269"/>
      <c r="I693" s="903"/>
      <c r="J693" s="1269"/>
      <c r="K693" s="1269"/>
      <c r="L693" s="1300"/>
      <c r="M693" s="1269"/>
      <c r="N693" s="1269"/>
      <c r="O693" s="1269"/>
      <c r="P693" s="1269"/>
      <c r="Q693" s="1269"/>
      <c r="R693" s="1269"/>
      <c r="S693" s="1269"/>
      <c r="T693" s="1269"/>
      <c r="U693" s="1269"/>
      <c r="V693" s="1269"/>
      <c r="W693" s="1269"/>
      <c r="X693" s="1269"/>
      <c r="Y693" s="1269"/>
      <c r="Z693" s="1284"/>
      <c r="AA693" s="195"/>
      <c r="AB693" s="195"/>
      <c r="AC693" s="196"/>
      <c r="AD693" s="196"/>
      <c r="AE693" s="196"/>
      <c r="AF693" s="196"/>
      <c r="AG693" s="196"/>
      <c r="AH693" s="196"/>
      <c r="AI693" s="196"/>
      <c r="AJ693" s="196"/>
      <c r="AK693" s="196"/>
      <c r="AL693" s="197"/>
      <c r="AM693" s="197"/>
      <c r="AN693" s="197"/>
      <c r="AO693" s="195"/>
      <c r="AP693" s="195"/>
      <c r="AQ693" s="195"/>
      <c r="AR693" s="195"/>
      <c r="AS693" s="195"/>
      <c r="AT693" s="195"/>
      <c r="AU693" s="195"/>
    </row>
    <row r="694" spans="1:47" ht="11.25" customHeight="1" x14ac:dyDescent="0.25">
      <c r="A694" s="1355"/>
      <c r="B694" s="1326"/>
      <c r="C694" s="1269"/>
      <c r="D694" s="1269"/>
      <c r="E694" s="1272"/>
      <c r="F694" s="1269"/>
      <c r="G694" s="1269"/>
      <c r="H694" s="1269"/>
      <c r="I694" s="903"/>
      <c r="J694" s="1269"/>
      <c r="K694" s="1269"/>
      <c r="L694" s="1300"/>
      <c r="M694" s="1269"/>
      <c r="N694" s="1269"/>
      <c r="O694" s="1269"/>
      <c r="P694" s="1269"/>
      <c r="Q694" s="1269"/>
      <c r="R694" s="1269"/>
      <c r="S694" s="1269"/>
      <c r="T694" s="1269"/>
      <c r="U694" s="1269"/>
      <c r="V694" s="1269"/>
      <c r="W694" s="1269"/>
      <c r="X694" s="1269"/>
      <c r="Y694" s="1269"/>
      <c r="Z694" s="1284"/>
      <c r="AA694" s="195"/>
      <c r="AB694" s="195"/>
      <c r="AC694" s="196"/>
      <c r="AD694" s="196"/>
      <c r="AE694" s="196"/>
      <c r="AF694" s="196"/>
      <c r="AG694" s="196"/>
      <c r="AH694" s="196"/>
      <c r="AI694" s="196"/>
      <c r="AJ694" s="196"/>
      <c r="AK694" s="196"/>
      <c r="AL694" s="197"/>
      <c r="AM694" s="197"/>
      <c r="AN694" s="197"/>
      <c r="AO694" s="195"/>
      <c r="AP694" s="195"/>
      <c r="AQ694" s="195"/>
      <c r="AR694" s="195"/>
      <c r="AS694" s="195"/>
      <c r="AT694" s="195"/>
      <c r="AU694" s="195"/>
    </row>
    <row r="695" spans="1:47" ht="12" customHeight="1" x14ac:dyDescent="0.25">
      <c r="A695" s="1355"/>
      <c r="B695" s="1326"/>
      <c r="C695" s="1269"/>
      <c r="D695" s="1269"/>
      <c r="E695" s="1272"/>
      <c r="F695" s="1269"/>
      <c r="G695" s="1269"/>
      <c r="H695" s="1269"/>
      <c r="I695" s="903"/>
      <c r="J695" s="1269"/>
      <c r="K695" s="1269"/>
      <c r="L695" s="1353"/>
      <c r="M695" s="1269"/>
      <c r="N695" s="1269"/>
      <c r="O695" s="1269"/>
      <c r="P695" s="1269"/>
      <c r="Q695" s="1269"/>
      <c r="R695" s="1269"/>
      <c r="S695" s="1269"/>
      <c r="T695" s="1269"/>
      <c r="U695" s="1269"/>
      <c r="V695" s="1269"/>
      <c r="W695" s="1269"/>
      <c r="X695" s="1269"/>
      <c r="Y695" s="1269"/>
      <c r="Z695" s="1284"/>
      <c r="AA695" s="195"/>
      <c r="AB695" s="195"/>
      <c r="AC695" s="196"/>
      <c r="AD695" s="196"/>
      <c r="AE695" s="196"/>
      <c r="AF695" s="196"/>
      <c r="AG695" s="196"/>
      <c r="AH695" s="196"/>
      <c r="AI695" s="196"/>
      <c r="AJ695" s="196"/>
      <c r="AK695" s="196"/>
      <c r="AL695" s="197"/>
      <c r="AM695" s="197"/>
      <c r="AN695" s="197"/>
      <c r="AO695" s="195"/>
      <c r="AP695" s="195"/>
      <c r="AQ695" s="195"/>
      <c r="AR695" s="195"/>
      <c r="AS695" s="195"/>
      <c r="AT695" s="195"/>
      <c r="AU695" s="195"/>
    </row>
    <row r="696" spans="1:47" ht="11.25" customHeight="1" x14ac:dyDescent="0.25">
      <c r="A696" s="1355"/>
      <c r="B696" s="1326"/>
      <c r="C696" s="1316" t="s">
        <v>363</v>
      </c>
      <c r="D696" s="199" t="s">
        <v>288</v>
      </c>
      <c r="E696" s="210">
        <v>22.86</v>
      </c>
      <c r="F696" s="198"/>
      <c r="G696" s="198"/>
      <c r="H696" s="905">
        <v>630.28</v>
      </c>
      <c r="I696" s="905"/>
      <c r="J696" s="905">
        <v>983.59999999999991</v>
      </c>
      <c r="K696" s="215">
        <f>E696</f>
        <v>22.86</v>
      </c>
      <c r="L696" s="216">
        <v>100</v>
      </c>
      <c r="M696" s="210">
        <v>630.28</v>
      </c>
      <c r="N696" s="935">
        <v>983.59999999999991</v>
      </c>
      <c r="O696" s="1272" t="s">
        <v>376</v>
      </c>
      <c r="P696" s="1316" t="s">
        <v>86</v>
      </c>
      <c r="Q696" s="1328" t="s">
        <v>86</v>
      </c>
      <c r="R696" s="1316" t="s">
        <v>86</v>
      </c>
      <c r="S696" s="1328" t="s">
        <v>290</v>
      </c>
      <c r="T696" s="1354">
        <v>93839</v>
      </c>
      <c r="U696" s="1354">
        <v>95683</v>
      </c>
      <c r="V696" s="1328"/>
      <c r="W696" s="1328" t="s">
        <v>291</v>
      </c>
      <c r="X696" s="1328" t="s">
        <v>292</v>
      </c>
      <c r="Y696" s="1328" t="s">
        <v>293</v>
      </c>
      <c r="Z696" s="1329">
        <v>7878783</v>
      </c>
      <c r="AA696" s="195"/>
      <c r="AB696" s="195"/>
      <c r="AC696" s="196"/>
      <c r="AD696" s="196"/>
      <c r="AE696" s="196"/>
      <c r="AF696" s="196"/>
      <c r="AG696" s="196"/>
      <c r="AH696" s="196"/>
      <c r="AI696" s="196"/>
      <c r="AJ696" s="196"/>
      <c r="AK696" s="196"/>
      <c r="AL696" s="197"/>
      <c r="AM696" s="197"/>
      <c r="AN696" s="197"/>
      <c r="AO696" s="195"/>
      <c r="AP696" s="195"/>
      <c r="AQ696" s="195"/>
      <c r="AR696" s="195"/>
      <c r="AS696" s="195"/>
      <c r="AT696" s="195"/>
      <c r="AU696" s="195"/>
    </row>
    <row r="697" spans="1:47" ht="11.25" customHeight="1" x14ac:dyDescent="0.25">
      <c r="A697" s="1355"/>
      <c r="B697" s="1326"/>
      <c r="C697" s="1269"/>
      <c r="D697" s="904" t="s">
        <v>296</v>
      </c>
      <c r="E697" s="905">
        <v>1155523</v>
      </c>
      <c r="F697" s="198"/>
      <c r="G697" s="198"/>
      <c r="H697" s="302">
        <v>31863445.239999998</v>
      </c>
      <c r="I697" s="302"/>
      <c r="J697" s="301">
        <f>+J696*$J$599/$J$598</f>
        <v>45351276.204665601</v>
      </c>
      <c r="K697" s="214">
        <f>+K696*$K$599/$K$598</f>
        <v>1586016.7151481486</v>
      </c>
      <c r="L697" s="300">
        <v>14684450</v>
      </c>
      <c r="M697" s="300">
        <v>35155074.544832297</v>
      </c>
      <c r="N697" s="301">
        <v>44096028.799265802</v>
      </c>
      <c r="O697" s="1269"/>
      <c r="P697" s="1269"/>
      <c r="Q697" s="1269"/>
      <c r="R697" s="1269"/>
      <c r="S697" s="1269"/>
      <c r="T697" s="1269"/>
      <c r="U697" s="1269"/>
      <c r="V697" s="1269"/>
      <c r="W697" s="1269"/>
      <c r="X697" s="1269"/>
      <c r="Y697" s="1269"/>
      <c r="Z697" s="1284"/>
      <c r="AA697" s="195"/>
      <c r="AB697" s="195"/>
      <c r="AC697" s="196"/>
      <c r="AD697" s="196"/>
      <c r="AE697" s="196"/>
      <c r="AF697" s="196"/>
      <c r="AG697" s="196"/>
      <c r="AH697" s="196"/>
      <c r="AI697" s="196"/>
      <c r="AJ697" s="196"/>
      <c r="AK697" s="196"/>
      <c r="AL697" s="197"/>
      <c r="AM697" s="197"/>
      <c r="AN697" s="197"/>
      <c r="AO697" s="195"/>
      <c r="AP697" s="195"/>
      <c r="AQ697" s="195"/>
      <c r="AR697" s="195"/>
      <c r="AS697" s="195"/>
      <c r="AT697" s="195"/>
      <c r="AU697" s="195"/>
    </row>
    <row r="698" spans="1:47" ht="8.25" customHeight="1" x14ac:dyDescent="0.25">
      <c r="A698" s="1355"/>
      <c r="B698" s="1326"/>
      <c r="C698" s="1269"/>
      <c r="D698" s="904" t="s">
        <v>299</v>
      </c>
      <c r="E698" s="209"/>
      <c r="F698" s="198"/>
      <c r="G698" s="198"/>
      <c r="H698" s="198"/>
      <c r="I698" s="198"/>
      <c r="J698" s="905"/>
      <c r="K698" s="209"/>
      <c r="L698" s="909"/>
      <c r="M698" s="909"/>
      <c r="N698" s="909"/>
      <c r="O698" s="1269"/>
      <c r="P698" s="1269"/>
      <c r="Q698" s="1269"/>
      <c r="R698" s="1269"/>
      <c r="S698" s="1269"/>
      <c r="T698" s="1269"/>
      <c r="U698" s="1269"/>
      <c r="V698" s="1269"/>
      <c r="W698" s="1269"/>
      <c r="X698" s="1269"/>
      <c r="Y698" s="1269"/>
      <c r="Z698" s="1284"/>
      <c r="AA698" s="195"/>
      <c r="AB698" s="195"/>
      <c r="AC698" s="196"/>
      <c r="AD698" s="196"/>
      <c r="AE698" s="196"/>
      <c r="AF698" s="196"/>
      <c r="AG698" s="196"/>
      <c r="AH698" s="196"/>
      <c r="AI698" s="196"/>
      <c r="AJ698" s="196"/>
      <c r="AK698" s="196"/>
      <c r="AL698" s="197"/>
      <c r="AM698" s="197"/>
      <c r="AN698" s="197"/>
      <c r="AO698" s="195"/>
      <c r="AP698" s="195"/>
      <c r="AQ698" s="195"/>
      <c r="AR698" s="195"/>
      <c r="AS698" s="195"/>
      <c r="AT698" s="195"/>
      <c r="AU698" s="195"/>
    </row>
    <row r="699" spans="1:47" ht="13.5" customHeight="1" x14ac:dyDescent="0.25">
      <c r="A699" s="1355"/>
      <c r="B699" s="1326"/>
      <c r="C699" s="1269"/>
      <c r="D699" s="1286" t="s">
        <v>302</v>
      </c>
      <c r="E699" s="1272"/>
      <c r="F699" s="1272"/>
      <c r="G699" s="1272"/>
      <c r="H699" s="1272"/>
      <c r="I699" s="905"/>
      <c r="J699" s="1272"/>
      <c r="K699" s="1272"/>
      <c r="L699" s="1297"/>
      <c r="M699" s="1272"/>
      <c r="N699" s="1272"/>
      <c r="O699" s="1269"/>
      <c r="P699" s="1269"/>
      <c r="Q699" s="1269"/>
      <c r="R699" s="1269"/>
      <c r="S699" s="1269"/>
      <c r="T699" s="1269"/>
      <c r="U699" s="1269"/>
      <c r="V699" s="1269"/>
      <c r="W699" s="1269"/>
      <c r="X699" s="1269"/>
      <c r="Y699" s="1269"/>
      <c r="Z699" s="1284"/>
      <c r="AA699" s="195"/>
      <c r="AB699" s="195"/>
      <c r="AC699" s="196"/>
      <c r="AD699" s="196"/>
      <c r="AE699" s="196"/>
      <c r="AF699" s="196"/>
      <c r="AG699" s="196"/>
      <c r="AH699" s="196"/>
      <c r="AI699" s="196"/>
      <c r="AJ699" s="196"/>
      <c r="AK699" s="196"/>
      <c r="AL699" s="197"/>
      <c r="AM699" s="197"/>
      <c r="AN699" s="197"/>
      <c r="AO699" s="195"/>
      <c r="AP699" s="195"/>
      <c r="AQ699" s="195"/>
      <c r="AR699" s="195"/>
      <c r="AS699" s="195"/>
      <c r="AT699" s="195"/>
      <c r="AU699" s="195"/>
    </row>
    <row r="700" spans="1:47" ht="9" customHeight="1" x14ac:dyDescent="0.25">
      <c r="A700" s="1355"/>
      <c r="B700" s="1326"/>
      <c r="C700" s="1269"/>
      <c r="D700" s="1269"/>
      <c r="E700" s="1272"/>
      <c r="F700" s="1269"/>
      <c r="G700" s="1269"/>
      <c r="H700" s="1269"/>
      <c r="I700" s="903"/>
      <c r="J700" s="1269"/>
      <c r="K700" s="1269"/>
      <c r="L700" s="1300"/>
      <c r="M700" s="1269"/>
      <c r="N700" s="1269"/>
      <c r="O700" s="1269"/>
      <c r="P700" s="1269"/>
      <c r="Q700" s="1269"/>
      <c r="R700" s="1269"/>
      <c r="S700" s="1269"/>
      <c r="T700" s="1269"/>
      <c r="U700" s="1269"/>
      <c r="V700" s="1269"/>
      <c r="W700" s="1269"/>
      <c r="X700" s="1269"/>
      <c r="Y700" s="1269"/>
      <c r="Z700" s="1284"/>
      <c r="AA700" s="195"/>
      <c r="AB700" s="195"/>
      <c r="AC700" s="196"/>
      <c r="AD700" s="196"/>
      <c r="AE700" s="196"/>
      <c r="AF700" s="196"/>
      <c r="AG700" s="196"/>
      <c r="AH700" s="196"/>
      <c r="AI700" s="196"/>
      <c r="AJ700" s="196"/>
      <c r="AK700" s="196"/>
      <c r="AL700" s="197"/>
      <c r="AM700" s="197"/>
      <c r="AN700" s="197"/>
      <c r="AO700" s="195"/>
      <c r="AP700" s="195"/>
      <c r="AQ700" s="195"/>
      <c r="AR700" s="195"/>
      <c r="AS700" s="195"/>
      <c r="AT700" s="195"/>
      <c r="AU700" s="195"/>
    </row>
    <row r="701" spans="1:47" ht="14.25" customHeight="1" x14ac:dyDescent="0.25">
      <c r="A701" s="1355"/>
      <c r="B701" s="1326"/>
      <c r="C701" s="1269"/>
      <c r="D701" s="1269"/>
      <c r="E701" s="1272"/>
      <c r="F701" s="1269"/>
      <c r="G701" s="1269"/>
      <c r="H701" s="1269"/>
      <c r="I701" s="903"/>
      <c r="J701" s="1269"/>
      <c r="K701" s="1269"/>
      <c r="L701" s="1300"/>
      <c r="M701" s="1269"/>
      <c r="N701" s="1269"/>
      <c r="O701" s="1269"/>
      <c r="P701" s="1269"/>
      <c r="Q701" s="1269"/>
      <c r="R701" s="1269"/>
      <c r="S701" s="1269"/>
      <c r="T701" s="1269"/>
      <c r="U701" s="1269"/>
      <c r="V701" s="1269"/>
      <c r="W701" s="1269"/>
      <c r="X701" s="1269"/>
      <c r="Y701" s="1269"/>
      <c r="Z701" s="1284"/>
      <c r="AA701" s="195"/>
      <c r="AB701" s="195"/>
      <c r="AC701" s="196"/>
      <c r="AD701" s="196"/>
      <c r="AE701" s="196"/>
      <c r="AF701" s="196"/>
      <c r="AG701" s="196"/>
      <c r="AH701" s="196"/>
      <c r="AI701" s="196"/>
      <c r="AJ701" s="196"/>
      <c r="AK701" s="196"/>
      <c r="AL701" s="197"/>
      <c r="AM701" s="197"/>
      <c r="AN701" s="197"/>
      <c r="AO701" s="195"/>
      <c r="AP701" s="195"/>
      <c r="AQ701" s="195"/>
      <c r="AR701" s="195"/>
      <c r="AS701" s="195"/>
      <c r="AT701" s="195"/>
      <c r="AU701" s="195"/>
    </row>
    <row r="702" spans="1:47" ht="14.25" customHeight="1" x14ac:dyDescent="0.25">
      <c r="A702" s="1355"/>
      <c r="B702" s="1326"/>
      <c r="C702" s="1269"/>
      <c r="D702" s="1269"/>
      <c r="E702" s="1272"/>
      <c r="F702" s="1269"/>
      <c r="G702" s="1269"/>
      <c r="H702" s="1269"/>
      <c r="I702" s="903"/>
      <c r="J702" s="1269"/>
      <c r="K702" s="1269"/>
      <c r="L702" s="1353"/>
      <c r="M702" s="1269"/>
      <c r="N702" s="1269"/>
      <c r="O702" s="1269"/>
      <c r="P702" s="1269"/>
      <c r="Q702" s="1269"/>
      <c r="R702" s="1269"/>
      <c r="S702" s="1269"/>
      <c r="T702" s="1269"/>
      <c r="U702" s="1269"/>
      <c r="V702" s="1269"/>
      <c r="W702" s="1269"/>
      <c r="X702" s="1269"/>
      <c r="Y702" s="1269"/>
      <c r="Z702" s="1284"/>
      <c r="AA702" s="195"/>
      <c r="AB702" s="195"/>
      <c r="AC702" s="196"/>
      <c r="AD702" s="196"/>
      <c r="AE702" s="196"/>
      <c r="AF702" s="196"/>
      <c r="AG702" s="196"/>
      <c r="AH702" s="196"/>
      <c r="AI702" s="196"/>
      <c r="AJ702" s="196"/>
      <c r="AK702" s="196"/>
      <c r="AL702" s="197"/>
      <c r="AM702" s="197"/>
      <c r="AN702" s="197"/>
      <c r="AO702" s="195"/>
      <c r="AP702" s="195"/>
      <c r="AQ702" s="195"/>
      <c r="AR702" s="195"/>
      <c r="AS702" s="195"/>
      <c r="AT702" s="195"/>
      <c r="AU702" s="195"/>
    </row>
    <row r="703" spans="1:47" ht="11.25" customHeight="1" x14ac:dyDescent="0.25">
      <c r="A703" s="1355"/>
      <c r="B703" s="1326"/>
      <c r="C703" s="1316" t="s">
        <v>363</v>
      </c>
      <c r="D703" s="199" t="s">
        <v>288</v>
      </c>
      <c r="E703" s="210">
        <v>2.13</v>
      </c>
      <c r="F703" s="198"/>
      <c r="G703" s="198"/>
      <c r="H703" s="905">
        <v>101.61</v>
      </c>
      <c r="I703" s="905"/>
      <c r="J703" s="905">
        <v>107.61</v>
      </c>
      <c r="K703" s="215">
        <f>E703</f>
        <v>2.13</v>
      </c>
      <c r="L703" s="216">
        <v>100</v>
      </c>
      <c r="M703" s="210">
        <v>101.61</v>
      </c>
      <c r="N703" s="905">
        <v>128.666</v>
      </c>
      <c r="O703" s="1272" t="s">
        <v>357</v>
      </c>
      <c r="P703" s="1316" t="s">
        <v>86</v>
      </c>
      <c r="Q703" s="1328" t="s">
        <v>86</v>
      </c>
      <c r="R703" s="1316" t="s">
        <v>86</v>
      </c>
      <c r="S703" s="1328" t="s">
        <v>290</v>
      </c>
      <c r="T703" s="1354">
        <v>345676</v>
      </c>
      <c r="U703" s="1354">
        <v>363363</v>
      </c>
      <c r="V703" s="1350"/>
      <c r="W703" s="1328" t="s">
        <v>291</v>
      </c>
      <c r="X703" s="1328" t="s">
        <v>292</v>
      </c>
      <c r="Y703" s="1328" t="s">
        <v>293</v>
      </c>
      <c r="Z703" s="1329">
        <v>7878783</v>
      </c>
      <c r="AA703" s="195"/>
      <c r="AB703" s="195"/>
      <c r="AC703" s="196"/>
      <c r="AD703" s="196"/>
      <c r="AE703" s="196"/>
      <c r="AF703" s="196"/>
      <c r="AG703" s="196"/>
      <c r="AH703" s="196"/>
      <c r="AI703" s="196"/>
      <c r="AJ703" s="196"/>
      <c r="AK703" s="196"/>
      <c r="AL703" s="197"/>
      <c r="AM703" s="197"/>
      <c r="AN703" s="197"/>
      <c r="AO703" s="195"/>
      <c r="AP703" s="195"/>
      <c r="AQ703" s="195"/>
      <c r="AR703" s="195"/>
      <c r="AS703" s="195"/>
      <c r="AT703" s="195"/>
      <c r="AU703" s="195"/>
    </row>
    <row r="704" spans="1:47" ht="11.25" customHeight="1" x14ac:dyDescent="0.25">
      <c r="A704" s="1355"/>
      <c r="B704" s="1326"/>
      <c r="C704" s="1269"/>
      <c r="D704" s="904" t="s">
        <v>296</v>
      </c>
      <c r="E704" s="905">
        <v>107490</v>
      </c>
      <c r="F704" s="198"/>
      <c r="G704" s="198"/>
      <c r="H704" s="302">
        <v>5136835.4871428572</v>
      </c>
      <c r="I704" s="302"/>
      <c r="J704" s="301">
        <f>+J703*$J$599/$J$598</f>
        <v>4961621.4237332921</v>
      </c>
      <c r="K704" s="214">
        <f>+K703*$K$599/$K$598</f>
        <v>147778.46033532618</v>
      </c>
      <c r="L704" s="300">
        <v>14684450</v>
      </c>
      <c r="M704" s="300">
        <v>5667492.4232093804</v>
      </c>
      <c r="N704" s="301">
        <v>5768259.0905717099</v>
      </c>
      <c r="O704" s="1269"/>
      <c r="P704" s="1269"/>
      <c r="Q704" s="1269"/>
      <c r="R704" s="1269"/>
      <c r="S704" s="1269"/>
      <c r="T704" s="1269"/>
      <c r="U704" s="1269"/>
      <c r="V704" s="1343"/>
      <c r="W704" s="1269"/>
      <c r="X704" s="1269"/>
      <c r="Y704" s="1269"/>
      <c r="Z704" s="1284"/>
      <c r="AA704" s="195"/>
      <c r="AB704" s="195"/>
      <c r="AC704" s="196"/>
      <c r="AD704" s="196"/>
      <c r="AE704" s="196"/>
      <c r="AF704" s="196"/>
      <c r="AG704" s="196"/>
      <c r="AH704" s="196"/>
      <c r="AI704" s="196"/>
      <c r="AJ704" s="196"/>
      <c r="AK704" s="196"/>
      <c r="AL704" s="197"/>
      <c r="AM704" s="197"/>
      <c r="AN704" s="197"/>
      <c r="AO704" s="195"/>
      <c r="AP704" s="195"/>
      <c r="AQ704" s="195"/>
      <c r="AR704" s="195"/>
      <c r="AS704" s="195"/>
      <c r="AT704" s="195"/>
      <c r="AU704" s="195"/>
    </row>
    <row r="705" spans="1:47" ht="8.25" customHeight="1" x14ac:dyDescent="0.25">
      <c r="A705" s="1355"/>
      <c r="B705" s="1326"/>
      <c r="C705" s="1269"/>
      <c r="D705" s="904" t="s">
        <v>299</v>
      </c>
      <c r="E705" s="209"/>
      <c r="F705" s="198"/>
      <c r="G705" s="198"/>
      <c r="H705" s="198"/>
      <c r="I705" s="198"/>
      <c r="J705" s="905"/>
      <c r="K705" s="209"/>
      <c r="L705" s="909"/>
      <c r="M705" s="909"/>
      <c r="N705" s="909"/>
      <c r="O705" s="1269"/>
      <c r="P705" s="1269"/>
      <c r="Q705" s="1269"/>
      <c r="R705" s="1269"/>
      <c r="S705" s="1269"/>
      <c r="T705" s="1269"/>
      <c r="U705" s="1269"/>
      <c r="V705" s="1343"/>
      <c r="W705" s="1269"/>
      <c r="X705" s="1269"/>
      <c r="Y705" s="1269"/>
      <c r="Z705" s="1284"/>
      <c r="AA705" s="195"/>
      <c r="AB705" s="195"/>
      <c r="AC705" s="196"/>
      <c r="AD705" s="196"/>
      <c r="AE705" s="196"/>
      <c r="AF705" s="196"/>
      <c r="AG705" s="196"/>
      <c r="AH705" s="196"/>
      <c r="AI705" s="196"/>
      <c r="AJ705" s="196"/>
      <c r="AK705" s="196"/>
      <c r="AL705" s="197"/>
      <c r="AM705" s="197"/>
      <c r="AN705" s="197"/>
      <c r="AO705" s="195"/>
      <c r="AP705" s="195"/>
      <c r="AQ705" s="195"/>
      <c r="AR705" s="195"/>
      <c r="AS705" s="195"/>
      <c r="AT705" s="195"/>
      <c r="AU705" s="195"/>
    </row>
    <row r="706" spans="1:47" ht="13.5" customHeight="1" x14ac:dyDescent="0.25">
      <c r="A706" s="1355"/>
      <c r="B706" s="1326"/>
      <c r="C706" s="1269"/>
      <c r="D706" s="1286" t="s">
        <v>302</v>
      </c>
      <c r="E706" s="1272"/>
      <c r="F706" s="1272"/>
      <c r="G706" s="1272"/>
      <c r="H706" s="1272"/>
      <c r="I706" s="905"/>
      <c r="J706" s="1272"/>
      <c r="K706" s="1272"/>
      <c r="L706" s="1297"/>
      <c r="M706" s="1272"/>
      <c r="N706" s="1272"/>
      <c r="O706" s="1269"/>
      <c r="P706" s="1269"/>
      <c r="Q706" s="1269"/>
      <c r="R706" s="1269"/>
      <c r="S706" s="1269"/>
      <c r="T706" s="1269"/>
      <c r="U706" s="1269"/>
      <c r="V706" s="1343"/>
      <c r="W706" s="1269"/>
      <c r="X706" s="1269"/>
      <c r="Y706" s="1269"/>
      <c r="Z706" s="1284"/>
      <c r="AA706" s="195"/>
      <c r="AB706" s="195"/>
      <c r="AC706" s="196"/>
      <c r="AD706" s="196"/>
      <c r="AE706" s="196"/>
      <c r="AF706" s="196"/>
      <c r="AG706" s="196"/>
      <c r="AH706" s="196"/>
      <c r="AI706" s="196"/>
      <c r="AJ706" s="196"/>
      <c r="AK706" s="196"/>
      <c r="AL706" s="197"/>
      <c r="AM706" s="197"/>
      <c r="AN706" s="197"/>
      <c r="AO706" s="195"/>
      <c r="AP706" s="195"/>
      <c r="AQ706" s="195"/>
      <c r="AR706" s="195"/>
      <c r="AS706" s="195"/>
      <c r="AT706" s="195"/>
      <c r="AU706" s="195"/>
    </row>
    <row r="707" spans="1:47" ht="9" customHeight="1" x14ac:dyDescent="0.25">
      <c r="A707" s="1355"/>
      <c r="B707" s="1326"/>
      <c r="C707" s="1269"/>
      <c r="D707" s="1269"/>
      <c r="E707" s="1272"/>
      <c r="F707" s="1269"/>
      <c r="G707" s="1269"/>
      <c r="H707" s="1269"/>
      <c r="I707" s="903"/>
      <c r="J707" s="1269"/>
      <c r="K707" s="1269"/>
      <c r="L707" s="1300"/>
      <c r="M707" s="1269"/>
      <c r="N707" s="1269"/>
      <c r="O707" s="1269"/>
      <c r="P707" s="1269"/>
      <c r="Q707" s="1269"/>
      <c r="R707" s="1269"/>
      <c r="S707" s="1269"/>
      <c r="T707" s="1269"/>
      <c r="U707" s="1269"/>
      <c r="V707" s="1343"/>
      <c r="W707" s="1269"/>
      <c r="X707" s="1269"/>
      <c r="Y707" s="1269"/>
      <c r="Z707" s="1284"/>
      <c r="AA707" s="195"/>
      <c r="AB707" s="195"/>
      <c r="AC707" s="196"/>
      <c r="AD707" s="196"/>
      <c r="AE707" s="196"/>
      <c r="AF707" s="196"/>
      <c r="AG707" s="196"/>
      <c r="AH707" s="196"/>
      <c r="AI707" s="196"/>
      <c r="AJ707" s="196"/>
      <c r="AK707" s="196"/>
      <c r="AL707" s="197"/>
      <c r="AM707" s="197"/>
      <c r="AN707" s="197"/>
      <c r="AO707" s="195"/>
      <c r="AP707" s="195"/>
      <c r="AQ707" s="195"/>
      <c r="AR707" s="195"/>
      <c r="AS707" s="195"/>
      <c r="AT707" s="195"/>
      <c r="AU707" s="195"/>
    </row>
    <row r="708" spans="1:47" ht="11.25" customHeight="1" x14ac:dyDescent="0.25">
      <c r="A708" s="1355"/>
      <c r="B708" s="1326"/>
      <c r="C708" s="1269"/>
      <c r="D708" s="1269"/>
      <c r="E708" s="1272"/>
      <c r="F708" s="1269"/>
      <c r="G708" s="1269"/>
      <c r="H708" s="1269"/>
      <c r="I708" s="903"/>
      <c r="J708" s="1269"/>
      <c r="K708" s="1269"/>
      <c r="L708" s="1300"/>
      <c r="M708" s="1269"/>
      <c r="N708" s="1269"/>
      <c r="O708" s="1269"/>
      <c r="P708" s="1269"/>
      <c r="Q708" s="1269"/>
      <c r="R708" s="1269"/>
      <c r="S708" s="1269"/>
      <c r="T708" s="1269"/>
      <c r="U708" s="1269"/>
      <c r="V708" s="1343"/>
      <c r="W708" s="1269"/>
      <c r="X708" s="1269"/>
      <c r="Y708" s="1269"/>
      <c r="Z708" s="1284"/>
      <c r="AA708" s="195"/>
      <c r="AB708" s="195"/>
      <c r="AC708" s="196"/>
      <c r="AD708" s="196"/>
      <c r="AE708" s="196"/>
      <c r="AF708" s="196"/>
      <c r="AG708" s="196"/>
      <c r="AH708" s="196"/>
      <c r="AI708" s="196"/>
      <c r="AJ708" s="196"/>
      <c r="AK708" s="196"/>
      <c r="AL708" s="197"/>
      <c r="AM708" s="197"/>
      <c r="AN708" s="197"/>
      <c r="AO708" s="195"/>
      <c r="AP708" s="195"/>
      <c r="AQ708" s="195"/>
      <c r="AR708" s="195"/>
      <c r="AS708" s="195"/>
      <c r="AT708" s="195"/>
      <c r="AU708" s="195"/>
    </row>
    <row r="709" spans="1:47" ht="12" customHeight="1" x14ac:dyDescent="0.25">
      <c r="A709" s="1355"/>
      <c r="B709" s="1326"/>
      <c r="C709" s="1269"/>
      <c r="D709" s="1269"/>
      <c r="E709" s="1272"/>
      <c r="F709" s="1269"/>
      <c r="G709" s="1269"/>
      <c r="H709" s="1269"/>
      <c r="I709" s="903"/>
      <c r="J709" s="1269"/>
      <c r="K709" s="1269"/>
      <c r="L709" s="1353"/>
      <c r="M709" s="1269"/>
      <c r="N709" s="1269"/>
      <c r="O709" s="1269"/>
      <c r="P709" s="1269"/>
      <c r="Q709" s="1269"/>
      <c r="R709" s="1269"/>
      <c r="S709" s="1269"/>
      <c r="T709" s="1269"/>
      <c r="U709" s="1269"/>
      <c r="V709" s="1343"/>
      <c r="W709" s="1269"/>
      <c r="X709" s="1269"/>
      <c r="Y709" s="1269"/>
      <c r="Z709" s="1284"/>
      <c r="AA709" s="195"/>
      <c r="AB709" s="195"/>
      <c r="AC709" s="196"/>
      <c r="AD709" s="196"/>
      <c r="AE709" s="196"/>
      <c r="AF709" s="196"/>
      <c r="AG709" s="196"/>
      <c r="AH709" s="196"/>
      <c r="AI709" s="196"/>
      <c r="AJ709" s="196"/>
      <c r="AK709" s="196"/>
      <c r="AL709" s="197"/>
      <c r="AM709" s="197"/>
      <c r="AN709" s="197"/>
      <c r="AO709" s="195"/>
      <c r="AP709" s="195"/>
      <c r="AQ709" s="195"/>
      <c r="AR709" s="195"/>
      <c r="AS709" s="195"/>
      <c r="AT709" s="195"/>
      <c r="AU709" s="195"/>
    </row>
    <row r="710" spans="1:47" ht="11.25" customHeight="1" x14ac:dyDescent="0.25">
      <c r="A710" s="1355"/>
      <c r="B710" s="1326"/>
      <c r="C710" s="1316" t="s">
        <v>363</v>
      </c>
      <c r="D710" s="199" t="s">
        <v>288</v>
      </c>
      <c r="E710" s="210">
        <v>166.31</v>
      </c>
      <c r="F710" s="198"/>
      <c r="G710" s="198"/>
      <c r="H710" s="905">
        <v>119.5</v>
      </c>
      <c r="I710" s="905"/>
      <c r="J710" s="905">
        <v>178.16</v>
      </c>
      <c r="K710" s="215">
        <f>E710</f>
        <v>166.31</v>
      </c>
      <c r="L710" s="216">
        <v>100</v>
      </c>
      <c r="M710" s="210">
        <v>119.5</v>
      </c>
      <c r="N710" s="935">
        <v>178.27600000000001</v>
      </c>
      <c r="O710" s="1272" t="s">
        <v>377</v>
      </c>
      <c r="P710" s="1316" t="s">
        <v>86</v>
      </c>
      <c r="Q710" s="1328" t="s">
        <v>86</v>
      </c>
      <c r="R710" s="1316" t="s">
        <v>86</v>
      </c>
      <c r="S710" s="1328" t="s">
        <v>290</v>
      </c>
      <c r="T710" s="1354">
        <v>578977</v>
      </c>
      <c r="U710" s="1354">
        <v>608338</v>
      </c>
      <c r="V710" s="1328"/>
      <c r="W710" s="1328" t="s">
        <v>291</v>
      </c>
      <c r="X710" s="1328" t="s">
        <v>292</v>
      </c>
      <c r="Y710" s="1328" t="s">
        <v>293</v>
      </c>
      <c r="Z710" s="1329">
        <v>7878783</v>
      </c>
      <c r="AA710" s="195"/>
      <c r="AB710" s="195"/>
      <c r="AC710" s="196"/>
      <c r="AD710" s="196"/>
      <c r="AE710" s="196"/>
      <c r="AF710" s="196"/>
      <c r="AG710" s="196"/>
      <c r="AH710" s="196"/>
      <c r="AI710" s="196"/>
      <c r="AJ710" s="196"/>
      <c r="AK710" s="196"/>
      <c r="AL710" s="197"/>
      <c r="AM710" s="197"/>
      <c r="AN710" s="197"/>
      <c r="AO710" s="195"/>
      <c r="AP710" s="195"/>
      <c r="AQ710" s="195"/>
      <c r="AR710" s="195"/>
      <c r="AS710" s="195"/>
      <c r="AT710" s="195"/>
      <c r="AU710" s="195"/>
    </row>
    <row r="711" spans="1:47" ht="11.25" customHeight="1" x14ac:dyDescent="0.25">
      <c r="A711" s="1355"/>
      <c r="B711" s="1326"/>
      <c r="C711" s="1269"/>
      <c r="D711" s="904" t="s">
        <v>296</v>
      </c>
      <c r="E711" s="905">
        <v>8407646</v>
      </c>
      <c r="F711" s="198"/>
      <c r="G711" s="198"/>
      <c r="H711" s="302">
        <v>6041254.2142857146</v>
      </c>
      <c r="I711" s="302"/>
      <c r="J711" s="301">
        <f>+J710*$J$599/$J$598</f>
        <v>8214501.1881081983</v>
      </c>
      <c r="K711" s="214">
        <f>+K710*$K$599/$K$598</f>
        <v>11538514.431158731</v>
      </c>
      <c r="L711" s="300">
        <v>14684450</v>
      </c>
      <c r="M711" s="300">
        <v>6665341.4484157199</v>
      </c>
      <c r="N711" s="301">
        <v>7992337.9729746999</v>
      </c>
      <c r="O711" s="1269"/>
      <c r="P711" s="1269"/>
      <c r="Q711" s="1269"/>
      <c r="R711" s="1269"/>
      <c r="S711" s="1269"/>
      <c r="T711" s="1269"/>
      <c r="U711" s="1269"/>
      <c r="V711" s="1269"/>
      <c r="W711" s="1269"/>
      <c r="X711" s="1269"/>
      <c r="Y711" s="1269"/>
      <c r="Z711" s="1284"/>
      <c r="AA711" s="195"/>
      <c r="AB711" s="195"/>
      <c r="AC711" s="196"/>
      <c r="AD711" s="196"/>
      <c r="AE711" s="196"/>
      <c r="AF711" s="196"/>
      <c r="AG711" s="196"/>
      <c r="AH711" s="196"/>
      <c r="AI711" s="196"/>
      <c r="AJ711" s="196"/>
      <c r="AK711" s="196"/>
      <c r="AL711" s="197"/>
      <c r="AM711" s="197"/>
      <c r="AN711" s="197"/>
      <c r="AO711" s="195"/>
      <c r="AP711" s="195"/>
      <c r="AQ711" s="195"/>
      <c r="AR711" s="195"/>
      <c r="AS711" s="195"/>
      <c r="AT711" s="195"/>
      <c r="AU711" s="195"/>
    </row>
    <row r="712" spans="1:47" ht="8.25" customHeight="1" x14ac:dyDescent="0.25">
      <c r="A712" s="1355"/>
      <c r="B712" s="1326"/>
      <c r="C712" s="1269"/>
      <c r="D712" s="904" t="s">
        <v>299</v>
      </c>
      <c r="E712" s="209"/>
      <c r="F712" s="198"/>
      <c r="G712" s="198"/>
      <c r="H712" s="198"/>
      <c r="I712" s="198"/>
      <c r="J712" s="905"/>
      <c r="K712" s="209"/>
      <c r="L712" s="909"/>
      <c r="M712" s="909"/>
      <c r="N712" s="909"/>
      <c r="O712" s="1269"/>
      <c r="P712" s="1269"/>
      <c r="Q712" s="1269"/>
      <c r="R712" s="1269"/>
      <c r="S712" s="1269"/>
      <c r="T712" s="1269"/>
      <c r="U712" s="1269"/>
      <c r="V712" s="1269"/>
      <c r="W712" s="1269"/>
      <c r="X712" s="1269"/>
      <c r="Y712" s="1269"/>
      <c r="Z712" s="1284"/>
      <c r="AA712" s="195"/>
      <c r="AB712" s="195"/>
      <c r="AC712" s="196"/>
      <c r="AD712" s="196"/>
      <c r="AE712" s="196"/>
      <c r="AF712" s="196"/>
      <c r="AG712" s="196"/>
      <c r="AH712" s="196"/>
      <c r="AI712" s="196"/>
      <c r="AJ712" s="196"/>
      <c r="AK712" s="196"/>
      <c r="AL712" s="197"/>
      <c r="AM712" s="197"/>
      <c r="AN712" s="197"/>
      <c r="AO712" s="195"/>
      <c r="AP712" s="195"/>
      <c r="AQ712" s="195"/>
      <c r="AR712" s="195"/>
      <c r="AS712" s="195"/>
      <c r="AT712" s="195"/>
      <c r="AU712" s="195"/>
    </row>
    <row r="713" spans="1:47" ht="13.5" customHeight="1" x14ac:dyDescent="0.25">
      <c r="A713" s="1355"/>
      <c r="B713" s="1326"/>
      <c r="C713" s="1269"/>
      <c r="D713" s="1286" t="s">
        <v>302</v>
      </c>
      <c r="E713" s="1272"/>
      <c r="F713" s="1272"/>
      <c r="G713" s="1272"/>
      <c r="H713" s="1272"/>
      <c r="I713" s="905"/>
      <c r="J713" s="1272"/>
      <c r="K713" s="1272"/>
      <c r="L713" s="1297"/>
      <c r="M713" s="1272"/>
      <c r="N713" s="1272"/>
      <c r="O713" s="1269"/>
      <c r="P713" s="1269"/>
      <c r="Q713" s="1269"/>
      <c r="R713" s="1269"/>
      <c r="S713" s="1269"/>
      <c r="T713" s="1269"/>
      <c r="U713" s="1269"/>
      <c r="V713" s="1269"/>
      <c r="W713" s="1269"/>
      <c r="X713" s="1269"/>
      <c r="Y713" s="1269"/>
      <c r="Z713" s="1284"/>
      <c r="AA713" s="195"/>
      <c r="AB713" s="195"/>
      <c r="AC713" s="196"/>
      <c r="AD713" s="196"/>
      <c r="AE713" s="196"/>
      <c r="AF713" s="196"/>
      <c r="AG713" s="196"/>
      <c r="AH713" s="196"/>
      <c r="AI713" s="196"/>
      <c r="AJ713" s="196"/>
      <c r="AK713" s="196"/>
      <c r="AL713" s="197"/>
      <c r="AM713" s="197"/>
      <c r="AN713" s="197"/>
      <c r="AO713" s="195"/>
      <c r="AP713" s="195"/>
      <c r="AQ713" s="195"/>
      <c r="AR713" s="195"/>
      <c r="AS713" s="195"/>
      <c r="AT713" s="195"/>
      <c r="AU713" s="195"/>
    </row>
    <row r="714" spans="1:47" ht="9" customHeight="1" x14ac:dyDescent="0.25">
      <c r="A714" s="1355"/>
      <c r="B714" s="1326"/>
      <c r="C714" s="1269"/>
      <c r="D714" s="1269"/>
      <c r="E714" s="1272"/>
      <c r="F714" s="1269"/>
      <c r="G714" s="1269"/>
      <c r="H714" s="1269"/>
      <c r="I714" s="903"/>
      <c r="J714" s="1269"/>
      <c r="K714" s="1269"/>
      <c r="L714" s="1300"/>
      <c r="M714" s="1269"/>
      <c r="N714" s="1269"/>
      <c r="O714" s="1269"/>
      <c r="P714" s="1269"/>
      <c r="Q714" s="1269"/>
      <c r="R714" s="1269"/>
      <c r="S714" s="1269"/>
      <c r="T714" s="1269"/>
      <c r="U714" s="1269"/>
      <c r="V714" s="1269"/>
      <c r="W714" s="1269"/>
      <c r="X714" s="1269"/>
      <c r="Y714" s="1269"/>
      <c r="Z714" s="1284"/>
      <c r="AA714" s="195"/>
      <c r="AB714" s="195"/>
      <c r="AC714" s="196"/>
      <c r="AD714" s="196"/>
      <c r="AE714" s="196"/>
      <c r="AF714" s="196"/>
      <c r="AG714" s="196"/>
      <c r="AH714" s="196"/>
      <c r="AI714" s="196"/>
      <c r="AJ714" s="196"/>
      <c r="AK714" s="196"/>
      <c r="AL714" s="197"/>
      <c r="AM714" s="197"/>
      <c r="AN714" s="197"/>
      <c r="AO714" s="195"/>
      <c r="AP714" s="195"/>
      <c r="AQ714" s="195"/>
      <c r="AR714" s="195"/>
      <c r="AS714" s="195"/>
      <c r="AT714" s="195"/>
      <c r="AU714" s="195"/>
    </row>
    <row r="715" spans="1:47" ht="11.25" customHeight="1" x14ac:dyDescent="0.25">
      <c r="A715" s="1355"/>
      <c r="B715" s="1326"/>
      <c r="C715" s="1269"/>
      <c r="D715" s="1269"/>
      <c r="E715" s="1272"/>
      <c r="F715" s="1269"/>
      <c r="G715" s="1269"/>
      <c r="H715" s="1269"/>
      <c r="I715" s="903"/>
      <c r="J715" s="1269"/>
      <c r="K715" s="1269"/>
      <c r="L715" s="1300"/>
      <c r="M715" s="1269"/>
      <c r="N715" s="1269"/>
      <c r="O715" s="1269"/>
      <c r="P715" s="1269"/>
      <c r="Q715" s="1269"/>
      <c r="R715" s="1269"/>
      <c r="S715" s="1269"/>
      <c r="T715" s="1269"/>
      <c r="U715" s="1269"/>
      <c r="V715" s="1269"/>
      <c r="W715" s="1269"/>
      <c r="X715" s="1269"/>
      <c r="Y715" s="1269"/>
      <c r="Z715" s="1284"/>
      <c r="AA715" s="195"/>
      <c r="AB715" s="195"/>
      <c r="AC715" s="196"/>
      <c r="AD715" s="196"/>
      <c r="AE715" s="196"/>
      <c r="AF715" s="196"/>
      <c r="AG715" s="196"/>
      <c r="AH715" s="196"/>
      <c r="AI715" s="196"/>
      <c r="AJ715" s="196"/>
      <c r="AK715" s="196"/>
      <c r="AL715" s="197"/>
      <c r="AM715" s="197"/>
      <c r="AN715" s="197"/>
      <c r="AO715" s="195"/>
      <c r="AP715" s="195"/>
      <c r="AQ715" s="195"/>
      <c r="AR715" s="195"/>
      <c r="AS715" s="195"/>
      <c r="AT715" s="195"/>
      <c r="AU715" s="195"/>
    </row>
    <row r="716" spans="1:47" ht="12" customHeight="1" x14ac:dyDescent="0.25">
      <c r="A716" s="1355"/>
      <c r="B716" s="1326"/>
      <c r="C716" s="1269"/>
      <c r="D716" s="1269"/>
      <c r="E716" s="1272"/>
      <c r="F716" s="1269"/>
      <c r="G716" s="1269"/>
      <c r="H716" s="1269"/>
      <c r="I716" s="903"/>
      <c r="J716" s="1269"/>
      <c r="K716" s="1269"/>
      <c r="L716" s="1353"/>
      <c r="M716" s="1269"/>
      <c r="N716" s="1269"/>
      <c r="O716" s="1269"/>
      <c r="P716" s="1269"/>
      <c r="Q716" s="1269"/>
      <c r="R716" s="1269"/>
      <c r="S716" s="1269"/>
      <c r="T716" s="1269"/>
      <c r="U716" s="1269"/>
      <c r="V716" s="1269"/>
      <c r="W716" s="1269"/>
      <c r="X716" s="1269"/>
      <c r="Y716" s="1269"/>
      <c r="Z716" s="1284"/>
      <c r="AA716" s="195"/>
      <c r="AB716" s="195"/>
      <c r="AC716" s="196"/>
      <c r="AD716" s="196"/>
      <c r="AE716" s="196"/>
      <c r="AF716" s="196"/>
      <c r="AG716" s="196"/>
      <c r="AH716" s="196"/>
      <c r="AI716" s="196"/>
      <c r="AJ716" s="196"/>
      <c r="AK716" s="196"/>
      <c r="AL716" s="197"/>
      <c r="AM716" s="197"/>
      <c r="AN716" s="197"/>
      <c r="AO716" s="195"/>
      <c r="AP716" s="195"/>
      <c r="AQ716" s="195"/>
      <c r="AR716" s="195"/>
      <c r="AS716" s="195"/>
      <c r="AT716" s="195"/>
      <c r="AU716" s="195"/>
    </row>
    <row r="717" spans="1:47" ht="11.25" customHeight="1" x14ac:dyDescent="0.25">
      <c r="A717" s="1355"/>
      <c r="B717" s="1326"/>
      <c r="C717" s="1316" t="s">
        <v>363</v>
      </c>
      <c r="D717" s="199" t="s">
        <v>288</v>
      </c>
      <c r="E717" s="210">
        <v>438.29</v>
      </c>
      <c r="F717" s="198"/>
      <c r="G717" s="198"/>
      <c r="H717" s="905">
        <v>164.38</v>
      </c>
      <c r="I717" s="905"/>
      <c r="J717" s="905">
        <v>472.64</v>
      </c>
      <c r="K717" s="215">
        <f>E717</f>
        <v>438.29</v>
      </c>
      <c r="L717" s="216">
        <v>100</v>
      </c>
      <c r="M717" s="210">
        <v>164.38</v>
      </c>
      <c r="N717" s="935">
        <v>472.64</v>
      </c>
      <c r="O717" s="1272" t="s">
        <v>358</v>
      </c>
      <c r="P717" s="1316" t="s">
        <v>86</v>
      </c>
      <c r="Q717" s="1328" t="s">
        <v>86</v>
      </c>
      <c r="R717" s="1316" t="s">
        <v>86</v>
      </c>
      <c r="S717" s="1328" t="s">
        <v>290</v>
      </c>
      <c r="T717" s="1354">
        <v>190484</v>
      </c>
      <c r="U717" s="1354">
        <v>213035</v>
      </c>
      <c r="V717" s="1328"/>
      <c r="W717" s="1328" t="s">
        <v>291</v>
      </c>
      <c r="X717" s="1328" t="s">
        <v>292</v>
      </c>
      <c r="Y717" s="1328" t="s">
        <v>293</v>
      </c>
      <c r="Z717" s="1329">
        <v>7878783</v>
      </c>
      <c r="AA717" s="195"/>
      <c r="AB717" s="195"/>
      <c r="AC717" s="196"/>
      <c r="AD717" s="196"/>
      <c r="AE717" s="196"/>
      <c r="AF717" s="196"/>
      <c r="AG717" s="196"/>
      <c r="AH717" s="196"/>
      <c r="AI717" s="196"/>
      <c r="AJ717" s="196"/>
      <c r="AK717" s="196"/>
      <c r="AL717" s="197"/>
      <c r="AM717" s="197"/>
      <c r="AN717" s="197"/>
      <c r="AO717" s="195"/>
      <c r="AP717" s="195"/>
      <c r="AQ717" s="195"/>
      <c r="AR717" s="195"/>
      <c r="AS717" s="195"/>
      <c r="AT717" s="195"/>
      <c r="AU717" s="195"/>
    </row>
    <row r="718" spans="1:47" ht="11.25" customHeight="1" x14ac:dyDescent="0.25">
      <c r="A718" s="1355"/>
      <c r="B718" s="1326"/>
      <c r="C718" s="1269"/>
      <c r="D718" s="904" t="s">
        <v>296</v>
      </c>
      <c r="E718" s="905">
        <v>22157468</v>
      </c>
      <c r="F718" s="198"/>
      <c r="G718" s="198"/>
      <c r="H718" s="302">
        <v>8310136.9685714282</v>
      </c>
      <c r="I718" s="302"/>
      <c r="J718" s="301">
        <f>+J717*$J$599/$J$598</f>
        <v>21792219.586593281</v>
      </c>
      <c r="K718" s="214">
        <f>+K717*$K$599/$K$598</f>
        <v>30408366.845244184</v>
      </c>
      <c r="L718" s="300">
        <v>14684450</v>
      </c>
      <c r="M718" s="300">
        <v>9168609.4333939403</v>
      </c>
      <c r="N718" s="301">
        <v>21189047.429529302</v>
      </c>
      <c r="O718" s="1269"/>
      <c r="P718" s="1269"/>
      <c r="Q718" s="1269"/>
      <c r="R718" s="1269"/>
      <c r="S718" s="1269"/>
      <c r="T718" s="1269"/>
      <c r="U718" s="1269"/>
      <c r="V718" s="1269"/>
      <c r="W718" s="1269"/>
      <c r="X718" s="1269"/>
      <c r="Y718" s="1269"/>
      <c r="Z718" s="1284"/>
      <c r="AA718" s="195"/>
      <c r="AB718" s="195"/>
      <c r="AC718" s="196"/>
      <c r="AD718" s="196"/>
      <c r="AE718" s="196"/>
      <c r="AF718" s="196"/>
      <c r="AG718" s="196"/>
      <c r="AH718" s="196"/>
      <c r="AI718" s="196"/>
      <c r="AJ718" s="196"/>
      <c r="AK718" s="196"/>
      <c r="AL718" s="197"/>
      <c r="AM718" s="197"/>
      <c r="AN718" s="197"/>
      <c r="AO718" s="195"/>
      <c r="AP718" s="195"/>
      <c r="AQ718" s="195"/>
      <c r="AR718" s="195"/>
      <c r="AS718" s="195"/>
      <c r="AT718" s="195"/>
      <c r="AU718" s="195"/>
    </row>
    <row r="719" spans="1:47" ht="8.25" customHeight="1" x14ac:dyDescent="0.25">
      <c r="A719" s="1355"/>
      <c r="B719" s="1326"/>
      <c r="C719" s="1269"/>
      <c r="D719" s="904" t="s">
        <v>299</v>
      </c>
      <c r="E719" s="209"/>
      <c r="F719" s="198"/>
      <c r="G719" s="198"/>
      <c r="H719" s="198"/>
      <c r="I719" s="198"/>
      <c r="J719" s="905"/>
      <c r="K719" s="209"/>
      <c r="L719" s="909"/>
      <c r="M719" s="909"/>
      <c r="N719" s="909"/>
      <c r="O719" s="1269"/>
      <c r="P719" s="1269"/>
      <c r="Q719" s="1269"/>
      <c r="R719" s="1269"/>
      <c r="S719" s="1269"/>
      <c r="T719" s="1269"/>
      <c r="U719" s="1269"/>
      <c r="V719" s="1269"/>
      <c r="W719" s="1269"/>
      <c r="X719" s="1269"/>
      <c r="Y719" s="1269"/>
      <c r="Z719" s="1284"/>
      <c r="AA719" s="195"/>
      <c r="AB719" s="195"/>
      <c r="AC719" s="196"/>
      <c r="AD719" s="196"/>
      <c r="AE719" s="196"/>
      <c r="AF719" s="196"/>
      <c r="AG719" s="196"/>
      <c r="AH719" s="196"/>
      <c r="AI719" s="196"/>
      <c r="AJ719" s="196"/>
      <c r="AK719" s="196"/>
      <c r="AL719" s="197"/>
      <c r="AM719" s="197"/>
      <c r="AN719" s="197"/>
      <c r="AO719" s="195"/>
      <c r="AP719" s="195"/>
      <c r="AQ719" s="195"/>
      <c r="AR719" s="195"/>
      <c r="AS719" s="195"/>
      <c r="AT719" s="195"/>
      <c r="AU719" s="195"/>
    </row>
    <row r="720" spans="1:47" ht="13.5" customHeight="1" x14ac:dyDescent="0.25">
      <c r="A720" s="1355"/>
      <c r="B720" s="1326"/>
      <c r="C720" s="1269"/>
      <c r="D720" s="1286" t="s">
        <v>302</v>
      </c>
      <c r="E720" s="1272"/>
      <c r="F720" s="1272"/>
      <c r="G720" s="1272"/>
      <c r="H720" s="1272"/>
      <c r="I720" s="905"/>
      <c r="J720" s="1272"/>
      <c r="K720" s="1272"/>
      <c r="L720" s="1297"/>
      <c r="M720" s="1272"/>
      <c r="N720" s="1272"/>
      <c r="O720" s="1269"/>
      <c r="P720" s="1269"/>
      <c r="Q720" s="1269"/>
      <c r="R720" s="1269"/>
      <c r="S720" s="1269"/>
      <c r="T720" s="1269"/>
      <c r="U720" s="1269"/>
      <c r="V720" s="1269"/>
      <c r="W720" s="1269"/>
      <c r="X720" s="1269"/>
      <c r="Y720" s="1269"/>
      <c r="Z720" s="1284"/>
      <c r="AA720" s="195"/>
      <c r="AB720" s="195"/>
      <c r="AC720" s="196"/>
      <c r="AD720" s="196"/>
      <c r="AE720" s="196"/>
      <c r="AF720" s="196"/>
      <c r="AG720" s="196"/>
      <c r="AH720" s="196"/>
      <c r="AI720" s="196"/>
      <c r="AJ720" s="196"/>
      <c r="AK720" s="196"/>
      <c r="AL720" s="197"/>
      <c r="AM720" s="197"/>
      <c r="AN720" s="197"/>
      <c r="AO720" s="195"/>
      <c r="AP720" s="195"/>
      <c r="AQ720" s="195"/>
      <c r="AR720" s="195"/>
      <c r="AS720" s="195"/>
      <c r="AT720" s="195"/>
      <c r="AU720" s="195"/>
    </row>
    <row r="721" spans="1:84" ht="9" customHeight="1" x14ac:dyDescent="0.25">
      <c r="A721" s="1355"/>
      <c r="B721" s="1326"/>
      <c r="C721" s="1269"/>
      <c r="D721" s="1269"/>
      <c r="E721" s="1272"/>
      <c r="F721" s="1269"/>
      <c r="G721" s="1269"/>
      <c r="H721" s="1269"/>
      <c r="I721" s="903"/>
      <c r="J721" s="1269"/>
      <c r="K721" s="1269"/>
      <c r="L721" s="1300"/>
      <c r="M721" s="1269"/>
      <c r="N721" s="1269"/>
      <c r="O721" s="1269"/>
      <c r="P721" s="1269"/>
      <c r="Q721" s="1269"/>
      <c r="R721" s="1269"/>
      <c r="S721" s="1269"/>
      <c r="T721" s="1269"/>
      <c r="U721" s="1269"/>
      <c r="V721" s="1269"/>
      <c r="W721" s="1269"/>
      <c r="X721" s="1269"/>
      <c r="Y721" s="1269"/>
      <c r="Z721" s="1284"/>
      <c r="AA721" s="195"/>
      <c r="AB721" s="195"/>
      <c r="AC721" s="196"/>
      <c r="AD721" s="196"/>
      <c r="AE721" s="196"/>
      <c r="AF721" s="196"/>
      <c r="AG721" s="196"/>
      <c r="AH721" s="196"/>
      <c r="AI721" s="196"/>
      <c r="AJ721" s="196"/>
      <c r="AK721" s="196"/>
      <c r="AL721" s="197"/>
      <c r="AM721" s="197"/>
      <c r="AN721" s="197"/>
      <c r="AO721" s="195"/>
      <c r="AP721" s="195"/>
      <c r="AQ721" s="195"/>
      <c r="AR721" s="195"/>
      <c r="AS721" s="195"/>
      <c r="AT721" s="195"/>
      <c r="AU721" s="195"/>
    </row>
    <row r="722" spans="1:84" ht="11.25" customHeight="1" x14ac:dyDescent="0.25">
      <c r="A722" s="1355"/>
      <c r="B722" s="1326"/>
      <c r="C722" s="1269"/>
      <c r="D722" s="1269"/>
      <c r="E722" s="1272"/>
      <c r="F722" s="1269"/>
      <c r="G722" s="1269"/>
      <c r="H722" s="1269"/>
      <c r="I722" s="903"/>
      <c r="J722" s="1269"/>
      <c r="K722" s="1269"/>
      <c r="L722" s="1300"/>
      <c r="M722" s="1269"/>
      <c r="N722" s="1269"/>
      <c r="O722" s="1269"/>
      <c r="P722" s="1269"/>
      <c r="Q722" s="1269"/>
      <c r="R722" s="1269"/>
      <c r="S722" s="1269"/>
      <c r="T722" s="1269"/>
      <c r="U722" s="1269"/>
      <c r="V722" s="1269"/>
      <c r="W722" s="1269"/>
      <c r="X722" s="1269"/>
      <c r="Y722" s="1269"/>
      <c r="Z722" s="1284"/>
      <c r="AA722" s="195"/>
      <c r="AB722" s="195"/>
      <c r="AC722" s="196"/>
      <c r="AD722" s="196"/>
      <c r="AE722" s="196"/>
      <c r="AF722" s="196"/>
      <c r="AG722" s="196"/>
      <c r="AH722" s="196"/>
      <c r="AI722" s="196"/>
      <c r="AJ722" s="196"/>
      <c r="AK722" s="196"/>
      <c r="AL722" s="197"/>
      <c r="AM722" s="197"/>
      <c r="AN722" s="197"/>
      <c r="AO722" s="195"/>
      <c r="AP722" s="195"/>
      <c r="AQ722" s="195"/>
      <c r="AR722" s="195"/>
      <c r="AS722" s="195"/>
      <c r="AT722" s="195"/>
      <c r="AU722" s="195"/>
    </row>
    <row r="723" spans="1:84" ht="7.5" customHeight="1" x14ac:dyDescent="0.25">
      <c r="A723" s="1355"/>
      <c r="B723" s="1326"/>
      <c r="C723" s="1269"/>
      <c r="D723" s="1269"/>
      <c r="E723" s="1272"/>
      <c r="F723" s="1269"/>
      <c r="G723" s="1269"/>
      <c r="H723" s="1269"/>
      <c r="I723" s="903"/>
      <c r="J723" s="1269"/>
      <c r="K723" s="1269"/>
      <c r="L723" s="1353"/>
      <c r="M723" s="1269"/>
      <c r="N723" s="1269"/>
      <c r="O723" s="1269"/>
      <c r="P723" s="1269"/>
      <c r="Q723" s="1269"/>
      <c r="R723" s="1269"/>
      <c r="S723" s="1269"/>
      <c r="T723" s="1269"/>
      <c r="U723" s="1269"/>
      <c r="V723" s="1269"/>
      <c r="W723" s="1269"/>
      <c r="X723" s="1269"/>
      <c r="Y723" s="1269"/>
      <c r="Z723" s="1284"/>
      <c r="AA723" s="195"/>
      <c r="AB723" s="195"/>
      <c r="AC723" s="196"/>
      <c r="AD723" s="196"/>
      <c r="AE723" s="196"/>
      <c r="AF723" s="196"/>
      <c r="AG723" s="196"/>
      <c r="AH723" s="196"/>
      <c r="AI723" s="196"/>
      <c r="AJ723" s="196"/>
      <c r="AK723" s="196"/>
      <c r="AL723" s="197"/>
      <c r="AM723" s="197"/>
      <c r="AN723" s="197"/>
      <c r="AO723" s="195"/>
      <c r="AP723" s="195"/>
      <c r="AQ723" s="195"/>
      <c r="AR723" s="195"/>
      <c r="AS723" s="195"/>
      <c r="AT723" s="195"/>
      <c r="AU723" s="195"/>
    </row>
    <row r="724" spans="1:84" ht="11.25" customHeight="1" x14ac:dyDescent="0.25">
      <c r="A724" s="1355"/>
      <c r="B724" s="1326"/>
      <c r="C724" s="1316" t="s">
        <v>363</v>
      </c>
      <c r="D724" s="199" t="s">
        <v>288</v>
      </c>
      <c r="E724" s="210">
        <v>2.8</v>
      </c>
      <c r="F724" s="198"/>
      <c r="G724" s="198"/>
      <c r="H724" s="905">
        <v>203.79000000000002</v>
      </c>
      <c r="I724" s="905"/>
      <c r="J724" s="905">
        <v>249.74</v>
      </c>
      <c r="K724" s="215">
        <f>E724</f>
        <v>2.8</v>
      </c>
      <c r="L724" s="216">
        <v>100</v>
      </c>
      <c r="M724" s="210">
        <v>203.79000000000002</v>
      </c>
      <c r="N724" s="935">
        <v>249.74</v>
      </c>
      <c r="O724" s="1272" t="s">
        <v>378</v>
      </c>
      <c r="P724" s="1316" t="s">
        <v>86</v>
      </c>
      <c r="Q724" s="1328" t="s">
        <v>86</v>
      </c>
      <c r="R724" s="1316" t="s">
        <v>86</v>
      </c>
      <c r="S724" s="1328" t="s">
        <v>290</v>
      </c>
      <c r="T724" s="1354">
        <v>190484</v>
      </c>
      <c r="U724" s="1354">
        <v>213035</v>
      </c>
      <c r="V724" s="1328"/>
      <c r="W724" s="1328" t="s">
        <v>291</v>
      </c>
      <c r="X724" s="1328" t="s">
        <v>292</v>
      </c>
      <c r="Y724" s="1328" t="s">
        <v>293</v>
      </c>
      <c r="Z724" s="1329">
        <v>7878783</v>
      </c>
      <c r="AA724" s="195"/>
      <c r="AB724" s="195"/>
      <c r="AC724" s="196"/>
      <c r="AD724" s="196"/>
      <c r="AE724" s="196"/>
      <c r="AF724" s="196"/>
      <c r="AG724" s="196"/>
      <c r="AH724" s="196"/>
      <c r="AI724" s="196"/>
      <c r="AJ724" s="196"/>
      <c r="AK724" s="196"/>
      <c r="AL724" s="197"/>
      <c r="AM724" s="197"/>
      <c r="AN724" s="197"/>
      <c r="AO724" s="195"/>
      <c r="AP724" s="195"/>
      <c r="AQ724" s="195"/>
      <c r="AR724" s="195"/>
      <c r="AS724" s="195"/>
      <c r="AT724" s="195"/>
      <c r="AU724" s="195"/>
    </row>
    <row r="725" spans="1:84" ht="11.25" customHeight="1" x14ac:dyDescent="0.25">
      <c r="A725" s="1355"/>
      <c r="B725" s="1326"/>
      <c r="C725" s="1269"/>
      <c r="D725" s="904" t="s">
        <v>296</v>
      </c>
      <c r="E725" s="905">
        <v>141724</v>
      </c>
      <c r="F725" s="198"/>
      <c r="G725" s="198"/>
      <c r="H725" s="302">
        <v>10302486.998571429</v>
      </c>
      <c r="I725" s="302"/>
      <c r="J725" s="301">
        <f>+J724*$J$599/$J$598</f>
        <v>11514871.613819834</v>
      </c>
      <c r="K725" s="214">
        <f>+K724*$K$599/$K$598</f>
        <v>194262.76476005319</v>
      </c>
      <c r="L725" s="300">
        <v>14684450</v>
      </c>
      <c r="M725" s="300">
        <v>11366777.688474</v>
      </c>
      <c r="N725" s="301">
        <v>11196159.243929099</v>
      </c>
      <c r="O725" s="1269"/>
      <c r="P725" s="1269"/>
      <c r="Q725" s="1269"/>
      <c r="R725" s="1269"/>
      <c r="S725" s="1269"/>
      <c r="T725" s="1269"/>
      <c r="U725" s="1269"/>
      <c r="V725" s="1269"/>
      <c r="W725" s="1269"/>
      <c r="X725" s="1269"/>
      <c r="Y725" s="1269"/>
      <c r="Z725" s="1284"/>
      <c r="AA725" s="195"/>
      <c r="AB725" s="195"/>
      <c r="AC725" s="196"/>
      <c r="AD725" s="196"/>
      <c r="AE725" s="196"/>
      <c r="AF725" s="196"/>
      <c r="AG725" s="196"/>
      <c r="AH725" s="196"/>
      <c r="AI725" s="196"/>
      <c r="AJ725" s="196"/>
      <c r="AK725" s="196"/>
      <c r="AL725" s="197"/>
      <c r="AM725" s="197"/>
      <c r="AN725" s="197"/>
      <c r="AO725" s="195"/>
      <c r="AP725" s="195"/>
      <c r="AQ725" s="195"/>
      <c r="AR725" s="195"/>
      <c r="AS725" s="195"/>
      <c r="AT725" s="195"/>
      <c r="AU725" s="195"/>
    </row>
    <row r="726" spans="1:84" ht="8.25" customHeight="1" x14ac:dyDescent="0.25">
      <c r="A726" s="1355"/>
      <c r="B726" s="1326"/>
      <c r="C726" s="1269"/>
      <c r="D726" s="904" t="s">
        <v>299</v>
      </c>
      <c r="E726" s="209"/>
      <c r="F726" s="198"/>
      <c r="G726" s="198"/>
      <c r="H726" s="198"/>
      <c r="I726" s="198"/>
      <c r="J726" s="905"/>
      <c r="K726" s="209"/>
      <c r="L726" s="909"/>
      <c r="M726" s="909"/>
      <c r="N726" s="909"/>
      <c r="O726" s="1269"/>
      <c r="P726" s="1269"/>
      <c r="Q726" s="1269"/>
      <c r="R726" s="1269"/>
      <c r="S726" s="1269"/>
      <c r="T726" s="1269"/>
      <c r="U726" s="1269"/>
      <c r="V726" s="1269"/>
      <c r="W726" s="1269"/>
      <c r="X726" s="1269"/>
      <c r="Y726" s="1269"/>
      <c r="Z726" s="1284"/>
      <c r="AA726" s="195"/>
      <c r="AB726" s="195"/>
      <c r="AC726" s="196"/>
      <c r="AD726" s="196"/>
      <c r="AE726" s="196"/>
      <c r="AF726" s="196"/>
      <c r="AG726" s="196"/>
      <c r="AH726" s="196"/>
      <c r="AI726" s="196"/>
      <c r="AJ726" s="196"/>
      <c r="AK726" s="196"/>
      <c r="AL726" s="197"/>
      <c r="AM726" s="197"/>
      <c r="AN726" s="197"/>
      <c r="AO726" s="195"/>
      <c r="AP726" s="195"/>
      <c r="AQ726" s="195"/>
      <c r="AR726" s="195"/>
      <c r="AS726" s="195"/>
      <c r="AT726" s="195"/>
      <c r="AU726" s="195"/>
    </row>
    <row r="727" spans="1:84" ht="13.5" customHeight="1" x14ac:dyDescent="0.25">
      <c r="A727" s="1355"/>
      <c r="B727" s="1326"/>
      <c r="C727" s="1269"/>
      <c r="D727" s="1286" t="s">
        <v>302</v>
      </c>
      <c r="E727" s="1272"/>
      <c r="F727" s="1272"/>
      <c r="G727" s="1272"/>
      <c r="H727" s="1272"/>
      <c r="I727" s="905"/>
      <c r="J727" s="1272"/>
      <c r="K727" s="1272"/>
      <c r="L727" s="1297"/>
      <c r="M727" s="1272"/>
      <c r="N727" s="1272"/>
      <c r="O727" s="1269"/>
      <c r="P727" s="1269"/>
      <c r="Q727" s="1269"/>
      <c r="R727" s="1269"/>
      <c r="S727" s="1269"/>
      <c r="T727" s="1269"/>
      <c r="U727" s="1269"/>
      <c r="V727" s="1269"/>
      <c r="W727" s="1269"/>
      <c r="X727" s="1269"/>
      <c r="Y727" s="1269"/>
      <c r="Z727" s="1284"/>
      <c r="AA727" s="195"/>
      <c r="AB727" s="195"/>
      <c r="AC727" s="196"/>
      <c r="AD727" s="196"/>
      <c r="AE727" s="196"/>
      <c r="AF727" s="196"/>
      <c r="AG727" s="196"/>
      <c r="AH727" s="196"/>
      <c r="AI727" s="196"/>
      <c r="AJ727" s="196"/>
      <c r="AK727" s="196"/>
      <c r="AL727" s="197"/>
      <c r="AM727" s="197"/>
      <c r="AN727" s="197"/>
      <c r="AO727" s="195"/>
      <c r="AP727" s="195"/>
      <c r="AQ727" s="195"/>
      <c r="AR727" s="195"/>
      <c r="AS727" s="195"/>
      <c r="AT727" s="195"/>
      <c r="AU727" s="195"/>
    </row>
    <row r="728" spans="1:84" ht="9" customHeight="1" x14ac:dyDescent="0.25">
      <c r="A728" s="1355"/>
      <c r="B728" s="1326"/>
      <c r="C728" s="1269"/>
      <c r="D728" s="1269"/>
      <c r="E728" s="1272"/>
      <c r="F728" s="1269"/>
      <c r="G728" s="1269"/>
      <c r="H728" s="1269"/>
      <c r="I728" s="903"/>
      <c r="J728" s="1269"/>
      <c r="K728" s="1269"/>
      <c r="L728" s="1300"/>
      <c r="M728" s="1269"/>
      <c r="N728" s="1269"/>
      <c r="O728" s="1269"/>
      <c r="P728" s="1269"/>
      <c r="Q728" s="1269"/>
      <c r="R728" s="1269"/>
      <c r="S728" s="1269"/>
      <c r="T728" s="1269"/>
      <c r="U728" s="1269"/>
      <c r="V728" s="1269"/>
      <c r="W728" s="1269"/>
      <c r="X728" s="1269"/>
      <c r="Y728" s="1269"/>
      <c r="Z728" s="1284"/>
      <c r="AA728" s="195"/>
      <c r="AB728" s="195"/>
      <c r="AC728" s="196"/>
      <c r="AD728" s="196"/>
      <c r="AE728" s="196"/>
      <c r="AF728" s="196"/>
      <c r="AG728" s="196"/>
      <c r="AH728" s="196"/>
      <c r="AI728" s="196"/>
      <c r="AJ728" s="196"/>
      <c r="AK728" s="196"/>
      <c r="AL728" s="197"/>
      <c r="AM728" s="197"/>
      <c r="AN728" s="197"/>
      <c r="AO728" s="195"/>
      <c r="AP728" s="195"/>
      <c r="AQ728" s="195"/>
      <c r="AR728" s="195"/>
      <c r="AS728" s="195"/>
      <c r="AT728" s="195"/>
      <c r="AU728" s="195"/>
    </row>
    <row r="729" spans="1:84" ht="6" customHeight="1" x14ac:dyDescent="0.25">
      <c r="A729" s="1355"/>
      <c r="B729" s="1326"/>
      <c r="C729" s="1269"/>
      <c r="D729" s="1269"/>
      <c r="E729" s="1272"/>
      <c r="F729" s="1269"/>
      <c r="G729" s="1269"/>
      <c r="H729" s="1269"/>
      <c r="I729" s="903"/>
      <c r="J729" s="1269"/>
      <c r="K729" s="1269"/>
      <c r="L729" s="1300"/>
      <c r="M729" s="1269"/>
      <c r="N729" s="1269"/>
      <c r="O729" s="1269"/>
      <c r="P729" s="1269"/>
      <c r="Q729" s="1269"/>
      <c r="R729" s="1269"/>
      <c r="S729" s="1269"/>
      <c r="T729" s="1269"/>
      <c r="U729" s="1269"/>
      <c r="V729" s="1269"/>
      <c r="W729" s="1269"/>
      <c r="X729" s="1269"/>
      <c r="Y729" s="1269"/>
      <c r="Z729" s="1284"/>
      <c r="AA729" s="195"/>
      <c r="AB729" s="195"/>
      <c r="AC729" s="196"/>
      <c r="AD729" s="196"/>
      <c r="AE729" s="196"/>
      <c r="AF729" s="196"/>
      <c r="AG729" s="196"/>
      <c r="AH729" s="196"/>
      <c r="AI729" s="196"/>
      <c r="AJ729" s="196"/>
      <c r="AK729" s="196"/>
      <c r="AL729" s="197"/>
      <c r="AM729" s="197"/>
      <c r="AN729" s="197"/>
      <c r="AO729" s="195"/>
      <c r="AP729" s="195"/>
      <c r="AQ729" s="195"/>
      <c r="AR729" s="195"/>
      <c r="AS729" s="195"/>
      <c r="AT729" s="195"/>
      <c r="AU729" s="195"/>
    </row>
    <row r="730" spans="1:84" ht="12" customHeight="1" x14ac:dyDescent="0.25">
      <c r="A730" s="1355"/>
      <c r="B730" s="1326"/>
      <c r="C730" s="1269"/>
      <c r="D730" s="1269"/>
      <c r="E730" s="1272"/>
      <c r="F730" s="1269"/>
      <c r="G730" s="1269"/>
      <c r="H730" s="1269"/>
      <c r="I730" s="903"/>
      <c r="J730" s="1269"/>
      <c r="K730" s="1269"/>
      <c r="L730" s="1353"/>
      <c r="M730" s="1269"/>
      <c r="N730" s="1269"/>
      <c r="O730" s="1269"/>
      <c r="P730" s="1269"/>
      <c r="Q730" s="1269"/>
      <c r="R730" s="1269"/>
      <c r="S730" s="1269"/>
      <c r="T730" s="1269"/>
      <c r="U730" s="1269"/>
      <c r="V730" s="1269"/>
      <c r="W730" s="1269"/>
      <c r="X730" s="1269"/>
      <c r="Y730" s="1269"/>
      <c r="Z730" s="1284"/>
      <c r="AA730" s="195"/>
      <c r="AB730" s="195"/>
      <c r="AC730" s="196"/>
      <c r="AD730" s="196"/>
      <c r="AE730" s="196"/>
      <c r="AF730" s="196"/>
      <c r="AG730" s="196"/>
      <c r="AH730" s="196"/>
      <c r="AI730" s="196"/>
      <c r="AJ730" s="196"/>
      <c r="AK730" s="196"/>
      <c r="AL730" s="197"/>
      <c r="AM730" s="197"/>
      <c r="AN730" s="197"/>
      <c r="AO730" s="195"/>
      <c r="AP730" s="195"/>
      <c r="AQ730" s="195"/>
      <c r="AR730" s="195"/>
      <c r="AS730" s="195"/>
      <c r="AT730" s="195"/>
      <c r="AU730" s="195"/>
    </row>
    <row r="731" spans="1:84" s="294" customFormat="1" ht="15.75" customHeight="1" x14ac:dyDescent="0.2">
      <c r="A731" s="1355"/>
      <c r="B731" s="1326"/>
      <c r="C731" s="1351" t="s">
        <v>363</v>
      </c>
      <c r="D731" s="299" t="s">
        <v>288</v>
      </c>
      <c r="E731" s="280">
        <v>3.53</v>
      </c>
      <c r="F731" s="280"/>
      <c r="G731" s="280"/>
      <c r="H731" s="280">
        <v>3.53</v>
      </c>
      <c r="I731" s="280"/>
      <c r="J731" s="905">
        <v>3.53</v>
      </c>
      <c r="K731" s="280"/>
      <c r="L731" s="238">
        <v>3.53</v>
      </c>
      <c r="M731" s="216">
        <v>3.53</v>
      </c>
      <c r="N731" s="928">
        <v>3.53</v>
      </c>
      <c r="O731" s="1342" t="s">
        <v>373</v>
      </c>
      <c r="P731" s="1351" t="s">
        <v>86</v>
      </c>
      <c r="Q731" s="1350" t="s">
        <v>86</v>
      </c>
      <c r="R731" s="1351" t="s">
        <v>86</v>
      </c>
      <c r="S731" s="1350" t="s">
        <v>290</v>
      </c>
      <c r="T731" s="1348">
        <v>190484</v>
      </c>
      <c r="U731" s="1348">
        <v>213035</v>
      </c>
      <c r="V731" s="1328"/>
      <c r="W731" s="1350" t="s">
        <v>291</v>
      </c>
      <c r="X731" s="1350" t="s">
        <v>292</v>
      </c>
      <c r="Y731" s="1350" t="s">
        <v>293</v>
      </c>
      <c r="Z731" s="1336">
        <v>7878784</v>
      </c>
      <c r="AA731" s="296"/>
      <c r="AB731" s="296"/>
      <c r="AC731" s="298"/>
      <c r="AD731" s="298"/>
      <c r="AE731" s="298"/>
      <c r="AF731" s="298"/>
      <c r="AG731" s="298"/>
      <c r="AH731" s="298"/>
      <c r="AI731" s="298"/>
      <c r="AJ731" s="298"/>
      <c r="AK731" s="298"/>
      <c r="AL731" s="297"/>
      <c r="AM731" s="297"/>
      <c r="AN731" s="297"/>
      <c r="AO731" s="296"/>
      <c r="AP731" s="296"/>
      <c r="AQ731" s="296"/>
      <c r="AR731" s="296"/>
      <c r="AS731" s="296"/>
      <c r="AT731" s="296"/>
      <c r="AU731" s="296"/>
      <c r="AV731" s="295"/>
      <c r="AW731" s="295"/>
      <c r="AX731" s="295"/>
      <c r="AY731" s="295"/>
      <c r="AZ731" s="295"/>
      <c r="BA731" s="295"/>
      <c r="BB731" s="295"/>
      <c r="BC731" s="295"/>
      <c r="BD731" s="295"/>
      <c r="BE731" s="295"/>
      <c r="BF731" s="295"/>
      <c r="BG731" s="295"/>
      <c r="BH731" s="295"/>
      <c r="BI731" s="295"/>
      <c r="BJ731" s="295"/>
      <c r="BK731" s="295"/>
      <c r="BL731" s="295"/>
      <c r="BM731" s="295"/>
      <c r="BN731" s="295"/>
      <c r="BO731" s="295"/>
      <c r="BP731" s="295"/>
      <c r="BQ731" s="295"/>
      <c r="BR731" s="295"/>
      <c r="BS731" s="295"/>
      <c r="BT731" s="295"/>
      <c r="BU731" s="295"/>
      <c r="BV731" s="295"/>
      <c r="BW731" s="295"/>
      <c r="BX731" s="295"/>
      <c r="BY731" s="295"/>
      <c r="BZ731" s="295"/>
      <c r="CA731" s="295"/>
      <c r="CB731" s="295"/>
      <c r="CC731" s="295"/>
      <c r="CD731" s="295"/>
      <c r="CE731" s="295"/>
      <c r="CF731" s="295"/>
    </row>
    <row r="732" spans="1:84" s="294" customFormat="1" ht="14.25" customHeight="1" x14ac:dyDescent="0.2">
      <c r="A732" s="1355"/>
      <c r="B732" s="1326"/>
      <c r="C732" s="1343"/>
      <c r="D732" s="930" t="s">
        <v>296</v>
      </c>
      <c r="E732" s="280">
        <v>515438.54843040003</v>
      </c>
      <c r="F732" s="280"/>
      <c r="G732" s="280"/>
      <c r="H732" s="302">
        <v>178457.13285714286</v>
      </c>
      <c r="I732" s="302"/>
      <c r="J732" s="301">
        <f>+J731*$J$599/$J$598</f>
        <v>162759.25681422284</v>
      </c>
      <c r="K732" s="280"/>
      <c r="L732" s="300">
        <v>515438</v>
      </c>
      <c r="M732" s="300">
        <v>196892.51307872401</v>
      </c>
      <c r="N732" s="301">
        <v>158254.353051452</v>
      </c>
      <c r="O732" s="1342"/>
      <c r="P732" s="1343"/>
      <c r="Q732" s="1343"/>
      <c r="R732" s="1343"/>
      <c r="S732" s="1343"/>
      <c r="T732" s="1348"/>
      <c r="U732" s="1348"/>
      <c r="V732" s="1269"/>
      <c r="W732" s="1343"/>
      <c r="X732" s="1343"/>
      <c r="Y732" s="1343"/>
      <c r="Z732" s="1337"/>
      <c r="AA732" s="296"/>
      <c r="AB732" s="296"/>
      <c r="AC732" s="298"/>
      <c r="AD732" s="298"/>
      <c r="AE732" s="298"/>
      <c r="AF732" s="298"/>
      <c r="AG732" s="298"/>
      <c r="AH732" s="298"/>
      <c r="AI732" s="298"/>
      <c r="AJ732" s="298"/>
      <c r="AK732" s="298"/>
      <c r="AL732" s="297"/>
      <c r="AM732" s="297"/>
      <c r="AN732" s="297"/>
      <c r="AO732" s="296"/>
      <c r="AP732" s="296"/>
      <c r="AQ732" s="296"/>
      <c r="AR732" s="296"/>
      <c r="AS732" s="296"/>
      <c r="AT732" s="296"/>
      <c r="AU732" s="296"/>
      <c r="AV732" s="295"/>
      <c r="AW732" s="295"/>
      <c r="AX732" s="295"/>
      <c r="AY732" s="295"/>
      <c r="AZ732" s="295"/>
      <c r="BA732" s="295"/>
      <c r="BB732" s="295"/>
      <c r="BC732" s="295"/>
      <c r="BD732" s="295"/>
      <c r="BE732" s="295"/>
      <c r="BF732" s="295"/>
      <c r="BG732" s="295"/>
      <c r="BH732" s="295"/>
      <c r="BI732" s="295"/>
      <c r="BJ732" s="295"/>
      <c r="BK732" s="295"/>
      <c r="BL732" s="295"/>
      <c r="BM732" s="295"/>
      <c r="BN732" s="295"/>
      <c r="BO732" s="295"/>
      <c r="BP732" s="295"/>
      <c r="BQ732" s="295"/>
      <c r="BR732" s="295"/>
      <c r="BS732" s="295"/>
      <c r="BT732" s="295"/>
      <c r="BU732" s="295"/>
      <c r="BV732" s="295"/>
      <c r="BW732" s="295"/>
      <c r="BX732" s="295"/>
      <c r="BY732" s="295"/>
      <c r="BZ732" s="295"/>
      <c r="CA732" s="295"/>
      <c r="CB732" s="295"/>
      <c r="CC732" s="295"/>
      <c r="CD732" s="295"/>
      <c r="CE732" s="295"/>
      <c r="CF732" s="295"/>
    </row>
    <row r="733" spans="1:84" s="294" customFormat="1" ht="13.5" customHeight="1" x14ac:dyDescent="0.2">
      <c r="A733" s="1355"/>
      <c r="B733" s="1326"/>
      <c r="C733" s="1343"/>
      <c r="D733" s="930" t="s">
        <v>299</v>
      </c>
      <c r="E733" s="280"/>
      <c r="F733" s="280"/>
      <c r="G733" s="280"/>
      <c r="H733" s="280"/>
      <c r="I733" s="280"/>
      <c r="J733" s="280"/>
      <c r="K733" s="280"/>
      <c r="L733" s="300"/>
      <c r="M733" s="300"/>
      <c r="N733" s="300"/>
      <c r="O733" s="1342"/>
      <c r="P733" s="1343"/>
      <c r="Q733" s="1343"/>
      <c r="R733" s="1343"/>
      <c r="S733" s="1343"/>
      <c r="T733" s="1348"/>
      <c r="U733" s="1348"/>
      <c r="V733" s="1269"/>
      <c r="W733" s="1343"/>
      <c r="X733" s="1343"/>
      <c r="Y733" s="1343"/>
      <c r="Z733" s="1337"/>
      <c r="AA733" s="296"/>
      <c r="AB733" s="296"/>
      <c r="AC733" s="298"/>
      <c r="AD733" s="298"/>
      <c r="AE733" s="298"/>
      <c r="AF733" s="298"/>
      <c r="AG733" s="298"/>
      <c r="AH733" s="298"/>
      <c r="AI733" s="298"/>
      <c r="AJ733" s="298"/>
      <c r="AK733" s="298"/>
      <c r="AL733" s="297"/>
      <c r="AM733" s="297"/>
      <c r="AN733" s="297"/>
      <c r="AO733" s="296"/>
      <c r="AP733" s="296"/>
      <c r="AQ733" s="296"/>
      <c r="AR733" s="296"/>
      <c r="AS733" s="296"/>
      <c r="AT733" s="296"/>
      <c r="AU733" s="296"/>
      <c r="AV733" s="295"/>
      <c r="AW733" s="295"/>
      <c r="AX733" s="295"/>
      <c r="AY733" s="295"/>
      <c r="AZ733" s="295"/>
      <c r="BA733" s="295"/>
      <c r="BB733" s="295"/>
      <c r="BC733" s="295"/>
      <c r="BD733" s="295"/>
      <c r="BE733" s="295"/>
      <c r="BF733" s="295"/>
      <c r="BG733" s="295"/>
      <c r="BH733" s="295"/>
      <c r="BI733" s="295"/>
      <c r="BJ733" s="295"/>
      <c r="BK733" s="295"/>
      <c r="BL733" s="295"/>
      <c r="BM733" s="295"/>
      <c r="BN733" s="295"/>
      <c r="BO733" s="295"/>
      <c r="BP733" s="295"/>
      <c r="BQ733" s="295"/>
      <c r="BR733" s="295"/>
      <c r="BS733" s="295"/>
      <c r="BT733" s="295"/>
      <c r="BU733" s="295"/>
      <c r="BV733" s="295"/>
      <c r="BW733" s="295"/>
      <c r="BX733" s="295"/>
      <c r="BY733" s="295"/>
      <c r="BZ733" s="295"/>
      <c r="CA733" s="295"/>
      <c r="CB733" s="295"/>
      <c r="CC733" s="295"/>
      <c r="CD733" s="295"/>
      <c r="CE733" s="295"/>
      <c r="CF733" s="295"/>
    </row>
    <row r="734" spans="1:84" s="294" customFormat="1" ht="7.5" customHeight="1" x14ac:dyDescent="0.2">
      <c r="A734" s="1355"/>
      <c r="B734" s="1326"/>
      <c r="C734" s="1343"/>
      <c r="D734" s="1352" t="s">
        <v>302</v>
      </c>
      <c r="E734" s="1342"/>
      <c r="F734" s="1342"/>
      <c r="G734" s="1342"/>
      <c r="H734" s="1342"/>
      <c r="I734" s="925"/>
      <c r="J734" s="1342"/>
      <c r="K734" s="1342"/>
      <c r="L734" s="1345"/>
      <c r="M734" s="1342"/>
      <c r="N734" s="1342"/>
      <c r="O734" s="1342"/>
      <c r="P734" s="1343"/>
      <c r="Q734" s="1343"/>
      <c r="R734" s="1343"/>
      <c r="S734" s="1343"/>
      <c r="T734" s="1348"/>
      <c r="U734" s="1348"/>
      <c r="V734" s="1269"/>
      <c r="W734" s="1343"/>
      <c r="X734" s="1343"/>
      <c r="Y734" s="1343"/>
      <c r="Z734" s="1337"/>
      <c r="AA734" s="296"/>
      <c r="AB734" s="296"/>
      <c r="AC734" s="298"/>
      <c r="AD734" s="298"/>
      <c r="AE734" s="298"/>
      <c r="AF734" s="298"/>
      <c r="AG734" s="298"/>
      <c r="AH734" s="298"/>
      <c r="AI734" s="298"/>
      <c r="AJ734" s="298"/>
      <c r="AK734" s="298"/>
      <c r="AL734" s="297"/>
      <c r="AM734" s="297"/>
      <c r="AN734" s="297"/>
      <c r="AO734" s="296"/>
      <c r="AP734" s="296"/>
      <c r="AQ734" s="296"/>
      <c r="AR734" s="296"/>
      <c r="AS734" s="296"/>
      <c r="AT734" s="296"/>
      <c r="AU734" s="296"/>
      <c r="AV734" s="295"/>
      <c r="AW734" s="295"/>
      <c r="AX734" s="295"/>
      <c r="AY734" s="295"/>
      <c r="AZ734" s="295"/>
      <c r="BA734" s="295"/>
      <c r="BB734" s="295"/>
      <c r="BC734" s="295"/>
      <c r="BD734" s="295"/>
      <c r="BE734" s="295"/>
      <c r="BF734" s="295"/>
      <c r="BG734" s="295"/>
      <c r="BH734" s="295"/>
      <c r="BI734" s="295"/>
      <c r="BJ734" s="295"/>
      <c r="BK734" s="295"/>
      <c r="BL734" s="295"/>
      <c r="BM734" s="295"/>
      <c r="BN734" s="295"/>
      <c r="BO734" s="295"/>
      <c r="BP734" s="295"/>
      <c r="BQ734" s="295"/>
      <c r="BR734" s="295"/>
      <c r="BS734" s="295"/>
      <c r="BT734" s="295"/>
      <c r="BU734" s="295"/>
      <c r="BV734" s="295"/>
      <c r="BW734" s="295"/>
      <c r="BX734" s="295"/>
      <c r="BY734" s="295"/>
      <c r="BZ734" s="295"/>
      <c r="CA734" s="295"/>
      <c r="CB734" s="295"/>
      <c r="CC734" s="295"/>
      <c r="CD734" s="295"/>
      <c r="CE734" s="295"/>
      <c r="CF734" s="295"/>
    </row>
    <row r="735" spans="1:84" s="294" customFormat="1" ht="7.5" customHeight="1" x14ac:dyDescent="0.2">
      <c r="A735" s="1355"/>
      <c r="B735" s="1326"/>
      <c r="C735" s="1343"/>
      <c r="D735" s="1343"/>
      <c r="E735" s="1343"/>
      <c r="F735" s="1343"/>
      <c r="G735" s="1343"/>
      <c r="H735" s="1343"/>
      <c r="I735" s="913"/>
      <c r="J735" s="1343"/>
      <c r="K735" s="1343"/>
      <c r="L735" s="1346"/>
      <c r="M735" s="1343"/>
      <c r="N735" s="1343"/>
      <c r="O735" s="1342"/>
      <c r="P735" s="1343"/>
      <c r="Q735" s="1343"/>
      <c r="R735" s="1343"/>
      <c r="S735" s="1343"/>
      <c r="T735" s="1348"/>
      <c r="U735" s="1348"/>
      <c r="V735" s="1269"/>
      <c r="W735" s="1343"/>
      <c r="X735" s="1343"/>
      <c r="Y735" s="1343"/>
      <c r="Z735" s="1337"/>
      <c r="AA735" s="296"/>
      <c r="AB735" s="296"/>
      <c r="AC735" s="298"/>
      <c r="AD735" s="298"/>
      <c r="AE735" s="298"/>
      <c r="AF735" s="298"/>
      <c r="AG735" s="298"/>
      <c r="AH735" s="298"/>
      <c r="AI735" s="298"/>
      <c r="AJ735" s="298"/>
      <c r="AK735" s="298"/>
      <c r="AL735" s="297"/>
      <c r="AM735" s="297"/>
      <c r="AN735" s="297"/>
      <c r="AO735" s="296"/>
      <c r="AP735" s="296"/>
      <c r="AQ735" s="296"/>
      <c r="AR735" s="296"/>
      <c r="AS735" s="296"/>
      <c r="AT735" s="296"/>
      <c r="AU735" s="296"/>
      <c r="AV735" s="295"/>
      <c r="AW735" s="295"/>
      <c r="AX735" s="295"/>
      <c r="AY735" s="295"/>
      <c r="AZ735" s="295"/>
      <c r="BA735" s="295"/>
      <c r="BB735" s="295"/>
      <c r="BC735" s="295"/>
      <c r="BD735" s="295"/>
      <c r="BE735" s="295"/>
      <c r="BF735" s="295"/>
      <c r="BG735" s="295"/>
      <c r="BH735" s="295"/>
      <c r="BI735" s="295"/>
      <c r="BJ735" s="295"/>
      <c r="BK735" s="295"/>
      <c r="BL735" s="295"/>
      <c r="BM735" s="295"/>
      <c r="BN735" s="295"/>
      <c r="BO735" s="295"/>
      <c r="BP735" s="295"/>
      <c r="BQ735" s="295"/>
      <c r="BR735" s="295"/>
      <c r="BS735" s="295"/>
      <c r="BT735" s="295"/>
      <c r="BU735" s="295"/>
      <c r="BV735" s="295"/>
      <c r="BW735" s="295"/>
      <c r="BX735" s="295"/>
      <c r="BY735" s="295"/>
      <c r="BZ735" s="295"/>
      <c r="CA735" s="295"/>
      <c r="CB735" s="295"/>
      <c r="CC735" s="295"/>
      <c r="CD735" s="295"/>
      <c r="CE735" s="295"/>
      <c r="CF735" s="295"/>
    </row>
    <row r="736" spans="1:84" s="294" customFormat="1" ht="7.5" customHeight="1" x14ac:dyDescent="0.2">
      <c r="A736" s="1355"/>
      <c r="B736" s="1326"/>
      <c r="C736" s="1343"/>
      <c r="D736" s="1343"/>
      <c r="E736" s="1343"/>
      <c r="F736" s="1343"/>
      <c r="G736" s="1343"/>
      <c r="H736" s="1343"/>
      <c r="I736" s="913"/>
      <c r="J736" s="1343"/>
      <c r="K736" s="1343"/>
      <c r="L736" s="1346"/>
      <c r="M736" s="1343"/>
      <c r="N736" s="1343"/>
      <c r="O736" s="1342"/>
      <c r="P736" s="1343"/>
      <c r="Q736" s="1343"/>
      <c r="R736" s="1343"/>
      <c r="S736" s="1343"/>
      <c r="T736" s="1348"/>
      <c r="U736" s="1348"/>
      <c r="V736" s="1269"/>
      <c r="W736" s="1343"/>
      <c r="X736" s="1343"/>
      <c r="Y736" s="1343"/>
      <c r="Z736" s="1337"/>
      <c r="AA736" s="296"/>
      <c r="AB736" s="296"/>
      <c r="AC736" s="298"/>
      <c r="AD736" s="298"/>
      <c r="AE736" s="298"/>
      <c r="AF736" s="298"/>
      <c r="AG736" s="298"/>
      <c r="AH736" s="298"/>
      <c r="AI736" s="298"/>
      <c r="AJ736" s="298"/>
      <c r="AK736" s="298"/>
      <c r="AL736" s="297"/>
      <c r="AM736" s="297"/>
      <c r="AN736" s="297"/>
      <c r="AO736" s="296"/>
      <c r="AP736" s="296"/>
      <c r="AQ736" s="296"/>
      <c r="AR736" s="296"/>
      <c r="AS736" s="296"/>
      <c r="AT736" s="296"/>
      <c r="AU736" s="296"/>
      <c r="AV736" s="295"/>
      <c r="AW736" s="295"/>
      <c r="AX736" s="295"/>
      <c r="AY736" s="295"/>
      <c r="AZ736" s="295"/>
      <c r="BA736" s="295"/>
      <c r="BB736" s="295"/>
      <c r="BC736" s="295"/>
      <c r="BD736" s="295"/>
      <c r="BE736" s="295"/>
      <c r="BF736" s="295"/>
      <c r="BG736" s="295"/>
      <c r="BH736" s="295"/>
      <c r="BI736" s="295"/>
      <c r="BJ736" s="295"/>
      <c r="BK736" s="295"/>
      <c r="BL736" s="295"/>
      <c r="BM736" s="295"/>
      <c r="BN736" s="295"/>
      <c r="BO736" s="295"/>
      <c r="BP736" s="295"/>
      <c r="BQ736" s="295"/>
      <c r="BR736" s="295"/>
      <c r="BS736" s="295"/>
      <c r="BT736" s="295"/>
      <c r="BU736" s="295"/>
      <c r="BV736" s="295"/>
      <c r="BW736" s="295"/>
      <c r="BX736" s="295"/>
      <c r="BY736" s="295"/>
      <c r="BZ736" s="295"/>
      <c r="CA736" s="295"/>
      <c r="CB736" s="295"/>
      <c r="CC736" s="295"/>
      <c r="CD736" s="295"/>
      <c r="CE736" s="295"/>
      <c r="CF736" s="295"/>
    </row>
    <row r="737" spans="1:84" s="294" customFormat="1" ht="7.5" customHeight="1" x14ac:dyDescent="0.2">
      <c r="A737" s="1355"/>
      <c r="B737" s="1326"/>
      <c r="C737" s="1343"/>
      <c r="D737" s="1343"/>
      <c r="E737" s="1343"/>
      <c r="F737" s="1343"/>
      <c r="G737" s="1343"/>
      <c r="H737" s="1343"/>
      <c r="I737" s="913"/>
      <c r="J737" s="1343"/>
      <c r="K737" s="1343"/>
      <c r="L737" s="1347"/>
      <c r="M737" s="1343"/>
      <c r="N737" s="1343"/>
      <c r="O737" s="1342"/>
      <c r="P737" s="1343"/>
      <c r="Q737" s="1343"/>
      <c r="R737" s="1343"/>
      <c r="S737" s="1343"/>
      <c r="T737" s="1348"/>
      <c r="U737" s="1348"/>
      <c r="V737" s="1269"/>
      <c r="W737" s="1343"/>
      <c r="X737" s="1343"/>
      <c r="Y737" s="1343"/>
      <c r="Z737" s="1337"/>
      <c r="AA737" s="296"/>
      <c r="AB737" s="296"/>
      <c r="AC737" s="298"/>
      <c r="AD737" s="298"/>
      <c r="AE737" s="298"/>
      <c r="AF737" s="298"/>
      <c r="AG737" s="298"/>
      <c r="AH737" s="298"/>
      <c r="AI737" s="298"/>
      <c r="AJ737" s="298"/>
      <c r="AK737" s="298"/>
      <c r="AL737" s="297"/>
      <c r="AM737" s="297"/>
      <c r="AN737" s="297"/>
      <c r="AO737" s="296"/>
      <c r="AP737" s="296"/>
      <c r="AQ737" s="296"/>
      <c r="AR737" s="296"/>
      <c r="AS737" s="296"/>
      <c r="AT737" s="296"/>
      <c r="AU737" s="296"/>
      <c r="AV737" s="295"/>
      <c r="AW737" s="295"/>
      <c r="AX737" s="295"/>
      <c r="AY737" s="295"/>
      <c r="AZ737" s="295"/>
      <c r="BA737" s="295"/>
      <c r="BB737" s="295"/>
      <c r="BC737" s="295"/>
      <c r="BD737" s="295"/>
      <c r="BE737" s="295"/>
      <c r="BF737" s="295"/>
      <c r="BG737" s="295"/>
      <c r="BH737" s="295"/>
      <c r="BI737" s="295"/>
      <c r="BJ737" s="295"/>
      <c r="BK737" s="295"/>
      <c r="BL737" s="295"/>
      <c r="BM737" s="295"/>
      <c r="BN737" s="295"/>
      <c r="BO737" s="295"/>
      <c r="BP737" s="295"/>
      <c r="BQ737" s="295"/>
      <c r="BR737" s="295"/>
      <c r="BS737" s="295"/>
      <c r="BT737" s="295"/>
      <c r="BU737" s="295"/>
      <c r="BV737" s="295"/>
      <c r="BW737" s="295"/>
      <c r="BX737" s="295"/>
      <c r="BY737" s="295"/>
      <c r="BZ737" s="295"/>
      <c r="CA737" s="295"/>
      <c r="CB737" s="295"/>
      <c r="CC737" s="295"/>
      <c r="CD737" s="295"/>
      <c r="CE737" s="295"/>
      <c r="CF737" s="295"/>
    </row>
    <row r="738" spans="1:84" s="294" customFormat="1" ht="15" customHeight="1" x14ac:dyDescent="0.2">
      <c r="A738" s="1355"/>
      <c r="B738" s="1326"/>
      <c r="C738" s="1351" t="s">
        <v>363</v>
      </c>
      <c r="D738" s="299" t="s">
        <v>288</v>
      </c>
      <c r="E738" s="280">
        <v>12.71</v>
      </c>
      <c r="F738" s="280"/>
      <c r="G738" s="280"/>
      <c r="H738" s="280">
        <v>13</v>
      </c>
      <c r="I738" s="280"/>
      <c r="J738" s="905">
        <v>13</v>
      </c>
      <c r="K738" s="280"/>
      <c r="L738" s="238">
        <v>13</v>
      </c>
      <c r="M738" s="216">
        <v>13</v>
      </c>
      <c r="N738" s="928">
        <v>13</v>
      </c>
      <c r="O738" s="1342" t="s">
        <v>368</v>
      </c>
      <c r="P738" s="1351" t="s">
        <v>86</v>
      </c>
      <c r="Q738" s="1350" t="s">
        <v>86</v>
      </c>
      <c r="R738" s="1351" t="s">
        <v>86</v>
      </c>
      <c r="S738" s="1350" t="s">
        <v>290</v>
      </c>
      <c r="T738" s="1348">
        <v>190484</v>
      </c>
      <c r="U738" s="1348">
        <v>213035</v>
      </c>
      <c r="V738" s="1350"/>
      <c r="W738" s="1350" t="s">
        <v>291</v>
      </c>
      <c r="X738" s="1350" t="s">
        <v>292</v>
      </c>
      <c r="Y738" s="1350" t="s">
        <v>293</v>
      </c>
      <c r="Z738" s="1336">
        <v>7878785</v>
      </c>
      <c r="AA738" s="296"/>
      <c r="AB738" s="296"/>
      <c r="AC738" s="298"/>
      <c r="AD738" s="298"/>
      <c r="AE738" s="298"/>
      <c r="AF738" s="298"/>
      <c r="AG738" s="298"/>
      <c r="AH738" s="298"/>
      <c r="AI738" s="298"/>
      <c r="AJ738" s="298"/>
      <c r="AK738" s="298"/>
      <c r="AL738" s="297"/>
      <c r="AM738" s="297"/>
      <c r="AN738" s="297"/>
      <c r="AO738" s="296"/>
      <c r="AP738" s="296"/>
      <c r="AQ738" s="296"/>
      <c r="AR738" s="296"/>
      <c r="AS738" s="296"/>
      <c r="AT738" s="296"/>
      <c r="AU738" s="296"/>
      <c r="AV738" s="295"/>
      <c r="AW738" s="295"/>
      <c r="AX738" s="295"/>
      <c r="AY738" s="295"/>
      <c r="AZ738" s="295"/>
      <c r="BA738" s="295"/>
      <c r="BB738" s="295"/>
      <c r="BC738" s="295"/>
      <c r="BD738" s="295"/>
      <c r="BE738" s="295"/>
      <c r="BF738" s="295"/>
      <c r="BG738" s="295"/>
      <c r="BH738" s="295"/>
      <c r="BI738" s="295"/>
      <c r="BJ738" s="295"/>
      <c r="BK738" s="295"/>
      <c r="BL738" s="295"/>
      <c r="BM738" s="295"/>
      <c r="BN738" s="295"/>
      <c r="BO738" s="295"/>
      <c r="BP738" s="295"/>
      <c r="BQ738" s="295"/>
      <c r="BR738" s="295"/>
      <c r="BS738" s="295"/>
      <c r="BT738" s="295"/>
      <c r="BU738" s="295"/>
      <c r="BV738" s="295"/>
      <c r="BW738" s="295"/>
      <c r="BX738" s="295"/>
      <c r="BY738" s="295"/>
      <c r="BZ738" s="295"/>
      <c r="CA738" s="295"/>
      <c r="CB738" s="295"/>
      <c r="CC738" s="295"/>
      <c r="CD738" s="295"/>
      <c r="CE738" s="295"/>
      <c r="CF738" s="295"/>
    </row>
    <row r="739" spans="1:84" s="294" customFormat="1" ht="15" customHeight="1" x14ac:dyDescent="0.2">
      <c r="A739" s="1355"/>
      <c r="B739" s="1326"/>
      <c r="C739" s="1343"/>
      <c r="D739" s="930" t="s">
        <v>296</v>
      </c>
      <c r="E739" s="280">
        <v>1855870.80752135</v>
      </c>
      <c r="F739" s="280"/>
      <c r="G739" s="280"/>
      <c r="H739" s="302">
        <v>657207.57142857148</v>
      </c>
      <c r="I739" s="302"/>
      <c r="J739" s="301">
        <f>+J738*$J$599/$J$598</f>
        <v>599396.69648297364</v>
      </c>
      <c r="K739" s="280"/>
      <c r="L739" s="300">
        <v>1855870.80752135</v>
      </c>
      <c r="M739" s="300">
        <v>725099.90652221197</v>
      </c>
      <c r="N739" s="301">
        <v>582806.39933962526</v>
      </c>
      <c r="O739" s="1342"/>
      <c r="P739" s="1343"/>
      <c r="Q739" s="1343"/>
      <c r="R739" s="1343"/>
      <c r="S739" s="1343"/>
      <c r="T739" s="1348"/>
      <c r="U739" s="1348"/>
      <c r="V739" s="1343"/>
      <c r="W739" s="1343"/>
      <c r="X739" s="1343"/>
      <c r="Y739" s="1343"/>
      <c r="Z739" s="1337"/>
      <c r="AA739" s="296"/>
      <c r="AB739" s="296"/>
      <c r="AC739" s="298"/>
      <c r="AD739" s="298"/>
      <c r="AE739" s="298"/>
      <c r="AF739" s="298"/>
      <c r="AG739" s="298"/>
      <c r="AH739" s="298"/>
      <c r="AI739" s="298"/>
      <c r="AJ739" s="298"/>
      <c r="AK739" s="298"/>
      <c r="AL739" s="297"/>
      <c r="AM739" s="297"/>
      <c r="AN739" s="297"/>
      <c r="AO739" s="296"/>
      <c r="AP739" s="296"/>
      <c r="AQ739" s="296"/>
      <c r="AR739" s="296"/>
      <c r="AS739" s="296"/>
      <c r="AT739" s="296"/>
      <c r="AU739" s="296"/>
      <c r="AV739" s="295"/>
      <c r="AW739" s="295"/>
      <c r="AX739" s="295"/>
      <c r="AY739" s="295"/>
      <c r="AZ739" s="295"/>
      <c r="BA739" s="295"/>
      <c r="BB739" s="295"/>
      <c r="BC739" s="295"/>
      <c r="BD739" s="295"/>
      <c r="BE739" s="295"/>
      <c r="BF739" s="295"/>
      <c r="BG739" s="295"/>
      <c r="BH739" s="295"/>
      <c r="BI739" s="295"/>
      <c r="BJ739" s="295"/>
      <c r="BK739" s="295"/>
      <c r="BL739" s="295"/>
      <c r="BM739" s="295"/>
      <c r="BN739" s="295"/>
      <c r="BO739" s="295"/>
      <c r="BP739" s="295"/>
      <c r="BQ739" s="295"/>
      <c r="BR739" s="295"/>
      <c r="BS739" s="295"/>
      <c r="BT739" s="295"/>
      <c r="BU739" s="295"/>
      <c r="BV739" s="295"/>
      <c r="BW739" s="295"/>
      <c r="BX739" s="295"/>
      <c r="BY739" s="295"/>
      <c r="BZ739" s="295"/>
      <c r="CA739" s="295"/>
      <c r="CB739" s="295"/>
      <c r="CC739" s="295"/>
      <c r="CD739" s="295"/>
      <c r="CE739" s="295"/>
      <c r="CF739" s="295"/>
    </row>
    <row r="740" spans="1:84" s="294" customFormat="1" ht="15" customHeight="1" x14ac:dyDescent="0.2">
      <c r="A740" s="1355"/>
      <c r="B740" s="1326"/>
      <c r="C740" s="1343"/>
      <c r="D740" s="930" t="s">
        <v>299</v>
      </c>
      <c r="E740" s="280"/>
      <c r="F740" s="280"/>
      <c r="G740" s="280"/>
      <c r="H740" s="280"/>
      <c r="I740" s="280"/>
      <c r="J740" s="280"/>
      <c r="K740" s="280"/>
      <c r="L740" s="300"/>
      <c r="M740" s="300"/>
      <c r="N740" s="300"/>
      <c r="O740" s="1342"/>
      <c r="P740" s="1343"/>
      <c r="Q740" s="1343"/>
      <c r="R740" s="1343"/>
      <c r="S740" s="1343"/>
      <c r="T740" s="1348"/>
      <c r="U740" s="1348"/>
      <c r="V740" s="1343"/>
      <c r="W740" s="1343"/>
      <c r="X740" s="1343"/>
      <c r="Y740" s="1343"/>
      <c r="Z740" s="1337"/>
      <c r="AA740" s="296"/>
      <c r="AB740" s="296"/>
      <c r="AC740" s="298"/>
      <c r="AD740" s="298"/>
      <c r="AE740" s="298"/>
      <c r="AF740" s="298"/>
      <c r="AG740" s="298"/>
      <c r="AH740" s="298"/>
      <c r="AI740" s="298"/>
      <c r="AJ740" s="298"/>
      <c r="AK740" s="298"/>
      <c r="AL740" s="297"/>
      <c r="AM740" s="297"/>
      <c r="AN740" s="297"/>
      <c r="AO740" s="296"/>
      <c r="AP740" s="296"/>
      <c r="AQ740" s="296"/>
      <c r="AR740" s="296"/>
      <c r="AS740" s="296"/>
      <c r="AT740" s="296"/>
      <c r="AU740" s="296"/>
      <c r="AV740" s="295"/>
      <c r="AW740" s="295"/>
      <c r="AX740" s="295"/>
      <c r="AY740" s="295"/>
      <c r="AZ740" s="295"/>
      <c r="BA740" s="295"/>
      <c r="BB740" s="295"/>
      <c r="BC740" s="295"/>
      <c r="BD740" s="295"/>
      <c r="BE740" s="295"/>
      <c r="BF740" s="295"/>
      <c r="BG740" s="295"/>
      <c r="BH740" s="295"/>
      <c r="BI740" s="295"/>
      <c r="BJ740" s="295"/>
      <c r="BK740" s="295"/>
      <c r="BL740" s="295"/>
      <c r="BM740" s="295"/>
      <c r="BN740" s="295"/>
      <c r="BO740" s="295"/>
      <c r="BP740" s="295"/>
      <c r="BQ740" s="295"/>
      <c r="BR740" s="295"/>
      <c r="BS740" s="295"/>
      <c r="BT740" s="295"/>
      <c r="BU740" s="295"/>
      <c r="BV740" s="295"/>
      <c r="BW740" s="295"/>
      <c r="BX740" s="295"/>
      <c r="BY740" s="295"/>
      <c r="BZ740" s="295"/>
      <c r="CA740" s="295"/>
      <c r="CB740" s="295"/>
      <c r="CC740" s="295"/>
      <c r="CD740" s="295"/>
      <c r="CE740" s="295"/>
      <c r="CF740" s="295"/>
    </row>
    <row r="741" spans="1:84" s="294" customFormat="1" ht="7.5" customHeight="1" x14ac:dyDescent="0.2">
      <c r="A741" s="1355"/>
      <c r="B741" s="1326"/>
      <c r="C741" s="1343"/>
      <c r="D741" s="1339" t="s">
        <v>302</v>
      </c>
      <c r="E741" s="1342"/>
      <c r="F741" s="1342"/>
      <c r="G741" s="1342"/>
      <c r="H741" s="1342"/>
      <c r="I741" s="925"/>
      <c r="J741" s="1342"/>
      <c r="K741" s="1342"/>
      <c r="L741" s="1345"/>
      <c r="M741" s="1345"/>
      <c r="N741" s="1342"/>
      <c r="O741" s="1342"/>
      <c r="P741" s="1343"/>
      <c r="Q741" s="1343"/>
      <c r="R741" s="1343"/>
      <c r="S741" s="1343"/>
      <c r="T741" s="1348"/>
      <c r="U741" s="1348"/>
      <c r="V741" s="1343"/>
      <c r="W741" s="1343"/>
      <c r="X741" s="1343"/>
      <c r="Y741" s="1343"/>
      <c r="Z741" s="1337"/>
      <c r="AA741" s="296"/>
      <c r="AB741" s="296"/>
      <c r="AC741" s="298"/>
      <c r="AD741" s="298"/>
      <c r="AE741" s="298"/>
      <c r="AF741" s="298"/>
      <c r="AG741" s="298"/>
      <c r="AH741" s="298"/>
      <c r="AI741" s="298"/>
      <c r="AJ741" s="298"/>
      <c r="AK741" s="298"/>
      <c r="AL741" s="297"/>
      <c r="AM741" s="297"/>
      <c r="AN741" s="297"/>
      <c r="AO741" s="296"/>
      <c r="AP741" s="296"/>
      <c r="AQ741" s="296"/>
      <c r="AR741" s="296"/>
      <c r="AS741" s="296"/>
      <c r="AT741" s="296"/>
      <c r="AU741" s="296"/>
      <c r="AV741" s="295"/>
      <c r="AW741" s="295"/>
      <c r="AX741" s="295"/>
      <c r="AY741" s="295"/>
      <c r="AZ741" s="295"/>
      <c r="BA741" s="295"/>
      <c r="BB741" s="295"/>
      <c r="BC741" s="295"/>
      <c r="BD741" s="295"/>
      <c r="BE741" s="295"/>
      <c r="BF741" s="295"/>
      <c r="BG741" s="295"/>
      <c r="BH741" s="295"/>
      <c r="BI741" s="295"/>
      <c r="BJ741" s="295"/>
      <c r="BK741" s="295"/>
      <c r="BL741" s="295"/>
      <c r="BM741" s="295"/>
      <c r="BN741" s="295"/>
      <c r="BO741" s="295"/>
      <c r="BP741" s="295"/>
      <c r="BQ741" s="295"/>
      <c r="BR741" s="295"/>
      <c r="BS741" s="295"/>
      <c r="BT741" s="295"/>
      <c r="BU741" s="295"/>
      <c r="BV741" s="295"/>
      <c r="BW741" s="295"/>
      <c r="BX741" s="295"/>
      <c r="BY741" s="295"/>
      <c r="BZ741" s="295"/>
      <c r="CA741" s="295"/>
      <c r="CB741" s="295"/>
      <c r="CC741" s="295"/>
      <c r="CD741" s="295"/>
      <c r="CE741" s="295"/>
      <c r="CF741" s="295"/>
    </row>
    <row r="742" spans="1:84" s="294" customFormat="1" ht="7.5" customHeight="1" x14ac:dyDescent="0.2">
      <c r="A742" s="1355"/>
      <c r="B742" s="1326"/>
      <c r="C742" s="1343"/>
      <c r="D742" s="1340"/>
      <c r="E742" s="1343"/>
      <c r="F742" s="1343"/>
      <c r="G742" s="1343"/>
      <c r="H742" s="1343"/>
      <c r="I742" s="913"/>
      <c r="J742" s="1343"/>
      <c r="K742" s="1343"/>
      <c r="L742" s="1346"/>
      <c r="M742" s="1346"/>
      <c r="N742" s="1343"/>
      <c r="O742" s="1342"/>
      <c r="P742" s="1343"/>
      <c r="Q742" s="1343"/>
      <c r="R742" s="1343"/>
      <c r="S742" s="1343"/>
      <c r="T742" s="1348"/>
      <c r="U742" s="1348"/>
      <c r="V742" s="1343"/>
      <c r="W742" s="1343"/>
      <c r="X742" s="1343"/>
      <c r="Y742" s="1343"/>
      <c r="Z742" s="1337"/>
      <c r="AA742" s="296"/>
      <c r="AB742" s="296"/>
      <c r="AC742" s="298"/>
      <c r="AD742" s="298"/>
      <c r="AE742" s="298"/>
      <c r="AF742" s="298"/>
      <c r="AG742" s="298"/>
      <c r="AH742" s="298"/>
      <c r="AI742" s="298"/>
      <c r="AJ742" s="298"/>
      <c r="AK742" s="298"/>
      <c r="AL742" s="297"/>
      <c r="AM742" s="297"/>
      <c r="AN742" s="297"/>
      <c r="AO742" s="296"/>
      <c r="AP742" s="296"/>
      <c r="AQ742" s="296"/>
      <c r="AR742" s="296"/>
      <c r="AS742" s="296"/>
      <c r="AT742" s="296"/>
      <c r="AU742" s="296"/>
      <c r="AV742" s="295"/>
      <c r="AW742" s="295"/>
      <c r="AX742" s="295"/>
      <c r="AY742" s="295"/>
      <c r="AZ742" s="295"/>
      <c r="BA742" s="295"/>
      <c r="BB742" s="295"/>
      <c r="BC742" s="295"/>
      <c r="BD742" s="295"/>
      <c r="BE742" s="295"/>
      <c r="BF742" s="295"/>
      <c r="BG742" s="295"/>
      <c r="BH742" s="295"/>
      <c r="BI742" s="295"/>
      <c r="BJ742" s="295"/>
      <c r="BK742" s="295"/>
      <c r="BL742" s="295"/>
      <c r="BM742" s="295"/>
      <c r="BN742" s="295"/>
      <c r="BO742" s="295"/>
      <c r="BP742" s="295"/>
      <c r="BQ742" s="295"/>
      <c r="BR742" s="295"/>
      <c r="BS742" s="295"/>
      <c r="BT742" s="295"/>
      <c r="BU742" s="295"/>
      <c r="BV742" s="295"/>
      <c r="BW742" s="295"/>
      <c r="BX742" s="295"/>
      <c r="BY742" s="295"/>
      <c r="BZ742" s="295"/>
      <c r="CA742" s="295"/>
      <c r="CB742" s="295"/>
      <c r="CC742" s="295"/>
      <c r="CD742" s="295"/>
      <c r="CE742" s="295"/>
      <c r="CF742" s="295"/>
    </row>
    <row r="743" spans="1:84" s="294" customFormat="1" ht="9" customHeight="1" x14ac:dyDescent="0.2">
      <c r="A743" s="1355"/>
      <c r="B743" s="1326"/>
      <c r="C743" s="1343"/>
      <c r="D743" s="1340"/>
      <c r="E743" s="1343"/>
      <c r="F743" s="1343"/>
      <c r="G743" s="1343"/>
      <c r="H743" s="1343"/>
      <c r="I743" s="913"/>
      <c r="J743" s="1343"/>
      <c r="K743" s="1343"/>
      <c r="L743" s="1346"/>
      <c r="M743" s="1346"/>
      <c r="N743" s="1343"/>
      <c r="O743" s="1342"/>
      <c r="P743" s="1343"/>
      <c r="Q743" s="1343"/>
      <c r="R743" s="1343"/>
      <c r="S743" s="1343"/>
      <c r="T743" s="1348"/>
      <c r="U743" s="1348"/>
      <c r="V743" s="1343"/>
      <c r="W743" s="1343"/>
      <c r="X743" s="1343"/>
      <c r="Y743" s="1343"/>
      <c r="Z743" s="1337"/>
      <c r="AA743" s="296"/>
      <c r="AB743" s="296"/>
      <c r="AC743" s="298"/>
      <c r="AD743" s="298"/>
      <c r="AE743" s="298"/>
      <c r="AF743" s="298"/>
      <c r="AG743" s="298"/>
      <c r="AH743" s="298"/>
      <c r="AI743" s="298"/>
      <c r="AJ743" s="298"/>
      <c r="AK743" s="298"/>
      <c r="AL743" s="297"/>
      <c r="AM743" s="297"/>
      <c r="AN743" s="297"/>
      <c r="AO743" s="296"/>
      <c r="AP743" s="296"/>
      <c r="AQ743" s="296"/>
      <c r="AR743" s="296"/>
      <c r="AS743" s="296"/>
      <c r="AT743" s="296"/>
      <c r="AU743" s="296"/>
      <c r="AV743" s="295"/>
      <c r="AW743" s="295"/>
      <c r="AX743" s="295"/>
      <c r="AY743" s="295"/>
      <c r="AZ743" s="295"/>
      <c r="BA743" s="295"/>
      <c r="BB743" s="295"/>
      <c r="BC743" s="295"/>
      <c r="BD743" s="295"/>
      <c r="BE743" s="295"/>
      <c r="BF743" s="295"/>
      <c r="BG743" s="295"/>
      <c r="BH743" s="295"/>
      <c r="BI743" s="295"/>
      <c r="BJ743" s="295"/>
      <c r="BK743" s="295"/>
      <c r="BL743" s="295"/>
      <c r="BM743" s="295"/>
      <c r="BN743" s="295"/>
      <c r="BO743" s="295"/>
      <c r="BP743" s="295"/>
      <c r="BQ743" s="295"/>
      <c r="BR743" s="295"/>
      <c r="BS743" s="295"/>
      <c r="BT743" s="295"/>
      <c r="BU743" s="295"/>
      <c r="BV743" s="295"/>
      <c r="BW743" s="295"/>
      <c r="BX743" s="295"/>
      <c r="BY743" s="295"/>
      <c r="BZ743" s="295"/>
      <c r="CA743" s="295"/>
      <c r="CB743" s="295"/>
      <c r="CC743" s="295"/>
      <c r="CD743" s="295"/>
      <c r="CE743" s="295"/>
      <c r="CF743" s="295"/>
    </row>
    <row r="744" spans="1:84" s="294" customFormat="1" ht="18" customHeight="1" thickBot="1" x14ac:dyDescent="0.25">
      <c r="A744" s="1356"/>
      <c r="B744" s="1326"/>
      <c r="C744" s="1344"/>
      <c r="D744" s="1341"/>
      <c r="E744" s="1344"/>
      <c r="F744" s="1344"/>
      <c r="G744" s="1344"/>
      <c r="H744" s="1344"/>
      <c r="I744" s="914"/>
      <c r="J744" s="1344"/>
      <c r="K744" s="1344"/>
      <c r="L744" s="1347"/>
      <c r="M744" s="1347"/>
      <c r="N744" s="1344"/>
      <c r="O744" s="1345"/>
      <c r="P744" s="1344"/>
      <c r="Q744" s="1344"/>
      <c r="R744" s="1344"/>
      <c r="S744" s="1344"/>
      <c r="T744" s="1349"/>
      <c r="U744" s="1349"/>
      <c r="V744" s="1343"/>
      <c r="W744" s="1344"/>
      <c r="X744" s="1344"/>
      <c r="Y744" s="1344"/>
      <c r="Z744" s="1338"/>
      <c r="AA744" s="296"/>
      <c r="AB744" s="296"/>
      <c r="AC744" s="298"/>
      <c r="AD744" s="298"/>
      <c r="AE744" s="298"/>
      <c r="AF744" s="298"/>
      <c r="AG744" s="298"/>
      <c r="AH744" s="298"/>
      <c r="AI744" s="298"/>
      <c r="AJ744" s="298"/>
      <c r="AK744" s="298"/>
      <c r="AL744" s="297"/>
      <c r="AM744" s="297"/>
      <c r="AN744" s="297"/>
      <c r="AO744" s="296"/>
      <c r="AP744" s="296"/>
      <c r="AQ744" s="296"/>
      <c r="AR744" s="296"/>
      <c r="AS744" s="296"/>
      <c r="AT744" s="296"/>
      <c r="AU744" s="296"/>
      <c r="AV744" s="295"/>
      <c r="AW744" s="295"/>
      <c r="AX744" s="295"/>
      <c r="AY744" s="295"/>
      <c r="AZ744" s="295"/>
      <c r="BA744" s="295"/>
      <c r="BB744" s="295"/>
      <c r="BC744" s="295"/>
      <c r="BD744" s="295"/>
      <c r="BE744" s="295"/>
      <c r="BF744" s="295"/>
      <c r="BG744" s="295"/>
      <c r="BH744" s="295"/>
      <c r="BI744" s="295"/>
      <c r="BJ744" s="295"/>
      <c r="BK744" s="295"/>
      <c r="BL744" s="295"/>
      <c r="BM744" s="295"/>
      <c r="BN744" s="295"/>
      <c r="BO744" s="295"/>
      <c r="BP744" s="295"/>
      <c r="BQ744" s="295"/>
      <c r="BR744" s="295"/>
      <c r="BS744" s="295"/>
      <c r="BT744" s="295"/>
      <c r="BU744" s="295"/>
      <c r="BV744" s="295"/>
      <c r="BW744" s="295"/>
      <c r="BX744" s="295"/>
      <c r="BY744" s="295"/>
      <c r="BZ744" s="295"/>
      <c r="CA744" s="295"/>
      <c r="CB744" s="295"/>
      <c r="CC744" s="295"/>
      <c r="CD744" s="295"/>
      <c r="CE744" s="295"/>
      <c r="CF744" s="295"/>
    </row>
    <row r="745" spans="1:84" ht="10.5" customHeight="1" x14ac:dyDescent="0.25">
      <c r="A745" s="1292">
        <v>9</v>
      </c>
      <c r="B745" s="1268" t="s">
        <v>146</v>
      </c>
      <c r="C745" s="1268" t="s">
        <v>434</v>
      </c>
      <c r="D745" s="182" t="s">
        <v>288</v>
      </c>
      <c r="E745" s="927">
        <v>2000</v>
      </c>
      <c r="F745" s="232"/>
      <c r="G745" s="232"/>
      <c r="H745" s="927">
        <v>2000</v>
      </c>
      <c r="I745" s="927"/>
      <c r="J745" s="927">
        <f>+[2]INVERSIÓN!Q57</f>
        <v>2030</v>
      </c>
      <c r="K745" s="240">
        <v>381</v>
      </c>
      <c r="L745" s="241">
        <v>1261</v>
      </c>
      <c r="M745" s="235">
        <v>1736</v>
      </c>
      <c r="N745" s="927">
        <v>2030</v>
      </c>
      <c r="O745" s="1295" t="s">
        <v>290</v>
      </c>
      <c r="P745" s="1268" t="s">
        <v>86</v>
      </c>
      <c r="Q745" s="1271" t="s">
        <v>86</v>
      </c>
      <c r="R745" s="1268" t="s">
        <v>86</v>
      </c>
      <c r="S745" s="1271" t="s">
        <v>290</v>
      </c>
      <c r="T745" s="1271">
        <v>7878783</v>
      </c>
      <c r="U745" s="1332"/>
      <c r="V745" s="1333"/>
      <c r="W745" s="1271" t="s">
        <v>291</v>
      </c>
      <c r="X745" s="1271" t="s">
        <v>292</v>
      </c>
      <c r="Y745" s="1271" t="s">
        <v>293</v>
      </c>
      <c r="Z745" s="1283">
        <v>7878783</v>
      </c>
      <c r="AA745" s="8"/>
      <c r="AB745" s="8"/>
      <c r="AC745" s="184">
        <v>12</v>
      </c>
      <c r="AD745" s="184" t="s">
        <v>294</v>
      </c>
      <c r="AE745" s="184"/>
      <c r="AF745" s="184"/>
      <c r="AG745" s="184"/>
      <c r="AH745" s="184" t="s">
        <v>295</v>
      </c>
      <c r="AI745" s="184"/>
      <c r="AJ745" s="184"/>
      <c r="AK745" s="184"/>
      <c r="AL745" s="185"/>
      <c r="AM745" s="185"/>
      <c r="AN745" s="185"/>
      <c r="AO745" s="8"/>
      <c r="AP745" s="8"/>
      <c r="AQ745" s="8"/>
      <c r="AR745" s="8"/>
      <c r="AS745" s="8"/>
      <c r="AT745" s="8"/>
      <c r="AU745" s="8"/>
    </row>
    <row r="746" spans="1:84" ht="10.5" customHeight="1" x14ac:dyDescent="0.25">
      <c r="A746" s="1293"/>
      <c r="B746" s="1269"/>
      <c r="C746" s="1269"/>
      <c r="D746" s="904" t="s">
        <v>296</v>
      </c>
      <c r="E746" s="905">
        <v>169154000</v>
      </c>
      <c r="F746" s="198"/>
      <c r="G746" s="198"/>
      <c r="H746" s="927">
        <v>169154000</v>
      </c>
      <c r="I746" s="927"/>
      <c r="J746" s="927">
        <f>+[2]INVERSIÓN!Q58</f>
        <v>160793033</v>
      </c>
      <c r="K746" s="909">
        <f>+[4]INVERSIÓN!AF64</f>
        <v>24234500</v>
      </c>
      <c r="L746" s="909">
        <f>+[4]INVERSIÓN!AG64</f>
        <v>152377500</v>
      </c>
      <c r="M746" s="909">
        <v>152377500</v>
      </c>
      <c r="N746" s="927">
        <v>160793033</v>
      </c>
      <c r="O746" s="1269"/>
      <c r="P746" s="1269"/>
      <c r="Q746" s="1269"/>
      <c r="R746" s="1269"/>
      <c r="S746" s="1269"/>
      <c r="T746" s="1269"/>
      <c r="U746" s="1269"/>
      <c r="V746" s="1334"/>
      <c r="W746" s="1269"/>
      <c r="X746" s="1269"/>
      <c r="Y746" s="1269"/>
      <c r="Z746" s="1284"/>
      <c r="AA746" s="8"/>
      <c r="AB746" s="8"/>
      <c r="AC746" s="184">
        <v>13</v>
      </c>
      <c r="AD746" s="184" t="s">
        <v>297</v>
      </c>
      <c r="AE746" s="184"/>
      <c r="AF746" s="184"/>
      <c r="AG746" s="184"/>
      <c r="AH746" s="184" t="s">
        <v>298</v>
      </c>
      <c r="AI746" s="184"/>
      <c r="AJ746" s="184"/>
      <c r="AK746" s="184"/>
      <c r="AL746" s="185"/>
      <c r="AM746" s="185"/>
      <c r="AN746" s="185"/>
      <c r="AO746" s="8"/>
      <c r="AP746" s="8"/>
      <c r="AQ746" s="8"/>
      <c r="AR746" s="8"/>
      <c r="AS746" s="8"/>
      <c r="AT746" s="8"/>
      <c r="AU746" s="8"/>
    </row>
    <row r="747" spans="1:84" ht="21.75" customHeight="1" x14ac:dyDescent="0.25">
      <c r="A747" s="1293"/>
      <c r="B747" s="1269"/>
      <c r="C747" s="1269"/>
      <c r="D747" s="904" t="s">
        <v>299</v>
      </c>
      <c r="E747" s="905"/>
      <c r="F747" s="198"/>
      <c r="G747" s="198"/>
      <c r="H747" s="198"/>
      <c r="I747" s="198"/>
      <c r="J747" s="905"/>
      <c r="K747" s="214"/>
      <c r="L747" s="909"/>
      <c r="M747" s="909"/>
      <c r="N747" s="909"/>
      <c r="O747" s="1269"/>
      <c r="P747" s="1269"/>
      <c r="Q747" s="1269"/>
      <c r="R747" s="1269"/>
      <c r="S747" s="1269"/>
      <c r="T747" s="1269"/>
      <c r="U747" s="1269"/>
      <c r="V747" s="1334"/>
      <c r="W747" s="1269"/>
      <c r="X747" s="1269"/>
      <c r="Y747" s="1269"/>
      <c r="Z747" s="1284"/>
      <c r="AA747" s="8"/>
      <c r="AB747" s="8"/>
      <c r="AC747" s="184">
        <v>14</v>
      </c>
      <c r="AD747" s="184" t="s">
        <v>300</v>
      </c>
      <c r="AE747" s="184"/>
      <c r="AF747" s="184"/>
      <c r="AG747" s="184"/>
      <c r="AH747" s="184" t="s">
        <v>301</v>
      </c>
      <c r="AI747" s="184"/>
      <c r="AJ747" s="184"/>
      <c r="AK747" s="184"/>
      <c r="AL747" s="185"/>
      <c r="AM747" s="185"/>
      <c r="AN747" s="185"/>
      <c r="AO747" s="8"/>
      <c r="AP747" s="8"/>
      <c r="AQ747" s="8"/>
      <c r="AR747" s="8"/>
      <c r="AS747" s="8"/>
      <c r="AT747" s="8"/>
      <c r="AU747" s="8"/>
    </row>
    <row r="748" spans="1:84" ht="15.75" customHeight="1" x14ac:dyDescent="0.25">
      <c r="A748" s="1293"/>
      <c r="B748" s="1269"/>
      <c r="C748" s="1269"/>
      <c r="D748" s="1299" t="s">
        <v>302</v>
      </c>
      <c r="E748" s="1272">
        <v>29964766</v>
      </c>
      <c r="F748" s="1272"/>
      <c r="G748" s="1272"/>
      <c r="H748" s="1272">
        <v>29964766</v>
      </c>
      <c r="I748" s="905"/>
      <c r="J748" s="1272">
        <f>+[2]INVERSIÓN!Q60</f>
        <v>29964766</v>
      </c>
      <c r="K748" s="1272">
        <f>+[4]INVERSIÓN!AF66</f>
        <v>29964766</v>
      </c>
      <c r="L748" s="1272">
        <f>+[4]INVERSIÓN!AG66</f>
        <v>29964766</v>
      </c>
      <c r="M748" s="1272">
        <v>29964766</v>
      </c>
      <c r="N748" s="1272">
        <v>29964766</v>
      </c>
      <c r="O748" s="1269"/>
      <c r="P748" s="1269"/>
      <c r="Q748" s="1269"/>
      <c r="R748" s="1269"/>
      <c r="S748" s="1269"/>
      <c r="T748" s="1269"/>
      <c r="U748" s="1269"/>
      <c r="V748" s="1334"/>
      <c r="W748" s="1269"/>
      <c r="X748" s="1269"/>
      <c r="Y748" s="1269"/>
      <c r="Z748" s="1284"/>
      <c r="AA748" s="8"/>
      <c r="AB748" s="8"/>
      <c r="AC748" s="184"/>
      <c r="AD748" s="184"/>
      <c r="AE748" s="184"/>
      <c r="AF748" s="184"/>
      <c r="AG748" s="184"/>
      <c r="AH748" s="184"/>
      <c r="AI748" s="184"/>
      <c r="AJ748" s="184"/>
      <c r="AK748" s="184"/>
      <c r="AL748" s="185"/>
      <c r="AM748" s="185"/>
      <c r="AN748" s="185"/>
      <c r="AO748" s="8"/>
      <c r="AP748" s="8"/>
      <c r="AQ748" s="8"/>
      <c r="AR748" s="8"/>
      <c r="AS748" s="8"/>
      <c r="AT748" s="8"/>
      <c r="AU748" s="8"/>
    </row>
    <row r="749" spans="1:84" ht="12.75" customHeight="1" x14ac:dyDescent="0.25">
      <c r="A749" s="1293"/>
      <c r="B749" s="1269"/>
      <c r="C749" s="1269"/>
      <c r="D749" s="1269"/>
      <c r="E749" s="1272"/>
      <c r="F749" s="1269"/>
      <c r="G749" s="1269"/>
      <c r="H749" s="1269"/>
      <c r="I749" s="903"/>
      <c r="J749" s="1269"/>
      <c r="K749" s="1269"/>
      <c r="L749" s="1269"/>
      <c r="M749" s="1269"/>
      <c r="N749" s="1269"/>
      <c r="O749" s="1269"/>
      <c r="P749" s="1269"/>
      <c r="Q749" s="1269"/>
      <c r="R749" s="1269"/>
      <c r="S749" s="1269"/>
      <c r="T749" s="1269"/>
      <c r="U749" s="1269"/>
      <c r="V749" s="1334"/>
      <c r="W749" s="1269"/>
      <c r="X749" s="1269"/>
      <c r="Y749" s="1269"/>
      <c r="Z749" s="1284"/>
      <c r="AA749" s="8"/>
      <c r="AB749" s="8"/>
      <c r="AC749" s="184"/>
      <c r="AD749" s="184"/>
      <c r="AE749" s="184"/>
      <c r="AF749" s="184"/>
      <c r="AG749" s="184"/>
      <c r="AH749" s="184"/>
      <c r="AI749" s="184"/>
      <c r="AJ749" s="184"/>
      <c r="AK749" s="184"/>
      <c r="AL749" s="185"/>
      <c r="AM749" s="185"/>
      <c r="AN749" s="185"/>
      <c r="AO749" s="8"/>
      <c r="AP749" s="8"/>
      <c r="AQ749" s="8"/>
      <c r="AR749" s="8"/>
      <c r="AS749" s="8"/>
      <c r="AT749" s="8"/>
      <c r="AU749" s="8"/>
    </row>
    <row r="750" spans="1:84" ht="13.5" customHeight="1" x14ac:dyDescent="0.25">
      <c r="A750" s="1293"/>
      <c r="B750" s="1269"/>
      <c r="C750" s="1269"/>
      <c r="D750" s="1269"/>
      <c r="E750" s="1272"/>
      <c r="F750" s="1269"/>
      <c r="G750" s="1269"/>
      <c r="H750" s="1269"/>
      <c r="I750" s="903"/>
      <c r="J750" s="1269"/>
      <c r="K750" s="1269"/>
      <c r="L750" s="1269"/>
      <c r="M750" s="1269"/>
      <c r="N750" s="1269"/>
      <c r="O750" s="1269"/>
      <c r="P750" s="1269"/>
      <c r="Q750" s="1269"/>
      <c r="R750" s="1269"/>
      <c r="S750" s="1269"/>
      <c r="T750" s="1269"/>
      <c r="U750" s="1269"/>
      <c r="V750" s="1334"/>
      <c r="W750" s="1269"/>
      <c r="X750" s="1269"/>
      <c r="Y750" s="1269"/>
      <c r="Z750" s="1284"/>
      <c r="AA750" s="8"/>
      <c r="AB750" s="8"/>
      <c r="AC750" s="184"/>
      <c r="AD750" s="184"/>
      <c r="AE750" s="184"/>
      <c r="AF750" s="184"/>
      <c r="AG750" s="184"/>
      <c r="AH750" s="184"/>
      <c r="AI750" s="184"/>
      <c r="AJ750" s="184"/>
      <c r="AK750" s="184"/>
      <c r="AL750" s="185"/>
      <c r="AM750" s="185"/>
      <c r="AN750" s="185"/>
      <c r="AO750" s="8"/>
      <c r="AP750" s="8"/>
      <c r="AQ750" s="8"/>
      <c r="AR750" s="8"/>
      <c r="AS750" s="8"/>
      <c r="AT750" s="8"/>
      <c r="AU750" s="8"/>
    </row>
    <row r="751" spans="1:84" ht="12.75" customHeight="1" thickBot="1" x14ac:dyDescent="0.3">
      <c r="A751" s="1298"/>
      <c r="B751" s="1270"/>
      <c r="C751" s="1270"/>
      <c r="D751" s="1270"/>
      <c r="E751" s="1297"/>
      <c r="F751" s="1270"/>
      <c r="G751" s="1270"/>
      <c r="H751" s="1270"/>
      <c r="I751" s="908"/>
      <c r="J751" s="1270"/>
      <c r="K751" s="1270"/>
      <c r="L751" s="1270"/>
      <c r="M751" s="1270"/>
      <c r="N751" s="1270"/>
      <c r="O751" s="1270"/>
      <c r="P751" s="1270"/>
      <c r="Q751" s="1270"/>
      <c r="R751" s="1270"/>
      <c r="S751" s="1270"/>
      <c r="T751" s="1270"/>
      <c r="U751" s="1270"/>
      <c r="V751" s="1335"/>
      <c r="W751" s="1270"/>
      <c r="X751" s="1270"/>
      <c r="Y751" s="1270"/>
      <c r="Z751" s="1296"/>
      <c r="AA751" s="8"/>
      <c r="AB751" s="8"/>
      <c r="AC751" s="184"/>
      <c r="AD751" s="184"/>
      <c r="AE751" s="184"/>
      <c r="AF751" s="184"/>
      <c r="AG751" s="184"/>
      <c r="AH751" s="184"/>
      <c r="AI751" s="184"/>
      <c r="AJ751" s="184"/>
      <c r="AK751" s="184"/>
      <c r="AL751" s="185"/>
      <c r="AM751" s="185"/>
      <c r="AN751" s="185"/>
      <c r="AO751" s="8"/>
      <c r="AP751" s="8"/>
      <c r="AQ751" s="8"/>
      <c r="AR751" s="8"/>
      <c r="AS751" s="8"/>
      <c r="AT751" s="8"/>
      <c r="AU751" s="8"/>
    </row>
    <row r="752" spans="1:84" ht="18.75" customHeight="1" x14ac:dyDescent="0.25">
      <c r="A752" s="1292">
        <v>10</v>
      </c>
      <c r="B752" s="1268" t="s">
        <v>395</v>
      </c>
      <c r="C752" s="1268" t="s">
        <v>433</v>
      </c>
      <c r="D752" s="194" t="s">
        <v>288</v>
      </c>
      <c r="E752" s="242">
        <v>0.5</v>
      </c>
      <c r="F752" s="213"/>
      <c r="G752" s="213"/>
      <c r="H752" s="427">
        <v>0.5</v>
      </c>
      <c r="I752" s="293"/>
      <c r="J752" s="293">
        <f>+[2]INVERSIÓN!Q63</f>
        <v>0.5</v>
      </c>
      <c r="K752" s="243">
        <v>0.245</v>
      </c>
      <c r="L752" s="244">
        <v>28.5</v>
      </c>
      <c r="M752" s="244">
        <v>35</v>
      </c>
      <c r="N752" s="427">
        <v>0.35</v>
      </c>
      <c r="O752" s="1295" t="s">
        <v>290</v>
      </c>
      <c r="P752" s="1268" t="s">
        <v>86</v>
      </c>
      <c r="Q752" s="1271" t="s">
        <v>86</v>
      </c>
      <c r="R752" s="1268" t="s">
        <v>86</v>
      </c>
      <c r="S752" s="1271" t="s">
        <v>290</v>
      </c>
      <c r="T752" s="1271">
        <v>7878783</v>
      </c>
      <c r="U752" s="1332"/>
      <c r="V752" s="1333"/>
      <c r="W752" s="1271" t="s">
        <v>291</v>
      </c>
      <c r="X752" s="1271" t="s">
        <v>292</v>
      </c>
      <c r="Y752" s="1271" t="s">
        <v>293</v>
      </c>
      <c r="Z752" s="1283">
        <v>7878783</v>
      </c>
      <c r="AA752" s="8"/>
      <c r="AB752" s="8"/>
      <c r="AC752" s="184">
        <v>12</v>
      </c>
      <c r="AD752" s="184" t="s">
        <v>294</v>
      </c>
      <c r="AE752" s="184"/>
      <c r="AF752" s="184"/>
      <c r="AG752" s="184"/>
      <c r="AH752" s="184" t="s">
        <v>295</v>
      </c>
      <c r="AI752" s="184"/>
      <c r="AJ752" s="184"/>
      <c r="AK752" s="184"/>
      <c r="AL752" s="185"/>
      <c r="AM752" s="185"/>
      <c r="AN752" s="185"/>
      <c r="AO752" s="8"/>
      <c r="AP752" s="8"/>
      <c r="AQ752" s="8"/>
      <c r="AR752" s="8"/>
      <c r="AS752" s="8"/>
      <c r="AT752" s="8"/>
      <c r="AU752" s="8"/>
    </row>
    <row r="753" spans="1:47" ht="13.5" customHeight="1" x14ac:dyDescent="0.25">
      <c r="A753" s="1293"/>
      <c r="B753" s="1269"/>
      <c r="C753" s="1269"/>
      <c r="D753" s="904" t="s">
        <v>296</v>
      </c>
      <c r="E753" s="210">
        <v>150000000</v>
      </c>
      <c r="F753" s="198"/>
      <c r="G753" s="198"/>
      <c r="H753" s="905">
        <v>150000000</v>
      </c>
      <c r="I753" s="927"/>
      <c r="J753" s="935">
        <f>+[2]INVERSIÓN!Q64</f>
        <v>250000000</v>
      </c>
      <c r="K753" s="909">
        <f>+[4]INVERSIÓN!AF70</f>
        <v>0</v>
      </c>
      <c r="L753" s="909" t="e">
        <f>+[4]INVERSIÓN!AG70</f>
        <v>#REF!</v>
      </c>
      <c r="M753" s="909">
        <v>0</v>
      </c>
      <c r="N753" s="935">
        <v>0</v>
      </c>
      <c r="O753" s="1269"/>
      <c r="P753" s="1269"/>
      <c r="Q753" s="1269"/>
      <c r="R753" s="1269"/>
      <c r="S753" s="1269"/>
      <c r="T753" s="1269"/>
      <c r="U753" s="1269"/>
      <c r="V753" s="1334"/>
      <c r="W753" s="1269"/>
      <c r="X753" s="1269"/>
      <c r="Y753" s="1269"/>
      <c r="Z753" s="1284"/>
      <c r="AA753" s="8"/>
      <c r="AB753" s="8"/>
      <c r="AC753" s="184">
        <v>13</v>
      </c>
      <c r="AD753" s="184" t="s">
        <v>297</v>
      </c>
      <c r="AE753" s="184"/>
      <c r="AF753" s="184"/>
      <c r="AG753" s="184"/>
      <c r="AH753" s="184" t="s">
        <v>298</v>
      </c>
      <c r="AI753" s="184"/>
      <c r="AJ753" s="184"/>
      <c r="AK753" s="184"/>
      <c r="AL753" s="185"/>
      <c r="AM753" s="185"/>
      <c r="AN753" s="185"/>
      <c r="AO753" s="8"/>
      <c r="AP753" s="8"/>
      <c r="AQ753" s="8"/>
      <c r="AR753" s="8"/>
      <c r="AS753" s="8"/>
      <c r="AT753" s="8"/>
      <c r="AU753" s="8"/>
    </row>
    <row r="754" spans="1:47" ht="16.5" customHeight="1" x14ac:dyDescent="0.25">
      <c r="A754" s="1293"/>
      <c r="B754" s="1269"/>
      <c r="C754" s="1269"/>
      <c r="D754" s="904" t="s">
        <v>299</v>
      </c>
      <c r="E754" s="905"/>
      <c r="F754" s="198"/>
      <c r="G754" s="198"/>
      <c r="H754" s="198"/>
      <c r="I754" s="198"/>
      <c r="J754" s="905"/>
      <c r="K754" s="214"/>
      <c r="L754" s="909"/>
      <c r="M754" s="909"/>
      <c r="N754" s="935"/>
      <c r="O754" s="1269"/>
      <c r="P754" s="1269"/>
      <c r="Q754" s="1269"/>
      <c r="R754" s="1269"/>
      <c r="S754" s="1269"/>
      <c r="T754" s="1269"/>
      <c r="U754" s="1269"/>
      <c r="V754" s="1334"/>
      <c r="W754" s="1269"/>
      <c r="X754" s="1269"/>
      <c r="Y754" s="1269"/>
      <c r="Z754" s="1284"/>
      <c r="AA754" s="8"/>
      <c r="AB754" s="8"/>
      <c r="AC754" s="184">
        <v>14</v>
      </c>
      <c r="AD754" s="184" t="s">
        <v>300</v>
      </c>
      <c r="AE754" s="184"/>
      <c r="AF754" s="184"/>
      <c r="AG754" s="184"/>
      <c r="AH754" s="184" t="s">
        <v>301</v>
      </c>
      <c r="AI754" s="184"/>
      <c r="AJ754" s="184"/>
      <c r="AK754" s="184"/>
      <c r="AL754" s="185"/>
      <c r="AM754" s="185"/>
      <c r="AN754" s="185"/>
      <c r="AO754" s="8"/>
      <c r="AP754" s="8"/>
      <c r="AQ754" s="8"/>
      <c r="AR754" s="8"/>
      <c r="AS754" s="8"/>
      <c r="AT754" s="8"/>
      <c r="AU754" s="8"/>
    </row>
    <row r="755" spans="1:47" ht="19.5" customHeight="1" x14ac:dyDescent="0.25">
      <c r="A755" s="1293"/>
      <c r="B755" s="1269"/>
      <c r="C755" s="1269"/>
      <c r="D755" s="1299" t="s">
        <v>302</v>
      </c>
      <c r="E755" s="1272">
        <v>166837646</v>
      </c>
      <c r="F755" s="1272"/>
      <c r="G755" s="1272"/>
      <c r="H755" s="1272">
        <v>166837646</v>
      </c>
      <c r="I755" s="905"/>
      <c r="J755" s="1272">
        <f>+[2]INVERSIÓN!Q66</f>
        <v>166837646</v>
      </c>
      <c r="K755" s="1272">
        <f>+[4]INVERSIÓN!AF72</f>
        <v>100102588</v>
      </c>
      <c r="L755" s="1272">
        <f>+[4]INVERSIÓN!AG72</f>
        <v>100102588</v>
      </c>
      <c r="M755" s="1272">
        <v>166837646</v>
      </c>
      <c r="N755" s="1272">
        <v>166837646</v>
      </c>
      <c r="O755" s="1269"/>
      <c r="P755" s="1269"/>
      <c r="Q755" s="1269"/>
      <c r="R755" s="1269"/>
      <c r="S755" s="1269"/>
      <c r="T755" s="1269"/>
      <c r="U755" s="1269"/>
      <c r="V755" s="1334"/>
      <c r="W755" s="1269"/>
      <c r="X755" s="1269"/>
      <c r="Y755" s="1269"/>
      <c r="Z755" s="1284"/>
      <c r="AA755" s="8"/>
      <c r="AB755" s="8"/>
      <c r="AC755" s="184"/>
      <c r="AD755" s="184"/>
      <c r="AE755" s="184"/>
      <c r="AF755" s="184"/>
      <c r="AG755" s="184"/>
      <c r="AH755" s="184"/>
      <c r="AI755" s="184"/>
      <c r="AJ755" s="184"/>
      <c r="AK755" s="184"/>
      <c r="AL755" s="185"/>
      <c r="AM755" s="185"/>
      <c r="AN755" s="185"/>
      <c r="AO755" s="8"/>
      <c r="AP755" s="8"/>
      <c r="AQ755" s="8"/>
      <c r="AR755" s="8"/>
      <c r="AS755" s="8"/>
      <c r="AT755" s="8"/>
      <c r="AU755" s="8"/>
    </row>
    <row r="756" spans="1:47" ht="17.25" customHeight="1" x14ac:dyDescent="0.25">
      <c r="A756" s="1293"/>
      <c r="B756" s="1269"/>
      <c r="C756" s="1269"/>
      <c r="D756" s="1269"/>
      <c r="E756" s="1272"/>
      <c r="F756" s="1269"/>
      <c r="G756" s="1269"/>
      <c r="H756" s="1269"/>
      <c r="I756" s="903"/>
      <c r="J756" s="1269"/>
      <c r="K756" s="1269"/>
      <c r="L756" s="1269"/>
      <c r="M756" s="1269"/>
      <c r="N756" s="1269"/>
      <c r="O756" s="1269"/>
      <c r="P756" s="1269"/>
      <c r="Q756" s="1269"/>
      <c r="R756" s="1269"/>
      <c r="S756" s="1269"/>
      <c r="T756" s="1269"/>
      <c r="U756" s="1269"/>
      <c r="V756" s="1334"/>
      <c r="W756" s="1269"/>
      <c r="X756" s="1269"/>
      <c r="Y756" s="1269"/>
      <c r="Z756" s="1284"/>
      <c r="AA756" s="8"/>
      <c r="AB756" s="8"/>
      <c r="AC756" s="184"/>
      <c r="AD756" s="184"/>
      <c r="AE756" s="184"/>
      <c r="AF756" s="184"/>
      <c r="AG756" s="184"/>
      <c r="AH756" s="184"/>
      <c r="AI756" s="184"/>
      <c r="AJ756" s="184"/>
      <c r="AK756" s="184"/>
      <c r="AL756" s="185"/>
      <c r="AM756" s="185"/>
      <c r="AN756" s="185"/>
      <c r="AO756" s="8"/>
      <c r="AP756" s="8"/>
      <c r="AQ756" s="8"/>
      <c r="AR756" s="8"/>
      <c r="AS756" s="8"/>
      <c r="AT756" s="8"/>
      <c r="AU756" s="8"/>
    </row>
    <row r="757" spans="1:47" ht="20.25" customHeight="1" x14ac:dyDescent="0.25">
      <c r="A757" s="1293"/>
      <c r="B757" s="1269"/>
      <c r="C757" s="1269"/>
      <c r="D757" s="1269"/>
      <c r="E757" s="1272"/>
      <c r="F757" s="1269"/>
      <c r="G757" s="1269"/>
      <c r="H757" s="1269"/>
      <c r="I757" s="903"/>
      <c r="J757" s="1269"/>
      <c r="K757" s="1269"/>
      <c r="L757" s="1269"/>
      <c r="M757" s="1269"/>
      <c r="N757" s="1269"/>
      <c r="O757" s="1269"/>
      <c r="P757" s="1269"/>
      <c r="Q757" s="1269"/>
      <c r="R757" s="1269"/>
      <c r="S757" s="1269"/>
      <c r="T757" s="1269"/>
      <c r="U757" s="1269"/>
      <c r="V757" s="1334"/>
      <c r="W757" s="1269"/>
      <c r="X757" s="1269"/>
      <c r="Y757" s="1269"/>
      <c r="Z757" s="1284"/>
      <c r="AA757" s="8"/>
      <c r="AB757" s="8"/>
      <c r="AC757" s="184"/>
      <c r="AD757" s="184"/>
      <c r="AE757" s="184"/>
      <c r="AF757" s="184"/>
      <c r="AG757" s="184"/>
      <c r="AH757" s="184"/>
      <c r="AI757" s="184"/>
      <c r="AJ757" s="184"/>
      <c r="AK757" s="184"/>
      <c r="AL757" s="185"/>
      <c r="AM757" s="185"/>
      <c r="AN757" s="185"/>
      <c r="AO757" s="8"/>
      <c r="AP757" s="8"/>
      <c r="AQ757" s="8"/>
      <c r="AR757" s="8"/>
      <c r="AS757" s="8"/>
      <c r="AT757" s="8"/>
      <c r="AU757" s="8"/>
    </row>
    <row r="758" spans="1:47" ht="17.25" customHeight="1" thickBot="1" x14ac:dyDescent="0.3">
      <c r="A758" s="1293"/>
      <c r="B758" s="1269"/>
      <c r="C758" s="1269"/>
      <c r="D758" s="1269"/>
      <c r="E758" s="1272"/>
      <c r="F758" s="1269"/>
      <c r="G758" s="1269"/>
      <c r="H758" s="1269"/>
      <c r="I758" s="903"/>
      <c r="J758" s="1269"/>
      <c r="K758" s="1269"/>
      <c r="L758" s="1269"/>
      <c r="M758" s="1269"/>
      <c r="N758" s="1269"/>
      <c r="O758" s="1269"/>
      <c r="P758" s="1269"/>
      <c r="Q758" s="1269"/>
      <c r="R758" s="1269"/>
      <c r="S758" s="1269"/>
      <c r="T758" s="1269"/>
      <c r="U758" s="1269"/>
      <c r="V758" s="1335"/>
      <c r="W758" s="1269"/>
      <c r="X758" s="1269"/>
      <c r="Y758" s="1269"/>
      <c r="Z758" s="1284"/>
      <c r="AA758" s="8"/>
      <c r="AB758" s="8"/>
      <c r="AC758" s="184">
        <v>12</v>
      </c>
      <c r="AD758" s="184" t="s">
        <v>294</v>
      </c>
      <c r="AE758" s="184"/>
      <c r="AF758" s="184"/>
      <c r="AG758" s="184"/>
      <c r="AH758" s="184" t="s">
        <v>295</v>
      </c>
      <c r="AI758" s="184"/>
      <c r="AJ758" s="184"/>
      <c r="AK758" s="184"/>
      <c r="AL758" s="185"/>
      <c r="AM758" s="185"/>
      <c r="AN758" s="185"/>
      <c r="AO758" s="8"/>
      <c r="AP758" s="8"/>
      <c r="AQ758" s="8"/>
      <c r="AR758" s="8"/>
      <c r="AS758" s="8"/>
      <c r="AT758" s="8"/>
      <c r="AU758" s="8"/>
    </row>
    <row r="759" spans="1:47" ht="25.5" hidden="1" customHeight="1" x14ac:dyDescent="0.25">
      <c r="A759" s="1331">
        <v>11</v>
      </c>
      <c r="B759" s="1316" t="s">
        <v>153</v>
      </c>
      <c r="C759" s="1316" t="s">
        <v>363</v>
      </c>
      <c r="D759" s="199" t="s">
        <v>288</v>
      </c>
      <c r="E759" s="905"/>
      <c r="F759" s="278"/>
      <c r="G759" s="278"/>
      <c r="H759" s="278"/>
      <c r="I759" s="278"/>
      <c r="J759" s="278"/>
      <c r="K759" s="278"/>
      <c r="L759" s="278"/>
      <c r="M759" s="278"/>
      <c r="N759" s="278"/>
      <c r="O759" s="1272" t="s">
        <v>396</v>
      </c>
      <c r="P759" s="1316" t="s">
        <v>86</v>
      </c>
      <c r="Q759" s="1328" t="s">
        <v>86</v>
      </c>
      <c r="R759" s="1316" t="s">
        <v>86</v>
      </c>
      <c r="S759" s="1328" t="s">
        <v>290</v>
      </c>
      <c r="T759" s="1328">
        <v>7878784</v>
      </c>
      <c r="U759" s="1269"/>
      <c r="V759" s="903"/>
      <c r="W759" s="1328" t="s">
        <v>291</v>
      </c>
      <c r="X759" s="1328" t="s">
        <v>292</v>
      </c>
      <c r="Y759" s="1328" t="s">
        <v>293</v>
      </c>
      <c r="Z759" s="1329">
        <v>7878784</v>
      </c>
      <c r="AA759" s="245"/>
      <c r="AB759" s="245"/>
      <c r="AC759" s="246"/>
      <c r="AD759" s="246"/>
      <c r="AE759" s="246"/>
      <c r="AF759" s="246"/>
      <c r="AG759" s="246"/>
      <c r="AH759" s="246"/>
      <c r="AI759" s="246"/>
      <c r="AJ759" s="246"/>
      <c r="AK759" s="246"/>
      <c r="AL759" s="247"/>
      <c r="AM759" s="247"/>
      <c r="AN759" s="247"/>
      <c r="AO759" s="245"/>
      <c r="AP759" s="245"/>
      <c r="AQ759" s="245"/>
      <c r="AR759" s="245"/>
      <c r="AS759" s="245"/>
      <c r="AT759" s="245"/>
      <c r="AU759" s="245"/>
    </row>
    <row r="760" spans="1:47" ht="21.75" hidden="1" customHeight="1" x14ac:dyDescent="0.25">
      <c r="A760" s="1293"/>
      <c r="B760" s="1269"/>
      <c r="C760" s="1269"/>
      <c r="D760" s="904" t="s">
        <v>296</v>
      </c>
      <c r="E760" s="905"/>
      <c r="F760" s="278"/>
      <c r="G760" s="278"/>
      <c r="H760" s="198"/>
      <c r="I760" s="198"/>
      <c r="J760" s="278"/>
      <c r="K760" s="278"/>
      <c r="L760" s="278"/>
      <c r="M760" s="278"/>
      <c r="N760" s="278"/>
      <c r="O760" s="1269"/>
      <c r="P760" s="1269"/>
      <c r="Q760" s="1269"/>
      <c r="R760" s="1269"/>
      <c r="S760" s="1269"/>
      <c r="T760" s="1269"/>
      <c r="U760" s="1269"/>
      <c r="V760" s="903"/>
      <c r="W760" s="1269"/>
      <c r="X760" s="1269"/>
      <c r="Y760" s="1269"/>
      <c r="Z760" s="1329"/>
      <c r="AA760" s="245"/>
      <c r="AB760" s="245"/>
      <c r="AC760" s="246"/>
      <c r="AD760" s="246"/>
      <c r="AE760" s="246"/>
      <c r="AF760" s="246"/>
      <c r="AG760" s="246"/>
      <c r="AH760" s="246"/>
      <c r="AI760" s="246"/>
      <c r="AJ760" s="246"/>
      <c r="AK760" s="246"/>
      <c r="AL760" s="247"/>
      <c r="AM760" s="247"/>
      <c r="AN760" s="247"/>
      <c r="AO760" s="245"/>
      <c r="AP760" s="245"/>
      <c r="AQ760" s="245"/>
      <c r="AR760" s="245"/>
      <c r="AS760" s="245"/>
      <c r="AT760" s="245"/>
      <c r="AU760" s="245"/>
    </row>
    <row r="761" spans="1:47" ht="20.25" hidden="1" customHeight="1" x14ac:dyDescent="0.25">
      <c r="A761" s="1293"/>
      <c r="B761" s="1269"/>
      <c r="C761" s="1269"/>
      <c r="D761" s="904" t="s">
        <v>299</v>
      </c>
      <c r="E761" s="278"/>
      <c r="F761" s="278"/>
      <c r="G761" s="278"/>
      <c r="H761" s="278"/>
      <c r="I761" s="278"/>
      <c r="J761" s="278"/>
      <c r="K761" s="278"/>
      <c r="L761" s="278"/>
      <c r="M761" s="278"/>
      <c r="N761" s="278"/>
      <c r="O761" s="1269"/>
      <c r="P761" s="1269"/>
      <c r="Q761" s="1269"/>
      <c r="R761" s="1269"/>
      <c r="S761" s="1269"/>
      <c r="T761" s="1269"/>
      <c r="U761" s="1269"/>
      <c r="V761" s="903"/>
      <c r="W761" s="1269"/>
      <c r="X761" s="1269"/>
      <c r="Y761" s="1269"/>
      <c r="Z761" s="1329"/>
      <c r="AA761" s="245"/>
      <c r="AB761" s="245"/>
      <c r="AC761" s="246"/>
      <c r="AD761" s="246"/>
      <c r="AE761" s="246"/>
      <c r="AF761" s="246"/>
      <c r="AG761" s="246"/>
      <c r="AH761" s="246"/>
      <c r="AI761" s="246"/>
      <c r="AJ761" s="246"/>
      <c r="AK761" s="246"/>
      <c r="AL761" s="247"/>
      <c r="AM761" s="247"/>
      <c r="AN761" s="247"/>
      <c r="AO761" s="245"/>
      <c r="AP761" s="245"/>
      <c r="AQ761" s="245"/>
      <c r="AR761" s="245"/>
      <c r="AS761" s="245"/>
      <c r="AT761" s="245"/>
      <c r="AU761" s="245"/>
    </row>
    <row r="762" spans="1:47" ht="10.5" hidden="1" customHeight="1" x14ac:dyDescent="0.25">
      <c r="A762" s="1293"/>
      <c r="B762" s="1269"/>
      <c r="C762" s="1269"/>
      <c r="D762" s="1299" t="s">
        <v>302</v>
      </c>
      <c r="E762" s="1272"/>
      <c r="F762" s="1272"/>
      <c r="G762" s="1272"/>
      <c r="H762" s="1272"/>
      <c r="I762" s="905"/>
      <c r="J762" s="1272"/>
      <c r="K762" s="1272"/>
      <c r="L762" s="905"/>
      <c r="M762" s="1272"/>
      <c r="N762" s="1272"/>
      <c r="O762" s="1269"/>
      <c r="P762" s="1269"/>
      <c r="Q762" s="1269"/>
      <c r="R762" s="1269"/>
      <c r="S762" s="1269"/>
      <c r="T762" s="1269"/>
      <c r="U762" s="1269"/>
      <c r="V762" s="903"/>
      <c r="W762" s="1269"/>
      <c r="X762" s="1269"/>
      <c r="Y762" s="1269"/>
      <c r="Z762" s="1329"/>
      <c r="AA762" s="245"/>
      <c r="AB762" s="245"/>
      <c r="AC762" s="246"/>
      <c r="AD762" s="246"/>
      <c r="AE762" s="246"/>
      <c r="AF762" s="246"/>
      <c r="AG762" s="246"/>
      <c r="AH762" s="246"/>
      <c r="AI762" s="246"/>
      <c r="AJ762" s="246"/>
      <c r="AK762" s="246"/>
      <c r="AL762" s="247"/>
      <c r="AM762" s="247"/>
      <c r="AN762" s="247"/>
      <c r="AO762" s="245"/>
      <c r="AP762" s="245"/>
      <c r="AQ762" s="245"/>
      <c r="AR762" s="245"/>
      <c r="AS762" s="245"/>
      <c r="AT762" s="245"/>
      <c r="AU762" s="245"/>
    </row>
    <row r="763" spans="1:47" ht="12.75" hidden="1" customHeight="1" x14ac:dyDescent="0.25">
      <c r="A763" s="1293"/>
      <c r="B763" s="1269"/>
      <c r="C763" s="1269"/>
      <c r="D763" s="1269"/>
      <c r="E763" s="1272"/>
      <c r="F763" s="1269"/>
      <c r="G763" s="1269"/>
      <c r="H763" s="1269"/>
      <c r="I763" s="903"/>
      <c r="J763" s="1269"/>
      <c r="K763" s="1269"/>
      <c r="L763" s="903"/>
      <c r="M763" s="1269"/>
      <c r="N763" s="1269"/>
      <c r="O763" s="1269"/>
      <c r="P763" s="1269"/>
      <c r="Q763" s="1269"/>
      <c r="R763" s="1269"/>
      <c r="S763" s="1269"/>
      <c r="T763" s="1269"/>
      <c r="U763" s="1269"/>
      <c r="V763" s="903"/>
      <c r="W763" s="1269"/>
      <c r="X763" s="1269"/>
      <c r="Y763" s="1269"/>
      <c r="Z763" s="1329"/>
      <c r="AA763" s="245"/>
      <c r="AB763" s="245"/>
      <c r="AC763" s="246"/>
      <c r="AD763" s="246"/>
      <c r="AE763" s="246"/>
      <c r="AF763" s="246"/>
      <c r="AG763" s="246"/>
      <c r="AH763" s="246"/>
      <c r="AI763" s="246"/>
      <c r="AJ763" s="246"/>
      <c r="AK763" s="246"/>
      <c r="AL763" s="247"/>
      <c r="AM763" s="247"/>
      <c r="AN763" s="247"/>
      <c r="AO763" s="245"/>
      <c r="AP763" s="245"/>
      <c r="AQ763" s="245"/>
      <c r="AR763" s="245"/>
      <c r="AS763" s="245"/>
      <c r="AT763" s="245"/>
      <c r="AU763" s="245"/>
    </row>
    <row r="764" spans="1:47" ht="10.5" hidden="1" customHeight="1" x14ac:dyDescent="0.25">
      <c r="A764" s="1293"/>
      <c r="B764" s="1269"/>
      <c r="C764" s="1269"/>
      <c r="D764" s="1269"/>
      <c r="E764" s="1272"/>
      <c r="F764" s="1269"/>
      <c r="G764" s="1269"/>
      <c r="H764" s="1269"/>
      <c r="I764" s="903"/>
      <c r="J764" s="1269"/>
      <c r="K764" s="1269"/>
      <c r="L764" s="903"/>
      <c r="M764" s="1269"/>
      <c r="N764" s="1269"/>
      <c r="O764" s="1269"/>
      <c r="P764" s="1269"/>
      <c r="Q764" s="1269"/>
      <c r="R764" s="1269"/>
      <c r="S764" s="1269"/>
      <c r="T764" s="1269"/>
      <c r="U764" s="1269"/>
      <c r="V764" s="903"/>
      <c r="W764" s="1269"/>
      <c r="X764" s="1269"/>
      <c r="Y764" s="1269"/>
      <c r="Z764" s="1329"/>
      <c r="AA764" s="245"/>
      <c r="AB764" s="245"/>
      <c r="AC764" s="246"/>
      <c r="AD764" s="246"/>
      <c r="AE764" s="246"/>
      <c r="AF764" s="246"/>
      <c r="AG764" s="246"/>
      <c r="AH764" s="246"/>
      <c r="AI764" s="246"/>
      <c r="AJ764" s="246"/>
      <c r="AK764" s="246"/>
      <c r="AL764" s="247"/>
      <c r="AM764" s="247"/>
      <c r="AN764" s="247"/>
      <c r="AO764" s="245"/>
      <c r="AP764" s="245"/>
      <c r="AQ764" s="245"/>
      <c r="AR764" s="245"/>
      <c r="AS764" s="245"/>
      <c r="AT764" s="245"/>
      <c r="AU764" s="245"/>
    </row>
    <row r="765" spans="1:47" ht="11.25" hidden="1" customHeight="1" x14ac:dyDescent="0.25">
      <c r="A765" s="1293"/>
      <c r="B765" s="1269"/>
      <c r="C765" s="1269"/>
      <c r="D765" s="1269"/>
      <c r="E765" s="1272"/>
      <c r="F765" s="1269"/>
      <c r="G765" s="1269"/>
      <c r="H765" s="1269"/>
      <c r="I765" s="903"/>
      <c r="J765" s="1269"/>
      <c r="K765" s="1269"/>
      <c r="L765" s="903"/>
      <c r="M765" s="1269"/>
      <c r="N765" s="1269"/>
      <c r="O765" s="1269"/>
      <c r="P765" s="1269"/>
      <c r="Q765" s="1269"/>
      <c r="R765" s="1269"/>
      <c r="S765" s="1269"/>
      <c r="T765" s="1269"/>
      <c r="U765" s="1269"/>
      <c r="V765" s="903"/>
      <c r="W765" s="1269"/>
      <c r="X765" s="1269"/>
      <c r="Y765" s="1269"/>
      <c r="Z765" s="1329"/>
      <c r="AA765" s="245"/>
      <c r="AB765" s="245"/>
      <c r="AC765" s="246"/>
      <c r="AD765" s="246"/>
      <c r="AE765" s="246"/>
      <c r="AF765" s="246"/>
      <c r="AG765" s="246"/>
      <c r="AH765" s="246"/>
      <c r="AI765" s="246"/>
      <c r="AJ765" s="246"/>
      <c r="AK765" s="246"/>
      <c r="AL765" s="247"/>
      <c r="AM765" s="247"/>
      <c r="AN765" s="247"/>
      <c r="AO765" s="245"/>
      <c r="AP765" s="245"/>
      <c r="AQ765" s="245"/>
      <c r="AR765" s="245"/>
      <c r="AS765" s="245"/>
      <c r="AT765" s="245"/>
      <c r="AU765" s="245"/>
    </row>
    <row r="766" spans="1:47" ht="10.5" hidden="1" customHeight="1" x14ac:dyDescent="0.25">
      <c r="A766" s="1293"/>
      <c r="B766" s="1269"/>
      <c r="C766" s="1316" t="s">
        <v>363</v>
      </c>
      <c r="D766" s="199" t="s">
        <v>288</v>
      </c>
      <c r="E766" s="905"/>
      <c r="F766" s="278"/>
      <c r="G766" s="278"/>
      <c r="H766" s="278"/>
      <c r="I766" s="278"/>
      <c r="J766" s="278"/>
      <c r="K766" s="278"/>
      <c r="L766" s="278"/>
      <c r="M766" s="278"/>
      <c r="N766" s="278"/>
      <c r="O766" s="1272" t="s">
        <v>371</v>
      </c>
      <c r="P766" s="1316" t="s">
        <v>86</v>
      </c>
      <c r="Q766" s="1328" t="s">
        <v>86</v>
      </c>
      <c r="R766" s="1316" t="s">
        <v>86</v>
      </c>
      <c r="S766" s="1328" t="s">
        <v>290</v>
      </c>
      <c r="T766" s="1328">
        <v>7878784</v>
      </c>
      <c r="U766" s="1269"/>
      <c r="V766" s="903"/>
      <c r="W766" s="1328" t="s">
        <v>291</v>
      </c>
      <c r="X766" s="1328" t="s">
        <v>292</v>
      </c>
      <c r="Y766" s="1328" t="s">
        <v>293</v>
      </c>
      <c r="Z766" s="1329">
        <v>7878785</v>
      </c>
      <c r="AA766" s="245"/>
      <c r="AB766" s="245"/>
      <c r="AC766" s="246"/>
      <c r="AD766" s="246"/>
      <c r="AE766" s="246"/>
      <c r="AF766" s="246"/>
      <c r="AG766" s="246"/>
      <c r="AH766" s="246"/>
      <c r="AI766" s="246"/>
      <c r="AJ766" s="246"/>
      <c r="AK766" s="246"/>
      <c r="AL766" s="247"/>
      <c r="AM766" s="247"/>
      <c r="AN766" s="247"/>
      <c r="AO766" s="245"/>
      <c r="AP766" s="245"/>
      <c r="AQ766" s="245"/>
      <c r="AR766" s="245"/>
      <c r="AS766" s="245"/>
      <c r="AT766" s="245"/>
      <c r="AU766" s="245"/>
    </row>
    <row r="767" spans="1:47" ht="21.75" hidden="1" customHeight="1" x14ac:dyDescent="0.25">
      <c r="A767" s="1293"/>
      <c r="B767" s="1269"/>
      <c r="C767" s="1269"/>
      <c r="D767" s="904" t="s">
        <v>296</v>
      </c>
      <c r="E767" s="905"/>
      <c r="F767" s="278"/>
      <c r="G767" s="278"/>
      <c r="H767" s="198"/>
      <c r="I767" s="198"/>
      <c r="J767" s="278"/>
      <c r="K767" s="278"/>
      <c r="L767" s="278"/>
      <c r="M767" s="278"/>
      <c r="N767" s="278"/>
      <c r="O767" s="1269"/>
      <c r="P767" s="1269"/>
      <c r="Q767" s="1269"/>
      <c r="R767" s="1269"/>
      <c r="S767" s="1269"/>
      <c r="T767" s="1269"/>
      <c r="U767" s="1269"/>
      <c r="V767" s="903"/>
      <c r="W767" s="1269"/>
      <c r="X767" s="1269"/>
      <c r="Y767" s="1269"/>
      <c r="Z767" s="1329"/>
      <c r="AA767" s="245"/>
      <c r="AB767" s="245"/>
      <c r="AC767" s="246"/>
      <c r="AD767" s="246"/>
      <c r="AE767" s="246"/>
      <c r="AF767" s="246"/>
      <c r="AG767" s="246"/>
      <c r="AH767" s="246"/>
      <c r="AI767" s="246"/>
      <c r="AJ767" s="246"/>
      <c r="AK767" s="246"/>
      <c r="AL767" s="247"/>
      <c r="AM767" s="247"/>
      <c r="AN767" s="247"/>
      <c r="AO767" s="245"/>
      <c r="AP767" s="245"/>
      <c r="AQ767" s="245"/>
      <c r="AR767" s="245"/>
      <c r="AS767" s="245"/>
      <c r="AT767" s="245"/>
      <c r="AU767" s="245"/>
    </row>
    <row r="768" spans="1:47" ht="20.25" hidden="1" customHeight="1" x14ac:dyDescent="0.25">
      <c r="A768" s="1293"/>
      <c r="B768" s="1269"/>
      <c r="C768" s="1269"/>
      <c r="D768" s="904" t="s">
        <v>299</v>
      </c>
      <c r="E768" s="278"/>
      <c r="F768" s="278"/>
      <c r="G768" s="278"/>
      <c r="H768" s="278"/>
      <c r="I768" s="278"/>
      <c r="J768" s="278"/>
      <c r="K768" s="278"/>
      <c r="L768" s="278"/>
      <c r="M768" s="278"/>
      <c r="N768" s="278"/>
      <c r="O768" s="1269"/>
      <c r="P768" s="1269"/>
      <c r="Q768" s="1269"/>
      <c r="R768" s="1269"/>
      <c r="S768" s="1269"/>
      <c r="T768" s="1269"/>
      <c r="U768" s="1269"/>
      <c r="V768" s="903"/>
      <c r="W768" s="1269"/>
      <c r="X768" s="1269"/>
      <c r="Y768" s="1269"/>
      <c r="Z768" s="1329"/>
      <c r="AA768" s="245"/>
      <c r="AB768" s="245"/>
      <c r="AC768" s="246"/>
      <c r="AD768" s="246"/>
      <c r="AE768" s="246"/>
      <c r="AF768" s="246"/>
      <c r="AG768" s="246"/>
      <c r="AH768" s="246"/>
      <c r="AI768" s="246"/>
      <c r="AJ768" s="246"/>
      <c r="AK768" s="246"/>
      <c r="AL768" s="247"/>
      <c r="AM768" s="247"/>
      <c r="AN768" s="247"/>
      <c r="AO768" s="245"/>
      <c r="AP768" s="245"/>
      <c r="AQ768" s="245"/>
      <c r="AR768" s="245"/>
      <c r="AS768" s="245"/>
      <c r="AT768" s="245"/>
      <c r="AU768" s="245"/>
    </row>
    <row r="769" spans="1:47" ht="10.5" hidden="1" customHeight="1" x14ac:dyDescent="0.25">
      <c r="A769" s="1293"/>
      <c r="B769" s="1269"/>
      <c r="C769" s="1269"/>
      <c r="D769" s="1299" t="s">
        <v>302</v>
      </c>
      <c r="E769" s="1272"/>
      <c r="F769" s="1272"/>
      <c r="G769" s="1272"/>
      <c r="H769" s="1272"/>
      <c r="I769" s="905"/>
      <c r="J769" s="1272"/>
      <c r="K769" s="1272"/>
      <c r="L769" s="905"/>
      <c r="M769" s="1272"/>
      <c r="N769" s="1272"/>
      <c r="O769" s="1269"/>
      <c r="P769" s="1269"/>
      <c r="Q769" s="1269"/>
      <c r="R769" s="1269"/>
      <c r="S769" s="1269"/>
      <c r="T769" s="1269"/>
      <c r="U769" s="1269"/>
      <c r="V769" s="903"/>
      <c r="W769" s="1269"/>
      <c r="X769" s="1269"/>
      <c r="Y769" s="1269"/>
      <c r="Z769" s="1329"/>
      <c r="AA769" s="245"/>
      <c r="AB769" s="245"/>
      <c r="AC769" s="246"/>
      <c r="AD769" s="246"/>
      <c r="AE769" s="246"/>
      <c r="AF769" s="246"/>
      <c r="AG769" s="246"/>
      <c r="AH769" s="246"/>
      <c r="AI769" s="246"/>
      <c r="AJ769" s="246"/>
      <c r="AK769" s="246"/>
      <c r="AL769" s="247"/>
      <c r="AM769" s="247"/>
      <c r="AN769" s="247"/>
      <c r="AO769" s="245"/>
      <c r="AP769" s="245"/>
      <c r="AQ769" s="245"/>
      <c r="AR769" s="245"/>
      <c r="AS769" s="245"/>
      <c r="AT769" s="245"/>
      <c r="AU769" s="245"/>
    </row>
    <row r="770" spans="1:47" ht="12.75" hidden="1" customHeight="1" x14ac:dyDescent="0.25">
      <c r="A770" s="1293"/>
      <c r="B770" s="1269"/>
      <c r="C770" s="1269"/>
      <c r="D770" s="1269"/>
      <c r="E770" s="1272"/>
      <c r="F770" s="1269"/>
      <c r="G770" s="1269"/>
      <c r="H770" s="1269"/>
      <c r="I770" s="903"/>
      <c r="J770" s="1269"/>
      <c r="K770" s="1269"/>
      <c r="L770" s="903"/>
      <c r="M770" s="1269"/>
      <c r="N770" s="1269"/>
      <c r="O770" s="1269"/>
      <c r="P770" s="1269"/>
      <c r="Q770" s="1269"/>
      <c r="R770" s="1269"/>
      <c r="S770" s="1269"/>
      <c r="T770" s="1269"/>
      <c r="U770" s="1269"/>
      <c r="V770" s="903"/>
      <c r="W770" s="1269"/>
      <c r="X770" s="1269"/>
      <c r="Y770" s="1269"/>
      <c r="Z770" s="1329"/>
      <c r="AA770" s="245"/>
      <c r="AB770" s="245"/>
      <c r="AC770" s="246"/>
      <c r="AD770" s="246"/>
      <c r="AE770" s="246"/>
      <c r="AF770" s="246"/>
      <c r="AG770" s="246"/>
      <c r="AH770" s="246"/>
      <c r="AI770" s="246"/>
      <c r="AJ770" s="246"/>
      <c r="AK770" s="246"/>
      <c r="AL770" s="247"/>
      <c r="AM770" s="247"/>
      <c r="AN770" s="247"/>
      <c r="AO770" s="245"/>
      <c r="AP770" s="245"/>
      <c r="AQ770" s="245"/>
      <c r="AR770" s="245"/>
      <c r="AS770" s="245"/>
      <c r="AT770" s="245"/>
      <c r="AU770" s="245"/>
    </row>
    <row r="771" spans="1:47" ht="10.5" hidden="1" customHeight="1" x14ac:dyDescent="0.25">
      <c r="A771" s="1293"/>
      <c r="B771" s="1269"/>
      <c r="C771" s="1269"/>
      <c r="D771" s="1269"/>
      <c r="E771" s="1272"/>
      <c r="F771" s="1269"/>
      <c r="G771" s="1269"/>
      <c r="H771" s="1269"/>
      <c r="I771" s="903"/>
      <c r="J771" s="1269"/>
      <c r="K771" s="1269"/>
      <c r="L771" s="903"/>
      <c r="M771" s="1269"/>
      <c r="N771" s="1269"/>
      <c r="O771" s="1269"/>
      <c r="P771" s="1269"/>
      <c r="Q771" s="1269"/>
      <c r="R771" s="1269"/>
      <c r="S771" s="1269"/>
      <c r="T771" s="1269"/>
      <c r="U771" s="1269"/>
      <c r="V771" s="903"/>
      <c r="W771" s="1269"/>
      <c r="X771" s="1269"/>
      <c r="Y771" s="1269"/>
      <c r="Z771" s="1329"/>
      <c r="AA771" s="245"/>
      <c r="AB771" s="245"/>
      <c r="AC771" s="246"/>
      <c r="AD771" s="246"/>
      <c r="AE771" s="246"/>
      <c r="AF771" s="246"/>
      <c r="AG771" s="246"/>
      <c r="AH771" s="246"/>
      <c r="AI771" s="246"/>
      <c r="AJ771" s="246"/>
      <c r="AK771" s="246"/>
      <c r="AL771" s="247"/>
      <c r="AM771" s="247"/>
      <c r="AN771" s="247"/>
      <c r="AO771" s="245"/>
      <c r="AP771" s="245"/>
      <c r="AQ771" s="245"/>
      <c r="AR771" s="245"/>
      <c r="AS771" s="245"/>
      <c r="AT771" s="245"/>
      <c r="AU771" s="245"/>
    </row>
    <row r="772" spans="1:47" ht="11.25" hidden="1" customHeight="1" x14ac:dyDescent="0.25">
      <c r="A772" s="1293"/>
      <c r="B772" s="1269"/>
      <c r="C772" s="1269"/>
      <c r="D772" s="1269"/>
      <c r="E772" s="1272"/>
      <c r="F772" s="1269"/>
      <c r="G772" s="1269"/>
      <c r="H772" s="1269"/>
      <c r="I772" s="903"/>
      <c r="J772" s="1269"/>
      <c r="K772" s="1269"/>
      <c r="L772" s="903"/>
      <c r="M772" s="1269"/>
      <c r="N772" s="1269"/>
      <c r="O772" s="1269"/>
      <c r="P772" s="1269"/>
      <c r="Q772" s="1269"/>
      <c r="R772" s="1269"/>
      <c r="S772" s="1269"/>
      <c r="T772" s="1269"/>
      <c r="U772" s="1269"/>
      <c r="V772" s="903"/>
      <c r="W772" s="1269"/>
      <c r="X772" s="1269"/>
      <c r="Y772" s="1269"/>
      <c r="Z772" s="1329"/>
      <c r="AA772" s="245"/>
      <c r="AB772" s="245"/>
      <c r="AC772" s="246"/>
      <c r="AD772" s="246"/>
      <c r="AE772" s="246"/>
      <c r="AF772" s="246"/>
      <c r="AG772" s="246"/>
      <c r="AH772" s="246"/>
      <c r="AI772" s="246"/>
      <c r="AJ772" s="246"/>
      <c r="AK772" s="246"/>
      <c r="AL772" s="247"/>
      <c r="AM772" s="247"/>
      <c r="AN772" s="247"/>
      <c r="AO772" s="245"/>
      <c r="AP772" s="245"/>
      <c r="AQ772" s="245"/>
      <c r="AR772" s="245"/>
      <c r="AS772" s="245"/>
      <c r="AT772" s="245"/>
      <c r="AU772" s="245"/>
    </row>
    <row r="773" spans="1:47" ht="10.5" hidden="1" customHeight="1" x14ac:dyDescent="0.25">
      <c r="A773" s="1293"/>
      <c r="B773" s="1269"/>
      <c r="C773" s="1316" t="s">
        <v>363</v>
      </c>
      <c r="D773" s="199" t="s">
        <v>288</v>
      </c>
      <c r="E773" s="905"/>
      <c r="F773" s="278"/>
      <c r="G773" s="278"/>
      <c r="H773" s="278"/>
      <c r="I773" s="278"/>
      <c r="J773" s="278"/>
      <c r="K773" s="278"/>
      <c r="L773" s="278"/>
      <c r="M773" s="278"/>
      <c r="N773" s="278"/>
      <c r="O773" s="1272" t="s">
        <v>373</v>
      </c>
      <c r="P773" s="1316" t="s">
        <v>86</v>
      </c>
      <c r="Q773" s="1328" t="s">
        <v>86</v>
      </c>
      <c r="R773" s="1316" t="s">
        <v>86</v>
      </c>
      <c r="S773" s="1328" t="s">
        <v>290</v>
      </c>
      <c r="T773" s="1328">
        <v>7878784</v>
      </c>
      <c r="U773" s="1269"/>
      <c r="V773" s="903"/>
      <c r="W773" s="1328" t="s">
        <v>291</v>
      </c>
      <c r="X773" s="1328" t="s">
        <v>292</v>
      </c>
      <c r="Y773" s="1328" t="s">
        <v>293</v>
      </c>
      <c r="Z773" s="1329">
        <v>7878786</v>
      </c>
      <c r="AA773" s="245"/>
      <c r="AB773" s="245"/>
      <c r="AC773" s="246"/>
      <c r="AD773" s="246"/>
      <c r="AE773" s="246"/>
      <c r="AF773" s="246"/>
      <c r="AG773" s="246"/>
      <c r="AH773" s="246"/>
      <c r="AI773" s="246"/>
      <c r="AJ773" s="246"/>
      <c r="AK773" s="246"/>
      <c r="AL773" s="247"/>
      <c r="AM773" s="247"/>
      <c r="AN773" s="247"/>
      <c r="AO773" s="245"/>
      <c r="AP773" s="245"/>
      <c r="AQ773" s="245"/>
      <c r="AR773" s="245"/>
      <c r="AS773" s="245"/>
      <c r="AT773" s="245"/>
      <c r="AU773" s="245"/>
    </row>
    <row r="774" spans="1:47" ht="21.75" hidden="1" customHeight="1" x14ac:dyDescent="0.25">
      <c r="A774" s="1293"/>
      <c r="B774" s="1269"/>
      <c r="C774" s="1269"/>
      <c r="D774" s="904" t="s">
        <v>296</v>
      </c>
      <c r="E774" s="905"/>
      <c r="F774" s="278"/>
      <c r="G774" s="278"/>
      <c r="H774" s="198"/>
      <c r="I774" s="198"/>
      <c r="J774" s="278"/>
      <c r="K774" s="278"/>
      <c r="L774" s="278"/>
      <c r="M774" s="278"/>
      <c r="N774" s="278"/>
      <c r="O774" s="1269"/>
      <c r="P774" s="1269"/>
      <c r="Q774" s="1269"/>
      <c r="R774" s="1269"/>
      <c r="S774" s="1269"/>
      <c r="T774" s="1269"/>
      <c r="U774" s="1269"/>
      <c r="V774" s="903"/>
      <c r="W774" s="1269"/>
      <c r="X774" s="1269"/>
      <c r="Y774" s="1269"/>
      <c r="Z774" s="1329"/>
      <c r="AA774" s="245"/>
      <c r="AB774" s="245"/>
      <c r="AC774" s="246"/>
      <c r="AD774" s="246"/>
      <c r="AE774" s="246"/>
      <c r="AF774" s="246"/>
      <c r="AG774" s="246"/>
      <c r="AH774" s="246"/>
      <c r="AI774" s="246"/>
      <c r="AJ774" s="246"/>
      <c r="AK774" s="246"/>
      <c r="AL774" s="247"/>
      <c r="AM774" s="247"/>
      <c r="AN774" s="247"/>
      <c r="AO774" s="245"/>
      <c r="AP774" s="245"/>
      <c r="AQ774" s="245"/>
      <c r="AR774" s="245"/>
      <c r="AS774" s="245"/>
      <c r="AT774" s="245"/>
      <c r="AU774" s="245"/>
    </row>
    <row r="775" spans="1:47" ht="20.25" hidden="1" customHeight="1" x14ac:dyDescent="0.25">
      <c r="A775" s="1293"/>
      <c r="B775" s="1269"/>
      <c r="C775" s="1269"/>
      <c r="D775" s="904" t="s">
        <v>299</v>
      </c>
      <c r="E775" s="278"/>
      <c r="F775" s="278"/>
      <c r="G775" s="278"/>
      <c r="H775" s="278"/>
      <c r="I775" s="278"/>
      <c r="J775" s="278"/>
      <c r="K775" s="278"/>
      <c r="L775" s="278"/>
      <c r="M775" s="278"/>
      <c r="N775" s="278"/>
      <c r="O775" s="1269"/>
      <c r="P775" s="1269"/>
      <c r="Q775" s="1269"/>
      <c r="R775" s="1269"/>
      <c r="S775" s="1269"/>
      <c r="T775" s="1269"/>
      <c r="U775" s="1269"/>
      <c r="V775" s="903"/>
      <c r="W775" s="1269"/>
      <c r="X775" s="1269"/>
      <c r="Y775" s="1269"/>
      <c r="Z775" s="1329"/>
      <c r="AA775" s="245"/>
      <c r="AB775" s="245"/>
      <c r="AC775" s="246"/>
      <c r="AD775" s="246"/>
      <c r="AE775" s="246"/>
      <c r="AF775" s="246"/>
      <c r="AG775" s="246"/>
      <c r="AH775" s="246"/>
      <c r="AI775" s="246"/>
      <c r="AJ775" s="246"/>
      <c r="AK775" s="246"/>
      <c r="AL775" s="247"/>
      <c r="AM775" s="247"/>
      <c r="AN775" s="247"/>
      <c r="AO775" s="245"/>
      <c r="AP775" s="245"/>
      <c r="AQ775" s="245"/>
      <c r="AR775" s="245"/>
      <c r="AS775" s="245"/>
      <c r="AT775" s="245"/>
      <c r="AU775" s="245"/>
    </row>
    <row r="776" spans="1:47" ht="10.5" hidden="1" customHeight="1" x14ac:dyDescent="0.25">
      <c r="A776" s="1293"/>
      <c r="B776" s="1269"/>
      <c r="C776" s="1269"/>
      <c r="D776" s="1299" t="s">
        <v>302</v>
      </c>
      <c r="E776" s="1272"/>
      <c r="F776" s="1272"/>
      <c r="G776" s="1272"/>
      <c r="H776" s="1272"/>
      <c r="I776" s="905"/>
      <c r="J776" s="1272"/>
      <c r="K776" s="1272"/>
      <c r="L776" s="905"/>
      <c r="M776" s="1272"/>
      <c r="N776" s="1272"/>
      <c r="O776" s="1269"/>
      <c r="P776" s="1269"/>
      <c r="Q776" s="1269"/>
      <c r="R776" s="1269"/>
      <c r="S776" s="1269"/>
      <c r="T776" s="1269"/>
      <c r="U776" s="1269"/>
      <c r="V776" s="903"/>
      <c r="W776" s="1269"/>
      <c r="X776" s="1269"/>
      <c r="Y776" s="1269"/>
      <c r="Z776" s="1329"/>
      <c r="AA776" s="245"/>
      <c r="AB776" s="245"/>
      <c r="AC776" s="246"/>
      <c r="AD776" s="246"/>
      <c r="AE776" s="246"/>
      <c r="AF776" s="246"/>
      <c r="AG776" s="246"/>
      <c r="AH776" s="246"/>
      <c r="AI776" s="246"/>
      <c r="AJ776" s="246"/>
      <c r="AK776" s="246"/>
      <c r="AL776" s="247"/>
      <c r="AM776" s="247"/>
      <c r="AN776" s="247"/>
      <c r="AO776" s="245"/>
      <c r="AP776" s="245"/>
      <c r="AQ776" s="245"/>
      <c r="AR776" s="245"/>
      <c r="AS776" s="245"/>
      <c r="AT776" s="245"/>
      <c r="AU776" s="245"/>
    </row>
    <row r="777" spans="1:47" ht="12.75" hidden="1" customHeight="1" x14ac:dyDescent="0.25">
      <c r="A777" s="1293"/>
      <c r="B777" s="1269"/>
      <c r="C777" s="1269"/>
      <c r="D777" s="1269"/>
      <c r="E777" s="1272"/>
      <c r="F777" s="1269"/>
      <c r="G777" s="1269"/>
      <c r="H777" s="1269"/>
      <c r="I777" s="903"/>
      <c r="J777" s="1269"/>
      <c r="K777" s="1269"/>
      <c r="L777" s="903"/>
      <c r="M777" s="1269"/>
      <c r="N777" s="1269"/>
      <c r="O777" s="1269"/>
      <c r="P777" s="1269"/>
      <c r="Q777" s="1269"/>
      <c r="R777" s="1269"/>
      <c r="S777" s="1269"/>
      <c r="T777" s="1269"/>
      <c r="U777" s="1269"/>
      <c r="V777" s="903"/>
      <c r="W777" s="1269"/>
      <c r="X777" s="1269"/>
      <c r="Y777" s="1269"/>
      <c r="Z777" s="1329"/>
      <c r="AA777" s="245"/>
      <c r="AB777" s="245"/>
      <c r="AC777" s="246"/>
      <c r="AD777" s="246"/>
      <c r="AE777" s="246"/>
      <c r="AF777" s="246"/>
      <c r="AG777" s="246"/>
      <c r="AH777" s="246"/>
      <c r="AI777" s="246"/>
      <c r="AJ777" s="246"/>
      <c r="AK777" s="246"/>
      <c r="AL777" s="247"/>
      <c r="AM777" s="247"/>
      <c r="AN777" s="247"/>
      <c r="AO777" s="245"/>
      <c r="AP777" s="245"/>
      <c r="AQ777" s="245"/>
      <c r="AR777" s="245"/>
      <c r="AS777" s="245"/>
      <c r="AT777" s="245"/>
      <c r="AU777" s="245"/>
    </row>
    <row r="778" spans="1:47" ht="10.5" hidden="1" customHeight="1" x14ac:dyDescent="0.25">
      <c r="A778" s="1293"/>
      <c r="B778" s="1269"/>
      <c r="C778" s="1269"/>
      <c r="D778" s="1269"/>
      <c r="E778" s="1272"/>
      <c r="F778" s="1269"/>
      <c r="G778" s="1269"/>
      <c r="H778" s="1269"/>
      <c r="I778" s="903"/>
      <c r="J778" s="1269"/>
      <c r="K778" s="1269"/>
      <c r="L778" s="903"/>
      <c r="M778" s="1269"/>
      <c r="N778" s="1269"/>
      <c r="O778" s="1269"/>
      <c r="P778" s="1269"/>
      <c r="Q778" s="1269"/>
      <c r="R778" s="1269"/>
      <c r="S778" s="1269"/>
      <c r="T778" s="1269"/>
      <c r="U778" s="1269"/>
      <c r="V778" s="903"/>
      <c r="W778" s="1269"/>
      <c r="X778" s="1269"/>
      <c r="Y778" s="1269"/>
      <c r="Z778" s="1329"/>
      <c r="AA778" s="245"/>
      <c r="AB778" s="245"/>
      <c r="AC778" s="246"/>
      <c r="AD778" s="246"/>
      <c r="AE778" s="246"/>
      <c r="AF778" s="246"/>
      <c r="AG778" s="246"/>
      <c r="AH778" s="246"/>
      <c r="AI778" s="246"/>
      <c r="AJ778" s="246"/>
      <c r="AK778" s="246"/>
      <c r="AL778" s="247"/>
      <c r="AM778" s="247"/>
      <c r="AN778" s="247"/>
      <c r="AO778" s="245"/>
      <c r="AP778" s="245"/>
      <c r="AQ778" s="245"/>
      <c r="AR778" s="245"/>
      <c r="AS778" s="245"/>
      <c r="AT778" s="245"/>
      <c r="AU778" s="245"/>
    </row>
    <row r="779" spans="1:47" ht="11.25" hidden="1" customHeight="1" x14ac:dyDescent="0.25">
      <c r="A779" s="1293"/>
      <c r="B779" s="1269"/>
      <c r="C779" s="1269"/>
      <c r="D779" s="1269"/>
      <c r="E779" s="1272"/>
      <c r="F779" s="1269"/>
      <c r="G779" s="1269"/>
      <c r="H779" s="1269"/>
      <c r="I779" s="903"/>
      <c r="J779" s="1269"/>
      <c r="K779" s="1269"/>
      <c r="L779" s="903"/>
      <c r="M779" s="1269"/>
      <c r="N779" s="1269"/>
      <c r="O779" s="1269"/>
      <c r="P779" s="1269"/>
      <c r="Q779" s="1269"/>
      <c r="R779" s="1269"/>
      <c r="S779" s="1269"/>
      <c r="T779" s="1269"/>
      <c r="U779" s="1269"/>
      <c r="V779" s="903"/>
      <c r="W779" s="1269"/>
      <c r="X779" s="1269"/>
      <c r="Y779" s="1269"/>
      <c r="Z779" s="1329"/>
      <c r="AA779" s="245"/>
      <c r="AB779" s="245"/>
      <c r="AC779" s="246"/>
      <c r="AD779" s="246"/>
      <c r="AE779" s="246"/>
      <c r="AF779" s="246"/>
      <c r="AG779" s="246"/>
      <c r="AH779" s="246"/>
      <c r="AI779" s="246"/>
      <c r="AJ779" s="246"/>
      <c r="AK779" s="246"/>
      <c r="AL779" s="247"/>
      <c r="AM779" s="247"/>
      <c r="AN779" s="247"/>
      <c r="AO779" s="245"/>
      <c r="AP779" s="245"/>
      <c r="AQ779" s="245"/>
      <c r="AR779" s="245"/>
      <c r="AS779" s="245"/>
      <c r="AT779" s="245"/>
      <c r="AU779" s="245"/>
    </row>
    <row r="780" spans="1:47" ht="10.5" hidden="1" customHeight="1" x14ac:dyDescent="0.25">
      <c r="A780" s="1293"/>
      <c r="B780" s="1269"/>
      <c r="C780" s="1316" t="s">
        <v>363</v>
      </c>
      <c r="D780" s="199" t="s">
        <v>288</v>
      </c>
      <c r="E780" s="905"/>
      <c r="F780" s="278"/>
      <c r="G780" s="278"/>
      <c r="H780" s="278"/>
      <c r="I780" s="278"/>
      <c r="J780" s="278"/>
      <c r="K780" s="278"/>
      <c r="L780" s="278"/>
      <c r="M780" s="278"/>
      <c r="N780" s="278"/>
      <c r="O780" s="1272" t="s">
        <v>374</v>
      </c>
      <c r="P780" s="1316" t="s">
        <v>86</v>
      </c>
      <c r="Q780" s="1328" t="s">
        <v>86</v>
      </c>
      <c r="R780" s="1316" t="s">
        <v>86</v>
      </c>
      <c r="S780" s="1328" t="s">
        <v>290</v>
      </c>
      <c r="T780" s="1328">
        <v>7878784</v>
      </c>
      <c r="U780" s="1269"/>
      <c r="V780" s="903"/>
      <c r="W780" s="1328" t="s">
        <v>291</v>
      </c>
      <c r="X780" s="1328" t="s">
        <v>292</v>
      </c>
      <c r="Y780" s="1328" t="s">
        <v>293</v>
      </c>
      <c r="Z780" s="1329">
        <v>7878787</v>
      </c>
      <c r="AA780" s="245"/>
      <c r="AB780" s="245"/>
      <c r="AC780" s="246"/>
      <c r="AD780" s="246"/>
      <c r="AE780" s="246"/>
      <c r="AF780" s="246"/>
      <c r="AG780" s="246"/>
      <c r="AH780" s="246"/>
      <c r="AI780" s="246"/>
      <c r="AJ780" s="246"/>
      <c r="AK780" s="246"/>
      <c r="AL780" s="247"/>
      <c r="AM780" s="247"/>
      <c r="AN780" s="247"/>
      <c r="AO780" s="245"/>
      <c r="AP780" s="245"/>
      <c r="AQ780" s="245"/>
      <c r="AR780" s="245"/>
      <c r="AS780" s="245"/>
      <c r="AT780" s="245"/>
      <c r="AU780" s="245"/>
    </row>
    <row r="781" spans="1:47" ht="21.75" hidden="1" customHeight="1" x14ac:dyDescent="0.25">
      <c r="A781" s="1293"/>
      <c r="B781" s="1269"/>
      <c r="C781" s="1269"/>
      <c r="D781" s="904" t="s">
        <v>296</v>
      </c>
      <c r="E781" s="905"/>
      <c r="F781" s="278"/>
      <c r="G781" s="278"/>
      <c r="H781" s="198"/>
      <c r="I781" s="198"/>
      <c r="J781" s="278"/>
      <c r="K781" s="278"/>
      <c r="L781" s="278"/>
      <c r="M781" s="278"/>
      <c r="N781" s="278"/>
      <c r="O781" s="1269"/>
      <c r="P781" s="1269"/>
      <c r="Q781" s="1269"/>
      <c r="R781" s="1269"/>
      <c r="S781" s="1269"/>
      <c r="T781" s="1269"/>
      <c r="U781" s="1269"/>
      <c r="V781" s="903"/>
      <c r="W781" s="1269"/>
      <c r="X781" s="1269"/>
      <c r="Y781" s="1269"/>
      <c r="Z781" s="1329"/>
      <c r="AA781" s="245"/>
      <c r="AB781" s="245"/>
      <c r="AC781" s="246"/>
      <c r="AD781" s="246"/>
      <c r="AE781" s="246"/>
      <c r="AF781" s="246"/>
      <c r="AG781" s="246"/>
      <c r="AH781" s="246"/>
      <c r="AI781" s="246"/>
      <c r="AJ781" s="246"/>
      <c r="AK781" s="246"/>
      <c r="AL781" s="247"/>
      <c r="AM781" s="247"/>
      <c r="AN781" s="247"/>
      <c r="AO781" s="245"/>
      <c r="AP781" s="245"/>
      <c r="AQ781" s="245"/>
      <c r="AR781" s="245"/>
      <c r="AS781" s="245"/>
      <c r="AT781" s="245"/>
      <c r="AU781" s="245"/>
    </row>
    <row r="782" spans="1:47" ht="20.25" hidden="1" customHeight="1" x14ac:dyDescent="0.25">
      <c r="A782" s="1293"/>
      <c r="B782" s="1269"/>
      <c r="C782" s="1269"/>
      <c r="D782" s="904" t="s">
        <v>299</v>
      </c>
      <c r="E782" s="278"/>
      <c r="F782" s="278"/>
      <c r="G782" s="278"/>
      <c r="H782" s="278"/>
      <c r="I782" s="278"/>
      <c r="J782" s="278"/>
      <c r="K782" s="278"/>
      <c r="L782" s="278"/>
      <c r="M782" s="278"/>
      <c r="N782" s="278"/>
      <c r="O782" s="1269"/>
      <c r="P782" s="1269"/>
      <c r="Q782" s="1269"/>
      <c r="R782" s="1269"/>
      <c r="S782" s="1269"/>
      <c r="T782" s="1269"/>
      <c r="U782" s="1269"/>
      <c r="V782" s="903"/>
      <c r="W782" s="1269"/>
      <c r="X782" s="1269"/>
      <c r="Y782" s="1269"/>
      <c r="Z782" s="1329"/>
      <c r="AA782" s="245"/>
      <c r="AB782" s="245"/>
      <c r="AC782" s="246"/>
      <c r="AD782" s="246"/>
      <c r="AE782" s="246"/>
      <c r="AF782" s="246"/>
      <c r="AG782" s="246"/>
      <c r="AH782" s="246"/>
      <c r="AI782" s="246"/>
      <c r="AJ782" s="246"/>
      <c r="AK782" s="246"/>
      <c r="AL782" s="247"/>
      <c r="AM782" s="247"/>
      <c r="AN782" s="247"/>
      <c r="AO782" s="245"/>
      <c r="AP782" s="245"/>
      <c r="AQ782" s="245"/>
      <c r="AR782" s="245"/>
      <c r="AS782" s="245"/>
      <c r="AT782" s="245"/>
      <c r="AU782" s="245"/>
    </row>
    <row r="783" spans="1:47" ht="10.5" hidden="1" customHeight="1" x14ac:dyDescent="0.25">
      <c r="A783" s="1293"/>
      <c r="B783" s="1269"/>
      <c r="C783" s="1269"/>
      <c r="D783" s="1299" t="s">
        <v>302</v>
      </c>
      <c r="E783" s="1272"/>
      <c r="F783" s="1272"/>
      <c r="G783" s="1272"/>
      <c r="H783" s="1272"/>
      <c r="I783" s="905"/>
      <c r="J783" s="1272"/>
      <c r="K783" s="1272"/>
      <c r="L783" s="905"/>
      <c r="M783" s="1272"/>
      <c r="N783" s="1272"/>
      <c r="O783" s="1269"/>
      <c r="P783" s="1269"/>
      <c r="Q783" s="1269"/>
      <c r="R783" s="1269"/>
      <c r="S783" s="1269"/>
      <c r="T783" s="1269"/>
      <c r="U783" s="1269"/>
      <c r="V783" s="903"/>
      <c r="W783" s="1269"/>
      <c r="X783" s="1269"/>
      <c r="Y783" s="1269"/>
      <c r="Z783" s="1329"/>
      <c r="AA783" s="245"/>
      <c r="AB783" s="245"/>
      <c r="AC783" s="246"/>
      <c r="AD783" s="246"/>
      <c r="AE783" s="246"/>
      <c r="AF783" s="246"/>
      <c r="AG783" s="246"/>
      <c r="AH783" s="246"/>
      <c r="AI783" s="246"/>
      <c r="AJ783" s="246"/>
      <c r="AK783" s="246"/>
      <c r="AL783" s="247"/>
      <c r="AM783" s="247"/>
      <c r="AN783" s="247"/>
      <c r="AO783" s="245"/>
      <c r="AP783" s="245"/>
      <c r="AQ783" s="245"/>
      <c r="AR783" s="245"/>
      <c r="AS783" s="245"/>
      <c r="AT783" s="245"/>
      <c r="AU783" s="245"/>
    </row>
    <row r="784" spans="1:47" ht="12.75" hidden="1" customHeight="1" x14ac:dyDescent="0.25">
      <c r="A784" s="1293"/>
      <c r="B784" s="1269"/>
      <c r="C784" s="1269"/>
      <c r="D784" s="1269"/>
      <c r="E784" s="1272"/>
      <c r="F784" s="1269"/>
      <c r="G784" s="1269"/>
      <c r="H784" s="1269"/>
      <c r="I784" s="903"/>
      <c r="J784" s="1269"/>
      <c r="K784" s="1269"/>
      <c r="L784" s="903"/>
      <c r="M784" s="1269"/>
      <c r="N784" s="1269"/>
      <c r="O784" s="1269"/>
      <c r="P784" s="1269"/>
      <c r="Q784" s="1269"/>
      <c r="R784" s="1269"/>
      <c r="S784" s="1269"/>
      <c r="T784" s="1269"/>
      <c r="U784" s="1269"/>
      <c r="V784" s="903"/>
      <c r="W784" s="1269"/>
      <c r="X784" s="1269"/>
      <c r="Y784" s="1269"/>
      <c r="Z784" s="1329"/>
      <c r="AA784" s="245"/>
      <c r="AB784" s="245"/>
      <c r="AC784" s="246"/>
      <c r="AD784" s="246"/>
      <c r="AE784" s="246"/>
      <c r="AF784" s="246"/>
      <c r="AG784" s="246"/>
      <c r="AH784" s="246"/>
      <c r="AI784" s="246"/>
      <c r="AJ784" s="246"/>
      <c r="AK784" s="246"/>
      <c r="AL784" s="247"/>
      <c r="AM784" s="247"/>
      <c r="AN784" s="247"/>
      <c r="AO784" s="245"/>
      <c r="AP784" s="245"/>
      <c r="AQ784" s="245"/>
      <c r="AR784" s="245"/>
      <c r="AS784" s="245"/>
      <c r="AT784" s="245"/>
      <c r="AU784" s="245"/>
    </row>
    <row r="785" spans="1:47" ht="10.5" hidden="1" customHeight="1" x14ac:dyDescent="0.25">
      <c r="A785" s="1293"/>
      <c r="B785" s="1269"/>
      <c r="C785" s="1269"/>
      <c r="D785" s="1269"/>
      <c r="E785" s="1272"/>
      <c r="F785" s="1269"/>
      <c r="G785" s="1269"/>
      <c r="H785" s="1269"/>
      <c r="I785" s="903"/>
      <c r="J785" s="1269"/>
      <c r="K785" s="1269"/>
      <c r="L785" s="903"/>
      <c r="M785" s="1269"/>
      <c r="N785" s="1269"/>
      <c r="O785" s="1269"/>
      <c r="P785" s="1269"/>
      <c r="Q785" s="1269"/>
      <c r="R785" s="1269"/>
      <c r="S785" s="1269"/>
      <c r="T785" s="1269"/>
      <c r="U785" s="1269"/>
      <c r="V785" s="903"/>
      <c r="W785" s="1269"/>
      <c r="X785" s="1269"/>
      <c r="Y785" s="1269"/>
      <c r="Z785" s="1329"/>
      <c r="AA785" s="245"/>
      <c r="AB785" s="245"/>
      <c r="AC785" s="246"/>
      <c r="AD785" s="246"/>
      <c r="AE785" s="246"/>
      <c r="AF785" s="246"/>
      <c r="AG785" s="246"/>
      <c r="AH785" s="246"/>
      <c r="AI785" s="246"/>
      <c r="AJ785" s="246"/>
      <c r="AK785" s="246"/>
      <c r="AL785" s="247"/>
      <c r="AM785" s="247"/>
      <c r="AN785" s="247"/>
      <c r="AO785" s="245"/>
      <c r="AP785" s="245"/>
      <c r="AQ785" s="245"/>
      <c r="AR785" s="245"/>
      <c r="AS785" s="245"/>
      <c r="AT785" s="245"/>
      <c r="AU785" s="245"/>
    </row>
    <row r="786" spans="1:47" ht="11.25" hidden="1" customHeight="1" x14ac:dyDescent="0.25">
      <c r="A786" s="1293"/>
      <c r="B786" s="1269"/>
      <c r="C786" s="1269"/>
      <c r="D786" s="1269"/>
      <c r="E786" s="1272"/>
      <c r="F786" s="1269"/>
      <c r="G786" s="1269"/>
      <c r="H786" s="1269"/>
      <c r="I786" s="903"/>
      <c r="J786" s="1269"/>
      <c r="K786" s="1269"/>
      <c r="L786" s="903"/>
      <c r="M786" s="1269"/>
      <c r="N786" s="1269"/>
      <c r="O786" s="1269"/>
      <c r="P786" s="1269"/>
      <c r="Q786" s="1269"/>
      <c r="R786" s="1269"/>
      <c r="S786" s="1269"/>
      <c r="T786" s="1269"/>
      <c r="U786" s="1269"/>
      <c r="V786" s="903"/>
      <c r="W786" s="1269"/>
      <c r="X786" s="1269"/>
      <c r="Y786" s="1269"/>
      <c r="Z786" s="1329"/>
      <c r="AA786" s="245"/>
      <c r="AB786" s="245"/>
      <c r="AC786" s="246"/>
      <c r="AD786" s="246"/>
      <c r="AE786" s="246"/>
      <c r="AF786" s="246"/>
      <c r="AG786" s="246"/>
      <c r="AH786" s="246"/>
      <c r="AI786" s="246"/>
      <c r="AJ786" s="246"/>
      <c r="AK786" s="246"/>
      <c r="AL786" s="247"/>
      <c r="AM786" s="247"/>
      <c r="AN786" s="247"/>
      <c r="AO786" s="245"/>
      <c r="AP786" s="245"/>
      <c r="AQ786" s="245"/>
      <c r="AR786" s="245"/>
      <c r="AS786" s="245"/>
      <c r="AT786" s="245"/>
      <c r="AU786" s="245"/>
    </row>
    <row r="787" spans="1:47" ht="18.75" hidden="1" customHeight="1" x14ac:dyDescent="0.25">
      <c r="A787" s="1293"/>
      <c r="B787" s="1269"/>
      <c r="C787" s="1316" t="s">
        <v>363</v>
      </c>
      <c r="D787" s="199" t="s">
        <v>288</v>
      </c>
      <c r="E787" s="905"/>
      <c r="F787" s="278"/>
      <c r="G787" s="278"/>
      <c r="H787" s="278"/>
      <c r="I787" s="278"/>
      <c r="J787" s="278"/>
      <c r="K787" s="278"/>
      <c r="L787" s="278"/>
      <c r="M787" s="278"/>
      <c r="N787" s="278"/>
      <c r="O787" s="1272" t="s">
        <v>375</v>
      </c>
      <c r="P787" s="1316" t="s">
        <v>86</v>
      </c>
      <c r="Q787" s="1328" t="s">
        <v>86</v>
      </c>
      <c r="R787" s="1316" t="s">
        <v>86</v>
      </c>
      <c r="S787" s="1328" t="s">
        <v>290</v>
      </c>
      <c r="T787" s="1328">
        <v>7878784</v>
      </c>
      <c r="U787" s="1269"/>
      <c r="V787" s="903"/>
      <c r="W787" s="1328" t="s">
        <v>291</v>
      </c>
      <c r="X787" s="1328" t="s">
        <v>292</v>
      </c>
      <c r="Y787" s="1328" t="s">
        <v>293</v>
      </c>
      <c r="Z787" s="1329">
        <v>7878788</v>
      </c>
      <c r="AA787" s="245"/>
      <c r="AB787" s="245"/>
      <c r="AC787" s="246"/>
      <c r="AD787" s="246"/>
      <c r="AE787" s="246"/>
      <c r="AF787" s="246"/>
      <c r="AG787" s="246"/>
      <c r="AH787" s="246"/>
      <c r="AI787" s="246"/>
      <c r="AJ787" s="246"/>
      <c r="AK787" s="246"/>
      <c r="AL787" s="247"/>
      <c r="AM787" s="247"/>
      <c r="AN787" s="247"/>
      <c r="AO787" s="245"/>
      <c r="AP787" s="245"/>
      <c r="AQ787" s="245"/>
      <c r="AR787" s="245"/>
      <c r="AS787" s="245"/>
      <c r="AT787" s="245"/>
      <c r="AU787" s="245"/>
    </row>
    <row r="788" spans="1:47" ht="21.75" hidden="1" customHeight="1" x14ac:dyDescent="0.25">
      <c r="A788" s="1293"/>
      <c r="B788" s="1269"/>
      <c r="C788" s="1269"/>
      <c r="D788" s="904" t="s">
        <v>296</v>
      </c>
      <c r="E788" s="905"/>
      <c r="F788" s="278"/>
      <c r="G788" s="278"/>
      <c r="H788" s="198"/>
      <c r="I788" s="198"/>
      <c r="J788" s="278"/>
      <c r="K788" s="278"/>
      <c r="L788" s="278"/>
      <c r="M788" s="278"/>
      <c r="N788" s="278"/>
      <c r="O788" s="1269"/>
      <c r="P788" s="1269"/>
      <c r="Q788" s="1269"/>
      <c r="R788" s="1269"/>
      <c r="S788" s="1269"/>
      <c r="T788" s="1269"/>
      <c r="U788" s="1269"/>
      <c r="V788" s="903"/>
      <c r="W788" s="1269"/>
      <c r="X788" s="1269"/>
      <c r="Y788" s="1269"/>
      <c r="Z788" s="1329"/>
      <c r="AA788" s="245"/>
      <c r="AB788" s="245"/>
      <c r="AC788" s="246"/>
      <c r="AD788" s="246"/>
      <c r="AE788" s="246"/>
      <c r="AF788" s="246"/>
      <c r="AG788" s="246"/>
      <c r="AH788" s="246"/>
      <c r="AI788" s="246"/>
      <c r="AJ788" s="246"/>
      <c r="AK788" s="246"/>
      <c r="AL788" s="247"/>
      <c r="AM788" s="247"/>
      <c r="AN788" s="247"/>
      <c r="AO788" s="245"/>
      <c r="AP788" s="245"/>
      <c r="AQ788" s="245"/>
      <c r="AR788" s="245"/>
      <c r="AS788" s="245"/>
      <c r="AT788" s="245"/>
      <c r="AU788" s="245"/>
    </row>
    <row r="789" spans="1:47" ht="20.25" hidden="1" customHeight="1" x14ac:dyDescent="0.25">
      <c r="A789" s="1293"/>
      <c r="B789" s="1269"/>
      <c r="C789" s="1269"/>
      <c r="D789" s="904" t="s">
        <v>299</v>
      </c>
      <c r="E789" s="278"/>
      <c r="F789" s="278"/>
      <c r="G789" s="278"/>
      <c r="H789" s="278"/>
      <c r="I789" s="278"/>
      <c r="J789" s="278"/>
      <c r="K789" s="278"/>
      <c r="L789" s="278"/>
      <c r="M789" s="278"/>
      <c r="N789" s="278"/>
      <c r="O789" s="1269"/>
      <c r="P789" s="1269"/>
      <c r="Q789" s="1269"/>
      <c r="R789" s="1269"/>
      <c r="S789" s="1269"/>
      <c r="T789" s="1269"/>
      <c r="U789" s="1269"/>
      <c r="V789" s="903"/>
      <c r="W789" s="1269"/>
      <c r="X789" s="1269"/>
      <c r="Y789" s="1269"/>
      <c r="Z789" s="1329"/>
      <c r="AA789" s="245"/>
      <c r="AB789" s="245"/>
      <c r="AC789" s="246"/>
      <c r="AD789" s="246"/>
      <c r="AE789" s="246"/>
      <c r="AF789" s="246"/>
      <c r="AG789" s="246"/>
      <c r="AH789" s="246"/>
      <c r="AI789" s="246"/>
      <c r="AJ789" s="246"/>
      <c r="AK789" s="246"/>
      <c r="AL789" s="247"/>
      <c r="AM789" s="247"/>
      <c r="AN789" s="247"/>
      <c r="AO789" s="245"/>
      <c r="AP789" s="245"/>
      <c r="AQ789" s="245"/>
      <c r="AR789" s="245"/>
      <c r="AS789" s="245"/>
      <c r="AT789" s="245"/>
      <c r="AU789" s="245"/>
    </row>
    <row r="790" spans="1:47" ht="10.5" hidden="1" customHeight="1" x14ac:dyDescent="0.25">
      <c r="A790" s="1293"/>
      <c r="B790" s="1269"/>
      <c r="C790" s="1269"/>
      <c r="D790" s="1299" t="s">
        <v>302</v>
      </c>
      <c r="E790" s="1272"/>
      <c r="F790" s="1272"/>
      <c r="G790" s="1272"/>
      <c r="H790" s="1272"/>
      <c r="I790" s="905"/>
      <c r="J790" s="1272"/>
      <c r="K790" s="1272"/>
      <c r="L790" s="905"/>
      <c r="M790" s="1272"/>
      <c r="N790" s="1272"/>
      <c r="O790" s="1269"/>
      <c r="P790" s="1269"/>
      <c r="Q790" s="1269"/>
      <c r="R790" s="1269"/>
      <c r="S790" s="1269"/>
      <c r="T790" s="1269"/>
      <c r="U790" s="1269"/>
      <c r="V790" s="903"/>
      <c r="W790" s="1269"/>
      <c r="X790" s="1269"/>
      <c r="Y790" s="1269"/>
      <c r="Z790" s="1329"/>
      <c r="AA790" s="245"/>
      <c r="AB790" s="245"/>
      <c r="AC790" s="246"/>
      <c r="AD790" s="246"/>
      <c r="AE790" s="246"/>
      <c r="AF790" s="246"/>
      <c r="AG790" s="246"/>
      <c r="AH790" s="246"/>
      <c r="AI790" s="246"/>
      <c r="AJ790" s="246"/>
      <c r="AK790" s="246"/>
      <c r="AL790" s="247"/>
      <c r="AM790" s="247"/>
      <c r="AN790" s="247"/>
      <c r="AO790" s="245"/>
      <c r="AP790" s="245"/>
      <c r="AQ790" s="245"/>
      <c r="AR790" s="245"/>
      <c r="AS790" s="245"/>
      <c r="AT790" s="245"/>
      <c r="AU790" s="245"/>
    </row>
    <row r="791" spans="1:47" ht="12.75" hidden="1" customHeight="1" x14ac:dyDescent="0.25">
      <c r="A791" s="1293"/>
      <c r="B791" s="1269"/>
      <c r="C791" s="1269"/>
      <c r="D791" s="1269"/>
      <c r="E791" s="1272"/>
      <c r="F791" s="1269"/>
      <c r="G791" s="1269"/>
      <c r="H791" s="1269"/>
      <c r="I791" s="903"/>
      <c r="J791" s="1269"/>
      <c r="K791" s="1269"/>
      <c r="L791" s="903"/>
      <c r="M791" s="1269"/>
      <c r="N791" s="1269"/>
      <c r="O791" s="1269"/>
      <c r="P791" s="1269"/>
      <c r="Q791" s="1269"/>
      <c r="R791" s="1269"/>
      <c r="S791" s="1269"/>
      <c r="T791" s="1269"/>
      <c r="U791" s="1269"/>
      <c r="V791" s="903"/>
      <c r="W791" s="1269"/>
      <c r="X791" s="1269"/>
      <c r="Y791" s="1269"/>
      <c r="Z791" s="1329"/>
      <c r="AA791" s="245"/>
      <c r="AB791" s="245"/>
      <c r="AC791" s="246"/>
      <c r="AD791" s="246"/>
      <c r="AE791" s="246"/>
      <c r="AF791" s="246"/>
      <c r="AG791" s="246"/>
      <c r="AH791" s="246"/>
      <c r="AI791" s="246"/>
      <c r="AJ791" s="246"/>
      <c r="AK791" s="246"/>
      <c r="AL791" s="247"/>
      <c r="AM791" s="247"/>
      <c r="AN791" s="247"/>
      <c r="AO791" s="245"/>
      <c r="AP791" s="245"/>
      <c r="AQ791" s="245"/>
      <c r="AR791" s="245"/>
      <c r="AS791" s="245"/>
      <c r="AT791" s="245"/>
      <c r="AU791" s="245"/>
    </row>
    <row r="792" spans="1:47" ht="10.5" hidden="1" customHeight="1" x14ac:dyDescent="0.25">
      <c r="A792" s="1293"/>
      <c r="B792" s="1269"/>
      <c r="C792" s="1269"/>
      <c r="D792" s="1269"/>
      <c r="E792" s="1272"/>
      <c r="F792" s="1269"/>
      <c r="G792" s="1269"/>
      <c r="H792" s="1269"/>
      <c r="I792" s="903"/>
      <c r="J792" s="1269"/>
      <c r="K792" s="1269"/>
      <c r="L792" s="903"/>
      <c r="M792" s="1269"/>
      <c r="N792" s="1269"/>
      <c r="O792" s="1269"/>
      <c r="P792" s="1269"/>
      <c r="Q792" s="1269"/>
      <c r="R792" s="1269"/>
      <c r="S792" s="1269"/>
      <c r="T792" s="1269"/>
      <c r="U792" s="1269"/>
      <c r="V792" s="903"/>
      <c r="W792" s="1269"/>
      <c r="X792" s="1269"/>
      <c r="Y792" s="1269"/>
      <c r="Z792" s="1329"/>
      <c r="AA792" s="245"/>
      <c r="AB792" s="245"/>
      <c r="AC792" s="246"/>
      <c r="AD792" s="246"/>
      <c r="AE792" s="246"/>
      <c r="AF792" s="246"/>
      <c r="AG792" s="246"/>
      <c r="AH792" s="246"/>
      <c r="AI792" s="246"/>
      <c r="AJ792" s="246"/>
      <c r="AK792" s="246"/>
      <c r="AL792" s="247"/>
      <c r="AM792" s="247"/>
      <c r="AN792" s="247"/>
      <c r="AO792" s="245"/>
      <c r="AP792" s="245"/>
      <c r="AQ792" s="245"/>
      <c r="AR792" s="245"/>
      <c r="AS792" s="245"/>
      <c r="AT792" s="245"/>
      <c r="AU792" s="245"/>
    </row>
    <row r="793" spans="1:47" ht="11.25" hidden="1" customHeight="1" x14ac:dyDescent="0.25">
      <c r="A793" s="1293"/>
      <c r="B793" s="1269"/>
      <c r="C793" s="1269"/>
      <c r="D793" s="1269"/>
      <c r="E793" s="1272"/>
      <c r="F793" s="1269"/>
      <c r="G793" s="1269"/>
      <c r="H793" s="1269"/>
      <c r="I793" s="903"/>
      <c r="J793" s="1269"/>
      <c r="K793" s="1269"/>
      <c r="L793" s="903"/>
      <c r="M793" s="1269"/>
      <c r="N793" s="1269"/>
      <c r="O793" s="1269"/>
      <c r="P793" s="1269"/>
      <c r="Q793" s="1269"/>
      <c r="R793" s="1269"/>
      <c r="S793" s="1269"/>
      <c r="T793" s="1269"/>
      <c r="U793" s="1269"/>
      <c r="V793" s="903"/>
      <c r="W793" s="1269"/>
      <c r="X793" s="1269"/>
      <c r="Y793" s="1269"/>
      <c r="Z793" s="1329"/>
      <c r="AA793" s="245"/>
      <c r="AB793" s="245"/>
      <c r="AC793" s="246"/>
      <c r="AD793" s="246"/>
      <c r="AE793" s="246"/>
      <c r="AF793" s="246"/>
      <c r="AG793" s="246"/>
      <c r="AH793" s="246"/>
      <c r="AI793" s="246"/>
      <c r="AJ793" s="246"/>
      <c r="AK793" s="246"/>
      <c r="AL793" s="247"/>
      <c r="AM793" s="247"/>
      <c r="AN793" s="247"/>
      <c r="AO793" s="245"/>
      <c r="AP793" s="245"/>
      <c r="AQ793" s="245"/>
      <c r="AR793" s="245"/>
      <c r="AS793" s="245"/>
      <c r="AT793" s="245"/>
      <c r="AU793" s="245"/>
    </row>
    <row r="794" spans="1:47" ht="10.5" hidden="1" customHeight="1" x14ac:dyDescent="0.25">
      <c r="A794" s="1293"/>
      <c r="B794" s="1269"/>
      <c r="C794" s="1316" t="s">
        <v>363</v>
      </c>
      <c r="D794" s="199" t="s">
        <v>288</v>
      </c>
      <c r="E794" s="905"/>
      <c r="F794" s="278"/>
      <c r="G794" s="278"/>
      <c r="H794" s="278"/>
      <c r="I794" s="278"/>
      <c r="J794" s="278"/>
      <c r="K794" s="278"/>
      <c r="L794" s="278"/>
      <c r="M794" s="278"/>
      <c r="N794" s="278"/>
      <c r="O794" s="1272" t="s">
        <v>376</v>
      </c>
      <c r="P794" s="1316" t="s">
        <v>86</v>
      </c>
      <c r="Q794" s="1328" t="s">
        <v>86</v>
      </c>
      <c r="R794" s="1316" t="s">
        <v>86</v>
      </c>
      <c r="S794" s="1328" t="s">
        <v>290</v>
      </c>
      <c r="T794" s="1328">
        <v>7878784</v>
      </c>
      <c r="U794" s="1269"/>
      <c r="V794" s="903"/>
      <c r="W794" s="1328" t="s">
        <v>291</v>
      </c>
      <c r="X794" s="1328" t="s">
        <v>292</v>
      </c>
      <c r="Y794" s="1328" t="s">
        <v>293</v>
      </c>
      <c r="Z794" s="1329">
        <v>7878789</v>
      </c>
      <c r="AA794" s="245"/>
      <c r="AB794" s="245"/>
      <c r="AC794" s="246"/>
      <c r="AD794" s="246"/>
      <c r="AE794" s="246"/>
      <c r="AF794" s="246"/>
      <c r="AG794" s="246"/>
      <c r="AH794" s="246"/>
      <c r="AI794" s="246"/>
      <c r="AJ794" s="246"/>
      <c r="AK794" s="246"/>
      <c r="AL794" s="247"/>
      <c r="AM794" s="247"/>
      <c r="AN794" s="247"/>
      <c r="AO794" s="245"/>
      <c r="AP794" s="245"/>
      <c r="AQ794" s="245"/>
      <c r="AR794" s="245"/>
      <c r="AS794" s="245"/>
      <c r="AT794" s="245"/>
      <c r="AU794" s="245"/>
    </row>
    <row r="795" spans="1:47" ht="21.75" hidden="1" customHeight="1" x14ac:dyDescent="0.25">
      <c r="A795" s="1293"/>
      <c r="B795" s="1269"/>
      <c r="C795" s="1269"/>
      <c r="D795" s="904" t="s">
        <v>296</v>
      </c>
      <c r="E795" s="905"/>
      <c r="F795" s="278"/>
      <c r="G795" s="278"/>
      <c r="H795" s="198"/>
      <c r="I795" s="198"/>
      <c r="J795" s="278"/>
      <c r="K795" s="278"/>
      <c r="L795" s="278"/>
      <c r="M795" s="278"/>
      <c r="N795" s="278"/>
      <c r="O795" s="1269"/>
      <c r="P795" s="1269"/>
      <c r="Q795" s="1269"/>
      <c r="R795" s="1269"/>
      <c r="S795" s="1269"/>
      <c r="T795" s="1269"/>
      <c r="U795" s="1269"/>
      <c r="V795" s="903"/>
      <c r="W795" s="1269"/>
      <c r="X795" s="1269"/>
      <c r="Y795" s="1269"/>
      <c r="Z795" s="1329"/>
      <c r="AA795" s="245"/>
      <c r="AB795" s="245"/>
      <c r="AC795" s="246"/>
      <c r="AD795" s="246"/>
      <c r="AE795" s="246"/>
      <c r="AF795" s="246"/>
      <c r="AG795" s="246"/>
      <c r="AH795" s="246"/>
      <c r="AI795" s="246"/>
      <c r="AJ795" s="246"/>
      <c r="AK795" s="246"/>
      <c r="AL795" s="247"/>
      <c r="AM795" s="247"/>
      <c r="AN795" s="247"/>
      <c r="AO795" s="245"/>
      <c r="AP795" s="245"/>
      <c r="AQ795" s="245"/>
      <c r="AR795" s="245"/>
      <c r="AS795" s="245"/>
      <c r="AT795" s="245"/>
      <c r="AU795" s="245"/>
    </row>
    <row r="796" spans="1:47" ht="20.25" hidden="1" customHeight="1" x14ac:dyDescent="0.25">
      <c r="A796" s="1293"/>
      <c r="B796" s="1269"/>
      <c r="C796" s="1269"/>
      <c r="D796" s="904" t="s">
        <v>299</v>
      </c>
      <c r="E796" s="278"/>
      <c r="F796" s="278"/>
      <c r="G796" s="278"/>
      <c r="H796" s="278"/>
      <c r="I796" s="278"/>
      <c r="J796" s="278"/>
      <c r="K796" s="278"/>
      <c r="L796" s="278"/>
      <c r="M796" s="278"/>
      <c r="N796" s="278"/>
      <c r="O796" s="1269"/>
      <c r="P796" s="1269"/>
      <c r="Q796" s="1269"/>
      <c r="R796" s="1269"/>
      <c r="S796" s="1269"/>
      <c r="T796" s="1269"/>
      <c r="U796" s="1269"/>
      <c r="V796" s="903"/>
      <c r="W796" s="1269"/>
      <c r="X796" s="1269"/>
      <c r="Y796" s="1269"/>
      <c r="Z796" s="1329"/>
      <c r="AA796" s="245"/>
      <c r="AB796" s="245"/>
      <c r="AC796" s="246"/>
      <c r="AD796" s="246"/>
      <c r="AE796" s="246"/>
      <c r="AF796" s="246"/>
      <c r="AG796" s="246"/>
      <c r="AH796" s="246"/>
      <c r="AI796" s="246"/>
      <c r="AJ796" s="246"/>
      <c r="AK796" s="246"/>
      <c r="AL796" s="247"/>
      <c r="AM796" s="247"/>
      <c r="AN796" s="247"/>
      <c r="AO796" s="245"/>
      <c r="AP796" s="245"/>
      <c r="AQ796" s="245"/>
      <c r="AR796" s="245"/>
      <c r="AS796" s="245"/>
      <c r="AT796" s="245"/>
      <c r="AU796" s="245"/>
    </row>
    <row r="797" spans="1:47" ht="10.5" hidden="1" customHeight="1" x14ac:dyDescent="0.25">
      <c r="A797" s="1293"/>
      <c r="B797" s="1269"/>
      <c r="C797" s="1269"/>
      <c r="D797" s="1299" t="s">
        <v>302</v>
      </c>
      <c r="E797" s="1272"/>
      <c r="F797" s="1272"/>
      <c r="G797" s="1272"/>
      <c r="H797" s="1272"/>
      <c r="I797" s="905"/>
      <c r="J797" s="1272"/>
      <c r="K797" s="1272"/>
      <c r="L797" s="905"/>
      <c r="M797" s="1272"/>
      <c r="N797" s="1272"/>
      <c r="O797" s="1269"/>
      <c r="P797" s="1269"/>
      <c r="Q797" s="1269"/>
      <c r="R797" s="1269"/>
      <c r="S797" s="1269"/>
      <c r="T797" s="1269"/>
      <c r="U797" s="1269"/>
      <c r="V797" s="903"/>
      <c r="W797" s="1269"/>
      <c r="X797" s="1269"/>
      <c r="Y797" s="1269"/>
      <c r="Z797" s="1329"/>
      <c r="AA797" s="245"/>
      <c r="AB797" s="245"/>
      <c r="AC797" s="246"/>
      <c r="AD797" s="246"/>
      <c r="AE797" s="246"/>
      <c r="AF797" s="246"/>
      <c r="AG797" s="246"/>
      <c r="AH797" s="246"/>
      <c r="AI797" s="246"/>
      <c r="AJ797" s="246"/>
      <c r="AK797" s="246"/>
      <c r="AL797" s="247"/>
      <c r="AM797" s="247"/>
      <c r="AN797" s="247"/>
      <c r="AO797" s="245"/>
      <c r="AP797" s="245"/>
      <c r="AQ797" s="245"/>
      <c r="AR797" s="245"/>
      <c r="AS797" s="245"/>
      <c r="AT797" s="245"/>
      <c r="AU797" s="245"/>
    </row>
    <row r="798" spans="1:47" ht="12.75" hidden="1" customHeight="1" x14ac:dyDescent="0.25">
      <c r="A798" s="1293"/>
      <c r="B798" s="1269"/>
      <c r="C798" s="1269"/>
      <c r="D798" s="1269"/>
      <c r="E798" s="1272"/>
      <c r="F798" s="1269"/>
      <c r="G798" s="1269"/>
      <c r="H798" s="1269"/>
      <c r="I798" s="903"/>
      <c r="J798" s="1269"/>
      <c r="K798" s="1269"/>
      <c r="L798" s="903"/>
      <c r="M798" s="1269"/>
      <c r="N798" s="1269"/>
      <c r="O798" s="1269"/>
      <c r="P798" s="1269"/>
      <c r="Q798" s="1269"/>
      <c r="R798" s="1269"/>
      <c r="S798" s="1269"/>
      <c r="T798" s="1269"/>
      <c r="U798" s="1269"/>
      <c r="V798" s="903"/>
      <c r="W798" s="1269"/>
      <c r="X798" s="1269"/>
      <c r="Y798" s="1269"/>
      <c r="Z798" s="1329"/>
      <c r="AA798" s="245"/>
      <c r="AB798" s="245"/>
      <c r="AC798" s="246"/>
      <c r="AD798" s="246"/>
      <c r="AE798" s="246"/>
      <c r="AF798" s="246"/>
      <c r="AG798" s="246"/>
      <c r="AH798" s="246"/>
      <c r="AI798" s="246"/>
      <c r="AJ798" s="246"/>
      <c r="AK798" s="246"/>
      <c r="AL798" s="247"/>
      <c r="AM798" s="247"/>
      <c r="AN798" s="247"/>
      <c r="AO798" s="245"/>
      <c r="AP798" s="245"/>
      <c r="AQ798" s="245"/>
      <c r="AR798" s="245"/>
      <c r="AS798" s="245"/>
      <c r="AT798" s="245"/>
      <c r="AU798" s="245"/>
    </row>
    <row r="799" spans="1:47" ht="10.5" hidden="1" customHeight="1" x14ac:dyDescent="0.25">
      <c r="A799" s="1293"/>
      <c r="B799" s="1269"/>
      <c r="C799" s="1269"/>
      <c r="D799" s="1269"/>
      <c r="E799" s="1272"/>
      <c r="F799" s="1269"/>
      <c r="G799" s="1269"/>
      <c r="H799" s="1269"/>
      <c r="I799" s="903"/>
      <c r="J799" s="1269"/>
      <c r="K799" s="1269"/>
      <c r="L799" s="903"/>
      <c r="M799" s="1269"/>
      <c r="N799" s="1269"/>
      <c r="O799" s="1269"/>
      <c r="P799" s="1269"/>
      <c r="Q799" s="1269"/>
      <c r="R799" s="1269"/>
      <c r="S799" s="1269"/>
      <c r="T799" s="1269"/>
      <c r="U799" s="1269"/>
      <c r="V799" s="903"/>
      <c r="W799" s="1269"/>
      <c r="X799" s="1269"/>
      <c r="Y799" s="1269"/>
      <c r="Z799" s="1329"/>
      <c r="AA799" s="245"/>
      <c r="AB799" s="245"/>
      <c r="AC799" s="246"/>
      <c r="AD799" s="246"/>
      <c r="AE799" s="246"/>
      <c r="AF799" s="246"/>
      <c r="AG799" s="246"/>
      <c r="AH799" s="246"/>
      <c r="AI799" s="246"/>
      <c r="AJ799" s="246"/>
      <c r="AK799" s="246"/>
      <c r="AL799" s="247"/>
      <c r="AM799" s="247"/>
      <c r="AN799" s="247"/>
      <c r="AO799" s="245"/>
      <c r="AP799" s="245"/>
      <c r="AQ799" s="245"/>
      <c r="AR799" s="245"/>
      <c r="AS799" s="245"/>
      <c r="AT799" s="245"/>
      <c r="AU799" s="245"/>
    </row>
    <row r="800" spans="1:47" ht="11.25" hidden="1" customHeight="1" x14ac:dyDescent="0.25">
      <c r="A800" s="1293"/>
      <c r="B800" s="1269"/>
      <c r="C800" s="1269"/>
      <c r="D800" s="1269"/>
      <c r="E800" s="1272"/>
      <c r="F800" s="1269"/>
      <c r="G800" s="1269"/>
      <c r="H800" s="1269"/>
      <c r="I800" s="903"/>
      <c r="J800" s="1269"/>
      <c r="K800" s="1269"/>
      <c r="L800" s="903"/>
      <c r="M800" s="1269"/>
      <c r="N800" s="1269"/>
      <c r="O800" s="1269"/>
      <c r="P800" s="1269"/>
      <c r="Q800" s="1269"/>
      <c r="R800" s="1269"/>
      <c r="S800" s="1269"/>
      <c r="T800" s="1269"/>
      <c r="U800" s="1269"/>
      <c r="V800" s="903"/>
      <c r="W800" s="1269"/>
      <c r="X800" s="1269"/>
      <c r="Y800" s="1269"/>
      <c r="Z800" s="1329"/>
      <c r="AA800" s="245"/>
      <c r="AB800" s="245"/>
      <c r="AC800" s="246"/>
      <c r="AD800" s="246"/>
      <c r="AE800" s="246"/>
      <c r="AF800" s="246"/>
      <c r="AG800" s="246"/>
      <c r="AH800" s="246"/>
      <c r="AI800" s="246"/>
      <c r="AJ800" s="246"/>
      <c r="AK800" s="246"/>
      <c r="AL800" s="247"/>
      <c r="AM800" s="247"/>
      <c r="AN800" s="247"/>
      <c r="AO800" s="245"/>
      <c r="AP800" s="245"/>
      <c r="AQ800" s="245"/>
      <c r="AR800" s="245"/>
      <c r="AS800" s="245"/>
      <c r="AT800" s="245"/>
      <c r="AU800" s="245"/>
    </row>
    <row r="801" spans="1:47" ht="10.5" hidden="1" customHeight="1" x14ac:dyDescent="0.25">
      <c r="A801" s="1293"/>
      <c r="B801" s="1269"/>
      <c r="C801" s="1316" t="s">
        <v>363</v>
      </c>
      <c r="D801" s="199" t="s">
        <v>288</v>
      </c>
      <c r="E801" s="905"/>
      <c r="F801" s="278"/>
      <c r="G801" s="278"/>
      <c r="H801" s="278"/>
      <c r="I801" s="278"/>
      <c r="J801" s="278"/>
      <c r="K801" s="278"/>
      <c r="L801" s="278"/>
      <c r="M801" s="278"/>
      <c r="N801" s="278"/>
      <c r="O801" s="1272" t="s">
        <v>357</v>
      </c>
      <c r="P801" s="1316" t="s">
        <v>86</v>
      </c>
      <c r="Q801" s="1328" t="s">
        <v>86</v>
      </c>
      <c r="R801" s="1316" t="s">
        <v>86</v>
      </c>
      <c r="S801" s="1328" t="s">
        <v>290</v>
      </c>
      <c r="T801" s="1328">
        <v>7878784</v>
      </c>
      <c r="U801" s="1269"/>
      <c r="V801" s="903"/>
      <c r="W801" s="1328" t="s">
        <v>291</v>
      </c>
      <c r="X801" s="1328" t="s">
        <v>292</v>
      </c>
      <c r="Y801" s="1328" t="s">
        <v>293</v>
      </c>
      <c r="Z801" s="1329">
        <v>7878790</v>
      </c>
      <c r="AA801" s="245"/>
      <c r="AB801" s="245"/>
      <c r="AC801" s="246"/>
      <c r="AD801" s="246"/>
      <c r="AE801" s="246"/>
      <c r="AF801" s="246"/>
      <c r="AG801" s="246"/>
      <c r="AH801" s="246"/>
      <c r="AI801" s="246"/>
      <c r="AJ801" s="246"/>
      <c r="AK801" s="246"/>
      <c r="AL801" s="247"/>
      <c r="AM801" s="247"/>
      <c r="AN801" s="247"/>
      <c r="AO801" s="245"/>
      <c r="AP801" s="245"/>
      <c r="AQ801" s="245"/>
      <c r="AR801" s="245"/>
      <c r="AS801" s="245"/>
      <c r="AT801" s="245"/>
      <c r="AU801" s="245"/>
    </row>
    <row r="802" spans="1:47" ht="21.75" hidden="1" customHeight="1" x14ac:dyDescent="0.25">
      <c r="A802" s="1293"/>
      <c r="B802" s="1269"/>
      <c r="C802" s="1269"/>
      <c r="D802" s="904" t="s">
        <v>296</v>
      </c>
      <c r="E802" s="905"/>
      <c r="F802" s="278"/>
      <c r="G802" s="278"/>
      <c r="H802" s="198"/>
      <c r="I802" s="198"/>
      <c r="J802" s="278"/>
      <c r="K802" s="278"/>
      <c r="L802" s="278"/>
      <c r="M802" s="278"/>
      <c r="N802" s="278"/>
      <c r="O802" s="1269"/>
      <c r="P802" s="1269"/>
      <c r="Q802" s="1269"/>
      <c r="R802" s="1269"/>
      <c r="S802" s="1269"/>
      <c r="T802" s="1269"/>
      <c r="U802" s="1269"/>
      <c r="V802" s="903"/>
      <c r="W802" s="1269"/>
      <c r="X802" s="1269"/>
      <c r="Y802" s="1269"/>
      <c r="Z802" s="1329"/>
      <c r="AA802" s="245"/>
      <c r="AB802" s="245"/>
      <c r="AC802" s="246"/>
      <c r="AD802" s="246"/>
      <c r="AE802" s="246"/>
      <c r="AF802" s="246"/>
      <c r="AG802" s="246"/>
      <c r="AH802" s="246"/>
      <c r="AI802" s="246"/>
      <c r="AJ802" s="246"/>
      <c r="AK802" s="246"/>
      <c r="AL802" s="247"/>
      <c r="AM802" s="247"/>
      <c r="AN802" s="247"/>
      <c r="AO802" s="245"/>
      <c r="AP802" s="245"/>
      <c r="AQ802" s="245"/>
      <c r="AR802" s="245"/>
      <c r="AS802" s="245"/>
      <c r="AT802" s="245"/>
      <c r="AU802" s="245"/>
    </row>
    <row r="803" spans="1:47" ht="20.25" hidden="1" customHeight="1" x14ac:dyDescent="0.25">
      <c r="A803" s="1293"/>
      <c r="B803" s="1269"/>
      <c r="C803" s="1269"/>
      <c r="D803" s="904" t="s">
        <v>299</v>
      </c>
      <c r="E803" s="278"/>
      <c r="F803" s="278"/>
      <c r="G803" s="278"/>
      <c r="H803" s="278"/>
      <c r="I803" s="278"/>
      <c r="J803" s="278"/>
      <c r="K803" s="278"/>
      <c r="L803" s="278"/>
      <c r="M803" s="278"/>
      <c r="N803" s="278"/>
      <c r="O803" s="1269"/>
      <c r="P803" s="1269"/>
      <c r="Q803" s="1269"/>
      <c r="R803" s="1269"/>
      <c r="S803" s="1269"/>
      <c r="T803" s="1269"/>
      <c r="U803" s="1269"/>
      <c r="V803" s="903"/>
      <c r="W803" s="1269"/>
      <c r="X803" s="1269"/>
      <c r="Y803" s="1269"/>
      <c r="Z803" s="1329"/>
      <c r="AA803" s="245"/>
      <c r="AB803" s="245"/>
      <c r="AC803" s="246"/>
      <c r="AD803" s="246"/>
      <c r="AE803" s="246"/>
      <c r="AF803" s="246"/>
      <c r="AG803" s="246"/>
      <c r="AH803" s="246"/>
      <c r="AI803" s="246"/>
      <c r="AJ803" s="246"/>
      <c r="AK803" s="246"/>
      <c r="AL803" s="247"/>
      <c r="AM803" s="247"/>
      <c r="AN803" s="247"/>
      <c r="AO803" s="245"/>
      <c r="AP803" s="245"/>
      <c r="AQ803" s="245"/>
      <c r="AR803" s="245"/>
      <c r="AS803" s="245"/>
      <c r="AT803" s="245"/>
      <c r="AU803" s="245"/>
    </row>
    <row r="804" spans="1:47" ht="10.5" hidden="1" customHeight="1" x14ac:dyDescent="0.25">
      <c r="A804" s="1293"/>
      <c r="B804" s="1269"/>
      <c r="C804" s="1269"/>
      <c r="D804" s="1299" t="s">
        <v>302</v>
      </c>
      <c r="E804" s="1272"/>
      <c r="F804" s="1272"/>
      <c r="G804" s="1272"/>
      <c r="H804" s="1272"/>
      <c r="I804" s="905"/>
      <c r="J804" s="1272"/>
      <c r="K804" s="1272"/>
      <c r="L804" s="905"/>
      <c r="M804" s="1272"/>
      <c r="N804" s="1272"/>
      <c r="O804" s="1269"/>
      <c r="P804" s="1269"/>
      <c r="Q804" s="1269"/>
      <c r="R804" s="1269"/>
      <c r="S804" s="1269"/>
      <c r="T804" s="1269"/>
      <c r="U804" s="1269"/>
      <c r="V804" s="903"/>
      <c r="W804" s="1269"/>
      <c r="X804" s="1269"/>
      <c r="Y804" s="1269"/>
      <c r="Z804" s="1329"/>
      <c r="AA804" s="245"/>
      <c r="AB804" s="245"/>
      <c r="AC804" s="246"/>
      <c r="AD804" s="246"/>
      <c r="AE804" s="246"/>
      <c r="AF804" s="246"/>
      <c r="AG804" s="246"/>
      <c r="AH804" s="246"/>
      <c r="AI804" s="246"/>
      <c r="AJ804" s="246"/>
      <c r="AK804" s="246"/>
      <c r="AL804" s="247"/>
      <c r="AM804" s="247"/>
      <c r="AN804" s="247"/>
      <c r="AO804" s="245"/>
      <c r="AP804" s="245"/>
      <c r="AQ804" s="245"/>
      <c r="AR804" s="245"/>
      <c r="AS804" s="245"/>
      <c r="AT804" s="245"/>
      <c r="AU804" s="245"/>
    </row>
    <row r="805" spans="1:47" ht="12.75" hidden="1" customHeight="1" x14ac:dyDescent="0.25">
      <c r="A805" s="1293"/>
      <c r="B805" s="1269"/>
      <c r="C805" s="1269"/>
      <c r="D805" s="1269"/>
      <c r="E805" s="1272"/>
      <c r="F805" s="1269"/>
      <c r="G805" s="1269"/>
      <c r="H805" s="1269"/>
      <c r="I805" s="903"/>
      <c r="J805" s="1269"/>
      <c r="K805" s="1269"/>
      <c r="L805" s="903"/>
      <c r="M805" s="1269"/>
      <c r="N805" s="1269"/>
      <c r="O805" s="1269"/>
      <c r="P805" s="1269"/>
      <c r="Q805" s="1269"/>
      <c r="R805" s="1269"/>
      <c r="S805" s="1269"/>
      <c r="T805" s="1269"/>
      <c r="U805" s="1269"/>
      <c r="V805" s="903"/>
      <c r="W805" s="1269"/>
      <c r="X805" s="1269"/>
      <c r="Y805" s="1269"/>
      <c r="Z805" s="1329"/>
      <c r="AA805" s="245"/>
      <c r="AB805" s="245"/>
      <c r="AC805" s="246"/>
      <c r="AD805" s="246"/>
      <c r="AE805" s="246"/>
      <c r="AF805" s="246"/>
      <c r="AG805" s="246"/>
      <c r="AH805" s="246"/>
      <c r="AI805" s="246"/>
      <c r="AJ805" s="246"/>
      <c r="AK805" s="246"/>
      <c r="AL805" s="247"/>
      <c r="AM805" s="247"/>
      <c r="AN805" s="247"/>
      <c r="AO805" s="245"/>
      <c r="AP805" s="245"/>
      <c r="AQ805" s="245"/>
      <c r="AR805" s="245"/>
      <c r="AS805" s="245"/>
      <c r="AT805" s="245"/>
      <c r="AU805" s="245"/>
    </row>
    <row r="806" spans="1:47" ht="10.5" hidden="1" customHeight="1" x14ac:dyDescent="0.25">
      <c r="A806" s="1293"/>
      <c r="B806" s="1269"/>
      <c r="C806" s="1269"/>
      <c r="D806" s="1269"/>
      <c r="E806" s="1272"/>
      <c r="F806" s="1269"/>
      <c r="G806" s="1269"/>
      <c r="H806" s="1269"/>
      <c r="I806" s="903"/>
      <c r="J806" s="1269"/>
      <c r="K806" s="1269"/>
      <c r="L806" s="903"/>
      <c r="M806" s="1269"/>
      <c r="N806" s="1269"/>
      <c r="O806" s="1269"/>
      <c r="P806" s="1269"/>
      <c r="Q806" s="1269"/>
      <c r="R806" s="1269"/>
      <c r="S806" s="1269"/>
      <c r="T806" s="1269"/>
      <c r="U806" s="1269"/>
      <c r="V806" s="903"/>
      <c r="W806" s="1269"/>
      <c r="X806" s="1269"/>
      <c r="Y806" s="1269"/>
      <c r="Z806" s="1329"/>
      <c r="AA806" s="245"/>
      <c r="AB806" s="245"/>
      <c r="AC806" s="246"/>
      <c r="AD806" s="246"/>
      <c r="AE806" s="246"/>
      <c r="AF806" s="246"/>
      <c r="AG806" s="246"/>
      <c r="AH806" s="246"/>
      <c r="AI806" s="246"/>
      <c r="AJ806" s="246"/>
      <c r="AK806" s="246"/>
      <c r="AL806" s="247"/>
      <c r="AM806" s="247"/>
      <c r="AN806" s="247"/>
      <c r="AO806" s="245"/>
      <c r="AP806" s="245"/>
      <c r="AQ806" s="245"/>
      <c r="AR806" s="245"/>
      <c r="AS806" s="245"/>
      <c r="AT806" s="245"/>
      <c r="AU806" s="245"/>
    </row>
    <row r="807" spans="1:47" ht="11.25" hidden="1" customHeight="1" x14ac:dyDescent="0.25">
      <c r="A807" s="1293"/>
      <c r="B807" s="1269"/>
      <c r="C807" s="1269"/>
      <c r="D807" s="1269"/>
      <c r="E807" s="1272"/>
      <c r="F807" s="1269"/>
      <c r="G807" s="1269"/>
      <c r="H807" s="1269"/>
      <c r="I807" s="903"/>
      <c r="J807" s="1269"/>
      <c r="K807" s="1269"/>
      <c r="L807" s="903"/>
      <c r="M807" s="1269"/>
      <c r="N807" s="1269"/>
      <c r="O807" s="1269"/>
      <c r="P807" s="1269"/>
      <c r="Q807" s="1269"/>
      <c r="R807" s="1269"/>
      <c r="S807" s="1269"/>
      <c r="T807" s="1269"/>
      <c r="U807" s="1269"/>
      <c r="V807" s="903"/>
      <c r="W807" s="1269"/>
      <c r="X807" s="1269"/>
      <c r="Y807" s="1269"/>
      <c r="Z807" s="1329"/>
      <c r="AA807" s="245"/>
      <c r="AB807" s="245"/>
      <c r="AC807" s="246"/>
      <c r="AD807" s="246"/>
      <c r="AE807" s="246"/>
      <c r="AF807" s="246"/>
      <c r="AG807" s="246"/>
      <c r="AH807" s="246"/>
      <c r="AI807" s="246"/>
      <c r="AJ807" s="246"/>
      <c r="AK807" s="246"/>
      <c r="AL807" s="247"/>
      <c r="AM807" s="247"/>
      <c r="AN807" s="247"/>
      <c r="AO807" s="245"/>
      <c r="AP807" s="245"/>
      <c r="AQ807" s="245"/>
      <c r="AR807" s="245"/>
      <c r="AS807" s="245"/>
      <c r="AT807" s="245"/>
      <c r="AU807" s="245"/>
    </row>
    <row r="808" spans="1:47" ht="10.5" hidden="1" customHeight="1" x14ac:dyDescent="0.25">
      <c r="A808" s="1293"/>
      <c r="B808" s="1269"/>
      <c r="C808" s="1316" t="s">
        <v>363</v>
      </c>
      <c r="D808" s="199" t="s">
        <v>288</v>
      </c>
      <c r="E808" s="905"/>
      <c r="F808" s="278"/>
      <c r="G808" s="278"/>
      <c r="H808" s="278"/>
      <c r="I808" s="278"/>
      <c r="J808" s="278"/>
      <c r="K808" s="278"/>
      <c r="L808" s="278"/>
      <c r="M808" s="278"/>
      <c r="N808" s="278"/>
      <c r="O808" s="1272" t="s">
        <v>377</v>
      </c>
      <c r="P808" s="1316" t="s">
        <v>86</v>
      </c>
      <c r="Q808" s="1328" t="s">
        <v>86</v>
      </c>
      <c r="R808" s="1316" t="s">
        <v>86</v>
      </c>
      <c r="S808" s="1328" t="s">
        <v>290</v>
      </c>
      <c r="T808" s="1328">
        <v>7878784</v>
      </c>
      <c r="U808" s="1269"/>
      <c r="V808" s="903"/>
      <c r="W808" s="1328" t="s">
        <v>291</v>
      </c>
      <c r="X808" s="1328" t="s">
        <v>292</v>
      </c>
      <c r="Y808" s="1328" t="s">
        <v>293</v>
      </c>
      <c r="Z808" s="1329">
        <v>7878791</v>
      </c>
      <c r="AA808" s="245"/>
      <c r="AB808" s="245"/>
      <c r="AC808" s="246"/>
      <c r="AD808" s="246"/>
      <c r="AE808" s="246"/>
      <c r="AF808" s="246"/>
      <c r="AG808" s="246"/>
      <c r="AH808" s="246"/>
      <c r="AI808" s="246"/>
      <c r="AJ808" s="246"/>
      <c r="AK808" s="246"/>
      <c r="AL808" s="247"/>
      <c r="AM808" s="247"/>
      <c r="AN808" s="247"/>
      <c r="AO808" s="245"/>
      <c r="AP808" s="245"/>
      <c r="AQ808" s="245"/>
      <c r="AR808" s="245"/>
      <c r="AS808" s="245"/>
      <c r="AT808" s="245"/>
      <c r="AU808" s="245"/>
    </row>
    <row r="809" spans="1:47" ht="21.75" hidden="1" customHeight="1" x14ac:dyDescent="0.25">
      <c r="A809" s="1293"/>
      <c r="B809" s="1269"/>
      <c r="C809" s="1269"/>
      <c r="D809" s="904" t="s">
        <v>296</v>
      </c>
      <c r="E809" s="905"/>
      <c r="F809" s="278"/>
      <c r="G809" s="278"/>
      <c r="H809" s="198"/>
      <c r="I809" s="198"/>
      <c r="J809" s="278"/>
      <c r="K809" s="278"/>
      <c r="L809" s="278"/>
      <c r="M809" s="278"/>
      <c r="N809" s="278"/>
      <c r="O809" s="1269"/>
      <c r="P809" s="1269"/>
      <c r="Q809" s="1269"/>
      <c r="R809" s="1269"/>
      <c r="S809" s="1269"/>
      <c r="T809" s="1269"/>
      <c r="U809" s="1269"/>
      <c r="V809" s="903"/>
      <c r="W809" s="1269"/>
      <c r="X809" s="1269"/>
      <c r="Y809" s="1269"/>
      <c r="Z809" s="1329"/>
      <c r="AA809" s="245"/>
      <c r="AB809" s="245"/>
      <c r="AC809" s="246"/>
      <c r="AD809" s="246"/>
      <c r="AE809" s="246"/>
      <c r="AF809" s="246"/>
      <c r="AG809" s="246"/>
      <c r="AH809" s="246"/>
      <c r="AI809" s="246"/>
      <c r="AJ809" s="246"/>
      <c r="AK809" s="246"/>
      <c r="AL809" s="247"/>
      <c r="AM809" s="247"/>
      <c r="AN809" s="247"/>
      <c r="AO809" s="245"/>
      <c r="AP809" s="245"/>
      <c r="AQ809" s="245"/>
      <c r="AR809" s="245"/>
      <c r="AS809" s="245"/>
      <c r="AT809" s="245"/>
      <c r="AU809" s="245"/>
    </row>
    <row r="810" spans="1:47" ht="20.25" hidden="1" customHeight="1" x14ac:dyDescent="0.25">
      <c r="A810" s="1293"/>
      <c r="B810" s="1269"/>
      <c r="C810" s="1269"/>
      <c r="D810" s="904" t="s">
        <v>299</v>
      </c>
      <c r="E810" s="278"/>
      <c r="F810" s="278"/>
      <c r="G810" s="278"/>
      <c r="H810" s="278"/>
      <c r="I810" s="278"/>
      <c r="J810" s="278"/>
      <c r="K810" s="278"/>
      <c r="L810" s="278"/>
      <c r="M810" s="278"/>
      <c r="N810" s="278"/>
      <c r="O810" s="1269"/>
      <c r="P810" s="1269"/>
      <c r="Q810" s="1269"/>
      <c r="R810" s="1269"/>
      <c r="S810" s="1269"/>
      <c r="T810" s="1269"/>
      <c r="U810" s="1269"/>
      <c r="V810" s="903"/>
      <c r="W810" s="1269"/>
      <c r="X810" s="1269"/>
      <c r="Y810" s="1269"/>
      <c r="Z810" s="1329"/>
      <c r="AA810" s="245"/>
      <c r="AB810" s="245"/>
      <c r="AC810" s="246"/>
      <c r="AD810" s="246"/>
      <c r="AE810" s="246"/>
      <c r="AF810" s="246"/>
      <c r="AG810" s="246"/>
      <c r="AH810" s="246"/>
      <c r="AI810" s="246"/>
      <c r="AJ810" s="246"/>
      <c r="AK810" s="246"/>
      <c r="AL810" s="247"/>
      <c r="AM810" s="247"/>
      <c r="AN810" s="247"/>
      <c r="AO810" s="245"/>
      <c r="AP810" s="245"/>
      <c r="AQ810" s="245"/>
      <c r="AR810" s="245"/>
      <c r="AS810" s="245"/>
      <c r="AT810" s="245"/>
      <c r="AU810" s="245"/>
    </row>
    <row r="811" spans="1:47" ht="10.5" hidden="1" customHeight="1" x14ac:dyDescent="0.25">
      <c r="A811" s="1293"/>
      <c r="B811" s="1269"/>
      <c r="C811" s="1269"/>
      <c r="D811" s="1299" t="s">
        <v>302</v>
      </c>
      <c r="E811" s="1272"/>
      <c r="F811" s="1272"/>
      <c r="G811" s="1272"/>
      <c r="H811" s="1272"/>
      <c r="I811" s="905"/>
      <c r="J811" s="1272"/>
      <c r="K811" s="1272"/>
      <c r="L811" s="905"/>
      <c r="M811" s="1272"/>
      <c r="N811" s="1272"/>
      <c r="O811" s="1269"/>
      <c r="P811" s="1269"/>
      <c r="Q811" s="1269"/>
      <c r="R811" s="1269"/>
      <c r="S811" s="1269"/>
      <c r="T811" s="1269"/>
      <c r="U811" s="1269"/>
      <c r="V811" s="903"/>
      <c r="W811" s="1269"/>
      <c r="X811" s="1269"/>
      <c r="Y811" s="1269"/>
      <c r="Z811" s="1329"/>
      <c r="AA811" s="245"/>
      <c r="AB811" s="245"/>
      <c r="AC811" s="246"/>
      <c r="AD811" s="246"/>
      <c r="AE811" s="246"/>
      <c r="AF811" s="246"/>
      <c r="AG811" s="246"/>
      <c r="AH811" s="246"/>
      <c r="AI811" s="246"/>
      <c r="AJ811" s="246"/>
      <c r="AK811" s="246"/>
      <c r="AL811" s="247"/>
      <c r="AM811" s="247"/>
      <c r="AN811" s="247"/>
      <c r="AO811" s="245"/>
      <c r="AP811" s="245"/>
      <c r="AQ811" s="245"/>
      <c r="AR811" s="245"/>
      <c r="AS811" s="245"/>
      <c r="AT811" s="245"/>
      <c r="AU811" s="245"/>
    </row>
    <row r="812" spans="1:47" ht="12.75" hidden="1" customHeight="1" x14ac:dyDescent="0.25">
      <c r="A812" s="1293"/>
      <c r="B812" s="1269"/>
      <c r="C812" s="1269"/>
      <c r="D812" s="1269"/>
      <c r="E812" s="1272"/>
      <c r="F812" s="1269"/>
      <c r="G812" s="1269"/>
      <c r="H812" s="1269"/>
      <c r="I812" s="903"/>
      <c r="J812" s="1269"/>
      <c r="K812" s="1269"/>
      <c r="L812" s="903"/>
      <c r="M812" s="1269"/>
      <c r="N812" s="1269"/>
      <c r="O812" s="1269"/>
      <c r="P812" s="1269"/>
      <c r="Q812" s="1269"/>
      <c r="R812" s="1269"/>
      <c r="S812" s="1269"/>
      <c r="T812" s="1269"/>
      <c r="U812" s="1269"/>
      <c r="V812" s="903"/>
      <c r="W812" s="1269"/>
      <c r="X812" s="1269"/>
      <c r="Y812" s="1269"/>
      <c r="Z812" s="1329"/>
      <c r="AA812" s="245"/>
      <c r="AB812" s="245"/>
      <c r="AC812" s="246"/>
      <c r="AD812" s="246"/>
      <c r="AE812" s="246"/>
      <c r="AF812" s="246"/>
      <c r="AG812" s="246"/>
      <c r="AH812" s="246"/>
      <c r="AI812" s="246"/>
      <c r="AJ812" s="246"/>
      <c r="AK812" s="246"/>
      <c r="AL812" s="247"/>
      <c r="AM812" s="247"/>
      <c r="AN812" s="247"/>
      <c r="AO812" s="245"/>
      <c r="AP812" s="245"/>
      <c r="AQ812" s="245"/>
      <c r="AR812" s="245"/>
      <c r="AS812" s="245"/>
      <c r="AT812" s="245"/>
      <c r="AU812" s="245"/>
    </row>
    <row r="813" spans="1:47" ht="10.5" hidden="1" customHeight="1" x14ac:dyDescent="0.25">
      <c r="A813" s="1293"/>
      <c r="B813" s="1269"/>
      <c r="C813" s="1269"/>
      <c r="D813" s="1269"/>
      <c r="E813" s="1272"/>
      <c r="F813" s="1269"/>
      <c r="G813" s="1269"/>
      <c r="H813" s="1269"/>
      <c r="I813" s="903"/>
      <c r="J813" s="1269"/>
      <c r="K813" s="1269"/>
      <c r="L813" s="903"/>
      <c r="M813" s="1269"/>
      <c r="N813" s="1269"/>
      <c r="O813" s="1269"/>
      <c r="P813" s="1269"/>
      <c r="Q813" s="1269"/>
      <c r="R813" s="1269"/>
      <c r="S813" s="1269"/>
      <c r="T813" s="1269"/>
      <c r="U813" s="1269"/>
      <c r="V813" s="903"/>
      <c r="W813" s="1269"/>
      <c r="X813" s="1269"/>
      <c r="Y813" s="1269"/>
      <c r="Z813" s="1329"/>
      <c r="AA813" s="245"/>
      <c r="AB813" s="245"/>
      <c r="AC813" s="246"/>
      <c r="AD813" s="246"/>
      <c r="AE813" s="246"/>
      <c r="AF813" s="246"/>
      <c r="AG813" s="246"/>
      <c r="AH813" s="246"/>
      <c r="AI813" s="246"/>
      <c r="AJ813" s="246"/>
      <c r="AK813" s="246"/>
      <c r="AL813" s="247"/>
      <c r="AM813" s="247"/>
      <c r="AN813" s="247"/>
      <c r="AO813" s="245"/>
      <c r="AP813" s="245"/>
      <c r="AQ813" s="245"/>
      <c r="AR813" s="245"/>
      <c r="AS813" s="245"/>
      <c r="AT813" s="245"/>
      <c r="AU813" s="245"/>
    </row>
    <row r="814" spans="1:47" ht="11.25" hidden="1" customHeight="1" x14ac:dyDescent="0.25">
      <c r="A814" s="1293"/>
      <c r="B814" s="1269"/>
      <c r="C814" s="1269"/>
      <c r="D814" s="1269"/>
      <c r="E814" s="1272"/>
      <c r="F814" s="1269"/>
      <c r="G814" s="1269"/>
      <c r="H814" s="1269"/>
      <c r="I814" s="903"/>
      <c r="J814" s="1269"/>
      <c r="K814" s="1269"/>
      <c r="L814" s="903"/>
      <c r="M814" s="1269"/>
      <c r="N814" s="1269"/>
      <c r="O814" s="1269"/>
      <c r="P814" s="1269"/>
      <c r="Q814" s="1269"/>
      <c r="R814" s="1269"/>
      <c r="S814" s="1269"/>
      <c r="T814" s="1269"/>
      <c r="U814" s="1269"/>
      <c r="V814" s="903"/>
      <c r="W814" s="1269"/>
      <c r="X814" s="1269"/>
      <c r="Y814" s="1269"/>
      <c r="Z814" s="1329"/>
      <c r="AA814" s="245"/>
      <c r="AB814" s="245"/>
      <c r="AC814" s="246"/>
      <c r="AD814" s="246"/>
      <c r="AE814" s="246"/>
      <c r="AF814" s="246"/>
      <c r="AG814" s="246"/>
      <c r="AH814" s="246"/>
      <c r="AI814" s="246"/>
      <c r="AJ814" s="246"/>
      <c r="AK814" s="246"/>
      <c r="AL814" s="247"/>
      <c r="AM814" s="247"/>
      <c r="AN814" s="247"/>
      <c r="AO814" s="245"/>
      <c r="AP814" s="245"/>
      <c r="AQ814" s="245"/>
      <c r="AR814" s="245"/>
      <c r="AS814" s="245"/>
      <c r="AT814" s="245"/>
      <c r="AU814" s="245"/>
    </row>
    <row r="815" spans="1:47" ht="10.5" hidden="1" customHeight="1" x14ac:dyDescent="0.25">
      <c r="A815" s="1293"/>
      <c r="B815" s="1269"/>
      <c r="C815" s="1316" t="s">
        <v>363</v>
      </c>
      <c r="D815" s="199" t="s">
        <v>288</v>
      </c>
      <c r="E815" s="905"/>
      <c r="F815" s="278"/>
      <c r="G815" s="278"/>
      <c r="H815" s="278"/>
      <c r="I815" s="278"/>
      <c r="J815" s="278"/>
      <c r="K815" s="278"/>
      <c r="L815" s="278"/>
      <c r="M815" s="278"/>
      <c r="N815" s="278"/>
      <c r="O815" s="1272" t="s">
        <v>358</v>
      </c>
      <c r="P815" s="1316" t="s">
        <v>86</v>
      </c>
      <c r="Q815" s="1328" t="s">
        <v>86</v>
      </c>
      <c r="R815" s="1316" t="s">
        <v>86</v>
      </c>
      <c r="S815" s="1328" t="s">
        <v>290</v>
      </c>
      <c r="T815" s="1328">
        <v>7878784</v>
      </c>
      <c r="U815" s="1269"/>
      <c r="V815" s="903"/>
      <c r="W815" s="1328" t="s">
        <v>291</v>
      </c>
      <c r="X815" s="1328" t="s">
        <v>292</v>
      </c>
      <c r="Y815" s="1328" t="s">
        <v>293</v>
      </c>
      <c r="Z815" s="1329">
        <v>7878792</v>
      </c>
      <c r="AA815" s="245"/>
      <c r="AB815" s="245"/>
      <c r="AC815" s="246"/>
      <c r="AD815" s="246"/>
      <c r="AE815" s="246"/>
      <c r="AF815" s="246"/>
      <c r="AG815" s="246"/>
      <c r="AH815" s="246"/>
      <c r="AI815" s="246"/>
      <c r="AJ815" s="246"/>
      <c r="AK815" s="246"/>
      <c r="AL815" s="247"/>
      <c r="AM815" s="247"/>
      <c r="AN815" s="247"/>
      <c r="AO815" s="245"/>
      <c r="AP815" s="245"/>
      <c r="AQ815" s="245"/>
      <c r="AR815" s="245"/>
      <c r="AS815" s="245"/>
      <c r="AT815" s="245"/>
      <c r="AU815" s="245"/>
    </row>
    <row r="816" spans="1:47" ht="21.75" hidden="1" customHeight="1" x14ac:dyDescent="0.25">
      <c r="A816" s="1293"/>
      <c r="B816" s="1269"/>
      <c r="C816" s="1269"/>
      <c r="D816" s="904" t="s">
        <v>296</v>
      </c>
      <c r="E816" s="905"/>
      <c r="F816" s="278"/>
      <c r="G816" s="278"/>
      <c r="H816" s="198"/>
      <c r="I816" s="198"/>
      <c r="J816" s="278"/>
      <c r="K816" s="278"/>
      <c r="L816" s="278"/>
      <c r="M816" s="278"/>
      <c r="N816" s="278"/>
      <c r="O816" s="1269"/>
      <c r="P816" s="1269"/>
      <c r="Q816" s="1269"/>
      <c r="R816" s="1269"/>
      <c r="S816" s="1269"/>
      <c r="T816" s="1269"/>
      <c r="U816" s="1269"/>
      <c r="V816" s="903"/>
      <c r="W816" s="1269"/>
      <c r="X816" s="1269"/>
      <c r="Y816" s="1269"/>
      <c r="Z816" s="1329"/>
      <c r="AA816" s="245"/>
      <c r="AB816" s="245"/>
      <c r="AC816" s="246"/>
      <c r="AD816" s="246"/>
      <c r="AE816" s="246"/>
      <c r="AF816" s="246"/>
      <c r="AG816" s="246"/>
      <c r="AH816" s="246"/>
      <c r="AI816" s="246"/>
      <c r="AJ816" s="246"/>
      <c r="AK816" s="246"/>
      <c r="AL816" s="247"/>
      <c r="AM816" s="247"/>
      <c r="AN816" s="247"/>
      <c r="AO816" s="245"/>
      <c r="AP816" s="245"/>
      <c r="AQ816" s="245"/>
      <c r="AR816" s="245"/>
      <c r="AS816" s="245"/>
      <c r="AT816" s="245"/>
      <c r="AU816" s="245"/>
    </row>
    <row r="817" spans="1:47" ht="20.25" hidden="1" customHeight="1" x14ac:dyDescent="0.25">
      <c r="A817" s="1293"/>
      <c r="B817" s="1269"/>
      <c r="C817" s="1269"/>
      <c r="D817" s="904" t="s">
        <v>299</v>
      </c>
      <c r="E817" s="278"/>
      <c r="F817" s="278"/>
      <c r="G817" s="278"/>
      <c r="H817" s="278"/>
      <c r="I817" s="278"/>
      <c r="J817" s="278"/>
      <c r="K817" s="278"/>
      <c r="L817" s="278"/>
      <c r="M817" s="278"/>
      <c r="N817" s="278"/>
      <c r="O817" s="1269"/>
      <c r="P817" s="1269"/>
      <c r="Q817" s="1269"/>
      <c r="R817" s="1269"/>
      <c r="S817" s="1269"/>
      <c r="T817" s="1269"/>
      <c r="U817" s="1269"/>
      <c r="V817" s="903"/>
      <c r="W817" s="1269"/>
      <c r="X817" s="1269"/>
      <c r="Y817" s="1269"/>
      <c r="Z817" s="1329"/>
      <c r="AA817" s="245"/>
      <c r="AB817" s="245"/>
      <c r="AC817" s="246"/>
      <c r="AD817" s="246"/>
      <c r="AE817" s="246"/>
      <c r="AF817" s="246"/>
      <c r="AG817" s="246"/>
      <c r="AH817" s="246"/>
      <c r="AI817" s="246"/>
      <c r="AJ817" s="246"/>
      <c r="AK817" s="246"/>
      <c r="AL817" s="247"/>
      <c r="AM817" s="247"/>
      <c r="AN817" s="247"/>
      <c r="AO817" s="245"/>
      <c r="AP817" s="245"/>
      <c r="AQ817" s="245"/>
      <c r="AR817" s="245"/>
      <c r="AS817" s="245"/>
      <c r="AT817" s="245"/>
      <c r="AU817" s="245"/>
    </row>
    <row r="818" spans="1:47" ht="10.5" hidden="1" customHeight="1" x14ac:dyDescent="0.25">
      <c r="A818" s="1293"/>
      <c r="B818" s="1269"/>
      <c r="C818" s="1269"/>
      <c r="D818" s="1299" t="s">
        <v>302</v>
      </c>
      <c r="E818" s="1272"/>
      <c r="F818" s="1272"/>
      <c r="G818" s="1272"/>
      <c r="H818" s="1272"/>
      <c r="I818" s="905"/>
      <c r="J818" s="1272"/>
      <c r="K818" s="1272"/>
      <c r="L818" s="905"/>
      <c r="M818" s="1272"/>
      <c r="N818" s="1272"/>
      <c r="O818" s="1269"/>
      <c r="P818" s="1269"/>
      <c r="Q818" s="1269"/>
      <c r="R818" s="1269"/>
      <c r="S818" s="1269"/>
      <c r="T818" s="1269"/>
      <c r="U818" s="1269"/>
      <c r="V818" s="903"/>
      <c r="W818" s="1269"/>
      <c r="X818" s="1269"/>
      <c r="Y818" s="1269"/>
      <c r="Z818" s="1329"/>
      <c r="AA818" s="245"/>
      <c r="AB818" s="245"/>
      <c r="AC818" s="246"/>
      <c r="AD818" s="246"/>
      <c r="AE818" s="246"/>
      <c r="AF818" s="246"/>
      <c r="AG818" s="246"/>
      <c r="AH818" s="246"/>
      <c r="AI818" s="246"/>
      <c r="AJ818" s="246"/>
      <c r="AK818" s="246"/>
      <c r="AL818" s="247"/>
      <c r="AM818" s="247"/>
      <c r="AN818" s="247"/>
      <c r="AO818" s="245"/>
      <c r="AP818" s="245"/>
      <c r="AQ818" s="245"/>
      <c r="AR818" s="245"/>
      <c r="AS818" s="245"/>
      <c r="AT818" s="245"/>
      <c r="AU818" s="245"/>
    </row>
    <row r="819" spans="1:47" ht="12.75" hidden="1" customHeight="1" x14ac:dyDescent="0.25">
      <c r="A819" s="1293"/>
      <c r="B819" s="1269"/>
      <c r="C819" s="1269"/>
      <c r="D819" s="1269"/>
      <c r="E819" s="1272"/>
      <c r="F819" s="1269"/>
      <c r="G819" s="1269"/>
      <c r="H819" s="1269"/>
      <c r="I819" s="903"/>
      <c r="J819" s="1269"/>
      <c r="K819" s="1269"/>
      <c r="L819" s="903"/>
      <c r="M819" s="1269"/>
      <c r="N819" s="1269"/>
      <c r="O819" s="1269"/>
      <c r="P819" s="1269"/>
      <c r="Q819" s="1269"/>
      <c r="R819" s="1269"/>
      <c r="S819" s="1269"/>
      <c r="T819" s="1269"/>
      <c r="U819" s="1269"/>
      <c r="V819" s="903"/>
      <c r="W819" s="1269"/>
      <c r="X819" s="1269"/>
      <c r="Y819" s="1269"/>
      <c r="Z819" s="1329"/>
      <c r="AA819" s="245"/>
      <c r="AB819" s="245"/>
      <c r="AC819" s="246"/>
      <c r="AD819" s="246"/>
      <c r="AE819" s="246"/>
      <c r="AF819" s="246"/>
      <c r="AG819" s="246"/>
      <c r="AH819" s="246"/>
      <c r="AI819" s="246"/>
      <c r="AJ819" s="246"/>
      <c r="AK819" s="246"/>
      <c r="AL819" s="247"/>
      <c r="AM819" s="247"/>
      <c r="AN819" s="247"/>
      <c r="AO819" s="245"/>
      <c r="AP819" s="245"/>
      <c r="AQ819" s="245"/>
      <c r="AR819" s="245"/>
      <c r="AS819" s="245"/>
      <c r="AT819" s="245"/>
      <c r="AU819" s="245"/>
    </row>
    <row r="820" spans="1:47" ht="10.5" hidden="1" customHeight="1" x14ac:dyDescent="0.25">
      <c r="A820" s="1293"/>
      <c r="B820" s="1269"/>
      <c r="C820" s="1269"/>
      <c r="D820" s="1269"/>
      <c r="E820" s="1272"/>
      <c r="F820" s="1269"/>
      <c r="G820" s="1269"/>
      <c r="H820" s="1269"/>
      <c r="I820" s="903"/>
      <c r="J820" s="1269"/>
      <c r="K820" s="1269"/>
      <c r="L820" s="903"/>
      <c r="M820" s="1269"/>
      <c r="N820" s="1269"/>
      <c r="O820" s="1269"/>
      <c r="P820" s="1269"/>
      <c r="Q820" s="1269"/>
      <c r="R820" s="1269"/>
      <c r="S820" s="1269"/>
      <c r="T820" s="1269"/>
      <c r="U820" s="1269"/>
      <c r="V820" s="903"/>
      <c r="W820" s="1269"/>
      <c r="X820" s="1269"/>
      <c r="Y820" s="1269"/>
      <c r="Z820" s="1329"/>
      <c r="AA820" s="245"/>
      <c r="AB820" s="245"/>
      <c r="AC820" s="246"/>
      <c r="AD820" s="246"/>
      <c r="AE820" s="246"/>
      <c r="AF820" s="246"/>
      <c r="AG820" s="246"/>
      <c r="AH820" s="246"/>
      <c r="AI820" s="246"/>
      <c r="AJ820" s="246"/>
      <c r="AK820" s="246"/>
      <c r="AL820" s="247"/>
      <c r="AM820" s="247"/>
      <c r="AN820" s="247"/>
      <c r="AO820" s="245"/>
      <c r="AP820" s="245"/>
      <c r="AQ820" s="245"/>
      <c r="AR820" s="245"/>
      <c r="AS820" s="245"/>
      <c r="AT820" s="245"/>
      <c r="AU820" s="245"/>
    </row>
    <row r="821" spans="1:47" ht="11.25" hidden="1" customHeight="1" x14ac:dyDescent="0.25">
      <c r="A821" s="1293"/>
      <c r="B821" s="1269"/>
      <c r="C821" s="1269"/>
      <c r="D821" s="1269"/>
      <c r="E821" s="1272"/>
      <c r="F821" s="1269"/>
      <c r="G821" s="1269"/>
      <c r="H821" s="1269"/>
      <c r="I821" s="903"/>
      <c r="J821" s="1269"/>
      <c r="K821" s="1269"/>
      <c r="L821" s="903"/>
      <c r="M821" s="1269"/>
      <c r="N821" s="1269"/>
      <c r="O821" s="1269"/>
      <c r="P821" s="1269"/>
      <c r="Q821" s="1269"/>
      <c r="R821" s="1269"/>
      <c r="S821" s="1269"/>
      <c r="T821" s="1269"/>
      <c r="U821" s="1269"/>
      <c r="V821" s="903"/>
      <c r="W821" s="1269"/>
      <c r="X821" s="1269"/>
      <c r="Y821" s="1269"/>
      <c r="Z821" s="1329"/>
      <c r="AA821" s="245"/>
      <c r="AB821" s="245"/>
      <c r="AC821" s="246"/>
      <c r="AD821" s="246"/>
      <c r="AE821" s="246"/>
      <c r="AF821" s="246"/>
      <c r="AG821" s="246"/>
      <c r="AH821" s="246"/>
      <c r="AI821" s="246"/>
      <c r="AJ821" s="246"/>
      <c r="AK821" s="246"/>
      <c r="AL821" s="247"/>
      <c r="AM821" s="247"/>
      <c r="AN821" s="247"/>
      <c r="AO821" s="245"/>
      <c r="AP821" s="245"/>
      <c r="AQ821" s="245"/>
      <c r="AR821" s="245"/>
      <c r="AS821" s="245"/>
      <c r="AT821" s="245"/>
      <c r="AU821" s="245"/>
    </row>
    <row r="822" spans="1:47" ht="10.5" hidden="1" customHeight="1" x14ac:dyDescent="0.25">
      <c r="A822" s="1293"/>
      <c r="B822" s="1269"/>
      <c r="C822" s="1316" t="s">
        <v>363</v>
      </c>
      <c r="D822" s="199" t="s">
        <v>288</v>
      </c>
      <c r="E822" s="905"/>
      <c r="F822" s="278"/>
      <c r="G822" s="278"/>
      <c r="H822" s="278"/>
      <c r="I822" s="278"/>
      <c r="J822" s="278"/>
      <c r="K822" s="278"/>
      <c r="L822" s="278"/>
      <c r="M822" s="278"/>
      <c r="N822" s="278"/>
      <c r="O822" s="1272" t="s">
        <v>364</v>
      </c>
      <c r="P822" s="1316" t="s">
        <v>86</v>
      </c>
      <c r="Q822" s="1328" t="s">
        <v>86</v>
      </c>
      <c r="R822" s="1316" t="s">
        <v>86</v>
      </c>
      <c r="S822" s="1328" t="s">
        <v>290</v>
      </c>
      <c r="T822" s="1328">
        <v>7878784</v>
      </c>
      <c r="U822" s="1269"/>
      <c r="V822" s="903"/>
      <c r="W822" s="1328" t="s">
        <v>291</v>
      </c>
      <c r="X822" s="1328" t="s">
        <v>292</v>
      </c>
      <c r="Y822" s="1328" t="s">
        <v>293</v>
      </c>
      <c r="Z822" s="1329">
        <v>7878793</v>
      </c>
      <c r="AA822" s="245"/>
      <c r="AB822" s="245"/>
      <c r="AC822" s="246"/>
      <c r="AD822" s="246"/>
      <c r="AE822" s="246"/>
      <c r="AF822" s="246"/>
      <c r="AG822" s="246"/>
      <c r="AH822" s="246"/>
      <c r="AI822" s="246"/>
      <c r="AJ822" s="246"/>
      <c r="AK822" s="246"/>
      <c r="AL822" s="247"/>
      <c r="AM822" s="247"/>
      <c r="AN822" s="247"/>
      <c r="AO822" s="245"/>
      <c r="AP822" s="245"/>
      <c r="AQ822" s="245"/>
      <c r="AR822" s="245"/>
      <c r="AS822" s="245"/>
      <c r="AT822" s="245"/>
      <c r="AU822" s="245"/>
    </row>
    <row r="823" spans="1:47" ht="21.75" hidden="1" customHeight="1" x14ac:dyDescent="0.25">
      <c r="A823" s="1293"/>
      <c r="B823" s="1269"/>
      <c r="C823" s="1269"/>
      <c r="D823" s="904" t="s">
        <v>296</v>
      </c>
      <c r="E823" s="905"/>
      <c r="F823" s="278"/>
      <c r="G823" s="278"/>
      <c r="H823" s="198"/>
      <c r="I823" s="198"/>
      <c r="J823" s="278"/>
      <c r="K823" s="278"/>
      <c r="L823" s="278"/>
      <c r="M823" s="278"/>
      <c r="N823" s="278"/>
      <c r="O823" s="1269"/>
      <c r="P823" s="1269"/>
      <c r="Q823" s="1269"/>
      <c r="R823" s="1269"/>
      <c r="S823" s="1269"/>
      <c r="T823" s="1269"/>
      <c r="U823" s="1269"/>
      <c r="V823" s="903"/>
      <c r="W823" s="1269"/>
      <c r="X823" s="1269"/>
      <c r="Y823" s="1269"/>
      <c r="Z823" s="1329"/>
      <c r="AA823" s="245"/>
      <c r="AB823" s="245"/>
      <c r="AC823" s="246"/>
      <c r="AD823" s="246"/>
      <c r="AE823" s="246"/>
      <c r="AF823" s="246"/>
      <c r="AG823" s="246"/>
      <c r="AH823" s="246"/>
      <c r="AI823" s="246"/>
      <c r="AJ823" s="246"/>
      <c r="AK823" s="246"/>
      <c r="AL823" s="247"/>
      <c r="AM823" s="247"/>
      <c r="AN823" s="247"/>
      <c r="AO823" s="245"/>
      <c r="AP823" s="245"/>
      <c r="AQ823" s="245"/>
      <c r="AR823" s="245"/>
      <c r="AS823" s="245"/>
      <c r="AT823" s="245"/>
      <c r="AU823" s="245"/>
    </row>
    <row r="824" spans="1:47" ht="20.25" hidden="1" customHeight="1" x14ac:dyDescent="0.25">
      <c r="A824" s="1293"/>
      <c r="B824" s="1269"/>
      <c r="C824" s="1269"/>
      <c r="D824" s="904" t="s">
        <v>299</v>
      </c>
      <c r="E824" s="278"/>
      <c r="F824" s="278"/>
      <c r="G824" s="278"/>
      <c r="H824" s="278"/>
      <c r="I824" s="278"/>
      <c r="J824" s="278"/>
      <c r="K824" s="278"/>
      <c r="L824" s="278"/>
      <c r="M824" s="278"/>
      <c r="N824" s="278"/>
      <c r="O824" s="1269"/>
      <c r="P824" s="1269"/>
      <c r="Q824" s="1269"/>
      <c r="R824" s="1269"/>
      <c r="S824" s="1269"/>
      <c r="T824" s="1269"/>
      <c r="U824" s="1269"/>
      <c r="V824" s="903"/>
      <c r="W824" s="1269"/>
      <c r="X824" s="1269"/>
      <c r="Y824" s="1269"/>
      <c r="Z824" s="1329"/>
      <c r="AA824" s="245"/>
      <c r="AB824" s="245"/>
      <c r="AC824" s="246"/>
      <c r="AD824" s="246"/>
      <c r="AE824" s="246"/>
      <c r="AF824" s="246"/>
      <c r="AG824" s="246"/>
      <c r="AH824" s="246"/>
      <c r="AI824" s="246"/>
      <c r="AJ824" s="246"/>
      <c r="AK824" s="246"/>
      <c r="AL824" s="247"/>
      <c r="AM824" s="247"/>
      <c r="AN824" s="247"/>
      <c r="AO824" s="245"/>
      <c r="AP824" s="245"/>
      <c r="AQ824" s="245"/>
      <c r="AR824" s="245"/>
      <c r="AS824" s="245"/>
      <c r="AT824" s="245"/>
      <c r="AU824" s="245"/>
    </row>
    <row r="825" spans="1:47" ht="10.5" hidden="1" customHeight="1" x14ac:dyDescent="0.25">
      <c r="A825" s="1293"/>
      <c r="B825" s="1269"/>
      <c r="C825" s="1269"/>
      <c r="D825" s="1299" t="s">
        <v>302</v>
      </c>
      <c r="E825" s="1272"/>
      <c r="F825" s="1272"/>
      <c r="G825" s="1272"/>
      <c r="H825" s="1272"/>
      <c r="I825" s="905"/>
      <c r="J825" s="1272"/>
      <c r="K825" s="1272"/>
      <c r="L825" s="905"/>
      <c r="M825" s="1272"/>
      <c r="N825" s="1272"/>
      <c r="O825" s="1269"/>
      <c r="P825" s="1269"/>
      <c r="Q825" s="1269"/>
      <c r="R825" s="1269"/>
      <c r="S825" s="1269"/>
      <c r="T825" s="1269"/>
      <c r="U825" s="1269"/>
      <c r="V825" s="903"/>
      <c r="W825" s="1269"/>
      <c r="X825" s="1269"/>
      <c r="Y825" s="1269"/>
      <c r="Z825" s="1329"/>
      <c r="AA825" s="245"/>
      <c r="AB825" s="245"/>
      <c r="AC825" s="246"/>
      <c r="AD825" s="246"/>
      <c r="AE825" s="246"/>
      <c r="AF825" s="246"/>
      <c r="AG825" s="246"/>
      <c r="AH825" s="246"/>
      <c r="AI825" s="246"/>
      <c r="AJ825" s="246"/>
      <c r="AK825" s="246"/>
      <c r="AL825" s="247"/>
      <c r="AM825" s="247"/>
      <c r="AN825" s="247"/>
      <c r="AO825" s="245"/>
      <c r="AP825" s="245"/>
      <c r="AQ825" s="245"/>
      <c r="AR825" s="245"/>
      <c r="AS825" s="245"/>
      <c r="AT825" s="245"/>
      <c r="AU825" s="245"/>
    </row>
    <row r="826" spans="1:47" ht="12.75" hidden="1" customHeight="1" x14ac:dyDescent="0.25">
      <c r="A826" s="1293"/>
      <c r="B826" s="1269"/>
      <c r="C826" s="1269"/>
      <c r="D826" s="1269"/>
      <c r="E826" s="1272"/>
      <c r="F826" s="1269"/>
      <c r="G826" s="1269"/>
      <c r="H826" s="1269"/>
      <c r="I826" s="903"/>
      <c r="J826" s="1269"/>
      <c r="K826" s="1269"/>
      <c r="L826" s="903"/>
      <c r="M826" s="1269"/>
      <c r="N826" s="1269"/>
      <c r="O826" s="1269"/>
      <c r="P826" s="1269"/>
      <c r="Q826" s="1269"/>
      <c r="R826" s="1269"/>
      <c r="S826" s="1269"/>
      <c r="T826" s="1269"/>
      <c r="U826" s="1269"/>
      <c r="V826" s="903"/>
      <c r="W826" s="1269"/>
      <c r="X826" s="1269"/>
      <c r="Y826" s="1269"/>
      <c r="Z826" s="1329"/>
      <c r="AA826" s="245"/>
      <c r="AB826" s="245"/>
      <c r="AC826" s="246"/>
      <c r="AD826" s="246"/>
      <c r="AE826" s="246"/>
      <c r="AF826" s="246"/>
      <c r="AG826" s="246"/>
      <c r="AH826" s="246"/>
      <c r="AI826" s="246"/>
      <c r="AJ826" s="246"/>
      <c r="AK826" s="246"/>
      <c r="AL826" s="247"/>
      <c r="AM826" s="247"/>
      <c r="AN826" s="247"/>
      <c r="AO826" s="245"/>
      <c r="AP826" s="245"/>
      <c r="AQ826" s="245"/>
      <c r="AR826" s="245"/>
      <c r="AS826" s="245"/>
      <c r="AT826" s="245"/>
      <c r="AU826" s="245"/>
    </row>
    <row r="827" spans="1:47" ht="10.5" hidden="1" customHeight="1" x14ac:dyDescent="0.25">
      <c r="A827" s="1293"/>
      <c r="B827" s="1269"/>
      <c r="C827" s="1269"/>
      <c r="D827" s="1269"/>
      <c r="E827" s="1272"/>
      <c r="F827" s="1269"/>
      <c r="G827" s="1269"/>
      <c r="H827" s="1269"/>
      <c r="I827" s="903"/>
      <c r="J827" s="1269"/>
      <c r="K827" s="1269"/>
      <c r="L827" s="903"/>
      <c r="M827" s="1269"/>
      <c r="N827" s="1269"/>
      <c r="O827" s="1269"/>
      <c r="P827" s="1269"/>
      <c r="Q827" s="1269"/>
      <c r="R827" s="1269"/>
      <c r="S827" s="1269"/>
      <c r="T827" s="1269"/>
      <c r="U827" s="1269"/>
      <c r="V827" s="903"/>
      <c r="W827" s="1269"/>
      <c r="X827" s="1269"/>
      <c r="Y827" s="1269"/>
      <c r="Z827" s="1329"/>
      <c r="AA827" s="245"/>
      <c r="AB827" s="245"/>
      <c r="AC827" s="246"/>
      <c r="AD827" s="246"/>
      <c r="AE827" s="246"/>
      <c r="AF827" s="246"/>
      <c r="AG827" s="246"/>
      <c r="AH827" s="246"/>
      <c r="AI827" s="246"/>
      <c r="AJ827" s="246"/>
      <c r="AK827" s="246"/>
      <c r="AL827" s="247"/>
      <c r="AM827" s="247"/>
      <c r="AN827" s="247"/>
      <c r="AO827" s="245"/>
      <c r="AP827" s="245"/>
      <c r="AQ827" s="245"/>
      <c r="AR827" s="245"/>
      <c r="AS827" s="245"/>
      <c r="AT827" s="245"/>
      <c r="AU827" s="245"/>
    </row>
    <row r="828" spans="1:47" ht="11.25" hidden="1" customHeight="1" x14ac:dyDescent="0.25">
      <c r="A828" s="1293"/>
      <c r="B828" s="1269"/>
      <c r="C828" s="1269"/>
      <c r="D828" s="1269"/>
      <c r="E828" s="1272"/>
      <c r="F828" s="1269"/>
      <c r="G828" s="1269"/>
      <c r="H828" s="1269"/>
      <c r="I828" s="903"/>
      <c r="J828" s="1269"/>
      <c r="K828" s="1269"/>
      <c r="L828" s="903"/>
      <c r="M828" s="1269"/>
      <c r="N828" s="1269"/>
      <c r="O828" s="1269"/>
      <c r="P828" s="1269"/>
      <c r="Q828" s="1269"/>
      <c r="R828" s="1269"/>
      <c r="S828" s="1269"/>
      <c r="T828" s="1269"/>
      <c r="U828" s="1269"/>
      <c r="V828" s="903"/>
      <c r="W828" s="1269"/>
      <c r="X828" s="1269"/>
      <c r="Y828" s="1269"/>
      <c r="Z828" s="1329"/>
      <c r="AA828" s="245"/>
      <c r="AB828" s="245"/>
      <c r="AC828" s="246"/>
      <c r="AD828" s="246"/>
      <c r="AE828" s="246"/>
      <c r="AF828" s="246"/>
      <c r="AG828" s="246"/>
      <c r="AH828" s="246"/>
      <c r="AI828" s="246"/>
      <c r="AJ828" s="246"/>
      <c r="AK828" s="246"/>
      <c r="AL828" s="247"/>
      <c r="AM828" s="247"/>
      <c r="AN828" s="247"/>
      <c r="AO828" s="245"/>
      <c r="AP828" s="245"/>
      <c r="AQ828" s="245"/>
      <c r="AR828" s="245"/>
      <c r="AS828" s="245"/>
      <c r="AT828" s="245"/>
      <c r="AU828" s="245"/>
    </row>
    <row r="829" spans="1:47" ht="10.5" hidden="1" customHeight="1" x14ac:dyDescent="0.25">
      <c r="A829" s="1293"/>
      <c r="B829" s="1269"/>
      <c r="C829" s="1316" t="s">
        <v>363</v>
      </c>
      <c r="D829" s="199" t="s">
        <v>288</v>
      </c>
      <c r="E829" s="905"/>
      <c r="F829" s="278"/>
      <c r="G829" s="278"/>
      <c r="H829" s="278"/>
      <c r="I829" s="278"/>
      <c r="J829" s="278"/>
      <c r="K829" s="278"/>
      <c r="L829" s="278"/>
      <c r="M829" s="278"/>
      <c r="N829" s="278"/>
      <c r="O829" s="1272" t="s">
        <v>365</v>
      </c>
      <c r="P829" s="1316" t="s">
        <v>86</v>
      </c>
      <c r="Q829" s="1328" t="s">
        <v>86</v>
      </c>
      <c r="R829" s="1316" t="s">
        <v>86</v>
      </c>
      <c r="S829" s="1328" t="s">
        <v>290</v>
      </c>
      <c r="T829" s="1328">
        <v>7878784</v>
      </c>
      <c r="U829" s="1269"/>
      <c r="V829" s="903"/>
      <c r="W829" s="1328" t="s">
        <v>291</v>
      </c>
      <c r="X829" s="1328" t="s">
        <v>292</v>
      </c>
      <c r="Y829" s="1328" t="s">
        <v>293</v>
      </c>
      <c r="Z829" s="1329">
        <v>7878794</v>
      </c>
      <c r="AA829" s="245"/>
      <c r="AB829" s="245"/>
      <c r="AC829" s="246"/>
      <c r="AD829" s="246"/>
      <c r="AE829" s="246"/>
      <c r="AF829" s="246"/>
      <c r="AG829" s="246"/>
      <c r="AH829" s="246"/>
      <c r="AI829" s="246"/>
      <c r="AJ829" s="246"/>
      <c r="AK829" s="246"/>
      <c r="AL829" s="247"/>
      <c r="AM829" s="247"/>
      <c r="AN829" s="247"/>
      <c r="AO829" s="245"/>
      <c r="AP829" s="245"/>
      <c r="AQ829" s="245"/>
      <c r="AR829" s="245"/>
      <c r="AS829" s="245"/>
      <c r="AT829" s="245"/>
      <c r="AU829" s="245"/>
    </row>
    <row r="830" spans="1:47" ht="21.75" hidden="1" customHeight="1" x14ac:dyDescent="0.25">
      <c r="A830" s="1293"/>
      <c r="B830" s="1269"/>
      <c r="C830" s="1269"/>
      <c r="D830" s="904" t="s">
        <v>296</v>
      </c>
      <c r="E830" s="905"/>
      <c r="F830" s="278"/>
      <c r="G830" s="278"/>
      <c r="H830" s="198"/>
      <c r="I830" s="198"/>
      <c r="J830" s="278"/>
      <c r="K830" s="278"/>
      <c r="L830" s="278"/>
      <c r="M830" s="278"/>
      <c r="N830" s="278"/>
      <c r="O830" s="1269"/>
      <c r="P830" s="1269"/>
      <c r="Q830" s="1269"/>
      <c r="R830" s="1269"/>
      <c r="S830" s="1269"/>
      <c r="T830" s="1269"/>
      <c r="U830" s="1269"/>
      <c r="V830" s="903"/>
      <c r="W830" s="1269"/>
      <c r="X830" s="1269"/>
      <c r="Y830" s="1269"/>
      <c r="Z830" s="1329"/>
      <c r="AA830" s="245"/>
      <c r="AB830" s="245"/>
      <c r="AC830" s="246"/>
      <c r="AD830" s="246"/>
      <c r="AE830" s="246"/>
      <c r="AF830" s="246"/>
      <c r="AG830" s="246"/>
      <c r="AH830" s="246"/>
      <c r="AI830" s="246"/>
      <c r="AJ830" s="246"/>
      <c r="AK830" s="246"/>
      <c r="AL830" s="247"/>
      <c r="AM830" s="247"/>
      <c r="AN830" s="247"/>
      <c r="AO830" s="245"/>
      <c r="AP830" s="245"/>
      <c r="AQ830" s="245"/>
      <c r="AR830" s="245"/>
      <c r="AS830" s="245"/>
      <c r="AT830" s="245"/>
      <c r="AU830" s="245"/>
    </row>
    <row r="831" spans="1:47" ht="20.25" hidden="1" customHeight="1" x14ac:dyDescent="0.25">
      <c r="A831" s="1293"/>
      <c r="B831" s="1269"/>
      <c r="C831" s="1269"/>
      <c r="D831" s="904" t="s">
        <v>299</v>
      </c>
      <c r="E831" s="278"/>
      <c r="F831" s="278"/>
      <c r="G831" s="278"/>
      <c r="H831" s="278"/>
      <c r="I831" s="278"/>
      <c r="J831" s="278"/>
      <c r="K831" s="278"/>
      <c r="L831" s="278"/>
      <c r="M831" s="278"/>
      <c r="N831" s="278"/>
      <c r="O831" s="1269"/>
      <c r="P831" s="1269"/>
      <c r="Q831" s="1269"/>
      <c r="R831" s="1269"/>
      <c r="S831" s="1269"/>
      <c r="T831" s="1269"/>
      <c r="U831" s="1269"/>
      <c r="V831" s="903"/>
      <c r="W831" s="1269"/>
      <c r="X831" s="1269"/>
      <c r="Y831" s="1269"/>
      <c r="Z831" s="1329"/>
      <c r="AA831" s="245"/>
      <c r="AB831" s="245"/>
      <c r="AC831" s="246"/>
      <c r="AD831" s="246"/>
      <c r="AE831" s="246"/>
      <c r="AF831" s="246"/>
      <c r="AG831" s="246"/>
      <c r="AH831" s="246"/>
      <c r="AI831" s="246"/>
      <c r="AJ831" s="246"/>
      <c r="AK831" s="246"/>
      <c r="AL831" s="247"/>
      <c r="AM831" s="247"/>
      <c r="AN831" s="247"/>
      <c r="AO831" s="245"/>
      <c r="AP831" s="245"/>
      <c r="AQ831" s="245"/>
      <c r="AR831" s="245"/>
      <c r="AS831" s="245"/>
      <c r="AT831" s="245"/>
      <c r="AU831" s="245"/>
    </row>
    <row r="832" spans="1:47" ht="10.5" hidden="1" customHeight="1" x14ac:dyDescent="0.25">
      <c r="A832" s="1293"/>
      <c r="B832" s="1269"/>
      <c r="C832" s="1269"/>
      <c r="D832" s="1299" t="s">
        <v>302</v>
      </c>
      <c r="E832" s="1272"/>
      <c r="F832" s="1272"/>
      <c r="G832" s="1272"/>
      <c r="H832" s="1272"/>
      <c r="I832" s="905"/>
      <c r="J832" s="1272"/>
      <c r="K832" s="1272"/>
      <c r="L832" s="905"/>
      <c r="M832" s="1272"/>
      <c r="N832" s="1272"/>
      <c r="O832" s="1269"/>
      <c r="P832" s="1269"/>
      <c r="Q832" s="1269"/>
      <c r="R832" s="1269"/>
      <c r="S832" s="1269"/>
      <c r="T832" s="1269"/>
      <c r="U832" s="1269"/>
      <c r="V832" s="903"/>
      <c r="W832" s="1269"/>
      <c r="X832" s="1269"/>
      <c r="Y832" s="1269"/>
      <c r="Z832" s="1329"/>
      <c r="AA832" s="245"/>
      <c r="AB832" s="245"/>
      <c r="AC832" s="246"/>
      <c r="AD832" s="246"/>
      <c r="AE832" s="246"/>
      <c r="AF832" s="246"/>
      <c r="AG832" s="246"/>
      <c r="AH832" s="246"/>
      <c r="AI832" s="246"/>
      <c r="AJ832" s="246"/>
      <c r="AK832" s="246"/>
      <c r="AL832" s="247"/>
      <c r="AM832" s="247"/>
      <c r="AN832" s="247"/>
      <c r="AO832" s="245"/>
      <c r="AP832" s="245"/>
      <c r="AQ832" s="245"/>
      <c r="AR832" s="245"/>
      <c r="AS832" s="245"/>
      <c r="AT832" s="245"/>
      <c r="AU832" s="245"/>
    </row>
    <row r="833" spans="1:47" ht="12.75" hidden="1" customHeight="1" x14ac:dyDescent="0.25">
      <c r="A833" s="1293"/>
      <c r="B833" s="1269"/>
      <c r="C833" s="1269"/>
      <c r="D833" s="1269"/>
      <c r="E833" s="1272"/>
      <c r="F833" s="1269"/>
      <c r="G833" s="1269"/>
      <c r="H833" s="1269"/>
      <c r="I833" s="903"/>
      <c r="J833" s="1269"/>
      <c r="K833" s="1269"/>
      <c r="L833" s="903"/>
      <c r="M833" s="1269"/>
      <c r="N833" s="1269"/>
      <c r="O833" s="1269"/>
      <c r="P833" s="1269"/>
      <c r="Q833" s="1269"/>
      <c r="R833" s="1269"/>
      <c r="S833" s="1269"/>
      <c r="T833" s="1269"/>
      <c r="U833" s="1269"/>
      <c r="V833" s="903"/>
      <c r="W833" s="1269"/>
      <c r="X833" s="1269"/>
      <c r="Y833" s="1269"/>
      <c r="Z833" s="1329"/>
      <c r="AA833" s="245"/>
      <c r="AB833" s="245"/>
      <c r="AC833" s="246"/>
      <c r="AD833" s="246"/>
      <c r="AE833" s="246"/>
      <c r="AF833" s="246"/>
      <c r="AG833" s="246"/>
      <c r="AH833" s="246"/>
      <c r="AI833" s="246"/>
      <c r="AJ833" s="246"/>
      <c r="AK833" s="246"/>
      <c r="AL833" s="247"/>
      <c r="AM833" s="247"/>
      <c r="AN833" s="247"/>
      <c r="AO833" s="245"/>
      <c r="AP833" s="245"/>
      <c r="AQ833" s="245"/>
      <c r="AR833" s="245"/>
      <c r="AS833" s="245"/>
      <c r="AT833" s="245"/>
      <c r="AU833" s="245"/>
    </row>
    <row r="834" spans="1:47" ht="10.5" hidden="1" customHeight="1" x14ac:dyDescent="0.25">
      <c r="A834" s="1293"/>
      <c r="B834" s="1269"/>
      <c r="C834" s="1269"/>
      <c r="D834" s="1269"/>
      <c r="E834" s="1272"/>
      <c r="F834" s="1269"/>
      <c r="G834" s="1269"/>
      <c r="H834" s="1269"/>
      <c r="I834" s="903"/>
      <c r="J834" s="1269"/>
      <c r="K834" s="1269"/>
      <c r="L834" s="903"/>
      <c r="M834" s="1269"/>
      <c r="N834" s="1269"/>
      <c r="O834" s="1269"/>
      <c r="P834" s="1269"/>
      <c r="Q834" s="1269"/>
      <c r="R834" s="1269"/>
      <c r="S834" s="1269"/>
      <c r="T834" s="1269"/>
      <c r="U834" s="1269"/>
      <c r="V834" s="903"/>
      <c r="W834" s="1269"/>
      <c r="X834" s="1269"/>
      <c r="Y834" s="1269"/>
      <c r="Z834" s="1329"/>
      <c r="AA834" s="245"/>
      <c r="AB834" s="245"/>
      <c r="AC834" s="246"/>
      <c r="AD834" s="246"/>
      <c r="AE834" s="246"/>
      <c r="AF834" s="246"/>
      <c r="AG834" s="246"/>
      <c r="AH834" s="246"/>
      <c r="AI834" s="246"/>
      <c r="AJ834" s="246"/>
      <c r="AK834" s="246"/>
      <c r="AL834" s="247"/>
      <c r="AM834" s="247"/>
      <c r="AN834" s="247"/>
      <c r="AO834" s="245"/>
      <c r="AP834" s="245"/>
      <c r="AQ834" s="245"/>
      <c r="AR834" s="245"/>
      <c r="AS834" s="245"/>
      <c r="AT834" s="245"/>
      <c r="AU834" s="245"/>
    </row>
    <row r="835" spans="1:47" ht="11.25" hidden="1" customHeight="1" x14ac:dyDescent="0.25">
      <c r="A835" s="1293"/>
      <c r="B835" s="1269"/>
      <c r="C835" s="1269"/>
      <c r="D835" s="1269"/>
      <c r="E835" s="1272"/>
      <c r="F835" s="1269"/>
      <c r="G835" s="1269"/>
      <c r="H835" s="1269"/>
      <c r="I835" s="903"/>
      <c r="J835" s="1269"/>
      <c r="K835" s="1269"/>
      <c r="L835" s="903"/>
      <c r="M835" s="1269"/>
      <c r="N835" s="1269"/>
      <c r="O835" s="1269"/>
      <c r="P835" s="1269"/>
      <c r="Q835" s="1269"/>
      <c r="R835" s="1269"/>
      <c r="S835" s="1269"/>
      <c r="T835" s="1269"/>
      <c r="U835" s="1269"/>
      <c r="V835" s="903"/>
      <c r="W835" s="1269"/>
      <c r="X835" s="1269"/>
      <c r="Y835" s="1269"/>
      <c r="Z835" s="1329"/>
      <c r="AA835" s="245"/>
      <c r="AB835" s="245"/>
      <c r="AC835" s="246"/>
      <c r="AD835" s="246"/>
      <c r="AE835" s="246"/>
      <c r="AF835" s="246"/>
      <c r="AG835" s="246"/>
      <c r="AH835" s="246"/>
      <c r="AI835" s="246"/>
      <c r="AJ835" s="246"/>
      <c r="AK835" s="246"/>
      <c r="AL835" s="247"/>
      <c r="AM835" s="247"/>
      <c r="AN835" s="247"/>
      <c r="AO835" s="245"/>
      <c r="AP835" s="245"/>
      <c r="AQ835" s="245"/>
      <c r="AR835" s="245"/>
      <c r="AS835" s="245"/>
      <c r="AT835" s="245"/>
      <c r="AU835" s="245"/>
    </row>
    <row r="836" spans="1:47" ht="10.5" hidden="1" customHeight="1" x14ac:dyDescent="0.25">
      <c r="A836" s="1293"/>
      <c r="B836" s="1269"/>
      <c r="C836" s="1316" t="s">
        <v>363</v>
      </c>
      <c r="D836" s="199" t="s">
        <v>288</v>
      </c>
      <c r="E836" s="905"/>
      <c r="F836" s="278"/>
      <c r="G836" s="278"/>
      <c r="H836" s="278"/>
      <c r="I836" s="278"/>
      <c r="J836" s="278"/>
      <c r="K836" s="278"/>
      <c r="L836" s="278"/>
      <c r="M836" s="278"/>
      <c r="N836" s="278"/>
      <c r="O836" s="1272" t="s">
        <v>359</v>
      </c>
      <c r="P836" s="1316" t="s">
        <v>86</v>
      </c>
      <c r="Q836" s="1328" t="s">
        <v>86</v>
      </c>
      <c r="R836" s="1316" t="s">
        <v>86</v>
      </c>
      <c r="S836" s="1328" t="s">
        <v>290</v>
      </c>
      <c r="T836" s="1328">
        <v>7878784</v>
      </c>
      <c r="U836" s="1269"/>
      <c r="V836" s="903"/>
      <c r="W836" s="1328" t="s">
        <v>291</v>
      </c>
      <c r="X836" s="1328" t="s">
        <v>292</v>
      </c>
      <c r="Y836" s="1328" t="s">
        <v>293</v>
      </c>
      <c r="Z836" s="1329">
        <v>7878795</v>
      </c>
      <c r="AA836" s="245"/>
      <c r="AB836" s="245"/>
      <c r="AC836" s="246"/>
      <c r="AD836" s="246"/>
      <c r="AE836" s="246"/>
      <c r="AF836" s="246"/>
      <c r="AG836" s="246"/>
      <c r="AH836" s="246"/>
      <c r="AI836" s="246"/>
      <c r="AJ836" s="246"/>
      <c r="AK836" s="246"/>
      <c r="AL836" s="247"/>
      <c r="AM836" s="247"/>
      <c r="AN836" s="247"/>
      <c r="AO836" s="245"/>
      <c r="AP836" s="245"/>
      <c r="AQ836" s="245"/>
      <c r="AR836" s="245"/>
      <c r="AS836" s="245"/>
      <c r="AT836" s="245"/>
      <c r="AU836" s="245"/>
    </row>
    <row r="837" spans="1:47" ht="21.75" hidden="1" customHeight="1" x14ac:dyDescent="0.25">
      <c r="A837" s="1293"/>
      <c r="B837" s="1269"/>
      <c r="C837" s="1269"/>
      <c r="D837" s="904" t="s">
        <v>296</v>
      </c>
      <c r="E837" s="905"/>
      <c r="F837" s="278"/>
      <c r="G837" s="278"/>
      <c r="H837" s="198"/>
      <c r="I837" s="198"/>
      <c r="J837" s="278"/>
      <c r="K837" s="278"/>
      <c r="L837" s="278"/>
      <c r="M837" s="278"/>
      <c r="N837" s="278"/>
      <c r="O837" s="1269"/>
      <c r="P837" s="1269"/>
      <c r="Q837" s="1269"/>
      <c r="R837" s="1269"/>
      <c r="S837" s="1269"/>
      <c r="T837" s="1269"/>
      <c r="U837" s="1269"/>
      <c r="V837" s="903"/>
      <c r="W837" s="1269"/>
      <c r="X837" s="1269"/>
      <c r="Y837" s="1269"/>
      <c r="Z837" s="1329"/>
      <c r="AA837" s="245"/>
      <c r="AB837" s="245"/>
      <c r="AC837" s="246"/>
      <c r="AD837" s="246"/>
      <c r="AE837" s="246"/>
      <c r="AF837" s="246"/>
      <c r="AG837" s="246"/>
      <c r="AH837" s="246"/>
      <c r="AI837" s="246"/>
      <c r="AJ837" s="246"/>
      <c r="AK837" s="246"/>
      <c r="AL837" s="247"/>
      <c r="AM837" s="247"/>
      <c r="AN837" s="247"/>
      <c r="AO837" s="245"/>
      <c r="AP837" s="245"/>
      <c r="AQ837" s="245"/>
      <c r="AR837" s="245"/>
      <c r="AS837" s="245"/>
      <c r="AT837" s="245"/>
      <c r="AU837" s="245"/>
    </row>
    <row r="838" spans="1:47" ht="20.25" hidden="1" customHeight="1" x14ac:dyDescent="0.25">
      <c r="A838" s="1293"/>
      <c r="B838" s="1269"/>
      <c r="C838" s="1269"/>
      <c r="D838" s="904" t="s">
        <v>299</v>
      </c>
      <c r="E838" s="278"/>
      <c r="F838" s="278"/>
      <c r="G838" s="278"/>
      <c r="H838" s="278"/>
      <c r="I838" s="278"/>
      <c r="J838" s="278"/>
      <c r="K838" s="278"/>
      <c r="L838" s="278"/>
      <c r="M838" s="278"/>
      <c r="N838" s="278"/>
      <c r="O838" s="1269"/>
      <c r="P838" s="1269"/>
      <c r="Q838" s="1269"/>
      <c r="R838" s="1269"/>
      <c r="S838" s="1269"/>
      <c r="T838" s="1269"/>
      <c r="U838" s="1269"/>
      <c r="V838" s="903"/>
      <c r="W838" s="1269"/>
      <c r="X838" s="1269"/>
      <c r="Y838" s="1269"/>
      <c r="Z838" s="1329"/>
      <c r="AA838" s="245"/>
      <c r="AB838" s="245"/>
      <c r="AC838" s="246"/>
      <c r="AD838" s="246"/>
      <c r="AE838" s="246"/>
      <c r="AF838" s="246"/>
      <c r="AG838" s="246"/>
      <c r="AH838" s="246"/>
      <c r="AI838" s="246"/>
      <c r="AJ838" s="246"/>
      <c r="AK838" s="246"/>
      <c r="AL838" s="247"/>
      <c r="AM838" s="247"/>
      <c r="AN838" s="247"/>
      <c r="AO838" s="245"/>
      <c r="AP838" s="245"/>
      <c r="AQ838" s="245"/>
      <c r="AR838" s="245"/>
      <c r="AS838" s="245"/>
      <c r="AT838" s="245"/>
      <c r="AU838" s="245"/>
    </row>
    <row r="839" spans="1:47" ht="10.5" hidden="1" customHeight="1" x14ac:dyDescent="0.25">
      <c r="A839" s="1293"/>
      <c r="B839" s="1269"/>
      <c r="C839" s="1269"/>
      <c r="D839" s="1299" t="s">
        <v>302</v>
      </c>
      <c r="E839" s="1272"/>
      <c r="F839" s="1272"/>
      <c r="G839" s="1272"/>
      <c r="H839" s="1272"/>
      <c r="I839" s="905"/>
      <c r="J839" s="1272"/>
      <c r="K839" s="1272"/>
      <c r="L839" s="905"/>
      <c r="M839" s="1272"/>
      <c r="N839" s="1272"/>
      <c r="O839" s="1269"/>
      <c r="P839" s="1269"/>
      <c r="Q839" s="1269"/>
      <c r="R839" s="1269"/>
      <c r="S839" s="1269"/>
      <c r="T839" s="1269"/>
      <c r="U839" s="1269"/>
      <c r="V839" s="903"/>
      <c r="W839" s="1269"/>
      <c r="X839" s="1269"/>
      <c r="Y839" s="1269"/>
      <c r="Z839" s="1329"/>
      <c r="AA839" s="245"/>
      <c r="AB839" s="245"/>
      <c r="AC839" s="246"/>
      <c r="AD839" s="246"/>
      <c r="AE839" s="246"/>
      <c r="AF839" s="246"/>
      <c r="AG839" s="246"/>
      <c r="AH839" s="246"/>
      <c r="AI839" s="246"/>
      <c r="AJ839" s="246"/>
      <c r="AK839" s="246"/>
      <c r="AL839" s="247"/>
      <c r="AM839" s="247"/>
      <c r="AN839" s="247"/>
      <c r="AO839" s="245"/>
      <c r="AP839" s="245"/>
      <c r="AQ839" s="245"/>
      <c r="AR839" s="245"/>
      <c r="AS839" s="245"/>
      <c r="AT839" s="245"/>
      <c r="AU839" s="245"/>
    </row>
    <row r="840" spans="1:47" ht="12.75" hidden="1" customHeight="1" x14ac:dyDescent="0.25">
      <c r="A840" s="1293"/>
      <c r="B840" s="1269"/>
      <c r="C840" s="1269"/>
      <c r="D840" s="1269"/>
      <c r="E840" s="1272"/>
      <c r="F840" s="1269"/>
      <c r="G840" s="1269"/>
      <c r="H840" s="1269"/>
      <c r="I840" s="903"/>
      <c r="J840" s="1269"/>
      <c r="K840" s="1269"/>
      <c r="L840" s="903"/>
      <c r="M840" s="1269"/>
      <c r="N840" s="1269"/>
      <c r="O840" s="1269"/>
      <c r="P840" s="1269"/>
      <c r="Q840" s="1269"/>
      <c r="R840" s="1269"/>
      <c r="S840" s="1269"/>
      <c r="T840" s="1269"/>
      <c r="U840" s="1269"/>
      <c r="V840" s="903"/>
      <c r="W840" s="1269"/>
      <c r="X840" s="1269"/>
      <c r="Y840" s="1269"/>
      <c r="Z840" s="1329"/>
      <c r="AA840" s="245"/>
      <c r="AB840" s="245"/>
      <c r="AC840" s="246"/>
      <c r="AD840" s="246"/>
      <c r="AE840" s="246"/>
      <c r="AF840" s="246"/>
      <c r="AG840" s="246"/>
      <c r="AH840" s="246"/>
      <c r="AI840" s="246"/>
      <c r="AJ840" s="246"/>
      <c r="AK840" s="246"/>
      <c r="AL840" s="247"/>
      <c r="AM840" s="247"/>
      <c r="AN840" s="247"/>
      <c r="AO840" s="245"/>
      <c r="AP840" s="245"/>
      <c r="AQ840" s="245"/>
      <c r="AR840" s="245"/>
      <c r="AS840" s="245"/>
      <c r="AT840" s="245"/>
      <c r="AU840" s="245"/>
    </row>
    <row r="841" spans="1:47" ht="10.5" hidden="1" customHeight="1" x14ac:dyDescent="0.25">
      <c r="A841" s="1293"/>
      <c r="B841" s="1269"/>
      <c r="C841" s="1269"/>
      <c r="D841" s="1269"/>
      <c r="E841" s="1272"/>
      <c r="F841" s="1269"/>
      <c r="G841" s="1269"/>
      <c r="H841" s="1269"/>
      <c r="I841" s="903"/>
      <c r="J841" s="1269"/>
      <c r="K841" s="1269"/>
      <c r="L841" s="903"/>
      <c r="M841" s="1269"/>
      <c r="N841" s="1269"/>
      <c r="O841" s="1269"/>
      <c r="P841" s="1269"/>
      <c r="Q841" s="1269"/>
      <c r="R841" s="1269"/>
      <c r="S841" s="1269"/>
      <c r="T841" s="1269"/>
      <c r="U841" s="1269"/>
      <c r="V841" s="903"/>
      <c r="W841" s="1269"/>
      <c r="X841" s="1269"/>
      <c r="Y841" s="1269"/>
      <c r="Z841" s="1329"/>
      <c r="AA841" s="245"/>
      <c r="AB841" s="245"/>
      <c r="AC841" s="246"/>
      <c r="AD841" s="246"/>
      <c r="AE841" s="246"/>
      <c r="AF841" s="246"/>
      <c r="AG841" s="246"/>
      <c r="AH841" s="246"/>
      <c r="AI841" s="246"/>
      <c r="AJ841" s="246"/>
      <c r="AK841" s="246"/>
      <c r="AL841" s="247"/>
      <c r="AM841" s="247"/>
      <c r="AN841" s="247"/>
      <c r="AO841" s="245"/>
      <c r="AP841" s="245"/>
      <c r="AQ841" s="245"/>
      <c r="AR841" s="245"/>
      <c r="AS841" s="245"/>
      <c r="AT841" s="245"/>
      <c r="AU841" s="245"/>
    </row>
    <row r="842" spans="1:47" ht="11.25" hidden="1" customHeight="1" x14ac:dyDescent="0.25">
      <c r="A842" s="1293"/>
      <c r="B842" s="1269"/>
      <c r="C842" s="1269"/>
      <c r="D842" s="1269"/>
      <c r="E842" s="1272"/>
      <c r="F842" s="1269"/>
      <c r="G842" s="1269"/>
      <c r="H842" s="1269"/>
      <c r="I842" s="903"/>
      <c r="J842" s="1269"/>
      <c r="K842" s="1269"/>
      <c r="L842" s="903"/>
      <c r="M842" s="1269"/>
      <c r="N842" s="1269"/>
      <c r="O842" s="1269"/>
      <c r="P842" s="1269"/>
      <c r="Q842" s="1269"/>
      <c r="R842" s="1269"/>
      <c r="S842" s="1269"/>
      <c r="T842" s="1269"/>
      <c r="U842" s="1269"/>
      <c r="V842" s="903"/>
      <c r="W842" s="1269"/>
      <c r="X842" s="1269"/>
      <c r="Y842" s="1269"/>
      <c r="Z842" s="1329"/>
      <c r="AA842" s="245"/>
      <c r="AB842" s="245"/>
      <c r="AC842" s="246"/>
      <c r="AD842" s="246"/>
      <c r="AE842" s="246"/>
      <c r="AF842" s="246"/>
      <c r="AG842" s="246"/>
      <c r="AH842" s="246"/>
      <c r="AI842" s="246"/>
      <c r="AJ842" s="246"/>
      <c r="AK842" s="246"/>
      <c r="AL842" s="247"/>
      <c r="AM842" s="247"/>
      <c r="AN842" s="247"/>
      <c r="AO842" s="245"/>
      <c r="AP842" s="245"/>
      <c r="AQ842" s="245"/>
      <c r="AR842" s="245"/>
      <c r="AS842" s="245"/>
      <c r="AT842" s="245"/>
      <c r="AU842" s="245"/>
    </row>
    <row r="843" spans="1:47" ht="25.5" hidden="1" customHeight="1" x14ac:dyDescent="0.25">
      <c r="A843" s="1293"/>
      <c r="B843" s="1269"/>
      <c r="C843" s="1316" t="s">
        <v>363</v>
      </c>
      <c r="D843" s="199" t="s">
        <v>288</v>
      </c>
      <c r="E843" s="905"/>
      <c r="F843" s="278"/>
      <c r="G843" s="278"/>
      <c r="H843" s="278"/>
      <c r="I843" s="278"/>
      <c r="J843" s="278"/>
      <c r="K843" s="278"/>
      <c r="L843" s="278"/>
      <c r="M843" s="278"/>
      <c r="N843" s="278"/>
      <c r="O843" s="1272" t="s">
        <v>366</v>
      </c>
      <c r="P843" s="1316" t="s">
        <v>86</v>
      </c>
      <c r="Q843" s="1328" t="s">
        <v>86</v>
      </c>
      <c r="R843" s="1316" t="s">
        <v>86</v>
      </c>
      <c r="S843" s="1328" t="s">
        <v>290</v>
      </c>
      <c r="T843" s="1328">
        <v>7878784</v>
      </c>
      <c r="U843" s="1269"/>
      <c r="V843" s="903"/>
      <c r="W843" s="1328" t="s">
        <v>291</v>
      </c>
      <c r="X843" s="1328" t="s">
        <v>292</v>
      </c>
      <c r="Y843" s="1328" t="s">
        <v>293</v>
      </c>
      <c r="Z843" s="1329">
        <v>7878796</v>
      </c>
      <c r="AA843" s="245"/>
      <c r="AB843" s="245"/>
      <c r="AC843" s="246"/>
      <c r="AD843" s="246"/>
      <c r="AE843" s="246"/>
      <c r="AF843" s="246"/>
      <c r="AG843" s="246"/>
      <c r="AH843" s="246"/>
      <c r="AI843" s="246"/>
      <c r="AJ843" s="246"/>
      <c r="AK843" s="246"/>
      <c r="AL843" s="247"/>
      <c r="AM843" s="247"/>
      <c r="AN843" s="247"/>
      <c r="AO843" s="245"/>
      <c r="AP843" s="245"/>
      <c r="AQ843" s="245"/>
      <c r="AR843" s="245"/>
      <c r="AS843" s="245"/>
      <c r="AT843" s="245"/>
      <c r="AU843" s="245"/>
    </row>
    <row r="844" spans="1:47" ht="21.75" hidden="1" customHeight="1" x14ac:dyDescent="0.25">
      <c r="A844" s="1293"/>
      <c r="B844" s="1269"/>
      <c r="C844" s="1269"/>
      <c r="D844" s="904" t="s">
        <v>296</v>
      </c>
      <c r="E844" s="905"/>
      <c r="F844" s="278"/>
      <c r="G844" s="278"/>
      <c r="H844" s="198"/>
      <c r="I844" s="198"/>
      <c r="J844" s="278"/>
      <c r="K844" s="278"/>
      <c r="L844" s="278"/>
      <c r="M844" s="278"/>
      <c r="N844" s="278"/>
      <c r="O844" s="1269"/>
      <c r="P844" s="1269"/>
      <c r="Q844" s="1269"/>
      <c r="R844" s="1269"/>
      <c r="S844" s="1269"/>
      <c r="T844" s="1269"/>
      <c r="U844" s="1269"/>
      <c r="V844" s="903"/>
      <c r="W844" s="1269"/>
      <c r="X844" s="1269"/>
      <c r="Y844" s="1269"/>
      <c r="Z844" s="1329"/>
      <c r="AA844" s="245"/>
      <c r="AB844" s="245"/>
      <c r="AC844" s="246"/>
      <c r="AD844" s="246"/>
      <c r="AE844" s="246"/>
      <c r="AF844" s="246"/>
      <c r="AG844" s="246"/>
      <c r="AH844" s="246"/>
      <c r="AI844" s="246"/>
      <c r="AJ844" s="246"/>
      <c r="AK844" s="246"/>
      <c r="AL844" s="247"/>
      <c r="AM844" s="247"/>
      <c r="AN844" s="247"/>
      <c r="AO844" s="245"/>
      <c r="AP844" s="245"/>
      <c r="AQ844" s="245"/>
      <c r="AR844" s="245"/>
      <c r="AS844" s="245"/>
      <c r="AT844" s="245"/>
      <c r="AU844" s="245"/>
    </row>
    <row r="845" spans="1:47" ht="20.25" hidden="1" customHeight="1" x14ac:dyDescent="0.25">
      <c r="A845" s="1293"/>
      <c r="B845" s="1269"/>
      <c r="C845" s="1269"/>
      <c r="D845" s="904" t="s">
        <v>299</v>
      </c>
      <c r="E845" s="278"/>
      <c r="F845" s="278"/>
      <c r="G845" s="278"/>
      <c r="H845" s="278"/>
      <c r="I845" s="278"/>
      <c r="J845" s="278"/>
      <c r="K845" s="278"/>
      <c r="L845" s="278"/>
      <c r="M845" s="278"/>
      <c r="N845" s="278"/>
      <c r="O845" s="1269"/>
      <c r="P845" s="1269"/>
      <c r="Q845" s="1269"/>
      <c r="R845" s="1269"/>
      <c r="S845" s="1269"/>
      <c r="T845" s="1269"/>
      <c r="U845" s="1269"/>
      <c r="V845" s="903"/>
      <c r="W845" s="1269"/>
      <c r="X845" s="1269"/>
      <c r="Y845" s="1269"/>
      <c r="Z845" s="1329"/>
      <c r="AA845" s="245"/>
      <c r="AB845" s="245"/>
      <c r="AC845" s="246"/>
      <c r="AD845" s="246"/>
      <c r="AE845" s="246"/>
      <c r="AF845" s="246"/>
      <c r="AG845" s="246"/>
      <c r="AH845" s="246"/>
      <c r="AI845" s="246"/>
      <c r="AJ845" s="246"/>
      <c r="AK845" s="246"/>
      <c r="AL845" s="247"/>
      <c r="AM845" s="247"/>
      <c r="AN845" s="247"/>
      <c r="AO845" s="245"/>
      <c r="AP845" s="245"/>
      <c r="AQ845" s="245"/>
      <c r="AR845" s="245"/>
      <c r="AS845" s="245"/>
      <c r="AT845" s="245"/>
      <c r="AU845" s="245"/>
    </row>
    <row r="846" spans="1:47" ht="10.5" hidden="1" customHeight="1" x14ac:dyDescent="0.25">
      <c r="A846" s="1293"/>
      <c r="B846" s="1269"/>
      <c r="C846" s="1269"/>
      <c r="D846" s="1299" t="s">
        <v>302</v>
      </c>
      <c r="E846" s="1272"/>
      <c r="F846" s="1272"/>
      <c r="G846" s="1272"/>
      <c r="H846" s="1272"/>
      <c r="I846" s="905"/>
      <c r="J846" s="1272"/>
      <c r="K846" s="1272"/>
      <c r="L846" s="905"/>
      <c r="M846" s="1272"/>
      <c r="N846" s="1272"/>
      <c r="O846" s="1269"/>
      <c r="P846" s="1269"/>
      <c r="Q846" s="1269"/>
      <c r="R846" s="1269"/>
      <c r="S846" s="1269"/>
      <c r="T846" s="1269"/>
      <c r="U846" s="1269"/>
      <c r="V846" s="903"/>
      <c r="W846" s="1269"/>
      <c r="X846" s="1269"/>
      <c r="Y846" s="1269"/>
      <c r="Z846" s="1329"/>
      <c r="AA846" s="245"/>
      <c r="AB846" s="245"/>
      <c r="AC846" s="246"/>
      <c r="AD846" s="246"/>
      <c r="AE846" s="246"/>
      <c r="AF846" s="246"/>
      <c r="AG846" s="246"/>
      <c r="AH846" s="246"/>
      <c r="AI846" s="246"/>
      <c r="AJ846" s="246"/>
      <c r="AK846" s="246"/>
      <c r="AL846" s="247"/>
      <c r="AM846" s="247"/>
      <c r="AN846" s="247"/>
      <c r="AO846" s="245"/>
      <c r="AP846" s="245"/>
      <c r="AQ846" s="245"/>
      <c r="AR846" s="245"/>
      <c r="AS846" s="245"/>
      <c r="AT846" s="245"/>
      <c r="AU846" s="245"/>
    </row>
    <row r="847" spans="1:47" ht="12.75" hidden="1" customHeight="1" x14ac:dyDescent="0.25">
      <c r="A847" s="1293"/>
      <c r="B847" s="1269"/>
      <c r="C847" s="1269"/>
      <c r="D847" s="1269"/>
      <c r="E847" s="1272"/>
      <c r="F847" s="1269"/>
      <c r="G847" s="1269"/>
      <c r="H847" s="1269"/>
      <c r="I847" s="903"/>
      <c r="J847" s="1269"/>
      <c r="K847" s="1269"/>
      <c r="L847" s="903"/>
      <c r="M847" s="1269"/>
      <c r="N847" s="1269"/>
      <c r="O847" s="1269"/>
      <c r="P847" s="1269"/>
      <c r="Q847" s="1269"/>
      <c r="R847" s="1269"/>
      <c r="S847" s="1269"/>
      <c r="T847" s="1269"/>
      <c r="U847" s="1269"/>
      <c r="V847" s="903"/>
      <c r="W847" s="1269"/>
      <c r="X847" s="1269"/>
      <c r="Y847" s="1269"/>
      <c r="Z847" s="1329"/>
      <c r="AA847" s="245"/>
      <c r="AB847" s="245"/>
      <c r="AC847" s="246"/>
      <c r="AD847" s="246"/>
      <c r="AE847" s="246"/>
      <c r="AF847" s="246"/>
      <c r="AG847" s="246"/>
      <c r="AH847" s="246"/>
      <c r="AI847" s="246"/>
      <c r="AJ847" s="246"/>
      <c r="AK847" s="246"/>
      <c r="AL847" s="247"/>
      <c r="AM847" s="247"/>
      <c r="AN847" s="247"/>
      <c r="AO847" s="245"/>
      <c r="AP847" s="245"/>
      <c r="AQ847" s="245"/>
      <c r="AR847" s="245"/>
      <c r="AS847" s="245"/>
      <c r="AT847" s="245"/>
      <c r="AU847" s="245"/>
    </row>
    <row r="848" spans="1:47" ht="10.5" hidden="1" customHeight="1" x14ac:dyDescent="0.25">
      <c r="A848" s="1293"/>
      <c r="B848" s="1269"/>
      <c r="C848" s="1269"/>
      <c r="D848" s="1269"/>
      <c r="E848" s="1272"/>
      <c r="F848" s="1269"/>
      <c r="G848" s="1269"/>
      <c r="H848" s="1269"/>
      <c r="I848" s="903"/>
      <c r="J848" s="1269"/>
      <c r="K848" s="1269"/>
      <c r="L848" s="903"/>
      <c r="M848" s="1269"/>
      <c r="N848" s="1269"/>
      <c r="O848" s="1269"/>
      <c r="P848" s="1269"/>
      <c r="Q848" s="1269"/>
      <c r="R848" s="1269"/>
      <c r="S848" s="1269"/>
      <c r="T848" s="1269"/>
      <c r="U848" s="1269"/>
      <c r="V848" s="903"/>
      <c r="W848" s="1269"/>
      <c r="X848" s="1269"/>
      <c r="Y848" s="1269"/>
      <c r="Z848" s="1329"/>
      <c r="AA848" s="245"/>
      <c r="AB848" s="245"/>
      <c r="AC848" s="246"/>
      <c r="AD848" s="246"/>
      <c r="AE848" s="246"/>
      <c r="AF848" s="246"/>
      <c r="AG848" s="246"/>
      <c r="AH848" s="246"/>
      <c r="AI848" s="246"/>
      <c r="AJ848" s="246"/>
      <c r="AK848" s="246"/>
      <c r="AL848" s="247"/>
      <c r="AM848" s="247"/>
      <c r="AN848" s="247"/>
      <c r="AO848" s="245"/>
      <c r="AP848" s="245"/>
      <c r="AQ848" s="245"/>
      <c r="AR848" s="245"/>
      <c r="AS848" s="245"/>
      <c r="AT848" s="245"/>
      <c r="AU848" s="245"/>
    </row>
    <row r="849" spans="1:47" ht="11.25" hidden="1" customHeight="1" x14ac:dyDescent="0.25">
      <c r="A849" s="1293"/>
      <c r="B849" s="1269"/>
      <c r="C849" s="1269"/>
      <c r="D849" s="1269"/>
      <c r="E849" s="1272"/>
      <c r="F849" s="1269"/>
      <c r="G849" s="1269"/>
      <c r="H849" s="1269"/>
      <c r="I849" s="903"/>
      <c r="J849" s="1269"/>
      <c r="K849" s="1269"/>
      <c r="L849" s="903"/>
      <c r="M849" s="1269"/>
      <c r="N849" s="1269"/>
      <c r="O849" s="1269"/>
      <c r="P849" s="1269"/>
      <c r="Q849" s="1269"/>
      <c r="R849" s="1269"/>
      <c r="S849" s="1269"/>
      <c r="T849" s="1269"/>
      <c r="U849" s="1269"/>
      <c r="V849" s="903"/>
      <c r="W849" s="1269"/>
      <c r="X849" s="1269"/>
      <c r="Y849" s="1269"/>
      <c r="Z849" s="1329"/>
      <c r="AA849" s="245"/>
      <c r="AB849" s="245"/>
      <c r="AC849" s="246"/>
      <c r="AD849" s="246"/>
      <c r="AE849" s="246"/>
      <c r="AF849" s="246"/>
      <c r="AG849" s="246"/>
      <c r="AH849" s="246"/>
      <c r="AI849" s="246"/>
      <c r="AJ849" s="246"/>
      <c r="AK849" s="246"/>
      <c r="AL849" s="247"/>
      <c r="AM849" s="247"/>
      <c r="AN849" s="247"/>
      <c r="AO849" s="245"/>
      <c r="AP849" s="245"/>
      <c r="AQ849" s="245"/>
      <c r="AR849" s="245"/>
      <c r="AS849" s="245"/>
      <c r="AT849" s="245"/>
      <c r="AU849" s="245"/>
    </row>
    <row r="850" spans="1:47" ht="10.5" hidden="1" customHeight="1" x14ac:dyDescent="0.25">
      <c r="A850" s="1293"/>
      <c r="B850" s="1269"/>
      <c r="C850" s="1316" t="s">
        <v>363</v>
      </c>
      <c r="D850" s="199" t="s">
        <v>288</v>
      </c>
      <c r="E850" s="905"/>
      <c r="F850" s="278"/>
      <c r="G850" s="278"/>
      <c r="H850" s="278"/>
      <c r="I850" s="278"/>
      <c r="J850" s="278"/>
      <c r="K850" s="278"/>
      <c r="L850" s="278"/>
      <c r="M850" s="278"/>
      <c r="N850" s="278"/>
      <c r="O850" s="1272" t="s">
        <v>397</v>
      </c>
      <c r="P850" s="1316" t="s">
        <v>86</v>
      </c>
      <c r="Q850" s="1328" t="s">
        <v>86</v>
      </c>
      <c r="R850" s="1316" t="s">
        <v>86</v>
      </c>
      <c r="S850" s="1328" t="s">
        <v>290</v>
      </c>
      <c r="T850" s="1328">
        <v>7878784</v>
      </c>
      <c r="U850" s="1269"/>
      <c r="V850" s="903"/>
      <c r="W850" s="1328" t="s">
        <v>291</v>
      </c>
      <c r="X850" s="1328" t="s">
        <v>292</v>
      </c>
      <c r="Y850" s="1328" t="s">
        <v>293</v>
      </c>
      <c r="Z850" s="1329">
        <v>7878797</v>
      </c>
      <c r="AA850" s="245"/>
      <c r="AB850" s="245"/>
      <c r="AC850" s="246"/>
      <c r="AD850" s="246"/>
      <c r="AE850" s="246"/>
      <c r="AF850" s="246"/>
      <c r="AG850" s="246"/>
      <c r="AH850" s="246"/>
      <c r="AI850" s="246"/>
      <c r="AJ850" s="246"/>
      <c r="AK850" s="246"/>
      <c r="AL850" s="247"/>
      <c r="AM850" s="247"/>
      <c r="AN850" s="247"/>
      <c r="AO850" s="245"/>
      <c r="AP850" s="245"/>
      <c r="AQ850" s="245"/>
      <c r="AR850" s="245"/>
      <c r="AS850" s="245"/>
      <c r="AT850" s="245"/>
      <c r="AU850" s="245"/>
    </row>
    <row r="851" spans="1:47" ht="21.75" hidden="1" customHeight="1" x14ac:dyDescent="0.25">
      <c r="A851" s="1293"/>
      <c r="B851" s="1269"/>
      <c r="C851" s="1269"/>
      <c r="D851" s="904" t="s">
        <v>296</v>
      </c>
      <c r="E851" s="905"/>
      <c r="F851" s="278"/>
      <c r="G851" s="278"/>
      <c r="H851" s="198"/>
      <c r="I851" s="198"/>
      <c r="J851" s="278"/>
      <c r="K851" s="278"/>
      <c r="L851" s="278"/>
      <c r="M851" s="278"/>
      <c r="N851" s="278"/>
      <c r="O851" s="1269"/>
      <c r="P851" s="1269"/>
      <c r="Q851" s="1269"/>
      <c r="R851" s="1269"/>
      <c r="S851" s="1269"/>
      <c r="T851" s="1269"/>
      <c r="U851" s="1269"/>
      <c r="V851" s="903"/>
      <c r="W851" s="1269"/>
      <c r="X851" s="1269"/>
      <c r="Y851" s="1269"/>
      <c r="Z851" s="1329"/>
      <c r="AA851" s="245"/>
      <c r="AB851" s="245"/>
      <c r="AC851" s="246"/>
      <c r="AD851" s="246"/>
      <c r="AE851" s="246"/>
      <c r="AF851" s="246"/>
      <c r="AG851" s="246"/>
      <c r="AH851" s="246"/>
      <c r="AI851" s="246"/>
      <c r="AJ851" s="246"/>
      <c r="AK851" s="246"/>
      <c r="AL851" s="247"/>
      <c r="AM851" s="247"/>
      <c r="AN851" s="247"/>
      <c r="AO851" s="245"/>
      <c r="AP851" s="245"/>
      <c r="AQ851" s="245"/>
      <c r="AR851" s="245"/>
      <c r="AS851" s="245"/>
      <c r="AT851" s="245"/>
      <c r="AU851" s="245"/>
    </row>
    <row r="852" spans="1:47" ht="20.25" hidden="1" customHeight="1" x14ac:dyDescent="0.25">
      <c r="A852" s="1293"/>
      <c r="B852" s="1269"/>
      <c r="C852" s="1269"/>
      <c r="D852" s="904" t="s">
        <v>299</v>
      </c>
      <c r="E852" s="278"/>
      <c r="F852" s="278"/>
      <c r="G852" s="278"/>
      <c r="H852" s="278"/>
      <c r="I852" s="278"/>
      <c r="J852" s="278"/>
      <c r="K852" s="278"/>
      <c r="L852" s="278"/>
      <c r="M852" s="278"/>
      <c r="N852" s="278"/>
      <c r="O852" s="1269"/>
      <c r="P852" s="1269"/>
      <c r="Q852" s="1269"/>
      <c r="R852" s="1269"/>
      <c r="S852" s="1269"/>
      <c r="T852" s="1269"/>
      <c r="U852" s="1269"/>
      <c r="V852" s="903"/>
      <c r="W852" s="1269"/>
      <c r="X852" s="1269"/>
      <c r="Y852" s="1269"/>
      <c r="Z852" s="1329"/>
      <c r="AA852" s="245"/>
      <c r="AB852" s="245"/>
      <c r="AC852" s="246"/>
      <c r="AD852" s="246"/>
      <c r="AE852" s="246"/>
      <c r="AF852" s="246"/>
      <c r="AG852" s="246"/>
      <c r="AH852" s="246"/>
      <c r="AI852" s="246"/>
      <c r="AJ852" s="246"/>
      <c r="AK852" s="246"/>
      <c r="AL852" s="247"/>
      <c r="AM852" s="247"/>
      <c r="AN852" s="247"/>
      <c r="AO852" s="245"/>
      <c r="AP852" s="245"/>
      <c r="AQ852" s="245"/>
      <c r="AR852" s="245"/>
      <c r="AS852" s="245"/>
      <c r="AT852" s="245"/>
      <c r="AU852" s="245"/>
    </row>
    <row r="853" spans="1:47" ht="10.5" hidden="1" customHeight="1" x14ac:dyDescent="0.25">
      <c r="A853" s="1293"/>
      <c r="B853" s="1269"/>
      <c r="C853" s="1269"/>
      <c r="D853" s="1299" t="s">
        <v>302</v>
      </c>
      <c r="E853" s="1272"/>
      <c r="F853" s="1272"/>
      <c r="G853" s="1272"/>
      <c r="H853" s="1272"/>
      <c r="I853" s="905"/>
      <c r="J853" s="1272"/>
      <c r="K853" s="1272"/>
      <c r="L853" s="905"/>
      <c r="M853" s="1272"/>
      <c r="N853" s="1272"/>
      <c r="O853" s="1269"/>
      <c r="P853" s="1269"/>
      <c r="Q853" s="1269"/>
      <c r="R853" s="1269"/>
      <c r="S853" s="1269"/>
      <c r="T853" s="1269"/>
      <c r="U853" s="1269"/>
      <c r="V853" s="903"/>
      <c r="W853" s="1269"/>
      <c r="X853" s="1269"/>
      <c r="Y853" s="1269"/>
      <c r="Z853" s="1329"/>
      <c r="AA853" s="245"/>
      <c r="AB853" s="245"/>
      <c r="AC853" s="246"/>
      <c r="AD853" s="246"/>
      <c r="AE853" s="246"/>
      <c r="AF853" s="246"/>
      <c r="AG853" s="246"/>
      <c r="AH853" s="246"/>
      <c r="AI853" s="246"/>
      <c r="AJ853" s="246"/>
      <c r="AK853" s="246"/>
      <c r="AL853" s="247"/>
      <c r="AM853" s="247"/>
      <c r="AN853" s="247"/>
      <c r="AO853" s="245"/>
      <c r="AP853" s="245"/>
      <c r="AQ853" s="245"/>
      <c r="AR853" s="245"/>
      <c r="AS853" s="245"/>
      <c r="AT853" s="245"/>
      <c r="AU853" s="245"/>
    </row>
    <row r="854" spans="1:47" ht="12.75" hidden="1" customHeight="1" x14ac:dyDescent="0.25">
      <c r="A854" s="1293"/>
      <c r="B854" s="1269"/>
      <c r="C854" s="1269"/>
      <c r="D854" s="1269"/>
      <c r="E854" s="1272"/>
      <c r="F854" s="1269"/>
      <c r="G854" s="1269"/>
      <c r="H854" s="1269"/>
      <c r="I854" s="903"/>
      <c r="J854" s="1269"/>
      <c r="K854" s="1269"/>
      <c r="L854" s="903"/>
      <c r="M854" s="1269"/>
      <c r="N854" s="1269"/>
      <c r="O854" s="1269"/>
      <c r="P854" s="1269"/>
      <c r="Q854" s="1269"/>
      <c r="R854" s="1269"/>
      <c r="S854" s="1269"/>
      <c r="T854" s="1269"/>
      <c r="U854" s="1269"/>
      <c r="V854" s="903"/>
      <c r="W854" s="1269"/>
      <c r="X854" s="1269"/>
      <c r="Y854" s="1269"/>
      <c r="Z854" s="1329"/>
      <c r="AA854" s="245"/>
      <c r="AB854" s="245"/>
      <c r="AC854" s="246"/>
      <c r="AD854" s="246"/>
      <c r="AE854" s="246"/>
      <c r="AF854" s="246"/>
      <c r="AG854" s="246"/>
      <c r="AH854" s="246"/>
      <c r="AI854" s="246"/>
      <c r="AJ854" s="246"/>
      <c r="AK854" s="246"/>
      <c r="AL854" s="247"/>
      <c r="AM854" s="247"/>
      <c r="AN854" s="247"/>
      <c r="AO854" s="245"/>
      <c r="AP854" s="245"/>
      <c r="AQ854" s="245"/>
      <c r="AR854" s="245"/>
      <c r="AS854" s="245"/>
      <c r="AT854" s="245"/>
      <c r="AU854" s="245"/>
    </row>
    <row r="855" spans="1:47" ht="10.5" hidden="1" customHeight="1" x14ac:dyDescent="0.25">
      <c r="A855" s="1293"/>
      <c r="B855" s="1269"/>
      <c r="C855" s="1269"/>
      <c r="D855" s="1269"/>
      <c r="E855" s="1272"/>
      <c r="F855" s="1269"/>
      <c r="G855" s="1269"/>
      <c r="H855" s="1269"/>
      <c r="I855" s="903"/>
      <c r="J855" s="1269"/>
      <c r="K855" s="1269"/>
      <c r="L855" s="903"/>
      <c r="M855" s="1269"/>
      <c r="N855" s="1269"/>
      <c r="O855" s="1269"/>
      <c r="P855" s="1269"/>
      <c r="Q855" s="1269"/>
      <c r="R855" s="1269"/>
      <c r="S855" s="1269"/>
      <c r="T855" s="1269"/>
      <c r="U855" s="1269"/>
      <c r="V855" s="903"/>
      <c r="W855" s="1269"/>
      <c r="X855" s="1269"/>
      <c r="Y855" s="1269"/>
      <c r="Z855" s="1329"/>
      <c r="AA855" s="245"/>
      <c r="AB855" s="245"/>
      <c r="AC855" s="246"/>
      <c r="AD855" s="246"/>
      <c r="AE855" s="246"/>
      <c r="AF855" s="246"/>
      <c r="AG855" s="246"/>
      <c r="AH855" s="246"/>
      <c r="AI855" s="246"/>
      <c r="AJ855" s="246"/>
      <c r="AK855" s="246"/>
      <c r="AL855" s="247"/>
      <c r="AM855" s="247"/>
      <c r="AN855" s="247"/>
      <c r="AO855" s="245"/>
      <c r="AP855" s="245"/>
      <c r="AQ855" s="245"/>
      <c r="AR855" s="245"/>
      <c r="AS855" s="245"/>
      <c r="AT855" s="245"/>
      <c r="AU855" s="245"/>
    </row>
    <row r="856" spans="1:47" ht="11.25" hidden="1" customHeight="1" x14ac:dyDescent="0.25">
      <c r="A856" s="1293"/>
      <c r="B856" s="1269"/>
      <c r="C856" s="1269"/>
      <c r="D856" s="1269"/>
      <c r="E856" s="1272"/>
      <c r="F856" s="1269"/>
      <c r="G856" s="1269"/>
      <c r="H856" s="1269"/>
      <c r="I856" s="903"/>
      <c r="J856" s="1269"/>
      <c r="K856" s="1269"/>
      <c r="L856" s="903"/>
      <c r="M856" s="1269"/>
      <c r="N856" s="1269"/>
      <c r="O856" s="1269"/>
      <c r="P856" s="1269"/>
      <c r="Q856" s="1269"/>
      <c r="R856" s="1269"/>
      <c r="S856" s="1269"/>
      <c r="T856" s="1269"/>
      <c r="U856" s="1269"/>
      <c r="V856" s="903"/>
      <c r="W856" s="1269"/>
      <c r="X856" s="1269"/>
      <c r="Y856" s="1269"/>
      <c r="Z856" s="1329"/>
      <c r="AA856" s="245"/>
      <c r="AB856" s="245"/>
      <c r="AC856" s="246"/>
      <c r="AD856" s="246"/>
      <c r="AE856" s="246"/>
      <c r="AF856" s="246"/>
      <c r="AG856" s="246"/>
      <c r="AH856" s="246"/>
      <c r="AI856" s="246"/>
      <c r="AJ856" s="246"/>
      <c r="AK856" s="246"/>
      <c r="AL856" s="247"/>
      <c r="AM856" s="247"/>
      <c r="AN856" s="247"/>
      <c r="AO856" s="245"/>
      <c r="AP856" s="245"/>
      <c r="AQ856" s="245"/>
      <c r="AR856" s="245"/>
      <c r="AS856" s="245"/>
      <c r="AT856" s="245"/>
      <c r="AU856" s="245"/>
    </row>
    <row r="857" spans="1:47" ht="15.75" hidden="1" customHeight="1" x14ac:dyDescent="0.25">
      <c r="A857" s="1293"/>
      <c r="B857" s="1269"/>
      <c r="C857" s="1316" t="s">
        <v>363</v>
      </c>
      <c r="D857" s="199" t="s">
        <v>288</v>
      </c>
      <c r="E857" s="905"/>
      <c r="F857" s="278"/>
      <c r="G857" s="278"/>
      <c r="H857" s="278"/>
      <c r="I857" s="278"/>
      <c r="J857" s="278"/>
      <c r="K857" s="278"/>
      <c r="L857" s="278"/>
      <c r="M857" s="278"/>
      <c r="N857" s="278"/>
      <c r="O857" s="1272" t="s">
        <v>368</v>
      </c>
      <c r="P857" s="1316" t="s">
        <v>86</v>
      </c>
      <c r="Q857" s="1328" t="s">
        <v>86</v>
      </c>
      <c r="R857" s="1316" t="s">
        <v>86</v>
      </c>
      <c r="S857" s="1328" t="s">
        <v>290</v>
      </c>
      <c r="T857" s="1328">
        <v>7878784</v>
      </c>
      <c r="U857" s="1269"/>
      <c r="V857" s="903"/>
      <c r="W857" s="1328" t="s">
        <v>291</v>
      </c>
      <c r="X857" s="1328" t="s">
        <v>292</v>
      </c>
      <c r="Y857" s="1328" t="s">
        <v>293</v>
      </c>
      <c r="Z857" s="1329">
        <v>7878798</v>
      </c>
      <c r="AA857" s="245"/>
      <c r="AB857" s="245"/>
      <c r="AC857" s="246"/>
      <c r="AD857" s="246"/>
      <c r="AE857" s="246"/>
      <c r="AF857" s="246"/>
      <c r="AG857" s="246"/>
      <c r="AH857" s="246"/>
      <c r="AI857" s="246"/>
      <c r="AJ857" s="246"/>
      <c r="AK857" s="246"/>
      <c r="AL857" s="247"/>
      <c r="AM857" s="247"/>
      <c r="AN857" s="247"/>
      <c r="AO857" s="245"/>
      <c r="AP857" s="245"/>
      <c r="AQ857" s="245"/>
      <c r="AR857" s="245"/>
      <c r="AS857" s="245"/>
      <c r="AT857" s="245"/>
      <c r="AU857" s="245"/>
    </row>
    <row r="858" spans="1:47" ht="21.75" hidden="1" customHeight="1" x14ac:dyDescent="0.25">
      <c r="A858" s="1293"/>
      <c r="B858" s="1269"/>
      <c r="C858" s="1269"/>
      <c r="D858" s="904" t="s">
        <v>296</v>
      </c>
      <c r="E858" s="905"/>
      <c r="F858" s="278"/>
      <c r="G858" s="278"/>
      <c r="H858" s="198"/>
      <c r="I858" s="198"/>
      <c r="J858" s="278"/>
      <c r="K858" s="278"/>
      <c r="L858" s="278"/>
      <c r="M858" s="278"/>
      <c r="N858" s="278"/>
      <c r="O858" s="1269"/>
      <c r="P858" s="1269"/>
      <c r="Q858" s="1269"/>
      <c r="R858" s="1269"/>
      <c r="S858" s="1269"/>
      <c r="T858" s="1269"/>
      <c r="U858" s="1269"/>
      <c r="V858" s="903"/>
      <c r="W858" s="1269"/>
      <c r="X858" s="1269"/>
      <c r="Y858" s="1269"/>
      <c r="Z858" s="1329"/>
      <c r="AA858" s="245"/>
      <c r="AB858" s="245"/>
      <c r="AC858" s="246"/>
      <c r="AD858" s="246"/>
      <c r="AE858" s="246"/>
      <c r="AF858" s="246"/>
      <c r="AG858" s="246"/>
      <c r="AH858" s="246"/>
      <c r="AI858" s="246"/>
      <c r="AJ858" s="246"/>
      <c r="AK858" s="246"/>
      <c r="AL858" s="247"/>
      <c r="AM858" s="247"/>
      <c r="AN858" s="247"/>
      <c r="AO858" s="245"/>
      <c r="AP858" s="245"/>
      <c r="AQ858" s="245"/>
      <c r="AR858" s="245"/>
      <c r="AS858" s="245"/>
      <c r="AT858" s="245"/>
      <c r="AU858" s="245"/>
    </row>
    <row r="859" spans="1:47" ht="20.25" hidden="1" customHeight="1" x14ac:dyDescent="0.25">
      <c r="A859" s="1293"/>
      <c r="B859" s="1269"/>
      <c r="C859" s="1269"/>
      <c r="D859" s="904" t="s">
        <v>299</v>
      </c>
      <c r="E859" s="278"/>
      <c r="F859" s="278"/>
      <c r="G859" s="278"/>
      <c r="H859" s="278"/>
      <c r="I859" s="278"/>
      <c r="J859" s="278"/>
      <c r="K859" s="278"/>
      <c r="L859" s="278"/>
      <c r="M859" s="278"/>
      <c r="N859" s="278"/>
      <c r="O859" s="1269"/>
      <c r="P859" s="1269"/>
      <c r="Q859" s="1269"/>
      <c r="R859" s="1269"/>
      <c r="S859" s="1269"/>
      <c r="T859" s="1269"/>
      <c r="U859" s="1269"/>
      <c r="V859" s="903"/>
      <c r="W859" s="1269"/>
      <c r="X859" s="1269"/>
      <c r="Y859" s="1269"/>
      <c r="Z859" s="1329"/>
      <c r="AA859" s="245"/>
      <c r="AB859" s="245"/>
      <c r="AC859" s="246"/>
      <c r="AD859" s="246"/>
      <c r="AE859" s="246"/>
      <c r="AF859" s="246"/>
      <c r="AG859" s="246"/>
      <c r="AH859" s="246"/>
      <c r="AI859" s="246"/>
      <c r="AJ859" s="246"/>
      <c r="AK859" s="246"/>
      <c r="AL859" s="247"/>
      <c r="AM859" s="247"/>
      <c r="AN859" s="247"/>
      <c r="AO859" s="245"/>
      <c r="AP859" s="245"/>
      <c r="AQ859" s="245"/>
      <c r="AR859" s="245"/>
      <c r="AS859" s="245"/>
      <c r="AT859" s="245"/>
      <c r="AU859" s="245"/>
    </row>
    <row r="860" spans="1:47" ht="10.5" hidden="1" customHeight="1" x14ac:dyDescent="0.25">
      <c r="A860" s="1293"/>
      <c r="B860" s="1269"/>
      <c r="C860" s="1269"/>
      <c r="D860" s="1299" t="s">
        <v>302</v>
      </c>
      <c r="E860" s="1272"/>
      <c r="F860" s="1272"/>
      <c r="G860" s="1272"/>
      <c r="H860" s="1272"/>
      <c r="I860" s="905"/>
      <c r="J860" s="1272"/>
      <c r="K860" s="1272"/>
      <c r="L860" s="905"/>
      <c r="M860" s="1272"/>
      <c r="N860" s="1272"/>
      <c r="O860" s="1269"/>
      <c r="P860" s="1269"/>
      <c r="Q860" s="1269"/>
      <c r="R860" s="1269"/>
      <c r="S860" s="1269"/>
      <c r="T860" s="1269"/>
      <c r="U860" s="1269"/>
      <c r="V860" s="903"/>
      <c r="W860" s="1269"/>
      <c r="X860" s="1269"/>
      <c r="Y860" s="1269"/>
      <c r="Z860" s="1329"/>
      <c r="AA860" s="245"/>
      <c r="AB860" s="245"/>
      <c r="AC860" s="246"/>
      <c r="AD860" s="246"/>
      <c r="AE860" s="246"/>
      <c r="AF860" s="246"/>
      <c r="AG860" s="246"/>
      <c r="AH860" s="246"/>
      <c r="AI860" s="246"/>
      <c r="AJ860" s="246"/>
      <c r="AK860" s="246"/>
      <c r="AL860" s="247"/>
      <c r="AM860" s="247"/>
      <c r="AN860" s="247"/>
      <c r="AO860" s="245"/>
      <c r="AP860" s="245"/>
      <c r="AQ860" s="245"/>
      <c r="AR860" s="245"/>
      <c r="AS860" s="245"/>
      <c r="AT860" s="245"/>
      <c r="AU860" s="245"/>
    </row>
    <row r="861" spans="1:47" ht="12.75" hidden="1" customHeight="1" x14ac:dyDescent="0.25">
      <c r="A861" s="1293"/>
      <c r="B861" s="1269"/>
      <c r="C861" s="1269"/>
      <c r="D861" s="1269"/>
      <c r="E861" s="1272"/>
      <c r="F861" s="1269"/>
      <c r="G861" s="1269"/>
      <c r="H861" s="1269"/>
      <c r="I861" s="903"/>
      <c r="J861" s="1269"/>
      <c r="K861" s="1269"/>
      <c r="L861" s="903"/>
      <c r="M861" s="1269"/>
      <c r="N861" s="1269"/>
      <c r="O861" s="1269"/>
      <c r="P861" s="1269"/>
      <c r="Q861" s="1269"/>
      <c r="R861" s="1269"/>
      <c r="S861" s="1269"/>
      <c r="T861" s="1269"/>
      <c r="U861" s="1269"/>
      <c r="V861" s="903"/>
      <c r="W861" s="1269"/>
      <c r="X861" s="1269"/>
      <c r="Y861" s="1269"/>
      <c r="Z861" s="1329"/>
      <c r="AA861" s="245"/>
      <c r="AB861" s="245"/>
      <c r="AC861" s="246"/>
      <c r="AD861" s="246"/>
      <c r="AE861" s="246"/>
      <c r="AF861" s="246"/>
      <c r="AG861" s="246"/>
      <c r="AH861" s="246"/>
      <c r="AI861" s="246"/>
      <c r="AJ861" s="246"/>
      <c r="AK861" s="246"/>
      <c r="AL861" s="247"/>
      <c r="AM861" s="247"/>
      <c r="AN861" s="247"/>
      <c r="AO861" s="245"/>
      <c r="AP861" s="245"/>
      <c r="AQ861" s="245"/>
      <c r="AR861" s="245"/>
      <c r="AS861" s="245"/>
      <c r="AT861" s="245"/>
      <c r="AU861" s="245"/>
    </row>
    <row r="862" spans="1:47" ht="10.5" hidden="1" customHeight="1" x14ac:dyDescent="0.25">
      <c r="A862" s="1293"/>
      <c r="B862" s="1269"/>
      <c r="C862" s="1269"/>
      <c r="D862" s="1269"/>
      <c r="E862" s="1272"/>
      <c r="F862" s="1269"/>
      <c r="G862" s="1269"/>
      <c r="H862" s="1269"/>
      <c r="I862" s="903"/>
      <c r="J862" s="1269"/>
      <c r="K862" s="1269"/>
      <c r="L862" s="903"/>
      <c r="M862" s="1269"/>
      <c r="N862" s="1269"/>
      <c r="O862" s="1269"/>
      <c r="P862" s="1269"/>
      <c r="Q862" s="1269"/>
      <c r="R862" s="1269"/>
      <c r="S862" s="1269"/>
      <c r="T862" s="1269"/>
      <c r="U862" s="1269"/>
      <c r="V862" s="903"/>
      <c r="W862" s="1269"/>
      <c r="X862" s="1269"/>
      <c r="Y862" s="1269"/>
      <c r="Z862" s="1329"/>
      <c r="AA862" s="245"/>
      <c r="AB862" s="245"/>
      <c r="AC862" s="246"/>
      <c r="AD862" s="246"/>
      <c r="AE862" s="246"/>
      <c r="AF862" s="246"/>
      <c r="AG862" s="246"/>
      <c r="AH862" s="246"/>
      <c r="AI862" s="246"/>
      <c r="AJ862" s="246"/>
      <c r="AK862" s="246"/>
      <c r="AL862" s="247"/>
      <c r="AM862" s="247"/>
      <c r="AN862" s="247"/>
      <c r="AO862" s="245"/>
      <c r="AP862" s="245"/>
      <c r="AQ862" s="245"/>
      <c r="AR862" s="245"/>
      <c r="AS862" s="245"/>
      <c r="AT862" s="245"/>
      <c r="AU862" s="245"/>
    </row>
    <row r="863" spans="1:47" ht="11.25" hidden="1" customHeight="1" x14ac:dyDescent="0.25">
      <c r="A863" s="1293"/>
      <c r="B863" s="1269"/>
      <c r="C863" s="1269"/>
      <c r="D863" s="1269"/>
      <c r="E863" s="1272"/>
      <c r="F863" s="1269"/>
      <c r="G863" s="1269"/>
      <c r="H863" s="1269"/>
      <c r="I863" s="903"/>
      <c r="J863" s="1269"/>
      <c r="K863" s="1269"/>
      <c r="L863" s="903"/>
      <c r="M863" s="1269"/>
      <c r="N863" s="1269"/>
      <c r="O863" s="1269"/>
      <c r="P863" s="1269"/>
      <c r="Q863" s="1269"/>
      <c r="R863" s="1269"/>
      <c r="S863" s="1269"/>
      <c r="T863" s="1269"/>
      <c r="U863" s="1269"/>
      <c r="V863" s="903"/>
      <c r="W863" s="1269"/>
      <c r="X863" s="1269"/>
      <c r="Y863" s="1269"/>
      <c r="Z863" s="1329"/>
      <c r="AA863" s="245"/>
      <c r="AB863" s="245"/>
      <c r="AC863" s="246"/>
      <c r="AD863" s="246"/>
      <c r="AE863" s="246"/>
      <c r="AF863" s="246"/>
      <c r="AG863" s="246"/>
      <c r="AH863" s="246"/>
      <c r="AI863" s="246"/>
      <c r="AJ863" s="246"/>
      <c r="AK863" s="246"/>
      <c r="AL863" s="247"/>
      <c r="AM863" s="247"/>
      <c r="AN863" s="247"/>
      <c r="AO863" s="245"/>
      <c r="AP863" s="245"/>
      <c r="AQ863" s="245"/>
      <c r="AR863" s="245"/>
      <c r="AS863" s="245"/>
      <c r="AT863" s="245"/>
      <c r="AU863" s="245"/>
    </row>
    <row r="864" spans="1:47" ht="15.75" hidden="1" customHeight="1" x14ac:dyDescent="0.25">
      <c r="A864" s="1293"/>
      <c r="B864" s="1269"/>
      <c r="C864" s="1316" t="s">
        <v>363</v>
      </c>
      <c r="D864" s="199" t="s">
        <v>288</v>
      </c>
      <c r="E864" s="905"/>
      <c r="F864" s="278"/>
      <c r="G864" s="278"/>
      <c r="H864" s="278"/>
      <c r="I864" s="278"/>
      <c r="J864" s="278"/>
      <c r="K864" s="278"/>
      <c r="L864" s="278"/>
      <c r="M864" s="278"/>
      <c r="N864" s="278"/>
      <c r="O864" s="1272" t="s">
        <v>360</v>
      </c>
      <c r="P864" s="1316" t="s">
        <v>86</v>
      </c>
      <c r="Q864" s="1328" t="s">
        <v>86</v>
      </c>
      <c r="R864" s="1316" t="s">
        <v>86</v>
      </c>
      <c r="S864" s="1328" t="s">
        <v>290</v>
      </c>
      <c r="T864" s="1328">
        <v>7878784</v>
      </c>
      <c r="U864" s="1269"/>
      <c r="V864" s="903"/>
      <c r="W864" s="1328" t="s">
        <v>291</v>
      </c>
      <c r="X864" s="1328" t="s">
        <v>292</v>
      </c>
      <c r="Y864" s="1328" t="s">
        <v>293</v>
      </c>
      <c r="Z864" s="1329">
        <v>7878799</v>
      </c>
      <c r="AA864" s="245"/>
      <c r="AB864" s="245"/>
      <c r="AC864" s="246"/>
      <c r="AD864" s="246"/>
      <c r="AE864" s="246"/>
      <c r="AF864" s="246"/>
      <c r="AG864" s="246"/>
      <c r="AH864" s="246"/>
      <c r="AI864" s="246"/>
      <c r="AJ864" s="246"/>
      <c r="AK864" s="246"/>
      <c r="AL864" s="247"/>
      <c r="AM864" s="247"/>
      <c r="AN864" s="247"/>
      <c r="AO864" s="245"/>
      <c r="AP864" s="245"/>
      <c r="AQ864" s="245"/>
      <c r="AR864" s="245"/>
      <c r="AS864" s="245"/>
      <c r="AT864" s="245"/>
      <c r="AU864" s="245"/>
    </row>
    <row r="865" spans="1:47" ht="21.75" hidden="1" customHeight="1" x14ac:dyDescent="0.25">
      <c r="A865" s="1293"/>
      <c r="B865" s="1269"/>
      <c r="C865" s="1269"/>
      <c r="D865" s="904" t="s">
        <v>296</v>
      </c>
      <c r="E865" s="905"/>
      <c r="F865" s="278"/>
      <c r="G865" s="278"/>
      <c r="H865" s="198"/>
      <c r="I865" s="198"/>
      <c r="J865" s="278"/>
      <c r="K865" s="278"/>
      <c r="L865" s="278"/>
      <c r="M865" s="278"/>
      <c r="N865" s="278"/>
      <c r="O865" s="1269"/>
      <c r="P865" s="1269"/>
      <c r="Q865" s="1269"/>
      <c r="R865" s="1269"/>
      <c r="S865" s="1269"/>
      <c r="T865" s="1269"/>
      <c r="U865" s="1269"/>
      <c r="V865" s="903"/>
      <c r="W865" s="1269"/>
      <c r="X865" s="1269"/>
      <c r="Y865" s="1269"/>
      <c r="Z865" s="1329"/>
      <c r="AA865" s="245"/>
      <c r="AB865" s="245"/>
      <c r="AC865" s="246"/>
      <c r="AD865" s="246"/>
      <c r="AE865" s="246"/>
      <c r="AF865" s="246"/>
      <c r="AG865" s="246"/>
      <c r="AH865" s="246"/>
      <c r="AI865" s="246"/>
      <c r="AJ865" s="246"/>
      <c r="AK865" s="246"/>
      <c r="AL865" s="247"/>
      <c r="AM865" s="247"/>
      <c r="AN865" s="247"/>
      <c r="AO865" s="245"/>
      <c r="AP865" s="245"/>
      <c r="AQ865" s="245"/>
      <c r="AR865" s="245"/>
      <c r="AS865" s="245"/>
      <c r="AT865" s="245"/>
      <c r="AU865" s="245"/>
    </row>
    <row r="866" spans="1:47" ht="20.25" hidden="1" customHeight="1" x14ac:dyDescent="0.25">
      <c r="A866" s="1293"/>
      <c r="B866" s="1269"/>
      <c r="C866" s="1269"/>
      <c r="D866" s="904" t="s">
        <v>299</v>
      </c>
      <c r="E866" s="278"/>
      <c r="F866" s="278"/>
      <c r="G866" s="278"/>
      <c r="H866" s="278"/>
      <c r="I866" s="278"/>
      <c r="J866" s="278"/>
      <c r="K866" s="278"/>
      <c r="L866" s="278"/>
      <c r="M866" s="278"/>
      <c r="N866" s="278"/>
      <c r="O866" s="1269"/>
      <c r="P866" s="1269"/>
      <c r="Q866" s="1269"/>
      <c r="R866" s="1269"/>
      <c r="S866" s="1269"/>
      <c r="T866" s="1269"/>
      <c r="U866" s="1269"/>
      <c r="V866" s="903"/>
      <c r="W866" s="1269"/>
      <c r="X866" s="1269"/>
      <c r="Y866" s="1269"/>
      <c r="Z866" s="1329"/>
      <c r="AA866" s="245"/>
      <c r="AB866" s="245"/>
      <c r="AC866" s="246"/>
      <c r="AD866" s="246"/>
      <c r="AE866" s="246"/>
      <c r="AF866" s="246"/>
      <c r="AG866" s="246"/>
      <c r="AH866" s="246"/>
      <c r="AI866" s="246"/>
      <c r="AJ866" s="246"/>
      <c r="AK866" s="246"/>
      <c r="AL866" s="247"/>
      <c r="AM866" s="247"/>
      <c r="AN866" s="247"/>
      <c r="AO866" s="245"/>
      <c r="AP866" s="245"/>
      <c r="AQ866" s="245"/>
      <c r="AR866" s="245"/>
      <c r="AS866" s="245"/>
      <c r="AT866" s="245"/>
      <c r="AU866" s="245"/>
    </row>
    <row r="867" spans="1:47" ht="10.5" hidden="1" customHeight="1" x14ac:dyDescent="0.25">
      <c r="A867" s="1293"/>
      <c r="B867" s="1269"/>
      <c r="C867" s="1269"/>
      <c r="D867" s="1299" t="s">
        <v>302</v>
      </c>
      <c r="E867" s="1272"/>
      <c r="F867" s="1272"/>
      <c r="G867" s="1272"/>
      <c r="H867" s="1272"/>
      <c r="I867" s="905"/>
      <c r="J867" s="1272"/>
      <c r="K867" s="1272"/>
      <c r="L867" s="905"/>
      <c r="M867" s="1272"/>
      <c r="N867" s="1272"/>
      <c r="O867" s="1269"/>
      <c r="P867" s="1269"/>
      <c r="Q867" s="1269"/>
      <c r="R867" s="1269"/>
      <c r="S867" s="1269"/>
      <c r="T867" s="1269"/>
      <c r="U867" s="1269"/>
      <c r="V867" s="903"/>
      <c r="W867" s="1269"/>
      <c r="X867" s="1269"/>
      <c r="Y867" s="1269"/>
      <c r="Z867" s="1329"/>
      <c r="AA867" s="245"/>
      <c r="AB867" s="245"/>
      <c r="AC867" s="246"/>
      <c r="AD867" s="246"/>
      <c r="AE867" s="246"/>
      <c r="AF867" s="246"/>
      <c r="AG867" s="246"/>
      <c r="AH867" s="246"/>
      <c r="AI867" s="246"/>
      <c r="AJ867" s="246"/>
      <c r="AK867" s="246"/>
      <c r="AL867" s="247"/>
      <c r="AM867" s="247"/>
      <c r="AN867" s="247"/>
      <c r="AO867" s="245"/>
      <c r="AP867" s="245"/>
      <c r="AQ867" s="245"/>
      <c r="AR867" s="245"/>
      <c r="AS867" s="245"/>
      <c r="AT867" s="245"/>
      <c r="AU867" s="245"/>
    </row>
    <row r="868" spans="1:47" ht="12.75" hidden="1" customHeight="1" x14ac:dyDescent="0.25">
      <c r="A868" s="1293"/>
      <c r="B868" s="1269"/>
      <c r="C868" s="1269"/>
      <c r="D868" s="1269"/>
      <c r="E868" s="1272"/>
      <c r="F868" s="1269"/>
      <c r="G868" s="1269"/>
      <c r="H868" s="1269"/>
      <c r="I868" s="903"/>
      <c r="J868" s="1269"/>
      <c r="K868" s="1269"/>
      <c r="L868" s="903"/>
      <c r="M868" s="1269"/>
      <c r="N868" s="1269"/>
      <c r="O868" s="1269"/>
      <c r="P868" s="1269"/>
      <c r="Q868" s="1269"/>
      <c r="R868" s="1269"/>
      <c r="S868" s="1269"/>
      <c r="T868" s="1269"/>
      <c r="U868" s="1269"/>
      <c r="V868" s="903"/>
      <c r="W868" s="1269"/>
      <c r="X868" s="1269"/>
      <c r="Y868" s="1269"/>
      <c r="Z868" s="1329"/>
      <c r="AA868" s="245"/>
      <c r="AB868" s="245"/>
      <c r="AC868" s="246"/>
      <c r="AD868" s="246"/>
      <c r="AE868" s="246"/>
      <c r="AF868" s="246"/>
      <c r="AG868" s="246"/>
      <c r="AH868" s="246"/>
      <c r="AI868" s="246"/>
      <c r="AJ868" s="246"/>
      <c r="AK868" s="246"/>
      <c r="AL868" s="247"/>
      <c r="AM868" s="247"/>
      <c r="AN868" s="247"/>
      <c r="AO868" s="245"/>
      <c r="AP868" s="245"/>
      <c r="AQ868" s="245"/>
      <c r="AR868" s="245"/>
      <c r="AS868" s="245"/>
      <c r="AT868" s="245"/>
      <c r="AU868" s="245"/>
    </row>
    <row r="869" spans="1:47" ht="10.5" hidden="1" customHeight="1" x14ac:dyDescent="0.25">
      <c r="A869" s="1293"/>
      <c r="B869" s="1269"/>
      <c r="C869" s="1269"/>
      <c r="D869" s="1269"/>
      <c r="E869" s="1272"/>
      <c r="F869" s="1269"/>
      <c r="G869" s="1269"/>
      <c r="H869" s="1269"/>
      <c r="I869" s="903"/>
      <c r="J869" s="1269"/>
      <c r="K869" s="1269"/>
      <c r="L869" s="903"/>
      <c r="M869" s="1269"/>
      <c r="N869" s="1269"/>
      <c r="O869" s="1269"/>
      <c r="P869" s="1269"/>
      <c r="Q869" s="1269"/>
      <c r="R869" s="1269"/>
      <c r="S869" s="1269"/>
      <c r="T869" s="1269"/>
      <c r="U869" s="1269"/>
      <c r="V869" s="903"/>
      <c r="W869" s="1269"/>
      <c r="X869" s="1269"/>
      <c r="Y869" s="1269"/>
      <c r="Z869" s="1329"/>
      <c r="AA869" s="245"/>
      <c r="AB869" s="245"/>
      <c r="AC869" s="246"/>
      <c r="AD869" s="246"/>
      <c r="AE869" s="246"/>
      <c r="AF869" s="246"/>
      <c r="AG869" s="246"/>
      <c r="AH869" s="246"/>
      <c r="AI869" s="246"/>
      <c r="AJ869" s="246"/>
      <c r="AK869" s="246"/>
      <c r="AL869" s="247"/>
      <c r="AM869" s="247"/>
      <c r="AN869" s="247"/>
      <c r="AO869" s="245"/>
      <c r="AP869" s="245"/>
      <c r="AQ869" s="245"/>
      <c r="AR869" s="245"/>
      <c r="AS869" s="245"/>
      <c r="AT869" s="245"/>
      <c r="AU869" s="245"/>
    </row>
    <row r="870" spans="1:47" ht="11.25" hidden="1" customHeight="1" x14ac:dyDescent="0.25">
      <c r="A870" s="1293"/>
      <c r="B870" s="1269"/>
      <c r="C870" s="1269"/>
      <c r="D870" s="1269"/>
      <c r="E870" s="1272"/>
      <c r="F870" s="1269"/>
      <c r="G870" s="1269"/>
      <c r="H870" s="1269"/>
      <c r="I870" s="903"/>
      <c r="J870" s="1269"/>
      <c r="K870" s="1269"/>
      <c r="L870" s="903"/>
      <c r="M870" s="1269"/>
      <c r="N870" s="1269"/>
      <c r="O870" s="1269"/>
      <c r="P870" s="1269"/>
      <c r="Q870" s="1269"/>
      <c r="R870" s="1269"/>
      <c r="S870" s="1269"/>
      <c r="T870" s="1269"/>
      <c r="U870" s="1269"/>
      <c r="V870" s="903"/>
      <c r="W870" s="1269"/>
      <c r="X870" s="1269"/>
      <c r="Y870" s="1269"/>
      <c r="Z870" s="1329"/>
      <c r="AA870" s="245"/>
      <c r="AB870" s="245"/>
      <c r="AC870" s="246"/>
      <c r="AD870" s="246"/>
      <c r="AE870" s="246"/>
      <c r="AF870" s="246"/>
      <c r="AG870" s="246"/>
      <c r="AH870" s="246"/>
      <c r="AI870" s="246"/>
      <c r="AJ870" s="246"/>
      <c r="AK870" s="246"/>
      <c r="AL870" s="247"/>
      <c r="AM870" s="247"/>
      <c r="AN870" s="247"/>
      <c r="AO870" s="245"/>
      <c r="AP870" s="245"/>
      <c r="AQ870" s="245"/>
      <c r="AR870" s="245"/>
      <c r="AS870" s="245"/>
      <c r="AT870" s="245"/>
      <c r="AU870" s="245"/>
    </row>
    <row r="871" spans="1:47" ht="16.5" hidden="1" customHeight="1" x14ac:dyDescent="0.25">
      <c r="A871" s="1293"/>
      <c r="B871" s="1269"/>
      <c r="C871" s="1316" t="s">
        <v>363</v>
      </c>
      <c r="D871" s="199" t="s">
        <v>288</v>
      </c>
      <c r="E871" s="905"/>
      <c r="F871" s="278"/>
      <c r="G871" s="278"/>
      <c r="H871" s="278"/>
      <c r="I871" s="278"/>
      <c r="J871" s="278"/>
      <c r="K871" s="278"/>
      <c r="L871" s="278"/>
      <c r="M871" s="278"/>
      <c r="N871" s="278"/>
      <c r="O871" s="1272" t="s">
        <v>369</v>
      </c>
      <c r="P871" s="1316" t="s">
        <v>86</v>
      </c>
      <c r="Q871" s="1328" t="s">
        <v>86</v>
      </c>
      <c r="R871" s="1316" t="s">
        <v>86</v>
      </c>
      <c r="S871" s="1328" t="s">
        <v>290</v>
      </c>
      <c r="T871" s="1328">
        <v>7878784</v>
      </c>
      <c r="U871" s="1269"/>
      <c r="V871" s="903"/>
      <c r="W871" s="1328" t="s">
        <v>291</v>
      </c>
      <c r="X871" s="1328" t="s">
        <v>292</v>
      </c>
      <c r="Y871" s="1328" t="s">
        <v>293</v>
      </c>
      <c r="Z871" s="1329">
        <v>7878800</v>
      </c>
      <c r="AA871" s="245"/>
      <c r="AB871" s="245"/>
      <c r="AC871" s="246"/>
      <c r="AD871" s="246"/>
      <c r="AE871" s="246"/>
      <c r="AF871" s="246"/>
      <c r="AG871" s="246"/>
      <c r="AH871" s="246"/>
      <c r="AI871" s="246"/>
      <c r="AJ871" s="246"/>
      <c r="AK871" s="246"/>
      <c r="AL871" s="247"/>
      <c r="AM871" s="247"/>
      <c r="AN871" s="247"/>
      <c r="AO871" s="245"/>
      <c r="AP871" s="245"/>
      <c r="AQ871" s="245"/>
      <c r="AR871" s="245"/>
      <c r="AS871" s="245"/>
      <c r="AT871" s="245"/>
      <c r="AU871" s="245"/>
    </row>
    <row r="872" spans="1:47" ht="21.75" hidden="1" customHeight="1" x14ac:dyDescent="0.25">
      <c r="A872" s="1293"/>
      <c r="B872" s="1269"/>
      <c r="C872" s="1269"/>
      <c r="D872" s="904" t="s">
        <v>296</v>
      </c>
      <c r="E872" s="905"/>
      <c r="F872" s="278"/>
      <c r="G872" s="278"/>
      <c r="H872" s="198"/>
      <c r="I872" s="198"/>
      <c r="J872" s="278"/>
      <c r="K872" s="278"/>
      <c r="L872" s="278"/>
      <c r="M872" s="278"/>
      <c r="N872" s="278"/>
      <c r="O872" s="1269"/>
      <c r="P872" s="1269"/>
      <c r="Q872" s="1269"/>
      <c r="R872" s="1269"/>
      <c r="S872" s="1269"/>
      <c r="T872" s="1269"/>
      <c r="U872" s="1269"/>
      <c r="V872" s="903"/>
      <c r="W872" s="1269"/>
      <c r="X872" s="1269"/>
      <c r="Y872" s="1269"/>
      <c r="Z872" s="1329"/>
      <c r="AA872" s="245"/>
      <c r="AB872" s="245"/>
      <c r="AC872" s="246"/>
      <c r="AD872" s="246"/>
      <c r="AE872" s="246"/>
      <c r="AF872" s="246"/>
      <c r="AG872" s="246"/>
      <c r="AH872" s="246"/>
      <c r="AI872" s="246"/>
      <c r="AJ872" s="246"/>
      <c r="AK872" s="246"/>
      <c r="AL872" s="247"/>
      <c r="AM872" s="247"/>
      <c r="AN872" s="247"/>
      <c r="AO872" s="245"/>
      <c r="AP872" s="245"/>
      <c r="AQ872" s="245"/>
      <c r="AR872" s="245"/>
      <c r="AS872" s="245"/>
      <c r="AT872" s="245"/>
      <c r="AU872" s="245"/>
    </row>
    <row r="873" spans="1:47" ht="20.25" hidden="1" customHeight="1" x14ac:dyDescent="0.25">
      <c r="A873" s="1293"/>
      <c r="B873" s="1269"/>
      <c r="C873" s="1269"/>
      <c r="D873" s="904" t="s">
        <v>299</v>
      </c>
      <c r="E873" s="278"/>
      <c r="F873" s="278"/>
      <c r="G873" s="278"/>
      <c r="H873" s="278"/>
      <c r="I873" s="278"/>
      <c r="J873" s="278"/>
      <c r="K873" s="278"/>
      <c r="L873" s="278"/>
      <c r="M873" s="278"/>
      <c r="N873" s="278"/>
      <c r="O873" s="1269"/>
      <c r="P873" s="1269"/>
      <c r="Q873" s="1269"/>
      <c r="R873" s="1269"/>
      <c r="S873" s="1269"/>
      <c r="T873" s="1269"/>
      <c r="U873" s="1269"/>
      <c r="V873" s="903"/>
      <c r="W873" s="1269"/>
      <c r="X873" s="1269"/>
      <c r="Y873" s="1269"/>
      <c r="Z873" s="1329"/>
      <c r="AA873" s="245"/>
      <c r="AB873" s="245"/>
      <c r="AC873" s="246"/>
      <c r="AD873" s="246"/>
      <c r="AE873" s="246"/>
      <c r="AF873" s="246"/>
      <c r="AG873" s="246"/>
      <c r="AH873" s="246"/>
      <c r="AI873" s="246"/>
      <c r="AJ873" s="246"/>
      <c r="AK873" s="246"/>
      <c r="AL873" s="247"/>
      <c r="AM873" s="247"/>
      <c r="AN873" s="247"/>
      <c r="AO873" s="245"/>
      <c r="AP873" s="245"/>
      <c r="AQ873" s="245"/>
      <c r="AR873" s="245"/>
      <c r="AS873" s="245"/>
      <c r="AT873" s="245"/>
      <c r="AU873" s="245"/>
    </row>
    <row r="874" spans="1:47" ht="10.5" hidden="1" customHeight="1" x14ac:dyDescent="0.25">
      <c r="A874" s="1293"/>
      <c r="B874" s="1269"/>
      <c r="C874" s="1269"/>
      <c r="D874" s="1299" t="s">
        <v>302</v>
      </c>
      <c r="E874" s="1272"/>
      <c r="F874" s="1272"/>
      <c r="G874" s="1272"/>
      <c r="H874" s="1272"/>
      <c r="I874" s="905"/>
      <c r="J874" s="1272"/>
      <c r="K874" s="1272"/>
      <c r="L874" s="905"/>
      <c r="M874" s="1272"/>
      <c r="N874" s="1272"/>
      <c r="O874" s="1269"/>
      <c r="P874" s="1269"/>
      <c r="Q874" s="1269"/>
      <c r="R874" s="1269"/>
      <c r="S874" s="1269"/>
      <c r="T874" s="1269"/>
      <c r="U874" s="1269"/>
      <c r="V874" s="903"/>
      <c r="W874" s="1269"/>
      <c r="X874" s="1269"/>
      <c r="Y874" s="1269"/>
      <c r="Z874" s="1329"/>
      <c r="AA874" s="245"/>
      <c r="AB874" s="245"/>
      <c r="AC874" s="246"/>
      <c r="AD874" s="246"/>
      <c r="AE874" s="246"/>
      <c r="AF874" s="246"/>
      <c r="AG874" s="246"/>
      <c r="AH874" s="246"/>
      <c r="AI874" s="246"/>
      <c r="AJ874" s="246"/>
      <c r="AK874" s="246"/>
      <c r="AL874" s="247"/>
      <c r="AM874" s="247"/>
      <c r="AN874" s="247"/>
      <c r="AO874" s="245"/>
      <c r="AP874" s="245"/>
      <c r="AQ874" s="245"/>
      <c r="AR874" s="245"/>
      <c r="AS874" s="245"/>
      <c r="AT874" s="245"/>
      <c r="AU874" s="245"/>
    </row>
    <row r="875" spans="1:47" ht="12.75" hidden="1" customHeight="1" x14ac:dyDescent="0.25">
      <c r="A875" s="1293"/>
      <c r="B875" s="1269"/>
      <c r="C875" s="1269"/>
      <c r="D875" s="1269"/>
      <c r="E875" s="1272"/>
      <c r="F875" s="1269"/>
      <c r="G875" s="1269"/>
      <c r="H875" s="1269"/>
      <c r="I875" s="903"/>
      <c r="J875" s="1269"/>
      <c r="K875" s="1269"/>
      <c r="L875" s="903"/>
      <c r="M875" s="1269"/>
      <c r="N875" s="1269"/>
      <c r="O875" s="1269"/>
      <c r="P875" s="1269"/>
      <c r="Q875" s="1269"/>
      <c r="R875" s="1269"/>
      <c r="S875" s="1269"/>
      <c r="T875" s="1269"/>
      <c r="U875" s="1269"/>
      <c r="V875" s="903"/>
      <c r="W875" s="1269"/>
      <c r="X875" s="1269"/>
      <c r="Y875" s="1269"/>
      <c r="Z875" s="1329"/>
      <c r="AA875" s="245"/>
      <c r="AB875" s="245"/>
      <c r="AC875" s="246"/>
      <c r="AD875" s="246"/>
      <c r="AE875" s="246"/>
      <c r="AF875" s="246"/>
      <c r="AG875" s="246"/>
      <c r="AH875" s="246"/>
      <c r="AI875" s="246"/>
      <c r="AJ875" s="246"/>
      <c r="AK875" s="246"/>
      <c r="AL875" s="247"/>
      <c r="AM875" s="247"/>
      <c r="AN875" s="247"/>
      <c r="AO875" s="245"/>
      <c r="AP875" s="245"/>
      <c r="AQ875" s="245"/>
      <c r="AR875" s="245"/>
      <c r="AS875" s="245"/>
      <c r="AT875" s="245"/>
      <c r="AU875" s="245"/>
    </row>
    <row r="876" spans="1:47" ht="10.5" hidden="1" customHeight="1" x14ac:dyDescent="0.25">
      <c r="A876" s="1293"/>
      <c r="B876" s="1269"/>
      <c r="C876" s="1269"/>
      <c r="D876" s="1269"/>
      <c r="E876" s="1272"/>
      <c r="F876" s="1269"/>
      <c r="G876" s="1269"/>
      <c r="H876" s="1269"/>
      <c r="I876" s="903"/>
      <c r="J876" s="1269"/>
      <c r="K876" s="1269"/>
      <c r="L876" s="903"/>
      <c r="M876" s="1269"/>
      <c r="N876" s="1269"/>
      <c r="O876" s="1269"/>
      <c r="P876" s="1269"/>
      <c r="Q876" s="1269"/>
      <c r="R876" s="1269"/>
      <c r="S876" s="1269"/>
      <c r="T876" s="1269"/>
      <c r="U876" s="1269"/>
      <c r="V876" s="903"/>
      <c r="W876" s="1269"/>
      <c r="X876" s="1269"/>
      <c r="Y876" s="1269"/>
      <c r="Z876" s="1329"/>
      <c r="AA876" s="245"/>
      <c r="AB876" s="245"/>
      <c r="AC876" s="246"/>
      <c r="AD876" s="246"/>
      <c r="AE876" s="246"/>
      <c r="AF876" s="246"/>
      <c r="AG876" s="246"/>
      <c r="AH876" s="246"/>
      <c r="AI876" s="246"/>
      <c r="AJ876" s="246"/>
      <c r="AK876" s="246"/>
      <c r="AL876" s="247"/>
      <c r="AM876" s="247"/>
      <c r="AN876" s="247"/>
      <c r="AO876" s="245"/>
      <c r="AP876" s="245"/>
      <c r="AQ876" s="245"/>
      <c r="AR876" s="245"/>
      <c r="AS876" s="245"/>
      <c r="AT876" s="245"/>
      <c r="AU876" s="245"/>
    </row>
    <row r="877" spans="1:47" ht="11.25" hidden="1" customHeight="1" x14ac:dyDescent="0.25">
      <c r="A877" s="1293"/>
      <c r="B877" s="1269"/>
      <c r="C877" s="1269"/>
      <c r="D877" s="1269"/>
      <c r="E877" s="1272"/>
      <c r="F877" s="1269"/>
      <c r="G877" s="1269"/>
      <c r="H877" s="1269"/>
      <c r="I877" s="903"/>
      <c r="J877" s="1269"/>
      <c r="K877" s="1269"/>
      <c r="L877" s="903"/>
      <c r="M877" s="1269"/>
      <c r="N877" s="1269"/>
      <c r="O877" s="1269"/>
      <c r="P877" s="1269"/>
      <c r="Q877" s="1269"/>
      <c r="R877" s="1269"/>
      <c r="S877" s="1269"/>
      <c r="T877" s="1269"/>
      <c r="U877" s="1269"/>
      <c r="V877" s="903"/>
      <c r="W877" s="1269"/>
      <c r="X877" s="1269"/>
      <c r="Y877" s="1269"/>
      <c r="Z877" s="1329"/>
      <c r="AA877" s="245"/>
      <c r="AB877" s="245"/>
      <c r="AC877" s="246"/>
      <c r="AD877" s="246"/>
      <c r="AE877" s="246"/>
      <c r="AF877" s="246"/>
      <c r="AG877" s="246"/>
      <c r="AH877" s="246"/>
      <c r="AI877" s="246"/>
      <c r="AJ877" s="246"/>
      <c r="AK877" s="246"/>
      <c r="AL877" s="247"/>
      <c r="AM877" s="247"/>
      <c r="AN877" s="247"/>
      <c r="AO877" s="245"/>
      <c r="AP877" s="245"/>
      <c r="AQ877" s="245"/>
      <c r="AR877" s="245"/>
      <c r="AS877" s="245"/>
      <c r="AT877" s="245"/>
      <c r="AU877" s="245"/>
    </row>
    <row r="878" spans="1:47" ht="17.25" hidden="1" customHeight="1" x14ac:dyDescent="0.25">
      <c r="A878" s="1293"/>
      <c r="B878" s="1269"/>
      <c r="C878" s="1316" t="s">
        <v>363</v>
      </c>
      <c r="D878" s="199" t="s">
        <v>288</v>
      </c>
      <c r="E878" s="905"/>
      <c r="F878" s="278"/>
      <c r="G878" s="278"/>
      <c r="H878" s="278"/>
      <c r="I878" s="278"/>
      <c r="J878" s="278"/>
      <c r="K878" s="278"/>
      <c r="L878" s="278"/>
      <c r="M878" s="278"/>
      <c r="N878" s="278"/>
      <c r="O878" s="1272" t="s">
        <v>370</v>
      </c>
      <c r="P878" s="1316" t="s">
        <v>86</v>
      </c>
      <c r="Q878" s="1328" t="s">
        <v>86</v>
      </c>
      <c r="R878" s="1316" t="s">
        <v>86</v>
      </c>
      <c r="S878" s="1328" t="s">
        <v>290</v>
      </c>
      <c r="T878" s="1328">
        <v>7878784</v>
      </c>
      <c r="U878" s="1269"/>
      <c r="V878" s="903"/>
      <c r="W878" s="1328" t="s">
        <v>291</v>
      </c>
      <c r="X878" s="1328" t="s">
        <v>292</v>
      </c>
      <c r="Y878" s="1328" t="s">
        <v>293</v>
      </c>
      <c r="Z878" s="1329">
        <v>7878801</v>
      </c>
      <c r="AA878" s="245"/>
      <c r="AB878" s="245"/>
      <c r="AC878" s="246"/>
      <c r="AD878" s="246"/>
      <c r="AE878" s="246"/>
      <c r="AF878" s="246"/>
      <c r="AG878" s="246"/>
      <c r="AH878" s="246"/>
      <c r="AI878" s="246"/>
      <c r="AJ878" s="246"/>
      <c r="AK878" s="246"/>
      <c r="AL878" s="247"/>
      <c r="AM878" s="247"/>
      <c r="AN878" s="247"/>
      <c r="AO878" s="245"/>
      <c r="AP878" s="245"/>
      <c r="AQ878" s="245"/>
      <c r="AR878" s="245"/>
      <c r="AS878" s="245"/>
      <c r="AT878" s="245"/>
      <c r="AU878" s="245"/>
    </row>
    <row r="879" spans="1:47" ht="21.75" hidden="1" customHeight="1" x14ac:dyDescent="0.25">
      <c r="A879" s="1293"/>
      <c r="B879" s="1269"/>
      <c r="C879" s="1269"/>
      <c r="D879" s="904" t="s">
        <v>296</v>
      </c>
      <c r="E879" s="905"/>
      <c r="F879" s="278"/>
      <c r="G879" s="278"/>
      <c r="H879" s="198"/>
      <c r="I879" s="198"/>
      <c r="J879" s="278"/>
      <c r="K879" s="278"/>
      <c r="L879" s="278"/>
      <c r="M879" s="278"/>
      <c r="N879" s="278"/>
      <c r="O879" s="1269"/>
      <c r="P879" s="1269"/>
      <c r="Q879" s="1269"/>
      <c r="R879" s="1269"/>
      <c r="S879" s="1269"/>
      <c r="T879" s="1269"/>
      <c r="U879" s="1269"/>
      <c r="V879" s="903"/>
      <c r="W879" s="1269"/>
      <c r="X879" s="1269"/>
      <c r="Y879" s="1269"/>
      <c r="Z879" s="1329"/>
      <c r="AA879" s="245"/>
      <c r="AB879" s="245"/>
      <c r="AC879" s="246"/>
      <c r="AD879" s="246"/>
      <c r="AE879" s="246"/>
      <c r="AF879" s="246"/>
      <c r="AG879" s="246"/>
      <c r="AH879" s="246"/>
      <c r="AI879" s="246"/>
      <c r="AJ879" s="246"/>
      <c r="AK879" s="246"/>
      <c r="AL879" s="247"/>
      <c r="AM879" s="247"/>
      <c r="AN879" s="247"/>
      <c r="AO879" s="245"/>
      <c r="AP879" s="245"/>
      <c r="AQ879" s="245"/>
      <c r="AR879" s="245"/>
      <c r="AS879" s="245"/>
      <c r="AT879" s="245"/>
      <c r="AU879" s="245"/>
    </row>
    <row r="880" spans="1:47" ht="20.25" hidden="1" customHeight="1" x14ac:dyDescent="0.25">
      <c r="A880" s="1293"/>
      <c r="B880" s="1269"/>
      <c r="C880" s="1269"/>
      <c r="D880" s="904" t="s">
        <v>299</v>
      </c>
      <c r="E880" s="278"/>
      <c r="F880" s="278"/>
      <c r="G880" s="278"/>
      <c r="H880" s="278"/>
      <c r="I880" s="278"/>
      <c r="J880" s="278"/>
      <c r="K880" s="278"/>
      <c r="L880" s="278"/>
      <c r="M880" s="278"/>
      <c r="N880" s="278"/>
      <c r="O880" s="1269"/>
      <c r="P880" s="1269"/>
      <c r="Q880" s="1269"/>
      <c r="R880" s="1269"/>
      <c r="S880" s="1269"/>
      <c r="T880" s="1269"/>
      <c r="U880" s="1269"/>
      <c r="V880" s="903"/>
      <c r="W880" s="1269"/>
      <c r="X880" s="1269"/>
      <c r="Y880" s="1269"/>
      <c r="Z880" s="1329"/>
      <c r="AA880" s="245"/>
      <c r="AB880" s="245"/>
      <c r="AC880" s="246"/>
      <c r="AD880" s="246"/>
      <c r="AE880" s="246"/>
      <c r="AF880" s="246"/>
      <c r="AG880" s="246"/>
      <c r="AH880" s="246"/>
      <c r="AI880" s="246"/>
      <c r="AJ880" s="246"/>
      <c r="AK880" s="246"/>
      <c r="AL880" s="247"/>
      <c r="AM880" s="247"/>
      <c r="AN880" s="247"/>
      <c r="AO880" s="245"/>
      <c r="AP880" s="245"/>
      <c r="AQ880" s="245"/>
      <c r="AR880" s="245"/>
      <c r="AS880" s="245"/>
      <c r="AT880" s="245"/>
      <c r="AU880" s="245"/>
    </row>
    <row r="881" spans="1:47" ht="10.5" hidden="1" customHeight="1" x14ac:dyDescent="0.25">
      <c r="A881" s="1293"/>
      <c r="B881" s="1269"/>
      <c r="C881" s="1269"/>
      <c r="D881" s="1299" t="s">
        <v>302</v>
      </c>
      <c r="E881" s="1272"/>
      <c r="F881" s="1272"/>
      <c r="G881" s="1272"/>
      <c r="H881" s="1272"/>
      <c r="I881" s="905"/>
      <c r="J881" s="1272"/>
      <c r="K881" s="1272"/>
      <c r="L881" s="905"/>
      <c r="M881" s="1272"/>
      <c r="N881" s="1272"/>
      <c r="O881" s="1269"/>
      <c r="P881" s="1269"/>
      <c r="Q881" s="1269"/>
      <c r="R881" s="1269"/>
      <c r="S881" s="1269"/>
      <c r="T881" s="1269"/>
      <c r="U881" s="1269"/>
      <c r="V881" s="903"/>
      <c r="W881" s="1269"/>
      <c r="X881" s="1269"/>
      <c r="Y881" s="1269"/>
      <c r="Z881" s="1329"/>
      <c r="AA881" s="245"/>
      <c r="AB881" s="245"/>
      <c r="AC881" s="246"/>
      <c r="AD881" s="246"/>
      <c r="AE881" s="246"/>
      <c r="AF881" s="246"/>
      <c r="AG881" s="246"/>
      <c r="AH881" s="246"/>
      <c r="AI881" s="246"/>
      <c r="AJ881" s="246"/>
      <c r="AK881" s="246"/>
      <c r="AL881" s="247"/>
      <c r="AM881" s="247"/>
      <c r="AN881" s="247"/>
      <c r="AO881" s="245"/>
      <c r="AP881" s="245"/>
      <c r="AQ881" s="245"/>
      <c r="AR881" s="245"/>
      <c r="AS881" s="245"/>
      <c r="AT881" s="245"/>
      <c r="AU881" s="245"/>
    </row>
    <row r="882" spans="1:47" ht="12.75" hidden="1" customHeight="1" x14ac:dyDescent="0.25">
      <c r="A882" s="1293"/>
      <c r="B882" s="1269"/>
      <c r="C882" s="1269"/>
      <c r="D882" s="1269"/>
      <c r="E882" s="1272"/>
      <c r="F882" s="1269"/>
      <c r="G882" s="1269"/>
      <c r="H882" s="1269"/>
      <c r="I882" s="903"/>
      <c r="J882" s="1269"/>
      <c r="K882" s="1269"/>
      <c r="L882" s="903"/>
      <c r="M882" s="1269"/>
      <c r="N882" s="1269"/>
      <c r="O882" s="1269"/>
      <c r="P882" s="1269"/>
      <c r="Q882" s="1269"/>
      <c r="R882" s="1269"/>
      <c r="S882" s="1269"/>
      <c r="T882" s="1269"/>
      <c r="U882" s="1269"/>
      <c r="V882" s="903"/>
      <c r="W882" s="1269"/>
      <c r="X882" s="1269"/>
      <c r="Y882" s="1269"/>
      <c r="Z882" s="1329"/>
      <c r="AA882" s="245"/>
      <c r="AB882" s="245"/>
      <c r="AC882" s="246"/>
      <c r="AD882" s="246"/>
      <c r="AE882" s="246"/>
      <c r="AF882" s="246"/>
      <c r="AG882" s="246"/>
      <c r="AH882" s="246"/>
      <c r="AI882" s="246"/>
      <c r="AJ882" s="246"/>
      <c r="AK882" s="246"/>
      <c r="AL882" s="247"/>
      <c r="AM882" s="247"/>
      <c r="AN882" s="247"/>
      <c r="AO882" s="245"/>
      <c r="AP882" s="245"/>
      <c r="AQ882" s="245"/>
      <c r="AR882" s="245"/>
      <c r="AS882" s="245"/>
      <c r="AT882" s="245"/>
      <c r="AU882" s="245"/>
    </row>
    <row r="883" spans="1:47" ht="10.5" hidden="1" customHeight="1" x14ac:dyDescent="0.25">
      <c r="A883" s="1293"/>
      <c r="B883" s="1269"/>
      <c r="C883" s="1269"/>
      <c r="D883" s="1269"/>
      <c r="E883" s="1272"/>
      <c r="F883" s="1269"/>
      <c r="G883" s="1269"/>
      <c r="H883" s="1269"/>
      <c r="I883" s="903"/>
      <c r="J883" s="1269"/>
      <c r="K883" s="1269"/>
      <c r="L883" s="903"/>
      <c r="M883" s="1269"/>
      <c r="N883" s="1269"/>
      <c r="O883" s="1269"/>
      <c r="P883" s="1269"/>
      <c r="Q883" s="1269"/>
      <c r="R883" s="1269"/>
      <c r="S883" s="1269"/>
      <c r="T883" s="1269"/>
      <c r="U883" s="1269"/>
      <c r="V883" s="903"/>
      <c r="W883" s="1269"/>
      <c r="X883" s="1269"/>
      <c r="Y883" s="1269"/>
      <c r="Z883" s="1329"/>
      <c r="AA883" s="245"/>
      <c r="AB883" s="245"/>
      <c r="AC883" s="246"/>
      <c r="AD883" s="246"/>
      <c r="AE883" s="246"/>
      <c r="AF883" s="246"/>
      <c r="AG883" s="246"/>
      <c r="AH883" s="246"/>
      <c r="AI883" s="246"/>
      <c r="AJ883" s="246"/>
      <c r="AK883" s="246"/>
      <c r="AL883" s="247"/>
      <c r="AM883" s="247"/>
      <c r="AN883" s="247"/>
      <c r="AO883" s="245"/>
      <c r="AP883" s="245"/>
      <c r="AQ883" s="245"/>
      <c r="AR883" s="245"/>
      <c r="AS883" s="245"/>
      <c r="AT883" s="245"/>
      <c r="AU883" s="245"/>
    </row>
    <row r="884" spans="1:47" ht="11.25" hidden="1" customHeight="1" x14ac:dyDescent="0.25">
      <c r="A884" s="1293"/>
      <c r="B884" s="1269"/>
      <c r="C884" s="1269"/>
      <c r="D884" s="1269"/>
      <c r="E884" s="1272"/>
      <c r="F884" s="1269"/>
      <c r="G884" s="1269"/>
      <c r="H884" s="1269"/>
      <c r="I884" s="903"/>
      <c r="J884" s="1269"/>
      <c r="K884" s="1269"/>
      <c r="L884" s="903"/>
      <c r="M884" s="1269"/>
      <c r="N884" s="1269"/>
      <c r="O884" s="1269"/>
      <c r="P884" s="1269"/>
      <c r="Q884" s="1269"/>
      <c r="R884" s="1269"/>
      <c r="S884" s="1269"/>
      <c r="T884" s="1269"/>
      <c r="U884" s="1269"/>
      <c r="V884" s="903"/>
      <c r="W884" s="1269"/>
      <c r="X884" s="1269"/>
      <c r="Y884" s="1269"/>
      <c r="Z884" s="1329"/>
      <c r="AA884" s="245"/>
      <c r="AB884" s="245"/>
      <c r="AC884" s="246"/>
      <c r="AD884" s="246"/>
      <c r="AE884" s="246"/>
      <c r="AF884" s="246"/>
      <c r="AG884" s="246"/>
      <c r="AH884" s="246"/>
      <c r="AI884" s="246"/>
      <c r="AJ884" s="246"/>
      <c r="AK884" s="246"/>
      <c r="AL884" s="247"/>
      <c r="AM884" s="247"/>
      <c r="AN884" s="247"/>
      <c r="AO884" s="245"/>
      <c r="AP884" s="245"/>
      <c r="AQ884" s="245"/>
      <c r="AR884" s="245"/>
      <c r="AS884" s="245"/>
      <c r="AT884" s="245"/>
      <c r="AU884" s="245"/>
    </row>
    <row r="885" spans="1:47" ht="14.25" hidden="1" customHeight="1" x14ac:dyDescent="0.25">
      <c r="A885" s="1293"/>
      <c r="B885" s="1269"/>
      <c r="C885" s="1316" t="s">
        <v>363</v>
      </c>
      <c r="D885" s="199" t="s">
        <v>288</v>
      </c>
      <c r="E885" s="905"/>
      <c r="F885" s="278"/>
      <c r="G885" s="278"/>
      <c r="H885" s="278"/>
      <c r="I885" s="278"/>
      <c r="J885" s="278"/>
      <c r="K885" s="278"/>
      <c r="L885" s="278"/>
      <c r="M885" s="278"/>
      <c r="N885" s="278"/>
      <c r="O885" s="1272" t="s">
        <v>320</v>
      </c>
      <c r="P885" s="1316" t="s">
        <v>86</v>
      </c>
      <c r="Q885" s="1328" t="s">
        <v>86</v>
      </c>
      <c r="R885" s="1316" t="s">
        <v>86</v>
      </c>
      <c r="S885" s="1328" t="s">
        <v>290</v>
      </c>
      <c r="T885" s="1328">
        <v>7878784</v>
      </c>
      <c r="U885" s="1269"/>
      <c r="V885" s="903"/>
      <c r="W885" s="1328" t="s">
        <v>291</v>
      </c>
      <c r="X885" s="1328" t="s">
        <v>292</v>
      </c>
      <c r="Y885" s="1328" t="s">
        <v>293</v>
      </c>
      <c r="Z885" s="1329">
        <v>7878802</v>
      </c>
      <c r="AA885" s="245"/>
      <c r="AB885" s="245"/>
      <c r="AC885" s="246"/>
      <c r="AD885" s="246"/>
      <c r="AE885" s="246"/>
      <c r="AF885" s="246"/>
      <c r="AG885" s="246"/>
      <c r="AH885" s="246"/>
      <c r="AI885" s="246"/>
      <c r="AJ885" s="246"/>
      <c r="AK885" s="246"/>
      <c r="AL885" s="247"/>
      <c r="AM885" s="247"/>
      <c r="AN885" s="247"/>
      <c r="AO885" s="245"/>
      <c r="AP885" s="245"/>
      <c r="AQ885" s="245"/>
      <c r="AR885" s="245"/>
      <c r="AS885" s="245"/>
      <c r="AT885" s="245"/>
      <c r="AU885" s="245"/>
    </row>
    <row r="886" spans="1:47" ht="21.75" hidden="1" customHeight="1" x14ac:dyDescent="0.25">
      <c r="A886" s="1293"/>
      <c r="B886" s="1269"/>
      <c r="C886" s="1269"/>
      <c r="D886" s="904" t="s">
        <v>296</v>
      </c>
      <c r="E886" s="905"/>
      <c r="F886" s="278"/>
      <c r="G886" s="278"/>
      <c r="H886" s="198"/>
      <c r="I886" s="198"/>
      <c r="J886" s="278"/>
      <c r="K886" s="278"/>
      <c r="L886" s="278"/>
      <c r="M886" s="278"/>
      <c r="N886" s="278"/>
      <c r="O886" s="1269"/>
      <c r="P886" s="1269"/>
      <c r="Q886" s="1269"/>
      <c r="R886" s="1269"/>
      <c r="S886" s="1269"/>
      <c r="T886" s="1269"/>
      <c r="U886" s="1269"/>
      <c r="V886" s="903"/>
      <c r="W886" s="1269"/>
      <c r="X886" s="1269"/>
      <c r="Y886" s="1269"/>
      <c r="Z886" s="1329"/>
      <c r="AA886" s="245"/>
      <c r="AB886" s="245"/>
      <c r="AC886" s="246"/>
      <c r="AD886" s="246"/>
      <c r="AE886" s="246"/>
      <c r="AF886" s="246"/>
      <c r="AG886" s="246"/>
      <c r="AH886" s="246"/>
      <c r="AI886" s="246"/>
      <c r="AJ886" s="246"/>
      <c r="AK886" s="246"/>
      <c r="AL886" s="247"/>
      <c r="AM886" s="247"/>
      <c r="AN886" s="247"/>
      <c r="AO886" s="245"/>
      <c r="AP886" s="245"/>
      <c r="AQ886" s="245"/>
      <c r="AR886" s="245"/>
      <c r="AS886" s="245"/>
      <c r="AT886" s="245"/>
      <c r="AU886" s="245"/>
    </row>
    <row r="887" spans="1:47" ht="20.25" hidden="1" customHeight="1" x14ac:dyDescent="0.25">
      <c r="A887" s="1293"/>
      <c r="B887" s="1269"/>
      <c r="C887" s="1269"/>
      <c r="D887" s="904" t="s">
        <v>299</v>
      </c>
      <c r="E887" s="278"/>
      <c r="F887" s="278"/>
      <c r="G887" s="278"/>
      <c r="H887" s="278"/>
      <c r="I887" s="278"/>
      <c r="J887" s="278"/>
      <c r="K887" s="278"/>
      <c r="L887" s="278"/>
      <c r="M887" s="278"/>
      <c r="N887" s="278"/>
      <c r="O887" s="1269"/>
      <c r="P887" s="1269"/>
      <c r="Q887" s="1269"/>
      <c r="R887" s="1269"/>
      <c r="S887" s="1269"/>
      <c r="T887" s="1269"/>
      <c r="U887" s="1269"/>
      <c r="V887" s="903"/>
      <c r="W887" s="1269"/>
      <c r="X887" s="1269"/>
      <c r="Y887" s="1269"/>
      <c r="Z887" s="1329"/>
      <c r="AA887" s="245"/>
      <c r="AB887" s="245"/>
      <c r="AC887" s="246"/>
      <c r="AD887" s="246"/>
      <c r="AE887" s="246"/>
      <c r="AF887" s="246"/>
      <c r="AG887" s="246"/>
      <c r="AH887" s="246"/>
      <c r="AI887" s="246"/>
      <c r="AJ887" s="246"/>
      <c r="AK887" s="246"/>
      <c r="AL887" s="247"/>
      <c r="AM887" s="247"/>
      <c r="AN887" s="247"/>
      <c r="AO887" s="245"/>
      <c r="AP887" s="245"/>
      <c r="AQ887" s="245"/>
      <c r="AR887" s="245"/>
      <c r="AS887" s="245"/>
      <c r="AT887" s="245"/>
      <c r="AU887" s="245"/>
    </row>
    <row r="888" spans="1:47" ht="10.5" hidden="1" customHeight="1" x14ac:dyDescent="0.25">
      <c r="A888" s="1293"/>
      <c r="B888" s="1269"/>
      <c r="C888" s="1269"/>
      <c r="D888" s="1299" t="s">
        <v>302</v>
      </c>
      <c r="E888" s="1272"/>
      <c r="F888" s="1272"/>
      <c r="G888" s="1272"/>
      <c r="H888" s="1272"/>
      <c r="I888" s="905"/>
      <c r="J888" s="1272"/>
      <c r="K888" s="1272"/>
      <c r="L888" s="905"/>
      <c r="M888" s="1272"/>
      <c r="N888" s="1272"/>
      <c r="O888" s="1269"/>
      <c r="P888" s="1269"/>
      <c r="Q888" s="1269"/>
      <c r="R888" s="1269"/>
      <c r="S888" s="1269"/>
      <c r="T888" s="1269"/>
      <c r="U888" s="1269"/>
      <c r="V888" s="903"/>
      <c r="W888" s="1269"/>
      <c r="X888" s="1269"/>
      <c r="Y888" s="1269"/>
      <c r="Z888" s="1329"/>
      <c r="AA888" s="245"/>
      <c r="AB888" s="245"/>
      <c r="AC888" s="246"/>
      <c r="AD888" s="246"/>
      <c r="AE888" s="246"/>
      <c r="AF888" s="246"/>
      <c r="AG888" s="246"/>
      <c r="AH888" s="246"/>
      <c r="AI888" s="246"/>
      <c r="AJ888" s="246"/>
      <c r="AK888" s="246"/>
      <c r="AL888" s="247"/>
      <c r="AM888" s="247"/>
      <c r="AN888" s="247"/>
      <c r="AO888" s="245"/>
      <c r="AP888" s="245"/>
      <c r="AQ888" s="245"/>
      <c r="AR888" s="245"/>
      <c r="AS888" s="245"/>
      <c r="AT888" s="245"/>
      <c r="AU888" s="245"/>
    </row>
    <row r="889" spans="1:47" ht="12.75" hidden="1" customHeight="1" x14ac:dyDescent="0.25">
      <c r="A889" s="1293"/>
      <c r="B889" s="1269"/>
      <c r="C889" s="1269"/>
      <c r="D889" s="1269"/>
      <c r="E889" s="1272"/>
      <c r="F889" s="1269"/>
      <c r="G889" s="1269"/>
      <c r="H889" s="1269"/>
      <c r="I889" s="903"/>
      <c r="J889" s="1269"/>
      <c r="K889" s="1269"/>
      <c r="L889" s="903"/>
      <c r="M889" s="1269"/>
      <c r="N889" s="1269"/>
      <c r="O889" s="1269"/>
      <c r="P889" s="1269"/>
      <c r="Q889" s="1269"/>
      <c r="R889" s="1269"/>
      <c r="S889" s="1269"/>
      <c r="T889" s="1269"/>
      <c r="U889" s="1269"/>
      <c r="V889" s="903"/>
      <c r="W889" s="1269"/>
      <c r="X889" s="1269"/>
      <c r="Y889" s="1269"/>
      <c r="Z889" s="1329"/>
      <c r="AA889" s="245"/>
      <c r="AB889" s="245"/>
      <c r="AC889" s="246"/>
      <c r="AD889" s="246"/>
      <c r="AE889" s="246"/>
      <c r="AF889" s="246"/>
      <c r="AG889" s="246"/>
      <c r="AH889" s="246"/>
      <c r="AI889" s="246"/>
      <c r="AJ889" s="246"/>
      <c r="AK889" s="246"/>
      <c r="AL889" s="247"/>
      <c r="AM889" s="247"/>
      <c r="AN889" s="247"/>
      <c r="AO889" s="245"/>
      <c r="AP889" s="245"/>
      <c r="AQ889" s="245"/>
      <c r="AR889" s="245"/>
      <c r="AS889" s="245"/>
      <c r="AT889" s="245"/>
      <c r="AU889" s="245"/>
    </row>
    <row r="890" spans="1:47" ht="10.5" hidden="1" customHeight="1" x14ac:dyDescent="0.25">
      <c r="A890" s="1293"/>
      <c r="B890" s="1269"/>
      <c r="C890" s="1269"/>
      <c r="D890" s="1269"/>
      <c r="E890" s="1272"/>
      <c r="F890" s="1269"/>
      <c r="G890" s="1269"/>
      <c r="H890" s="1269"/>
      <c r="I890" s="903"/>
      <c r="J890" s="1269"/>
      <c r="K890" s="1269"/>
      <c r="L890" s="903"/>
      <c r="M890" s="1269"/>
      <c r="N890" s="1269"/>
      <c r="O890" s="1269"/>
      <c r="P890" s="1269"/>
      <c r="Q890" s="1269"/>
      <c r="R890" s="1269"/>
      <c r="S890" s="1269"/>
      <c r="T890" s="1269"/>
      <c r="U890" s="1269"/>
      <c r="V890" s="903"/>
      <c r="W890" s="1269"/>
      <c r="X890" s="1269"/>
      <c r="Y890" s="1269"/>
      <c r="Z890" s="1329"/>
      <c r="AA890" s="245"/>
      <c r="AB890" s="245"/>
      <c r="AC890" s="246"/>
      <c r="AD890" s="246"/>
      <c r="AE890" s="246"/>
      <c r="AF890" s="246"/>
      <c r="AG890" s="246"/>
      <c r="AH890" s="246"/>
      <c r="AI890" s="246"/>
      <c r="AJ890" s="246"/>
      <c r="AK890" s="246"/>
      <c r="AL890" s="247"/>
      <c r="AM890" s="247"/>
      <c r="AN890" s="247"/>
      <c r="AO890" s="245"/>
      <c r="AP890" s="245"/>
      <c r="AQ890" s="245"/>
      <c r="AR890" s="245"/>
      <c r="AS890" s="245"/>
      <c r="AT890" s="245"/>
      <c r="AU890" s="245"/>
    </row>
    <row r="891" spans="1:47" ht="11.25" hidden="1" customHeight="1" x14ac:dyDescent="0.25">
      <c r="A891" s="1298"/>
      <c r="B891" s="1270"/>
      <c r="C891" s="1270"/>
      <c r="D891" s="1270"/>
      <c r="E891" s="1297"/>
      <c r="F891" s="1270"/>
      <c r="G891" s="1270"/>
      <c r="H891" s="1270"/>
      <c r="I891" s="908"/>
      <c r="J891" s="1270"/>
      <c r="K891" s="1270"/>
      <c r="L891" s="908"/>
      <c r="M891" s="1270"/>
      <c r="N891" s="1270"/>
      <c r="O891" s="1270"/>
      <c r="P891" s="1270"/>
      <c r="Q891" s="1270"/>
      <c r="R891" s="1270"/>
      <c r="S891" s="1270"/>
      <c r="T891" s="1270"/>
      <c r="U891" s="1270"/>
      <c r="V891" s="908"/>
      <c r="W891" s="1270"/>
      <c r="X891" s="1270"/>
      <c r="Y891" s="1270"/>
      <c r="Z891" s="1330"/>
      <c r="AA891" s="245"/>
      <c r="AB891" s="245"/>
      <c r="AC891" s="246"/>
      <c r="AD891" s="246"/>
      <c r="AE891" s="246"/>
      <c r="AF891" s="246"/>
      <c r="AG891" s="246"/>
      <c r="AH891" s="246"/>
      <c r="AI891" s="246"/>
      <c r="AJ891" s="246"/>
      <c r="AK891" s="246"/>
      <c r="AL891" s="247"/>
      <c r="AM891" s="247"/>
      <c r="AN891" s="247"/>
      <c r="AO891" s="245"/>
      <c r="AP891" s="245"/>
      <c r="AQ891" s="245"/>
      <c r="AR891" s="245"/>
      <c r="AS891" s="245"/>
      <c r="AT891" s="245"/>
      <c r="AU891" s="245"/>
    </row>
    <row r="892" spans="1:47" ht="11.25" customHeight="1" x14ac:dyDescent="0.25">
      <c r="A892" s="1324">
        <v>11</v>
      </c>
      <c r="B892" s="1325" t="s">
        <v>153</v>
      </c>
      <c r="C892" s="1268" t="s">
        <v>287</v>
      </c>
      <c r="D892" s="194" t="s">
        <v>288</v>
      </c>
      <c r="E892" s="455">
        <v>6464234.7187999999</v>
      </c>
      <c r="F892" s="455"/>
      <c r="G892" s="213"/>
      <c r="H892" s="455">
        <v>6464234.7187999999</v>
      </c>
      <c r="I892" s="455"/>
      <c r="J892" s="907">
        <v>242871.09999999998</v>
      </c>
      <c r="K892" s="455">
        <v>34246.799999999996</v>
      </c>
      <c r="L892" s="455">
        <v>55057</v>
      </c>
      <c r="M892" s="455">
        <f>L892+43829.83</f>
        <v>98886.83</v>
      </c>
      <c r="N892" s="455">
        <v>242871.1</v>
      </c>
      <c r="O892" s="1327" t="str">
        <f>C892</f>
        <v>Distrital</v>
      </c>
      <c r="P892" s="1322" t="s">
        <v>86</v>
      </c>
      <c r="Q892" s="1320" t="s">
        <v>86</v>
      </c>
      <c r="R892" s="1322" t="s">
        <v>86</v>
      </c>
      <c r="S892" s="1320" t="s">
        <v>290</v>
      </c>
      <c r="T892" s="1320">
        <v>7878784</v>
      </c>
      <c r="U892" s="1323"/>
      <c r="V892" s="1319"/>
      <c r="W892" s="1320" t="s">
        <v>291</v>
      </c>
      <c r="X892" s="1320" t="s">
        <v>292</v>
      </c>
      <c r="Y892" s="1320" t="s">
        <v>293</v>
      </c>
      <c r="Z892" s="1321">
        <v>7878803</v>
      </c>
      <c r="AC892" s="1304">
        <v>7878783</v>
      </c>
      <c r="AD892" s="8"/>
      <c r="AE892" s="8"/>
      <c r="AF892" s="184"/>
      <c r="AG892" s="184"/>
      <c r="AH892" s="184"/>
      <c r="AI892" s="184"/>
      <c r="AJ892" s="184"/>
      <c r="AK892" s="184"/>
      <c r="AL892" s="184"/>
      <c r="AM892" s="184"/>
      <c r="AN892" s="184"/>
      <c r="AO892" s="185"/>
      <c r="AP892" s="185"/>
      <c r="AQ892" s="185"/>
      <c r="AR892" s="8"/>
      <c r="AS892" s="8"/>
      <c r="AT892" s="8"/>
      <c r="AU892" s="8"/>
    </row>
    <row r="893" spans="1:47" ht="11.25" customHeight="1" x14ac:dyDescent="0.25">
      <c r="A893" s="1293"/>
      <c r="B893" s="1326"/>
      <c r="C893" s="1269"/>
      <c r="D893" s="904" t="s">
        <v>296</v>
      </c>
      <c r="E893" s="456">
        <v>662382313.86593544</v>
      </c>
      <c r="F893" s="456"/>
      <c r="G893" s="198"/>
      <c r="H893" s="456">
        <v>662382313.86593544</v>
      </c>
      <c r="I893" s="456"/>
      <c r="J893" s="456">
        <f>+J892*$J$1033/$J$1032</f>
        <v>17559022.73525399</v>
      </c>
      <c r="K893" s="456">
        <v>7502260.0477044014</v>
      </c>
      <c r="L893" s="456">
        <v>9596604.6966635957</v>
      </c>
      <c r="M893" s="456">
        <v>4391286.9740455803</v>
      </c>
      <c r="N893" s="456">
        <v>16593919.491852963</v>
      </c>
      <c r="O893" s="1311"/>
      <c r="P893" s="1311"/>
      <c r="Q893" s="1311"/>
      <c r="R893" s="1311"/>
      <c r="S893" s="1311"/>
      <c r="T893" s="1311"/>
      <c r="U893" s="1311"/>
      <c r="V893" s="1319"/>
      <c r="W893" s="1311"/>
      <c r="X893" s="1311"/>
      <c r="Y893" s="1311"/>
      <c r="Z893" s="1315"/>
      <c r="AC893" s="982"/>
      <c r="AD893" s="8"/>
      <c r="AE893" s="8"/>
      <c r="AF893" s="184"/>
      <c r="AG893" s="184"/>
      <c r="AH893" s="184"/>
      <c r="AI893" s="184"/>
      <c r="AJ893" s="184"/>
      <c r="AK893" s="184"/>
      <c r="AL893" s="184"/>
      <c r="AM893" s="184"/>
      <c r="AN893" s="184"/>
      <c r="AO893" s="185"/>
      <c r="AP893" s="185"/>
      <c r="AQ893" s="185"/>
      <c r="AR893" s="8"/>
      <c r="AS893" s="8"/>
      <c r="AT893" s="8"/>
      <c r="AU893" s="8"/>
    </row>
    <row r="894" spans="1:47" ht="11.25" customHeight="1" x14ac:dyDescent="0.25">
      <c r="A894" s="1293"/>
      <c r="B894" s="1326"/>
      <c r="C894" s="1269"/>
      <c r="D894" s="904" t="s">
        <v>299</v>
      </c>
      <c r="E894" s="456"/>
      <c r="F894" s="456"/>
      <c r="G894" s="198"/>
      <c r="H894" s="456"/>
      <c r="I894" s="456"/>
      <c r="J894" s="198"/>
      <c r="K894" s="456"/>
      <c r="L894" s="456"/>
      <c r="M894" s="456"/>
      <c r="N894" s="456"/>
      <c r="O894" s="1311"/>
      <c r="P894" s="1311"/>
      <c r="Q894" s="1311"/>
      <c r="R894" s="1311"/>
      <c r="S894" s="1311"/>
      <c r="T894" s="1311"/>
      <c r="U894" s="1311"/>
      <c r="V894" s="1319"/>
      <c r="W894" s="1311"/>
      <c r="X894" s="1311"/>
      <c r="Y894" s="1311"/>
      <c r="Z894" s="1315"/>
      <c r="AC894" s="982"/>
      <c r="AD894" s="8"/>
      <c r="AE894" s="8"/>
      <c r="AF894" s="184"/>
      <c r="AG894" s="184"/>
      <c r="AH894" s="184"/>
      <c r="AI894" s="184"/>
      <c r="AJ894" s="184"/>
      <c r="AK894" s="184"/>
      <c r="AL894" s="184"/>
      <c r="AM894" s="184"/>
      <c r="AN894" s="184"/>
      <c r="AO894" s="185"/>
      <c r="AP894" s="185"/>
      <c r="AQ894" s="185"/>
      <c r="AR894" s="8"/>
      <c r="AS894" s="8"/>
      <c r="AT894" s="8"/>
      <c r="AU894" s="8"/>
    </row>
    <row r="895" spans="1:47" ht="3" customHeight="1" x14ac:dyDescent="0.25">
      <c r="A895" s="1293"/>
      <c r="B895" s="1326"/>
      <c r="C895" s="1269"/>
      <c r="D895" s="1299" t="s">
        <v>302</v>
      </c>
      <c r="E895" s="1306"/>
      <c r="F895" s="935"/>
      <c r="G895" s="1272"/>
      <c r="H895" s="1306"/>
      <c r="I895" s="1307"/>
      <c r="J895" s="1272"/>
      <c r="K895" s="1306"/>
      <c r="L895" s="1306">
        <v>168606787</v>
      </c>
      <c r="M895" s="1307"/>
      <c r="N895" s="1307"/>
      <c r="O895" s="1311"/>
      <c r="P895" s="1311"/>
      <c r="Q895" s="1311"/>
      <c r="R895" s="1311"/>
      <c r="S895" s="1311"/>
      <c r="T895" s="1311"/>
      <c r="U895" s="1311"/>
      <c r="V895" s="1319"/>
      <c r="W895" s="1311"/>
      <c r="X895" s="1311"/>
      <c r="Y895" s="1311"/>
      <c r="Z895" s="1315"/>
      <c r="AC895" s="982"/>
      <c r="AD895" s="8"/>
      <c r="AE895" s="8"/>
      <c r="AF895" s="184"/>
      <c r="AG895" s="184"/>
      <c r="AH895" s="184"/>
      <c r="AI895" s="184"/>
      <c r="AJ895" s="184"/>
      <c r="AK895" s="184"/>
      <c r="AL895" s="184"/>
      <c r="AM895" s="184"/>
      <c r="AN895" s="184"/>
      <c r="AO895" s="185"/>
      <c r="AP895" s="185"/>
      <c r="AQ895" s="185"/>
      <c r="AR895" s="8"/>
      <c r="AS895" s="8"/>
      <c r="AT895" s="8"/>
      <c r="AU895" s="8"/>
    </row>
    <row r="896" spans="1:47" ht="3" customHeight="1" x14ac:dyDescent="0.25">
      <c r="A896" s="1293"/>
      <c r="B896" s="1326"/>
      <c r="C896" s="1269"/>
      <c r="D896" s="1269"/>
      <c r="E896" s="1306"/>
      <c r="F896" s="486"/>
      <c r="G896" s="1269"/>
      <c r="H896" s="1306"/>
      <c r="I896" s="1308"/>
      <c r="J896" s="1269"/>
      <c r="K896" s="1269"/>
      <c r="L896" s="1269"/>
      <c r="M896" s="1308"/>
      <c r="N896" s="1308"/>
      <c r="O896" s="1311"/>
      <c r="P896" s="1311"/>
      <c r="Q896" s="1311"/>
      <c r="R896" s="1311"/>
      <c r="S896" s="1311"/>
      <c r="T896" s="1311"/>
      <c r="U896" s="1311"/>
      <c r="V896" s="1319"/>
      <c r="W896" s="1311"/>
      <c r="X896" s="1311"/>
      <c r="Y896" s="1311"/>
      <c r="Z896" s="1315"/>
      <c r="AC896" s="982"/>
      <c r="AD896" s="8"/>
      <c r="AE896" s="8"/>
      <c r="AF896" s="184"/>
      <c r="AG896" s="184"/>
      <c r="AH896" s="184"/>
      <c r="AI896" s="184"/>
      <c r="AJ896" s="184"/>
      <c r="AK896" s="184"/>
      <c r="AL896" s="184"/>
      <c r="AM896" s="184"/>
      <c r="AN896" s="184"/>
      <c r="AO896" s="185"/>
      <c r="AP896" s="185"/>
      <c r="AQ896" s="185"/>
      <c r="AR896" s="8"/>
      <c r="AS896" s="8"/>
      <c r="AT896" s="8"/>
      <c r="AU896" s="8"/>
    </row>
    <row r="897" spans="1:47" ht="3" customHeight="1" x14ac:dyDescent="0.25">
      <c r="A897" s="1293"/>
      <c r="B897" s="1326"/>
      <c r="C897" s="1269"/>
      <c r="D897" s="1269"/>
      <c r="E897" s="1306"/>
      <c r="F897" s="486"/>
      <c r="G897" s="1269"/>
      <c r="H897" s="1306"/>
      <c r="I897" s="1308"/>
      <c r="J897" s="1269"/>
      <c r="K897" s="1269"/>
      <c r="L897" s="1269"/>
      <c r="M897" s="1308"/>
      <c r="N897" s="1308"/>
      <c r="O897" s="1311"/>
      <c r="P897" s="1311"/>
      <c r="Q897" s="1311"/>
      <c r="R897" s="1311"/>
      <c r="S897" s="1311"/>
      <c r="T897" s="1311"/>
      <c r="U897" s="1311"/>
      <c r="V897" s="1319"/>
      <c r="W897" s="1311"/>
      <c r="X897" s="1311"/>
      <c r="Y897" s="1311"/>
      <c r="Z897" s="1315"/>
      <c r="AC897" s="982"/>
      <c r="AD897" s="8"/>
      <c r="AE897" s="8"/>
      <c r="AF897" s="184"/>
      <c r="AG897" s="184"/>
      <c r="AH897" s="184"/>
      <c r="AI897" s="184"/>
      <c r="AJ897" s="184"/>
      <c r="AK897" s="184"/>
      <c r="AL897" s="184"/>
      <c r="AM897" s="184"/>
      <c r="AN897" s="184"/>
      <c r="AO897" s="185"/>
      <c r="AP897" s="185"/>
      <c r="AQ897" s="185"/>
      <c r="AR897" s="8"/>
      <c r="AS897" s="8"/>
      <c r="AT897" s="8"/>
      <c r="AU897" s="8"/>
    </row>
    <row r="898" spans="1:47" ht="9.75" customHeight="1" thickBot="1" x14ac:dyDescent="0.3">
      <c r="A898" s="1293"/>
      <c r="B898" s="1326"/>
      <c r="C898" s="1269"/>
      <c r="D898" s="1269"/>
      <c r="E898" s="1306"/>
      <c r="F898" s="486"/>
      <c r="G898" s="1269"/>
      <c r="H898" s="1306"/>
      <c r="I898" s="1309"/>
      <c r="J898" s="1269"/>
      <c r="K898" s="1269"/>
      <c r="L898" s="1269"/>
      <c r="M898" s="1309"/>
      <c r="N898" s="1309"/>
      <c r="O898" s="1311"/>
      <c r="P898" s="1311"/>
      <c r="Q898" s="1311"/>
      <c r="R898" s="1311"/>
      <c r="S898" s="1311"/>
      <c r="T898" s="1311"/>
      <c r="U898" s="1311"/>
      <c r="V898" s="1319"/>
      <c r="W898" s="1311"/>
      <c r="X898" s="1311"/>
      <c r="Y898" s="1311"/>
      <c r="Z898" s="1315"/>
      <c r="AC898" s="1305"/>
      <c r="AD898" s="8"/>
      <c r="AE898" s="8"/>
      <c r="AF898" s="184"/>
      <c r="AG898" s="184"/>
      <c r="AH898" s="184"/>
      <c r="AI898" s="184"/>
      <c r="AJ898" s="184"/>
      <c r="AK898" s="184"/>
      <c r="AL898" s="184"/>
      <c r="AM898" s="184"/>
      <c r="AN898" s="184"/>
      <c r="AO898" s="185"/>
      <c r="AP898" s="185"/>
      <c r="AQ898" s="185"/>
      <c r="AR898" s="8"/>
      <c r="AS898" s="8"/>
      <c r="AT898" s="8"/>
      <c r="AU898" s="8"/>
    </row>
    <row r="899" spans="1:47" ht="19.5" customHeight="1" x14ac:dyDescent="0.25">
      <c r="A899" s="1293"/>
      <c r="B899" s="1326"/>
      <c r="C899" s="1316" t="s">
        <v>432</v>
      </c>
      <c r="D899" s="199" t="s">
        <v>288</v>
      </c>
      <c r="E899" s="456">
        <v>181612.57799999998</v>
      </c>
      <c r="F899" s="456"/>
      <c r="G899" s="198"/>
      <c r="H899" s="456">
        <v>181612.57799999998</v>
      </c>
      <c r="I899" s="456"/>
      <c r="J899" s="905">
        <v>793791.99372675002</v>
      </c>
      <c r="K899" s="456">
        <v>181612.57799999998</v>
      </c>
      <c r="L899" s="456">
        <v>338395.05372675002</v>
      </c>
      <c r="M899" s="456">
        <f>L899+274293.58</f>
        <v>612688.63372675003</v>
      </c>
      <c r="N899" s="456">
        <v>793791.99372675002</v>
      </c>
      <c r="O899" s="1317" t="s">
        <v>287</v>
      </c>
      <c r="P899" s="1318" t="s">
        <v>86</v>
      </c>
      <c r="Q899" s="1310" t="s">
        <v>86</v>
      </c>
      <c r="R899" s="1318" t="s">
        <v>86</v>
      </c>
      <c r="S899" s="1310" t="s">
        <v>290</v>
      </c>
      <c r="T899" s="1310">
        <v>7878783</v>
      </c>
      <c r="U899" s="1311"/>
      <c r="V899" s="1319"/>
      <c r="W899" s="1310" t="s">
        <v>291</v>
      </c>
      <c r="X899" s="1310" t="s">
        <v>292</v>
      </c>
      <c r="Y899" s="1310" t="s">
        <v>293</v>
      </c>
      <c r="Z899" s="1315">
        <v>7878804</v>
      </c>
      <c r="AC899" s="1304">
        <v>7878783</v>
      </c>
      <c r="AD899" s="8"/>
      <c r="AE899" s="8"/>
      <c r="AF899" s="184">
        <v>12</v>
      </c>
      <c r="AG899" s="184" t="s">
        <v>294</v>
      </c>
      <c r="AH899" s="184"/>
      <c r="AI899" s="184"/>
      <c r="AJ899" s="184"/>
      <c r="AK899" s="184" t="s">
        <v>295</v>
      </c>
      <c r="AL899" s="184"/>
      <c r="AM899" s="184"/>
      <c r="AN899" s="184"/>
      <c r="AO899" s="185"/>
      <c r="AP899" s="185"/>
      <c r="AQ899" s="185"/>
      <c r="AR899" s="8"/>
      <c r="AS899" s="8"/>
      <c r="AT899" s="8"/>
      <c r="AU899" s="8"/>
    </row>
    <row r="900" spans="1:47" ht="17.25" customHeight="1" x14ac:dyDescent="0.25">
      <c r="A900" s="1293"/>
      <c r="B900" s="1326"/>
      <c r="C900" s="1269"/>
      <c r="D900" s="904" t="s">
        <v>296</v>
      </c>
      <c r="E900" s="456">
        <v>21811584.984545566</v>
      </c>
      <c r="F900" s="456"/>
      <c r="G900" s="198"/>
      <c r="H900" s="456">
        <v>21811584.984545566</v>
      </c>
      <c r="I900" s="456"/>
      <c r="J900" s="456">
        <f>+J899*$J$1033/$J$1032</f>
        <v>57389338.06826172</v>
      </c>
      <c r="K900" s="456">
        <v>39784878.823422901</v>
      </c>
      <c r="L900" s="456">
        <v>58983300.2510463</v>
      </c>
      <c r="M900" s="456">
        <f>((M899-L899)*$M$1033)/$M$1032</f>
        <v>27481325.501794759</v>
      </c>
      <c r="N900" s="456">
        <v>54235026.0577695</v>
      </c>
      <c r="O900" s="1311"/>
      <c r="P900" s="1311"/>
      <c r="Q900" s="1311"/>
      <c r="R900" s="1311"/>
      <c r="S900" s="1311"/>
      <c r="T900" s="1311"/>
      <c r="U900" s="1311"/>
      <c r="V900" s="1319"/>
      <c r="W900" s="1311"/>
      <c r="X900" s="1311"/>
      <c r="Y900" s="1311"/>
      <c r="Z900" s="1315"/>
      <c r="AC900" s="982"/>
      <c r="AD900" s="8"/>
      <c r="AE900" s="8"/>
      <c r="AF900" s="184">
        <v>13</v>
      </c>
      <c r="AG900" s="184" t="s">
        <v>297</v>
      </c>
      <c r="AH900" s="184"/>
      <c r="AI900" s="184"/>
      <c r="AJ900" s="184"/>
      <c r="AK900" s="184" t="s">
        <v>298</v>
      </c>
      <c r="AL900" s="184"/>
      <c r="AM900" s="184"/>
      <c r="AN900" s="184"/>
      <c r="AO900" s="185"/>
      <c r="AP900" s="185"/>
      <c r="AQ900" s="185"/>
      <c r="AR900" s="8"/>
      <c r="AS900" s="8"/>
      <c r="AT900" s="8"/>
      <c r="AU900" s="8"/>
    </row>
    <row r="901" spans="1:47" ht="22.5" customHeight="1" x14ac:dyDescent="0.25">
      <c r="A901" s="1293"/>
      <c r="B901" s="1326"/>
      <c r="C901" s="1269"/>
      <c r="D901" s="904" t="s">
        <v>299</v>
      </c>
      <c r="E901" s="456"/>
      <c r="F901" s="456"/>
      <c r="G901" s="198"/>
      <c r="H901" s="456"/>
      <c r="I901" s="456"/>
      <c r="J901" s="198"/>
      <c r="K901" s="456"/>
      <c r="L901" s="456"/>
      <c r="M901" s="456"/>
      <c r="N901" s="456"/>
      <c r="O901" s="1311"/>
      <c r="P901" s="1311"/>
      <c r="Q901" s="1311"/>
      <c r="R901" s="1311"/>
      <c r="S901" s="1311"/>
      <c r="T901" s="1311"/>
      <c r="U901" s="1311"/>
      <c r="V901" s="1319"/>
      <c r="W901" s="1311"/>
      <c r="X901" s="1311"/>
      <c r="Y901" s="1311"/>
      <c r="Z901" s="1315"/>
      <c r="AC901" s="982"/>
      <c r="AD901" s="8"/>
      <c r="AE901" s="8"/>
      <c r="AF901" s="184">
        <v>14</v>
      </c>
      <c r="AG901" s="184" t="s">
        <v>300</v>
      </c>
      <c r="AH901" s="184"/>
      <c r="AI901" s="184"/>
      <c r="AJ901" s="184"/>
      <c r="AK901" s="184" t="s">
        <v>301</v>
      </c>
      <c r="AL901" s="184"/>
      <c r="AM901" s="184"/>
      <c r="AN901" s="184"/>
      <c r="AO901" s="185"/>
      <c r="AP901" s="185"/>
      <c r="AQ901" s="185"/>
      <c r="AR901" s="8"/>
      <c r="AS901" s="8"/>
      <c r="AT901" s="8"/>
      <c r="AU901" s="8"/>
    </row>
    <row r="902" spans="1:47" ht="5.25" customHeight="1" x14ac:dyDescent="0.25">
      <c r="A902" s="1293"/>
      <c r="B902" s="1326"/>
      <c r="C902" s="1269"/>
      <c r="D902" s="1299" t="s">
        <v>302</v>
      </c>
      <c r="E902" s="1306"/>
      <c r="F902" s="935"/>
      <c r="G902" s="1272"/>
      <c r="H902" s="1306"/>
      <c r="I902" s="1307"/>
      <c r="J902" s="1272"/>
      <c r="K902" s="1306"/>
      <c r="L902" s="1306"/>
      <c r="M902" s="1307"/>
      <c r="N902" s="1307"/>
      <c r="O902" s="1311"/>
      <c r="P902" s="1311"/>
      <c r="Q902" s="1311"/>
      <c r="R902" s="1311"/>
      <c r="S902" s="1311"/>
      <c r="T902" s="1311"/>
      <c r="U902" s="1311"/>
      <c r="V902" s="1319"/>
      <c r="W902" s="1311"/>
      <c r="X902" s="1311"/>
      <c r="Y902" s="1311"/>
      <c r="Z902" s="1315"/>
      <c r="AC902" s="982"/>
      <c r="AD902" s="8"/>
      <c r="AE902" s="8"/>
      <c r="AF902" s="184"/>
      <c r="AG902" s="184"/>
      <c r="AH902" s="184"/>
      <c r="AI902" s="184"/>
      <c r="AJ902" s="184"/>
      <c r="AK902" s="184"/>
      <c r="AL902" s="184"/>
      <c r="AM902" s="184"/>
      <c r="AN902" s="184"/>
      <c r="AO902" s="185"/>
      <c r="AP902" s="185"/>
      <c r="AQ902" s="185"/>
      <c r="AR902" s="8"/>
      <c r="AS902" s="8"/>
      <c r="AT902" s="8"/>
      <c r="AU902" s="8"/>
    </row>
    <row r="903" spans="1:47" ht="5.25" customHeight="1" x14ac:dyDescent="0.25">
      <c r="A903" s="1293"/>
      <c r="B903" s="1326"/>
      <c r="C903" s="1269"/>
      <c r="D903" s="1269"/>
      <c r="E903" s="1306"/>
      <c r="F903" s="486"/>
      <c r="G903" s="1269"/>
      <c r="H903" s="1306"/>
      <c r="I903" s="1308"/>
      <c r="J903" s="1269"/>
      <c r="K903" s="1269"/>
      <c r="L903" s="1269"/>
      <c r="M903" s="1308"/>
      <c r="N903" s="1308"/>
      <c r="O903" s="1311"/>
      <c r="P903" s="1311"/>
      <c r="Q903" s="1311"/>
      <c r="R903" s="1311"/>
      <c r="S903" s="1311"/>
      <c r="T903" s="1311"/>
      <c r="U903" s="1311"/>
      <c r="V903" s="1319"/>
      <c r="W903" s="1311"/>
      <c r="X903" s="1311"/>
      <c r="Y903" s="1311"/>
      <c r="Z903" s="1315"/>
      <c r="AC903" s="982"/>
      <c r="AD903" s="8"/>
      <c r="AE903" s="8"/>
      <c r="AF903" s="184"/>
      <c r="AG903" s="184"/>
      <c r="AH903" s="184"/>
      <c r="AI903" s="184"/>
      <c r="AJ903" s="184"/>
      <c r="AK903" s="184"/>
      <c r="AL903" s="184"/>
      <c r="AM903" s="184"/>
      <c r="AN903" s="184"/>
      <c r="AO903" s="185"/>
      <c r="AP903" s="185"/>
      <c r="AQ903" s="185"/>
      <c r="AR903" s="8"/>
      <c r="AS903" s="8"/>
      <c r="AT903" s="8"/>
      <c r="AU903" s="8"/>
    </row>
    <row r="904" spans="1:47" ht="5.25" customHeight="1" x14ac:dyDescent="0.25">
      <c r="A904" s="1293"/>
      <c r="B904" s="1326"/>
      <c r="C904" s="1269"/>
      <c r="D904" s="1269"/>
      <c r="E904" s="1306"/>
      <c r="F904" s="486"/>
      <c r="G904" s="1269"/>
      <c r="H904" s="1306"/>
      <c r="I904" s="1308"/>
      <c r="J904" s="1269"/>
      <c r="K904" s="1269"/>
      <c r="L904" s="1269"/>
      <c r="M904" s="1308"/>
      <c r="N904" s="1308"/>
      <c r="O904" s="1311"/>
      <c r="P904" s="1311"/>
      <c r="Q904" s="1311"/>
      <c r="R904" s="1311"/>
      <c r="S904" s="1311"/>
      <c r="T904" s="1311"/>
      <c r="U904" s="1311"/>
      <c r="V904" s="1319"/>
      <c r="W904" s="1311"/>
      <c r="X904" s="1311"/>
      <c r="Y904" s="1311"/>
      <c r="Z904" s="1315"/>
      <c r="AC904" s="982"/>
      <c r="AD904" s="8"/>
      <c r="AE904" s="8"/>
      <c r="AF904" s="184"/>
      <c r="AG904" s="184"/>
      <c r="AH904" s="184"/>
      <c r="AI904" s="184"/>
      <c r="AJ904" s="184"/>
      <c r="AK904" s="184"/>
      <c r="AL904" s="184"/>
      <c r="AM904" s="184"/>
      <c r="AN904" s="184"/>
      <c r="AO904" s="185"/>
      <c r="AP904" s="185"/>
      <c r="AQ904" s="185"/>
      <c r="AR904" s="8"/>
      <c r="AS904" s="8"/>
      <c r="AT904" s="8"/>
      <c r="AU904" s="8"/>
    </row>
    <row r="905" spans="1:47" ht="12" customHeight="1" thickBot="1" x14ac:dyDescent="0.3">
      <c r="A905" s="1293"/>
      <c r="B905" s="1326"/>
      <c r="C905" s="1269"/>
      <c r="D905" s="1269"/>
      <c r="E905" s="1306"/>
      <c r="F905" s="486"/>
      <c r="G905" s="1269"/>
      <c r="H905" s="1306"/>
      <c r="I905" s="1309"/>
      <c r="J905" s="1269"/>
      <c r="K905" s="1269"/>
      <c r="L905" s="1269"/>
      <c r="M905" s="1309"/>
      <c r="N905" s="1309"/>
      <c r="O905" s="1311"/>
      <c r="P905" s="1311"/>
      <c r="Q905" s="1311"/>
      <c r="R905" s="1311"/>
      <c r="S905" s="1311"/>
      <c r="T905" s="1311"/>
      <c r="U905" s="1311"/>
      <c r="V905" s="1319"/>
      <c r="W905" s="1311"/>
      <c r="X905" s="1311"/>
      <c r="Y905" s="1311"/>
      <c r="Z905" s="1315"/>
      <c r="AC905" s="1305"/>
      <c r="AD905" s="8"/>
      <c r="AE905" s="8"/>
      <c r="AF905" s="184"/>
      <c r="AG905" s="184"/>
      <c r="AH905" s="184"/>
      <c r="AI905" s="184"/>
      <c r="AJ905" s="184"/>
      <c r="AK905" s="184"/>
      <c r="AL905" s="184"/>
      <c r="AM905" s="184"/>
      <c r="AN905" s="184"/>
      <c r="AO905" s="185"/>
      <c r="AP905" s="185"/>
      <c r="AQ905" s="185"/>
      <c r="AR905" s="8"/>
      <c r="AS905" s="8"/>
      <c r="AT905" s="8"/>
      <c r="AU905" s="8"/>
    </row>
    <row r="906" spans="1:47" ht="10.5" customHeight="1" x14ac:dyDescent="0.25">
      <c r="A906" s="1293"/>
      <c r="B906" s="1326"/>
      <c r="C906" s="1316" t="s">
        <v>398</v>
      </c>
      <c r="D906" s="199" t="s">
        <v>288</v>
      </c>
      <c r="E906" s="456">
        <v>292593.55999999994</v>
      </c>
      <c r="F906" s="456"/>
      <c r="G906" s="198"/>
      <c r="H906" s="456">
        <v>292593.55999999994</v>
      </c>
      <c r="I906" s="456"/>
      <c r="J906" s="905">
        <v>1315217.78728675</v>
      </c>
      <c r="K906" s="456">
        <v>292593.55999999994</v>
      </c>
      <c r="L906" s="456">
        <v>662611.00728675001</v>
      </c>
      <c r="M906" s="456">
        <f>L906+394077.14</f>
        <v>1056688.1472867499</v>
      </c>
      <c r="N906" s="278">
        <v>1315217.78728675</v>
      </c>
      <c r="O906" s="1317" t="s">
        <v>287</v>
      </c>
      <c r="P906" s="1318" t="s">
        <v>86</v>
      </c>
      <c r="Q906" s="1310" t="s">
        <v>86</v>
      </c>
      <c r="R906" s="1318" t="s">
        <v>86</v>
      </c>
      <c r="S906" s="1310" t="s">
        <v>290</v>
      </c>
      <c r="T906" s="1310">
        <v>7878783</v>
      </c>
      <c r="U906" s="1311"/>
      <c r="V906" s="1319"/>
      <c r="W906" s="1310" t="s">
        <v>291</v>
      </c>
      <c r="X906" s="1310" t="s">
        <v>292</v>
      </c>
      <c r="Y906" s="1310" t="s">
        <v>293</v>
      </c>
      <c r="Z906" s="1315">
        <v>7878805</v>
      </c>
      <c r="AC906" s="1304">
        <v>7878783</v>
      </c>
      <c r="AD906" s="8"/>
      <c r="AE906" s="8"/>
      <c r="AF906" s="184">
        <v>12</v>
      </c>
      <c r="AG906" s="184" t="s">
        <v>294</v>
      </c>
      <c r="AH906" s="184"/>
      <c r="AI906" s="184"/>
      <c r="AJ906" s="184"/>
      <c r="AK906" s="184" t="s">
        <v>295</v>
      </c>
      <c r="AL906" s="184"/>
      <c r="AM906" s="184"/>
      <c r="AN906" s="184"/>
      <c r="AO906" s="185"/>
      <c r="AP906" s="185"/>
      <c r="AQ906" s="185"/>
      <c r="AR906" s="8"/>
      <c r="AS906" s="8"/>
      <c r="AT906" s="8"/>
      <c r="AU906" s="8"/>
    </row>
    <row r="907" spans="1:47" ht="10.5" customHeight="1" x14ac:dyDescent="0.25">
      <c r="A907" s="1293"/>
      <c r="B907" s="1326"/>
      <c r="C907" s="1269"/>
      <c r="D907" s="904" t="s">
        <v>296</v>
      </c>
      <c r="E907" s="456">
        <v>35140348.593425795</v>
      </c>
      <c r="F907" s="456"/>
      <c r="G907" s="198"/>
      <c r="H907" s="456">
        <v>35140348.593425795</v>
      </c>
      <c r="I907" s="456"/>
      <c r="J907" s="456">
        <f>+J906*$J$1033/$J$1032</f>
        <v>95087225.399722293</v>
      </c>
      <c r="K907" s="456">
        <v>64096878.406262793</v>
      </c>
      <c r="L907" s="456">
        <v>115495139.66596501</v>
      </c>
      <c r="M907" s="456">
        <f>((M906-L906)*$M$1033)/$M$1032</f>
        <v>39482375.625256486</v>
      </c>
      <c r="N907" s="456">
        <v>89860910.0732418</v>
      </c>
      <c r="O907" s="1311"/>
      <c r="P907" s="1311"/>
      <c r="Q907" s="1311"/>
      <c r="R907" s="1311"/>
      <c r="S907" s="1311"/>
      <c r="T907" s="1311"/>
      <c r="U907" s="1311"/>
      <c r="V907" s="1319"/>
      <c r="W907" s="1311"/>
      <c r="X907" s="1311"/>
      <c r="Y907" s="1311"/>
      <c r="Z907" s="1315"/>
      <c r="AC907" s="982"/>
      <c r="AD907" s="8"/>
      <c r="AE907" s="8"/>
      <c r="AF907" s="184">
        <v>13</v>
      </c>
      <c r="AG907" s="184" t="s">
        <v>297</v>
      </c>
      <c r="AH907" s="184"/>
      <c r="AI907" s="184"/>
      <c r="AJ907" s="184"/>
      <c r="AK907" s="184" t="s">
        <v>298</v>
      </c>
      <c r="AL907" s="184"/>
      <c r="AM907" s="184"/>
      <c r="AN907" s="184"/>
      <c r="AO907" s="185"/>
      <c r="AP907" s="185"/>
      <c r="AQ907" s="185"/>
      <c r="AR907" s="8"/>
      <c r="AS907" s="8"/>
      <c r="AT907" s="8"/>
      <c r="AU907" s="8"/>
    </row>
    <row r="908" spans="1:47" ht="15.75" customHeight="1" x14ac:dyDescent="0.25">
      <c r="A908" s="1293"/>
      <c r="B908" s="1326"/>
      <c r="C908" s="1269"/>
      <c r="D908" s="904" t="s">
        <v>299</v>
      </c>
      <c r="E908" s="456"/>
      <c r="F908" s="456"/>
      <c r="G908" s="198"/>
      <c r="H908" s="456"/>
      <c r="I908" s="456"/>
      <c r="J908" s="198"/>
      <c r="K908" s="456"/>
      <c r="L908" s="456"/>
      <c r="M908" s="456"/>
      <c r="N908" s="456"/>
      <c r="O908" s="1311"/>
      <c r="P908" s="1311"/>
      <c r="Q908" s="1311"/>
      <c r="R908" s="1311"/>
      <c r="S908" s="1311"/>
      <c r="T908" s="1311"/>
      <c r="U908" s="1311"/>
      <c r="V908" s="1319"/>
      <c r="W908" s="1311"/>
      <c r="X908" s="1311"/>
      <c r="Y908" s="1311"/>
      <c r="Z908" s="1315"/>
      <c r="AC908" s="982"/>
      <c r="AD908" s="8"/>
      <c r="AE908" s="8"/>
      <c r="AF908" s="184">
        <v>14</v>
      </c>
      <c r="AG908" s="184" t="s">
        <v>300</v>
      </c>
      <c r="AH908" s="184"/>
      <c r="AI908" s="184"/>
      <c r="AJ908" s="184"/>
      <c r="AK908" s="184" t="s">
        <v>301</v>
      </c>
      <c r="AL908" s="184"/>
      <c r="AM908" s="184"/>
      <c r="AN908" s="184"/>
      <c r="AO908" s="185"/>
      <c r="AP908" s="185"/>
      <c r="AQ908" s="185"/>
      <c r="AR908" s="8"/>
      <c r="AS908" s="8"/>
      <c r="AT908" s="8"/>
      <c r="AU908" s="8"/>
    </row>
    <row r="909" spans="1:47" ht="5.25" customHeight="1" x14ac:dyDescent="0.25">
      <c r="A909" s="1293"/>
      <c r="B909" s="1326"/>
      <c r="C909" s="1269"/>
      <c r="D909" s="1299" t="s">
        <v>302</v>
      </c>
      <c r="E909" s="1306"/>
      <c r="F909" s="935"/>
      <c r="G909" s="1272"/>
      <c r="H909" s="1306"/>
      <c r="I909" s="1307"/>
      <c r="J909" s="1272"/>
      <c r="K909" s="1306"/>
      <c r="L909" s="1306"/>
      <c r="M909" s="1307"/>
      <c r="N909" s="1307"/>
      <c r="O909" s="1311"/>
      <c r="P909" s="1311"/>
      <c r="Q909" s="1311"/>
      <c r="R909" s="1311"/>
      <c r="S909" s="1311"/>
      <c r="T909" s="1311"/>
      <c r="U909" s="1311"/>
      <c r="V909" s="1319"/>
      <c r="W909" s="1311"/>
      <c r="X909" s="1311"/>
      <c r="Y909" s="1311"/>
      <c r="Z909" s="1315"/>
      <c r="AC909" s="982"/>
      <c r="AD909" s="8"/>
      <c r="AE909" s="8"/>
      <c r="AF909" s="184"/>
      <c r="AG909" s="184"/>
      <c r="AH909" s="184"/>
      <c r="AI909" s="184"/>
      <c r="AJ909" s="184"/>
      <c r="AK909" s="184"/>
      <c r="AL909" s="184"/>
      <c r="AM909" s="184"/>
      <c r="AN909" s="184"/>
      <c r="AO909" s="185"/>
      <c r="AP909" s="185"/>
      <c r="AQ909" s="185"/>
      <c r="AR909" s="8"/>
      <c r="AS909" s="8"/>
      <c r="AT909" s="8"/>
      <c r="AU909" s="8"/>
    </row>
    <row r="910" spans="1:47" ht="5.25" customHeight="1" x14ac:dyDescent="0.25">
      <c r="A910" s="1293"/>
      <c r="B910" s="1326"/>
      <c r="C910" s="1269"/>
      <c r="D910" s="1269"/>
      <c r="E910" s="1306"/>
      <c r="F910" s="486"/>
      <c r="G910" s="1269"/>
      <c r="H910" s="1306"/>
      <c r="I910" s="1308"/>
      <c r="J910" s="1269"/>
      <c r="K910" s="1269"/>
      <c r="L910" s="1269"/>
      <c r="M910" s="1308"/>
      <c r="N910" s="1308"/>
      <c r="O910" s="1311"/>
      <c r="P910" s="1311"/>
      <c r="Q910" s="1311"/>
      <c r="R910" s="1311"/>
      <c r="S910" s="1311"/>
      <c r="T910" s="1311"/>
      <c r="U910" s="1311"/>
      <c r="V910" s="1319"/>
      <c r="W910" s="1311"/>
      <c r="X910" s="1311"/>
      <c r="Y910" s="1311"/>
      <c r="Z910" s="1315"/>
      <c r="AC910" s="982"/>
      <c r="AD910" s="8"/>
      <c r="AE910" s="8"/>
      <c r="AF910" s="184"/>
      <c r="AG910" s="184"/>
      <c r="AH910" s="184"/>
      <c r="AI910" s="184"/>
      <c r="AJ910" s="184"/>
      <c r="AK910" s="184"/>
      <c r="AL910" s="184"/>
      <c r="AM910" s="184"/>
      <c r="AN910" s="184"/>
      <c r="AO910" s="185"/>
      <c r="AP910" s="185"/>
      <c r="AQ910" s="185"/>
      <c r="AR910" s="8"/>
      <c r="AS910" s="8"/>
      <c r="AT910" s="8"/>
      <c r="AU910" s="8"/>
    </row>
    <row r="911" spans="1:47" ht="5.25" customHeight="1" x14ac:dyDescent="0.25">
      <c r="A911" s="1293"/>
      <c r="B911" s="1326"/>
      <c r="C911" s="1269"/>
      <c r="D911" s="1269"/>
      <c r="E911" s="1306"/>
      <c r="F911" s="486"/>
      <c r="G911" s="1269"/>
      <c r="H911" s="1306"/>
      <c r="I911" s="1308"/>
      <c r="J911" s="1269"/>
      <c r="K911" s="1269"/>
      <c r="L911" s="1269"/>
      <c r="M911" s="1308"/>
      <c r="N911" s="1308"/>
      <c r="O911" s="1311"/>
      <c r="P911" s="1311"/>
      <c r="Q911" s="1311"/>
      <c r="R911" s="1311"/>
      <c r="S911" s="1311"/>
      <c r="T911" s="1311"/>
      <c r="U911" s="1311"/>
      <c r="V911" s="1319"/>
      <c r="W911" s="1311"/>
      <c r="X911" s="1311"/>
      <c r="Y911" s="1311"/>
      <c r="Z911" s="1315"/>
      <c r="AC911" s="982"/>
      <c r="AD911" s="8"/>
      <c r="AE911" s="8"/>
      <c r="AF911" s="184"/>
      <c r="AG911" s="184"/>
      <c r="AH911" s="184"/>
      <c r="AI911" s="184"/>
      <c r="AJ911" s="184"/>
      <c r="AK911" s="184"/>
      <c r="AL911" s="184"/>
      <c r="AM911" s="184"/>
      <c r="AN911" s="184"/>
      <c r="AO911" s="185"/>
      <c r="AP911" s="185"/>
      <c r="AQ911" s="185"/>
      <c r="AR911" s="8"/>
      <c r="AS911" s="8"/>
      <c r="AT911" s="8"/>
      <c r="AU911" s="8"/>
    </row>
    <row r="912" spans="1:47" ht="5.25" customHeight="1" thickBot="1" x14ac:dyDescent="0.3">
      <c r="A912" s="1293"/>
      <c r="B912" s="1326"/>
      <c r="C912" s="1269"/>
      <c r="D912" s="1269"/>
      <c r="E912" s="1306"/>
      <c r="F912" s="486"/>
      <c r="G912" s="1269"/>
      <c r="H912" s="1306"/>
      <c r="I912" s="1309"/>
      <c r="J912" s="1269"/>
      <c r="K912" s="1269"/>
      <c r="L912" s="1269"/>
      <c r="M912" s="1309"/>
      <c r="N912" s="1309"/>
      <c r="O912" s="1311"/>
      <c r="P912" s="1311"/>
      <c r="Q912" s="1311"/>
      <c r="R912" s="1311"/>
      <c r="S912" s="1311"/>
      <c r="T912" s="1311"/>
      <c r="U912" s="1311"/>
      <c r="V912" s="1319"/>
      <c r="W912" s="1311"/>
      <c r="X912" s="1311"/>
      <c r="Y912" s="1311"/>
      <c r="Z912" s="1315"/>
      <c r="AC912" s="1305"/>
      <c r="AD912" s="8"/>
      <c r="AE912" s="8"/>
      <c r="AF912" s="184"/>
      <c r="AG912" s="184"/>
      <c r="AH912" s="184"/>
      <c r="AI912" s="184"/>
      <c r="AJ912" s="184"/>
      <c r="AK912" s="184"/>
      <c r="AL912" s="184"/>
      <c r="AM912" s="184"/>
      <c r="AN912" s="184"/>
      <c r="AO912" s="185"/>
      <c r="AP912" s="185"/>
      <c r="AQ912" s="185"/>
      <c r="AR912" s="8"/>
      <c r="AS912" s="8"/>
      <c r="AT912" s="8"/>
      <c r="AU912" s="8"/>
    </row>
    <row r="913" spans="1:47" ht="10.5" customHeight="1" x14ac:dyDescent="0.25">
      <c r="A913" s="1293"/>
      <c r="B913" s="1326"/>
      <c r="C913" s="1316" t="s">
        <v>373</v>
      </c>
      <c r="D913" s="199" t="s">
        <v>288</v>
      </c>
      <c r="E913" s="456">
        <v>135331</v>
      </c>
      <c r="F913" s="456"/>
      <c r="G913" s="198"/>
      <c r="H913" s="456">
        <v>135331</v>
      </c>
      <c r="I913" s="456"/>
      <c r="J913" s="905">
        <v>409293.90928675001</v>
      </c>
      <c r="K913" s="456">
        <v>135331</v>
      </c>
      <c r="L913" s="456">
        <v>212213.96928675001</v>
      </c>
      <c r="M913" s="456">
        <f>L913+42975.46</f>
        <v>255189.42928675</v>
      </c>
      <c r="N913" s="456">
        <v>409293.90928675001</v>
      </c>
      <c r="O913" s="1317" t="s">
        <v>287</v>
      </c>
      <c r="P913" s="1318" t="s">
        <v>86</v>
      </c>
      <c r="Q913" s="1310" t="s">
        <v>86</v>
      </c>
      <c r="R913" s="1318" t="s">
        <v>86</v>
      </c>
      <c r="S913" s="1310" t="s">
        <v>290</v>
      </c>
      <c r="T913" s="1310">
        <v>7878783</v>
      </c>
      <c r="U913" s="1311"/>
      <c r="V913" s="1319"/>
      <c r="W913" s="1310" t="s">
        <v>291</v>
      </c>
      <c r="X913" s="1310" t="s">
        <v>292</v>
      </c>
      <c r="Y913" s="1310" t="s">
        <v>293</v>
      </c>
      <c r="Z913" s="1315">
        <v>7878806</v>
      </c>
      <c r="AC913" s="1304">
        <v>7878783</v>
      </c>
      <c r="AD913" s="8"/>
      <c r="AE913" s="8"/>
      <c r="AF913" s="184">
        <v>12</v>
      </c>
      <c r="AG913" s="184" t="s">
        <v>294</v>
      </c>
      <c r="AH913" s="184"/>
      <c r="AI913" s="184"/>
      <c r="AJ913" s="184"/>
      <c r="AK913" s="184" t="s">
        <v>295</v>
      </c>
      <c r="AL913" s="184"/>
      <c r="AM913" s="184"/>
      <c r="AN913" s="184"/>
      <c r="AO913" s="185"/>
      <c r="AP913" s="185"/>
      <c r="AQ913" s="185"/>
      <c r="AR913" s="8"/>
      <c r="AS913" s="8"/>
      <c r="AT913" s="8"/>
      <c r="AU913" s="8"/>
    </row>
    <row r="914" spans="1:47" ht="10.5" customHeight="1" x14ac:dyDescent="0.25">
      <c r="A914" s="1293"/>
      <c r="B914" s="1326"/>
      <c r="C914" s="1269"/>
      <c r="D914" s="904" t="s">
        <v>296</v>
      </c>
      <c r="E914" s="456">
        <v>16253189.289254716</v>
      </c>
      <c r="F914" s="456"/>
      <c r="G914" s="198"/>
      <c r="H914" s="456">
        <v>16253189.289254716</v>
      </c>
      <c r="I914" s="456"/>
      <c r="J914" s="456">
        <f>+J913*$J$1033/$J$1032</f>
        <v>29591009.628428534</v>
      </c>
      <c r="K914" s="456">
        <v>29646225.472624727</v>
      </c>
      <c r="L914" s="456">
        <v>36989548.547048502</v>
      </c>
      <c r="M914" s="456">
        <f>((M913-L913)*$M$1033)/$M$1032</f>
        <v>4305688.1056033475</v>
      </c>
      <c r="N914" s="456">
        <v>27964587.714265302</v>
      </c>
      <c r="O914" s="1311"/>
      <c r="P914" s="1311"/>
      <c r="Q914" s="1311"/>
      <c r="R914" s="1311"/>
      <c r="S914" s="1311"/>
      <c r="T914" s="1311"/>
      <c r="U914" s="1311"/>
      <c r="V914" s="1319"/>
      <c r="W914" s="1311"/>
      <c r="X914" s="1311"/>
      <c r="Y914" s="1311"/>
      <c r="Z914" s="1315"/>
      <c r="AC914" s="982"/>
      <c r="AD914" s="8"/>
      <c r="AE914" s="8"/>
      <c r="AF914" s="184">
        <v>13</v>
      </c>
      <c r="AG914" s="184" t="s">
        <v>297</v>
      </c>
      <c r="AH914" s="184"/>
      <c r="AI914" s="184"/>
      <c r="AJ914" s="184"/>
      <c r="AK914" s="184" t="s">
        <v>298</v>
      </c>
      <c r="AL914" s="184"/>
      <c r="AM914" s="184"/>
      <c r="AN914" s="184"/>
      <c r="AO914" s="185"/>
      <c r="AP914" s="185"/>
      <c r="AQ914" s="185"/>
      <c r="AR914" s="8"/>
      <c r="AS914" s="8"/>
      <c r="AT914" s="8"/>
      <c r="AU914" s="8"/>
    </row>
    <row r="915" spans="1:47" ht="18" customHeight="1" x14ac:dyDescent="0.25">
      <c r="A915" s="1293"/>
      <c r="B915" s="1326"/>
      <c r="C915" s="1269"/>
      <c r="D915" s="904" t="s">
        <v>299</v>
      </c>
      <c r="E915" s="456"/>
      <c r="F915" s="456"/>
      <c r="G915" s="198"/>
      <c r="H915" s="456"/>
      <c r="I915" s="456"/>
      <c r="J915" s="198"/>
      <c r="K915" s="456"/>
      <c r="L915" s="456"/>
      <c r="M915" s="456"/>
      <c r="N915" s="456"/>
      <c r="O915" s="1311"/>
      <c r="P915" s="1311"/>
      <c r="Q915" s="1311"/>
      <c r="R915" s="1311"/>
      <c r="S915" s="1311"/>
      <c r="T915" s="1311"/>
      <c r="U915" s="1311"/>
      <c r="V915" s="1319"/>
      <c r="W915" s="1311"/>
      <c r="X915" s="1311"/>
      <c r="Y915" s="1311"/>
      <c r="Z915" s="1315"/>
      <c r="AC915" s="982"/>
      <c r="AD915" s="8"/>
      <c r="AE915" s="8"/>
      <c r="AF915" s="184">
        <v>14</v>
      </c>
      <c r="AG915" s="184" t="s">
        <v>300</v>
      </c>
      <c r="AH915" s="184"/>
      <c r="AI915" s="184"/>
      <c r="AJ915" s="184"/>
      <c r="AK915" s="184" t="s">
        <v>301</v>
      </c>
      <c r="AL915" s="184"/>
      <c r="AM915" s="184"/>
      <c r="AN915" s="184"/>
      <c r="AO915" s="185"/>
      <c r="AP915" s="185"/>
      <c r="AQ915" s="185"/>
      <c r="AR915" s="8"/>
      <c r="AS915" s="8"/>
      <c r="AT915" s="8"/>
      <c r="AU915" s="8"/>
    </row>
    <row r="916" spans="1:47" ht="12" customHeight="1" x14ac:dyDescent="0.25">
      <c r="A916" s="1293"/>
      <c r="B916" s="1326"/>
      <c r="C916" s="1269"/>
      <c r="D916" s="1299" t="s">
        <v>302</v>
      </c>
      <c r="E916" s="1306"/>
      <c r="F916" s="935"/>
      <c r="G916" s="1272"/>
      <c r="H916" s="1306"/>
      <c r="I916" s="1307"/>
      <c r="J916" s="1272"/>
      <c r="K916" s="1306"/>
      <c r="L916" s="1306"/>
      <c r="M916" s="1307"/>
      <c r="N916" s="1307"/>
      <c r="O916" s="1311"/>
      <c r="P916" s="1311"/>
      <c r="Q916" s="1311"/>
      <c r="R916" s="1311"/>
      <c r="S916" s="1311"/>
      <c r="T916" s="1311"/>
      <c r="U916" s="1311"/>
      <c r="V916" s="1319"/>
      <c r="W916" s="1311"/>
      <c r="X916" s="1311"/>
      <c r="Y916" s="1311"/>
      <c r="Z916" s="1315"/>
      <c r="AC916" s="982"/>
      <c r="AD916" s="8"/>
      <c r="AE916" s="8"/>
      <c r="AF916" s="184"/>
      <c r="AG916" s="184"/>
      <c r="AH916" s="184"/>
      <c r="AI916" s="184"/>
      <c r="AJ916" s="184"/>
      <c r="AK916" s="184"/>
      <c r="AL916" s="184"/>
      <c r="AM916" s="184"/>
      <c r="AN916" s="184"/>
      <c r="AO916" s="185"/>
      <c r="AP916" s="185"/>
      <c r="AQ916" s="185"/>
      <c r="AR916" s="8"/>
      <c r="AS916" s="8"/>
      <c r="AT916" s="8"/>
      <c r="AU916" s="8"/>
    </row>
    <row r="917" spans="1:47" ht="8.25" customHeight="1" x14ac:dyDescent="0.25">
      <c r="A917" s="1293"/>
      <c r="B917" s="1326"/>
      <c r="C917" s="1269"/>
      <c r="D917" s="1269"/>
      <c r="E917" s="1306"/>
      <c r="F917" s="486"/>
      <c r="G917" s="1269"/>
      <c r="H917" s="1306"/>
      <c r="I917" s="1308"/>
      <c r="J917" s="1269"/>
      <c r="K917" s="1269"/>
      <c r="L917" s="1269"/>
      <c r="M917" s="1308"/>
      <c r="N917" s="1308"/>
      <c r="O917" s="1311"/>
      <c r="P917" s="1311"/>
      <c r="Q917" s="1311"/>
      <c r="R917" s="1311"/>
      <c r="S917" s="1311"/>
      <c r="T917" s="1311"/>
      <c r="U917" s="1311"/>
      <c r="V917" s="1319"/>
      <c r="W917" s="1311"/>
      <c r="X917" s="1311"/>
      <c r="Y917" s="1311"/>
      <c r="Z917" s="1315"/>
      <c r="AC917" s="982"/>
      <c r="AD917" s="8"/>
      <c r="AE917" s="8"/>
      <c r="AF917" s="184"/>
      <c r="AG917" s="184"/>
      <c r="AH917" s="184"/>
      <c r="AI917" s="184"/>
      <c r="AJ917" s="184"/>
      <c r="AK917" s="184"/>
      <c r="AL917" s="184"/>
      <c r="AM917" s="184"/>
      <c r="AN917" s="184"/>
      <c r="AO917" s="185"/>
      <c r="AP917" s="185"/>
      <c r="AQ917" s="185"/>
      <c r="AR917" s="8"/>
      <c r="AS917" s="8"/>
      <c r="AT917" s="8"/>
      <c r="AU917" s="8"/>
    </row>
    <row r="918" spans="1:47" ht="11.25" customHeight="1" x14ac:dyDescent="0.25">
      <c r="A918" s="1293"/>
      <c r="B918" s="1326"/>
      <c r="C918" s="1269"/>
      <c r="D918" s="1269"/>
      <c r="E918" s="1306"/>
      <c r="F918" s="486"/>
      <c r="G918" s="1269"/>
      <c r="H918" s="1306"/>
      <c r="I918" s="1308"/>
      <c r="J918" s="1269"/>
      <c r="K918" s="1269"/>
      <c r="L918" s="1269"/>
      <c r="M918" s="1308"/>
      <c r="N918" s="1308"/>
      <c r="O918" s="1311"/>
      <c r="P918" s="1311"/>
      <c r="Q918" s="1311"/>
      <c r="R918" s="1311"/>
      <c r="S918" s="1311"/>
      <c r="T918" s="1311"/>
      <c r="U918" s="1311"/>
      <c r="V918" s="1319"/>
      <c r="W918" s="1311"/>
      <c r="X918" s="1311"/>
      <c r="Y918" s="1311"/>
      <c r="Z918" s="1315"/>
      <c r="AC918" s="982"/>
      <c r="AD918" s="8"/>
      <c r="AE918" s="8"/>
      <c r="AF918" s="184"/>
      <c r="AG918" s="184"/>
      <c r="AH918" s="184"/>
      <c r="AI918" s="184"/>
      <c r="AJ918" s="184"/>
      <c r="AK918" s="184"/>
      <c r="AL918" s="184"/>
      <c r="AM918" s="184"/>
      <c r="AN918" s="184"/>
      <c r="AO918" s="185"/>
      <c r="AP918" s="185"/>
      <c r="AQ918" s="185"/>
      <c r="AR918" s="8"/>
      <c r="AS918" s="8"/>
      <c r="AT918" s="8"/>
      <c r="AU918" s="8"/>
    </row>
    <row r="919" spans="1:47" ht="11.25" customHeight="1" thickBot="1" x14ac:dyDescent="0.3">
      <c r="A919" s="1293"/>
      <c r="B919" s="1326"/>
      <c r="C919" s="1269"/>
      <c r="D919" s="1269"/>
      <c r="E919" s="1306"/>
      <c r="F919" s="486"/>
      <c r="G919" s="1269"/>
      <c r="H919" s="1306"/>
      <c r="I919" s="1309"/>
      <c r="J919" s="1269"/>
      <c r="K919" s="1269"/>
      <c r="L919" s="1269"/>
      <c r="M919" s="1309"/>
      <c r="N919" s="1309"/>
      <c r="O919" s="1311"/>
      <c r="P919" s="1311"/>
      <c r="Q919" s="1311"/>
      <c r="R919" s="1311"/>
      <c r="S919" s="1311"/>
      <c r="T919" s="1311"/>
      <c r="U919" s="1311"/>
      <c r="V919" s="1319"/>
      <c r="W919" s="1311"/>
      <c r="X919" s="1311"/>
      <c r="Y919" s="1311"/>
      <c r="Z919" s="1315"/>
      <c r="AC919" s="1305"/>
      <c r="AD919" s="8"/>
      <c r="AE919" s="8"/>
      <c r="AF919" s="184"/>
      <c r="AG919" s="184"/>
      <c r="AH919" s="184"/>
      <c r="AI919" s="184"/>
      <c r="AJ919" s="184"/>
      <c r="AK919" s="184"/>
      <c r="AL919" s="184"/>
      <c r="AM919" s="184"/>
      <c r="AN919" s="184"/>
      <c r="AO919" s="185"/>
      <c r="AP919" s="185"/>
      <c r="AQ919" s="185"/>
      <c r="AR919" s="8"/>
      <c r="AS919" s="8"/>
      <c r="AT919" s="8"/>
      <c r="AU919" s="8"/>
    </row>
    <row r="920" spans="1:47" ht="10.5" customHeight="1" x14ac:dyDescent="0.25">
      <c r="A920" s="1293"/>
      <c r="B920" s="1326"/>
      <c r="C920" s="1316" t="s">
        <v>374</v>
      </c>
      <c r="D920" s="199" t="s">
        <v>288</v>
      </c>
      <c r="E920" s="456">
        <v>65210.599999999991</v>
      </c>
      <c r="F920" s="456"/>
      <c r="G920" s="198"/>
      <c r="H920" s="456">
        <v>65210.599999999991</v>
      </c>
      <c r="I920" s="456"/>
      <c r="J920" s="905">
        <v>284888.45</v>
      </c>
      <c r="K920" s="456">
        <v>65210.599999999991</v>
      </c>
      <c r="L920" s="456">
        <v>112881.58</v>
      </c>
      <c r="M920" s="456">
        <f>L920+11026.13</f>
        <v>123907.71</v>
      </c>
      <c r="N920" s="456">
        <v>284888.45</v>
      </c>
      <c r="O920" s="1317" t="s">
        <v>287</v>
      </c>
      <c r="P920" s="1318" t="s">
        <v>86</v>
      </c>
      <c r="Q920" s="1310" t="s">
        <v>86</v>
      </c>
      <c r="R920" s="1318" t="s">
        <v>86</v>
      </c>
      <c r="S920" s="1310" t="s">
        <v>290</v>
      </c>
      <c r="T920" s="1310">
        <v>7878783</v>
      </c>
      <c r="U920" s="1311"/>
      <c r="V920" s="1319"/>
      <c r="W920" s="1310" t="s">
        <v>291</v>
      </c>
      <c r="X920" s="1310" t="s">
        <v>292</v>
      </c>
      <c r="Y920" s="1310" t="s">
        <v>293</v>
      </c>
      <c r="Z920" s="1315">
        <v>7878807</v>
      </c>
      <c r="AC920" s="1304">
        <v>7878783</v>
      </c>
      <c r="AD920" s="8"/>
      <c r="AE920" s="8"/>
      <c r="AF920" s="184">
        <v>12</v>
      </c>
      <c r="AG920" s="184" t="s">
        <v>294</v>
      </c>
      <c r="AH920" s="184"/>
      <c r="AI920" s="184"/>
      <c r="AJ920" s="184"/>
      <c r="AK920" s="184" t="s">
        <v>295</v>
      </c>
      <c r="AL920" s="184"/>
      <c r="AM920" s="184"/>
      <c r="AN920" s="184"/>
      <c r="AO920" s="185"/>
      <c r="AP920" s="185"/>
      <c r="AQ920" s="185"/>
      <c r="AR920" s="8"/>
      <c r="AS920" s="8"/>
      <c r="AT920" s="8"/>
      <c r="AU920" s="8"/>
    </row>
    <row r="921" spans="1:47" ht="10.5" customHeight="1" x14ac:dyDescent="0.25">
      <c r="A921" s="1293"/>
      <c r="B921" s="1326"/>
      <c r="C921" s="1269"/>
      <c r="D921" s="904" t="s">
        <v>296</v>
      </c>
      <c r="E921" s="456">
        <v>7831762.3121522292</v>
      </c>
      <c r="F921" s="456"/>
      <c r="G921" s="198"/>
      <c r="H921" s="456">
        <v>7831762.3121522292</v>
      </c>
      <c r="I921" s="456"/>
      <c r="J921" s="456">
        <f>+J920*$J$1033/$J$1032</f>
        <v>20596780.640270788</v>
      </c>
      <c r="K921" s="456">
        <v>14285331.156979123</v>
      </c>
      <c r="L921" s="456">
        <v>19675607.1125344</v>
      </c>
      <c r="M921" s="456">
        <f>((M920-L920)*$M$1033)/$M$1032</f>
        <v>1104702.0041632196</v>
      </c>
      <c r="N921" s="456">
        <v>19464711.954031501</v>
      </c>
      <c r="O921" s="1311"/>
      <c r="P921" s="1311"/>
      <c r="Q921" s="1311"/>
      <c r="R921" s="1311"/>
      <c r="S921" s="1311"/>
      <c r="T921" s="1311"/>
      <c r="U921" s="1311"/>
      <c r="V921" s="1319"/>
      <c r="W921" s="1311"/>
      <c r="X921" s="1311"/>
      <c r="Y921" s="1311"/>
      <c r="Z921" s="1315"/>
      <c r="AC921" s="982"/>
      <c r="AD921" s="8"/>
      <c r="AE921" s="8"/>
      <c r="AF921" s="184">
        <v>13</v>
      </c>
      <c r="AG921" s="184" t="s">
        <v>297</v>
      </c>
      <c r="AH921" s="184"/>
      <c r="AI921" s="184"/>
      <c r="AJ921" s="184"/>
      <c r="AK921" s="184" t="s">
        <v>298</v>
      </c>
      <c r="AL921" s="184"/>
      <c r="AM921" s="184"/>
      <c r="AN921" s="184"/>
      <c r="AO921" s="185"/>
      <c r="AP921" s="185"/>
      <c r="AQ921" s="185"/>
      <c r="AR921" s="8"/>
      <c r="AS921" s="8"/>
      <c r="AT921" s="8"/>
      <c r="AU921" s="8"/>
    </row>
    <row r="922" spans="1:47" ht="21.75" customHeight="1" x14ac:dyDescent="0.25">
      <c r="A922" s="1293"/>
      <c r="B922" s="1326"/>
      <c r="C922" s="1269"/>
      <c r="D922" s="904" t="s">
        <v>299</v>
      </c>
      <c r="E922" s="456"/>
      <c r="F922" s="456"/>
      <c r="G922" s="198"/>
      <c r="H922" s="456"/>
      <c r="I922" s="456"/>
      <c r="J922" s="198"/>
      <c r="K922" s="456"/>
      <c r="L922" s="456"/>
      <c r="M922" s="456"/>
      <c r="N922" s="456"/>
      <c r="O922" s="1311"/>
      <c r="P922" s="1311"/>
      <c r="Q922" s="1311"/>
      <c r="R922" s="1311"/>
      <c r="S922" s="1311"/>
      <c r="T922" s="1311"/>
      <c r="U922" s="1311"/>
      <c r="V922" s="1319"/>
      <c r="W922" s="1311"/>
      <c r="X922" s="1311"/>
      <c r="Y922" s="1311"/>
      <c r="Z922" s="1315"/>
      <c r="AC922" s="982"/>
      <c r="AD922" s="8"/>
      <c r="AE922" s="8"/>
      <c r="AF922" s="184">
        <v>14</v>
      </c>
      <c r="AG922" s="184" t="s">
        <v>300</v>
      </c>
      <c r="AH922" s="184"/>
      <c r="AI922" s="184"/>
      <c r="AJ922" s="184"/>
      <c r="AK922" s="184" t="s">
        <v>301</v>
      </c>
      <c r="AL922" s="184"/>
      <c r="AM922" s="184"/>
      <c r="AN922" s="184"/>
      <c r="AO922" s="185"/>
      <c r="AP922" s="185"/>
      <c r="AQ922" s="185"/>
      <c r="AR922" s="8"/>
      <c r="AS922" s="8"/>
      <c r="AT922" s="8"/>
      <c r="AU922" s="8"/>
    </row>
    <row r="923" spans="1:47" ht="14.25" customHeight="1" x14ac:dyDescent="0.25">
      <c r="A923" s="1293"/>
      <c r="B923" s="1326"/>
      <c r="C923" s="1269"/>
      <c r="D923" s="1286" t="s">
        <v>302</v>
      </c>
      <c r="E923" s="1306"/>
      <c r="F923" s="935"/>
      <c r="G923" s="1272"/>
      <c r="H923" s="1306"/>
      <c r="I923" s="1307"/>
      <c r="J923" s="1272"/>
      <c r="K923" s="1306"/>
      <c r="L923" s="1306"/>
      <c r="M923" s="1307"/>
      <c r="N923" s="1307"/>
      <c r="O923" s="1311"/>
      <c r="P923" s="1311"/>
      <c r="Q923" s="1311"/>
      <c r="R923" s="1311"/>
      <c r="S923" s="1311"/>
      <c r="T923" s="1311"/>
      <c r="U923" s="1311"/>
      <c r="V923" s="1319"/>
      <c r="W923" s="1311"/>
      <c r="X923" s="1311"/>
      <c r="Y923" s="1311"/>
      <c r="Z923" s="1315"/>
      <c r="AC923" s="982"/>
      <c r="AD923" s="8"/>
      <c r="AE923" s="8"/>
      <c r="AF923" s="184"/>
      <c r="AG923" s="184"/>
      <c r="AH923" s="184"/>
      <c r="AI923" s="184"/>
      <c r="AJ923" s="184"/>
      <c r="AK923" s="184"/>
      <c r="AL923" s="184"/>
      <c r="AM923" s="184"/>
      <c r="AN923" s="184"/>
      <c r="AO923" s="185"/>
      <c r="AP923" s="185"/>
      <c r="AQ923" s="185"/>
      <c r="AR923" s="8"/>
      <c r="AS923" s="8"/>
      <c r="AT923" s="8"/>
      <c r="AU923" s="8"/>
    </row>
    <row r="924" spans="1:47" ht="9.75" customHeight="1" x14ac:dyDescent="0.25">
      <c r="A924" s="1293"/>
      <c r="B924" s="1326"/>
      <c r="C924" s="1269"/>
      <c r="D924" s="1269"/>
      <c r="E924" s="1306"/>
      <c r="F924" s="486"/>
      <c r="G924" s="1269"/>
      <c r="H924" s="1306"/>
      <c r="I924" s="1308"/>
      <c r="J924" s="1269"/>
      <c r="K924" s="1269"/>
      <c r="L924" s="1269"/>
      <c r="M924" s="1308"/>
      <c r="N924" s="1308"/>
      <c r="O924" s="1311"/>
      <c r="P924" s="1311"/>
      <c r="Q924" s="1311"/>
      <c r="R924" s="1311"/>
      <c r="S924" s="1311"/>
      <c r="T924" s="1311"/>
      <c r="U924" s="1311"/>
      <c r="V924" s="1319"/>
      <c r="W924" s="1311"/>
      <c r="X924" s="1311"/>
      <c r="Y924" s="1311"/>
      <c r="Z924" s="1315"/>
      <c r="AC924" s="982"/>
      <c r="AD924" s="8"/>
      <c r="AE924" s="8"/>
      <c r="AF924" s="184"/>
      <c r="AG924" s="184"/>
      <c r="AH924" s="184"/>
      <c r="AI924" s="184"/>
      <c r="AJ924" s="184"/>
      <c r="AK924" s="184"/>
      <c r="AL924" s="184"/>
      <c r="AM924" s="184"/>
      <c r="AN924" s="184"/>
      <c r="AO924" s="185"/>
      <c r="AP924" s="185"/>
      <c r="AQ924" s="185"/>
      <c r="AR924" s="8"/>
      <c r="AS924" s="8"/>
      <c r="AT924" s="8"/>
      <c r="AU924" s="8"/>
    </row>
    <row r="925" spans="1:47" ht="9.75" customHeight="1" x14ac:dyDescent="0.25">
      <c r="A925" s="1293"/>
      <c r="B925" s="1326"/>
      <c r="C925" s="1269"/>
      <c r="D925" s="1269"/>
      <c r="E925" s="1306"/>
      <c r="F925" s="486"/>
      <c r="G925" s="1269"/>
      <c r="H925" s="1306"/>
      <c r="I925" s="1308"/>
      <c r="J925" s="1269"/>
      <c r="K925" s="1269"/>
      <c r="L925" s="1269"/>
      <c r="M925" s="1308"/>
      <c r="N925" s="1308"/>
      <c r="O925" s="1311"/>
      <c r="P925" s="1311"/>
      <c r="Q925" s="1311"/>
      <c r="R925" s="1311"/>
      <c r="S925" s="1311"/>
      <c r="T925" s="1311"/>
      <c r="U925" s="1311"/>
      <c r="V925" s="1319"/>
      <c r="W925" s="1311"/>
      <c r="X925" s="1311"/>
      <c r="Y925" s="1311"/>
      <c r="Z925" s="1315"/>
      <c r="AC925" s="982"/>
      <c r="AD925" s="8"/>
      <c r="AE925" s="8"/>
      <c r="AF925" s="184"/>
      <c r="AG925" s="184"/>
      <c r="AH925" s="184"/>
      <c r="AI925" s="184"/>
      <c r="AJ925" s="184"/>
      <c r="AK925" s="184"/>
      <c r="AL925" s="184"/>
      <c r="AM925" s="184"/>
      <c r="AN925" s="184"/>
      <c r="AO925" s="185"/>
      <c r="AP925" s="185"/>
      <c r="AQ925" s="185"/>
      <c r="AR925" s="8"/>
      <c r="AS925" s="8"/>
      <c r="AT925" s="8"/>
      <c r="AU925" s="8"/>
    </row>
    <row r="926" spans="1:47" ht="12.75" customHeight="1" thickBot="1" x14ac:dyDescent="0.3">
      <c r="A926" s="1293"/>
      <c r="B926" s="1326"/>
      <c r="C926" s="1269"/>
      <c r="D926" s="1269"/>
      <c r="E926" s="1306"/>
      <c r="F926" s="486"/>
      <c r="G926" s="1269"/>
      <c r="H926" s="1306"/>
      <c r="I926" s="1309"/>
      <c r="J926" s="1269"/>
      <c r="K926" s="1269"/>
      <c r="L926" s="1269"/>
      <c r="M926" s="1309"/>
      <c r="N926" s="1309"/>
      <c r="O926" s="1311"/>
      <c r="P926" s="1311"/>
      <c r="Q926" s="1311"/>
      <c r="R926" s="1311"/>
      <c r="S926" s="1311"/>
      <c r="T926" s="1311"/>
      <c r="U926" s="1311"/>
      <c r="V926" s="1319"/>
      <c r="W926" s="1311"/>
      <c r="X926" s="1311"/>
      <c r="Y926" s="1311"/>
      <c r="Z926" s="1315"/>
      <c r="AC926" s="1305"/>
      <c r="AD926" s="8"/>
      <c r="AE926" s="8"/>
      <c r="AF926" s="184"/>
      <c r="AG926" s="184"/>
      <c r="AH926" s="184"/>
      <c r="AI926" s="184"/>
      <c r="AJ926" s="184"/>
      <c r="AK926" s="184"/>
      <c r="AL926" s="184"/>
      <c r="AM926" s="184"/>
      <c r="AN926" s="184"/>
      <c r="AO926" s="185"/>
      <c r="AP926" s="185"/>
      <c r="AQ926" s="185"/>
      <c r="AR926" s="8"/>
      <c r="AS926" s="8"/>
      <c r="AT926" s="8"/>
      <c r="AU926" s="8"/>
    </row>
    <row r="927" spans="1:47" ht="10.5" customHeight="1" x14ac:dyDescent="0.25">
      <c r="A927" s="1293"/>
      <c r="B927" s="1326"/>
      <c r="C927" s="1316" t="s">
        <v>375</v>
      </c>
      <c r="D927" s="199" t="s">
        <v>288</v>
      </c>
      <c r="E927" s="456">
        <v>71938.497199999998</v>
      </c>
      <c r="F927" s="456"/>
      <c r="G927" s="198"/>
      <c r="H927" s="456">
        <v>71938.497199999998</v>
      </c>
      <c r="I927" s="456"/>
      <c r="J927" s="905">
        <v>134318.21000000002</v>
      </c>
      <c r="K927" s="456">
        <v>71938.497199999998</v>
      </c>
      <c r="L927" s="456">
        <v>79490.100000000006</v>
      </c>
      <c r="M927" s="456">
        <f>L927+26505.04</f>
        <v>105995.14000000001</v>
      </c>
      <c r="N927" s="456">
        <v>134318.21000000002</v>
      </c>
      <c r="O927" s="1317" t="s">
        <v>287</v>
      </c>
      <c r="P927" s="1318" t="s">
        <v>86</v>
      </c>
      <c r="Q927" s="1310" t="s">
        <v>86</v>
      </c>
      <c r="R927" s="1318" t="s">
        <v>86</v>
      </c>
      <c r="S927" s="1310" t="s">
        <v>290</v>
      </c>
      <c r="T927" s="1310">
        <v>7878783</v>
      </c>
      <c r="U927" s="1311"/>
      <c r="V927" s="1319"/>
      <c r="W927" s="1310" t="s">
        <v>291</v>
      </c>
      <c r="X927" s="1310" t="s">
        <v>292</v>
      </c>
      <c r="Y927" s="1310" t="s">
        <v>293</v>
      </c>
      <c r="Z927" s="1315">
        <v>7878808</v>
      </c>
      <c r="AC927" s="1304">
        <v>7878783</v>
      </c>
      <c r="AD927" s="8"/>
      <c r="AE927" s="8"/>
      <c r="AF927" s="184">
        <v>12</v>
      </c>
      <c r="AG927" s="184" t="s">
        <v>294</v>
      </c>
      <c r="AH927" s="184"/>
      <c r="AI927" s="184"/>
      <c r="AJ927" s="184"/>
      <c r="AK927" s="184" t="s">
        <v>295</v>
      </c>
      <c r="AL927" s="184"/>
      <c r="AM927" s="184"/>
      <c r="AN927" s="184"/>
      <c r="AO927" s="185"/>
      <c r="AP927" s="185"/>
      <c r="AQ927" s="185"/>
      <c r="AR927" s="8"/>
      <c r="AS927" s="8"/>
      <c r="AT927" s="8"/>
      <c r="AU927" s="8"/>
    </row>
    <row r="928" spans="1:47" ht="10.5" customHeight="1" x14ac:dyDescent="0.25">
      <c r="A928" s="1293"/>
      <c r="B928" s="1326"/>
      <c r="C928" s="1269"/>
      <c r="D928" s="904" t="s">
        <v>296</v>
      </c>
      <c r="E928" s="456">
        <v>8639779.5935603846</v>
      </c>
      <c r="F928" s="456"/>
      <c r="G928" s="198"/>
      <c r="H928" s="456">
        <v>8639779.5935603846</v>
      </c>
      <c r="I928" s="456"/>
      <c r="J928" s="456">
        <f>+J927*$J$1033/$J$1032</f>
        <v>9710898.0984094869</v>
      </c>
      <c r="K928" s="456">
        <v>15759174.972127471</v>
      </c>
      <c r="L928" s="456">
        <v>13855369.2899769</v>
      </c>
      <c r="M928" s="456">
        <f>((M927-L927)*$M$1033)/$M$1032</f>
        <v>2655525.6294299359</v>
      </c>
      <c r="N928" s="456">
        <v>9177154.3136659693</v>
      </c>
      <c r="O928" s="1311"/>
      <c r="P928" s="1311"/>
      <c r="Q928" s="1311"/>
      <c r="R928" s="1311"/>
      <c r="S928" s="1311"/>
      <c r="T928" s="1311"/>
      <c r="U928" s="1311"/>
      <c r="V928" s="1319"/>
      <c r="W928" s="1311"/>
      <c r="X928" s="1311"/>
      <c r="Y928" s="1311"/>
      <c r="Z928" s="1315"/>
      <c r="AC928" s="982"/>
      <c r="AD928" s="8"/>
      <c r="AE928" s="8"/>
      <c r="AF928" s="184">
        <v>13</v>
      </c>
      <c r="AG928" s="184" t="s">
        <v>297</v>
      </c>
      <c r="AH928" s="184"/>
      <c r="AI928" s="184"/>
      <c r="AJ928" s="184"/>
      <c r="AK928" s="184" t="s">
        <v>298</v>
      </c>
      <c r="AL928" s="184"/>
      <c r="AM928" s="184"/>
      <c r="AN928" s="184"/>
      <c r="AO928" s="185"/>
      <c r="AP928" s="185"/>
      <c r="AQ928" s="185"/>
      <c r="AR928" s="8"/>
      <c r="AS928" s="8"/>
      <c r="AT928" s="8"/>
      <c r="AU928" s="8"/>
    </row>
    <row r="929" spans="1:47" ht="21.75" customHeight="1" x14ac:dyDescent="0.25">
      <c r="A929" s="1293"/>
      <c r="B929" s="1326"/>
      <c r="C929" s="1269"/>
      <c r="D929" s="904" t="s">
        <v>299</v>
      </c>
      <c r="E929" s="456"/>
      <c r="F929" s="456"/>
      <c r="G929" s="198"/>
      <c r="H929" s="456"/>
      <c r="I929" s="456"/>
      <c r="J929" s="198"/>
      <c r="K929" s="456"/>
      <c r="L929" s="456"/>
      <c r="M929" s="456"/>
      <c r="N929" s="456"/>
      <c r="O929" s="1311"/>
      <c r="P929" s="1311"/>
      <c r="Q929" s="1311"/>
      <c r="R929" s="1311"/>
      <c r="S929" s="1311"/>
      <c r="T929" s="1311"/>
      <c r="U929" s="1311"/>
      <c r="V929" s="1319"/>
      <c r="W929" s="1311"/>
      <c r="X929" s="1311"/>
      <c r="Y929" s="1311"/>
      <c r="Z929" s="1315"/>
      <c r="AC929" s="982"/>
      <c r="AD929" s="8"/>
      <c r="AE929" s="8"/>
      <c r="AF929" s="184">
        <v>14</v>
      </c>
      <c r="AG929" s="184" t="s">
        <v>300</v>
      </c>
      <c r="AH929" s="184"/>
      <c r="AI929" s="184"/>
      <c r="AJ929" s="184"/>
      <c r="AK929" s="184" t="s">
        <v>301</v>
      </c>
      <c r="AL929" s="184"/>
      <c r="AM929" s="184"/>
      <c r="AN929" s="184"/>
      <c r="AO929" s="185"/>
      <c r="AP929" s="185"/>
      <c r="AQ929" s="185"/>
      <c r="AR929" s="8"/>
      <c r="AS929" s="8"/>
      <c r="AT929" s="8"/>
      <c r="AU929" s="8"/>
    </row>
    <row r="930" spans="1:47" ht="13.5" customHeight="1" x14ac:dyDescent="0.25">
      <c r="A930" s="1293"/>
      <c r="B930" s="1326"/>
      <c r="C930" s="1269"/>
      <c r="D930" s="1286" t="s">
        <v>302</v>
      </c>
      <c r="E930" s="1306"/>
      <c r="F930" s="935"/>
      <c r="G930" s="1272"/>
      <c r="H930" s="1306"/>
      <c r="I930" s="1307"/>
      <c r="J930" s="1272"/>
      <c r="K930" s="1306"/>
      <c r="L930" s="1306"/>
      <c r="M930" s="1307"/>
      <c r="N930" s="1307"/>
      <c r="O930" s="1311"/>
      <c r="P930" s="1311"/>
      <c r="Q930" s="1311"/>
      <c r="R930" s="1311"/>
      <c r="S930" s="1311"/>
      <c r="T930" s="1311"/>
      <c r="U930" s="1311"/>
      <c r="V930" s="1319"/>
      <c r="W930" s="1311"/>
      <c r="X930" s="1311"/>
      <c r="Y930" s="1311"/>
      <c r="Z930" s="1315"/>
      <c r="AC930" s="982"/>
      <c r="AD930" s="8"/>
      <c r="AE930" s="8"/>
      <c r="AF930" s="184"/>
      <c r="AG930" s="184"/>
      <c r="AH930" s="184"/>
      <c r="AI930" s="184"/>
      <c r="AJ930" s="184"/>
      <c r="AK930" s="184"/>
      <c r="AL930" s="184"/>
      <c r="AM930" s="184"/>
      <c r="AN930" s="184"/>
      <c r="AO930" s="185"/>
      <c r="AP930" s="185"/>
      <c r="AQ930" s="185"/>
      <c r="AR930" s="8"/>
      <c r="AS930" s="8"/>
      <c r="AT930" s="8"/>
      <c r="AU930" s="8"/>
    </row>
    <row r="931" spans="1:47" ht="12" customHeight="1" x14ac:dyDescent="0.25">
      <c r="A931" s="1293"/>
      <c r="B931" s="1326"/>
      <c r="C931" s="1269"/>
      <c r="D931" s="1269"/>
      <c r="E931" s="1306"/>
      <c r="F931" s="486"/>
      <c r="G931" s="1269"/>
      <c r="H931" s="1306"/>
      <c r="I931" s="1308"/>
      <c r="J931" s="1269"/>
      <c r="K931" s="1269"/>
      <c r="L931" s="1269"/>
      <c r="M931" s="1308"/>
      <c r="N931" s="1308"/>
      <c r="O931" s="1311"/>
      <c r="P931" s="1311"/>
      <c r="Q931" s="1311"/>
      <c r="R931" s="1311"/>
      <c r="S931" s="1311"/>
      <c r="T931" s="1311"/>
      <c r="U931" s="1311"/>
      <c r="V931" s="1319"/>
      <c r="W931" s="1311"/>
      <c r="X931" s="1311"/>
      <c r="Y931" s="1311"/>
      <c r="Z931" s="1315"/>
      <c r="AC931" s="982"/>
      <c r="AD931" s="8"/>
      <c r="AE931" s="8"/>
      <c r="AF931" s="184"/>
      <c r="AG931" s="184"/>
      <c r="AH931" s="184"/>
      <c r="AI931" s="184"/>
      <c r="AJ931" s="184"/>
      <c r="AK931" s="184"/>
      <c r="AL931" s="184"/>
      <c r="AM931" s="184"/>
      <c r="AN931" s="184"/>
      <c r="AO931" s="185"/>
      <c r="AP931" s="185"/>
      <c r="AQ931" s="185"/>
      <c r="AR931" s="8"/>
      <c r="AS931" s="8"/>
      <c r="AT931" s="8"/>
      <c r="AU931" s="8"/>
    </row>
    <row r="932" spans="1:47" ht="13.5" customHeight="1" x14ac:dyDescent="0.25">
      <c r="A932" s="1293"/>
      <c r="B932" s="1326"/>
      <c r="C932" s="1269"/>
      <c r="D932" s="1269"/>
      <c r="E932" s="1306"/>
      <c r="F932" s="486"/>
      <c r="G932" s="1269"/>
      <c r="H932" s="1306"/>
      <c r="I932" s="1308"/>
      <c r="J932" s="1269"/>
      <c r="K932" s="1269"/>
      <c r="L932" s="1269"/>
      <c r="M932" s="1308"/>
      <c r="N932" s="1308"/>
      <c r="O932" s="1311"/>
      <c r="P932" s="1311"/>
      <c r="Q932" s="1311"/>
      <c r="R932" s="1311"/>
      <c r="S932" s="1311"/>
      <c r="T932" s="1311"/>
      <c r="U932" s="1311"/>
      <c r="V932" s="1319"/>
      <c r="W932" s="1311"/>
      <c r="X932" s="1311"/>
      <c r="Y932" s="1311"/>
      <c r="Z932" s="1315"/>
      <c r="AC932" s="982"/>
      <c r="AD932" s="8"/>
      <c r="AE932" s="8"/>
      <c r="AF932" s="184"/>
      <c r="AG932" s="184"/>
      <c r="AH932" s="184"/>
      <c r="AI932" s="184"/>
      <c r="AJ932" s="184"/>
      <c r="AK932" s="184"/>
      <c r="AL932" s="184"/>
      <c r="AM932" s="184"/>
      <c r="AN932" s="184"/>
      <c r="AO932" s="185"/>
      <c r="AP932" s="185"/>
      <c r="AQ932" s="185"/>
      <c r="AR932" s="8"/>
      <c r="AS932" s="8"/>
      <c r="AT932" s="8"/>
      <c r="AU932" s="8"/>
    </row>
    <row r="933" spans="1:47" ht="12.75" customHeight="1" thickBot="1" x14ac:dyDescent="0.3">
      <c r="A933" s="1293"/>
      <c r="B933" s="1326"/>
      <c r="C933" s="1269"/>
      <c r="D933" s="1269"/>
      <c r="E933" s="1306"/>
      <c r="F933" s="486"/>
      <c r="G933" s="1269"/>
      <c r="H933" s="1306"/>
      <c r="I933" s="1309"/>
      <c r="J933" s="1269"/>
      <c r="K933" s="1269"/>
      <c r="L933" s="1269"/>
      <c r="M933" s="1309"/>
      <c r="N933" s="1309"/>
      <c r="O933" s="1311"/>
      <c r="P933" s="1311"/>
      <c r="Q933" s="1311"/>
      <c r="R933" s="1311"/>
      <c r="S933" s="1311"/>
      <c r="T933" s="1311"/>
      <c r="U933" s="1311"/>
      <c r="V933" s="1319"/>
      <c r="W933" s="1311"/>
      <c r="X933" s="1311"/>
      <c r="Y933" s="1311"/>
      <c r="Z933" s="1315"/>
      <c r="AC933" s="1305"/>
      <c r="AD933" s="8"/>
      <c r="AE933" s="8"/>
      <c r="AF933" s="184"/>
      <c r="AG933" s="184"/>
      <c r="AH933" s="184"/>
      <c r="AI933" s="184"/>
      <c r="AJ933" s="184"/>
      <c r="AK933" s="184"/>
      <c r="AL933" s="184"/>
      <c r="AM933" s="184"/>
      <c r="AN933" s="184"/>
      <c r="AO933" s="185"/>
      <c r="AP933" s="185"/>
      <c r="AQ933" s="185"/>
      <c r="AR933" s="8"/>
      <c r="AS933" s="8"/>
      <c r="AT933" s="8"/>
      <c r="AU933" s="8"/>
    </row>
    <row r="934" spans="1:47" ht="10.5" customHeight="1" x14ac:dyDescent="0.25">
      <c r="A934" s="1293"/>
      <c r="B934" s="1326"/>
      <c r="C934" s="1316" t="s">
        <v>376</v>
      </c>
      <c r="D934" s="199" t="s">
        <v>288</v>
      </c>
      <c r="E934" s="456">
        <v>9934.4</v>
      </c>
      <c r="F934" s="456"/>
      <c r="G934" s="198"/>
      <c r="H934" s="456">
        <v>9934.4</v>
      </c>
      <c r="I934" s="456"/>
      <c r="J934" s="905">
        <v>143363.66</v>
      </c>
      <c r="K934" s="456">
        <v>9934.4</v>
      </c>
      <c r="L934" s="456">
        <v>42436.800000000003</v>
      </c>
      <c r="M934" s="456">
        <f>L934+71681.19</f>
        <v>114117.99</v>
      </c>
      <c r="N934" s="456">
        <v>143363.66</v>
      </c>
      <c r="O934" s="1317" t="s">
        <v>287</v>
      </c>
      <c r="P934" s="1318" t="s">
        <v>86</v>
      </c>
      <c r="Q934" s="1310" t="s">
        <v>86</v>
      </c>
      <c r="R934" s="1318" t="s">
        <v>86</v>
      </c>
      <c r="S934" s="1310" t="s">
        <v>290</v>
      </c>
      <c r="T934" s="1310">
        <v>7878783</v>
      </c>
      <c r="U934" s="1311"/>
      <c r="V934" s="1319"/>
      <c r="W934" s="1310" t="s">
        <v>291</v>
      </c>
      <c r="X934" s="1310" t="s">
        <v>292</v>
      </c>
      <c r="Y934" s="1310" t="s">
        <v>293</v>
      </c>
      <c r="Z934" s="1315">
        <v>7878809</v>
      </c>
      <c r="AC934" s="1304">
        <v>7878783</v>
      </c>
      <c r="AD934" s="8"/>
      <c r="AE934" s="8"/>
      <c r="AF934" s="184">
        <v>12</v>
      </c>
      <c r="AG934" s="184" t="s">
        <v>294</v>
      </c>
      <c r="AH934" s="184"/>
      <c r="AI934" s="184"/>
      <c r="AJ934" s="184"/>
      <c r="AK934" s="184" t="s">
        <v>295</v>
      </c>
      <c r="AL934" s="184"/>
      <c r="AM934" s="184"/>
      <c r="AN934" s="184"/>
      <c r="AO934" s="185"/>
      <c r="AP934" s="185"/>
      <c r="AQ934" s="185"/>
      <c r="AR934" s="8"/>
      <c r="AS934" s="8"/>
      <c r="AT934" s="8"/>
      <c r="AU934" s="8"/>
    </row>
    <row r="935" spans="1:47" ht="10.5" customHeight="1" x14ac:dyDescent="0.25">
      <c r="A935" s="1293"/>
      <c r="B935" s="1326"/>
      <c r="C935" s="1269"/>
      <c r="D935" s="904" t="s">
        <v>296</v>
      </c>
      <c r="E935" s="456">
        <v>1193116.7557704593</v>
      </c>
      <c r="F935" s="456"/>
      <c r="G935" s="198"/>
      <c r="H935" s="456">
        <v>1193116.7557704593</v>
      </c>
      <c r="I935" s="456"/>
      <c r="J935" s="456">
        <f>+J934*$J$1033/$J$1032</f>
        <v>10364863.3589967</v>
      </c>
      <c r="K935" s="456">
        <v>2176274.9283995768</v>
      </c>
      <c r="L935" s="456">
        <v>7396864.9616102204</v>
      </c>
      <c r="M935" s="456">
        <f>((M934-L934)*$M$1033)/$M$1032</f>
        <v>7181699.6764780106</v>
      </c>
      <c r="N935" s="456">
        <v>9795175.4329658002</v>
      </c>
      <c r="O935" s="1311"/>
      <c r="P935" s="1311"/>
      <c r="Q935" s="1311"/>
      <c r="R935" s="1311"/>
      <c r="S935" s="1311"/>
      <c r="T935" s="1311"/>
      <c r="U935" s="1311"/>
      <c r="V935" s="1319"/>
      <c r="W935" s="1311"/>
      <c r="X935" s="1311"/>
      <c r="Y935" s="1311"/>
      <c r="Z935" s="1315"/>
      <c r="AC935" s="982"/>
      <c r="AD935" s="8"/>
      <c r="AE935" s="8"/>
      <c r="AF935" s="184">
        <v>13</v>
      </c>
      <c r="AG935" s="184" t="s">
        <v>297</v>
      </c>
      <c r="AH935" s="184"/>
      <c r="AI935" s="184"/>
      <c r="AJ935" s="184"/>
      <c r="AK935" s="184" t="s">
        <v>298</v>
      </c>
      <c r="AL935" s="184"/>
      <c r="AM935" s="184"/>
      <c r="AN935" s="184"/>
      <c r="AO935" s="185"/>
      <c r="AP935" s="185"/>
      <c r="AQ935" s="185"/>
      <c r="AR935" s="8"/>
      <c r="AS935" s="8"/>
      <c r="AT935" s="8"/>
      <c r="AU935" s="8"/>
    </row>
    <row r="936" spans="1:47" ht="20.25" customHeight="1" x14ac:dyDescent="0.25">
      <c r="A936" s="1293"/>
      <c r="B936" s="1326"/>
      <c r="C936" s="1269"/>
      <c r="D936" s="904" t="s">
        <v>299</v>
      </c>
      <c r="E936" s="456"/>
      <c r="F936" s="456"/>
      <c r="G936" s="198"/>
      <c r="H936" s="456"/>
      <c r="I936" s="456"/>
      <c r="J936" s="198"/>
      <c r="K936" s="456"/>
      <c r="L936" s="456"/>
      <c r="M936" s="456"/>
      <c r="N936" s="456"/>
      <c r="O936" s="1311"/>
      <c r="P936" s="1311"/>
      <c r="Q936" s="1311"/>
      <c r="R936" s="1311"/>
      <c r="S936" s="1311"/>
      <c r="T936" s="1311"/>
      <c r="U936" s="1311"/>
      <c r="V936" s="1319"/>
      <c r="W936" s="1311"/>
      <c r="X936" s="1311"/>
      <c r="Y936" s="1311"/>
      <c r="Z936" s="1315"/>
      <c r="AC936" s="982"/>
      <c r="AD936" s="8"/>
      <c r="AE936" s="8"/>
      <c r="AF936" s="184">
        <v>14</v>
      </c>
      <c r="AG936" s="184" t="s">
        <v>300</v>
      </c>
      <c r="AH936" s="184"/>
      <c r="AI936" s="184"/>
      <c r="AJ936" s="184"/>
      <c r="AK936" s="184" t="s">
        <v>301</v>
      </c>
      <c r="AL936" s="184"/>
      <c r="AM936" s="184"/>
      <c r="AN936" s="184"/>
      <c r="AO936" s="185"/>
      <c r="AP936" s="185"/>
      <c r="AQ936" s="185"/>
      <c r="AR936" s="8"/>
      <c r="AS936" s="8"/>
      <c r="AT936" s="8"/>
      <c r="AU936" s="8"/>
    </row>
    <row r="937" spans="1:47" ht="15" customHeight="1" x14ac:dyDescent="0.25">
      <c r="A937" s="1293"/>
      <c r="B937" s="1326"/>
      <c r="C937" s="1269"/>
      <c r="D937" s="1286" t="s">
        <v>302</v>
      </c>
      <c r="E937" s="1306"/>
      <c r="F937" s="935"/>
      <c r="G937" s="1272"/>
      <c r="H937" s="1306"/>
      <c r="I937" s="1307"/>
      <c r="J937" s="1272"/>
      <c r="K937" s="1306"/>
      <c r="L937" s="1306"/>
      <c r="M937" s="1307"/>
      <c r="N937" s="1307"/>
      <c r="O937" s="1311"/>
      <c r="P937" s="1311"/>
      <c r="Q937" s="1311"/>
      <c r="R937" s="1311"/>
      <c r="S937" s="1311"/>
      <c r="T937" s="1311"/>
      <c r="U937" s="1311"/>
      <c r="V937" s="1319"/>
      <c r="W937" s="1311"/>
      <c r="X937" s="1311"/>
      <c r="Y937" s="1311"/>
      <c r="Z937" s="1315"/>
      <c r="AC937" s="982"/>
      <c r="AD937" s="8"/>
      <c r="AE937" s="8"/>
      <c r="AF937" s="184"/>
      <c r="AG937" s="184"/>
      <c r="AH937" s="184"/>
      <c r="AI937" s="184"/>
      <c r="AJ937" s="184"/>
      <c r="AK937" s="184"/>
      <c r="AL937" s="184"/>
      <c r="AM937" s="184"/>
      <c r="AN937" s="184"/>
      <c r="AO937" s="185"/>
      <c r="AP937" s="185"/>
      <c r="AQ937" s="185"/>
      <c r="AR937" s="8"/>
      <c r="AS937" s="8"/>
      <c r="AT937" s="8"/>
      <c r="AU937" s="8"/>
    </row>
    <row r="938" spans="1:47" ht="13.5" customHeight="1" x14ac:dyDescent="0.25">
      <c r="A938" s="1293"/>
      <c r="B938" s="1326"/>
      <c r="C938" s="1269"/>
      <c r="D938" s="1269"/>
      <c r="E938" s="1306"/>
      <c r="F938" s="486"/>
      <c r="G938" s="1269"/>
      <c r="H938" s="1306"/>
      <c r="I938" s="1308"/>
      <c r="J938" s="1269"/>
      <c r="K938" s="1269"/>
      <c r="L938" s="1269"/>
      <c r="M938" s="1308"/>
      <c r="N938" s="1308"/>
      <c r="O938" s="1311"/>
      <c r="P938" s="1311"/>
      <c r="Q938" s="1311"/>
      <c r="R938" s="1311"/>
      <c r="S938" s="1311"/>
      <c r="T938" s="1311"/>
      <c r="U938" s="1311"/>
      <c r="V938" s="1319"/>
      <c r="W938" s="1311"/>
      <c r="X938" s="1311"/>
      <c r="Y938" s="1311"/>
      <c r="Z938" s="1315"/>
      <c r="AC938" s="982"/>
      <c r="AD938" s="8"/>
      <c r="AE938" s="8"/>
      <c r="AF938" s="184"/>
      <c r="AG938" s="184"/>
      <c r="AH938" s="184"/>
      <c r="AI938" s="184"/>
      <c r="AJ938" s="184"/>
      <c r="AK938" s="184"/>
      <c r="AL938" s="184"/>
      <c r="AM938" s="184"/>
      <c r="AN938" s="184"/>
      <c r="AO938" s="185"/>
      <c r="AP938" s="185"/>
      <c r="AQ938" s="185"/>
      <c r="AR938" s="8"/>
      <c r="AS938" s="8"/>
      <c r="AT938" s="8"/>
      <c r="AU938" s="8"/>
    </row>
    <row r="939" spans="1:47" ht="11.25" customHeight="1" x14ac:dyDescent="0.25">
      <c r="A939" s="1293"/>
      <c r="B939" s="1326"/>
      <c r="C939" s="1269"/>
      <c r="D939" s="1269"/>
      <c r="E939" s="1306"/>
      <c r="F939" s="486"/>
      <c r="G939" s="1269"/>
      <c r="H939" s="1306"/>
      <c r="I939" s="1308"/>
      <c r="J939" s="1269"/>
      <c r="K939" s="1269"/>
      <c r="L939" s="1269"/>
      <c r="M939" s="1308"/>
      <c r="N939" s="1308"/>
      <c r="O939" s="1311"/>
      <c r="P939" s="1311"/>
      <c r="Q939" s="1311"/>
      <c r="R939" s="1311"/>
      <c r="S939" s="1311"/>
      <c r="T939" s="1311"/>
      <c r="U939" s="1311"/>
      <c r="V939" s="1319"/>
      <c r="W939" s="1311"/>
      <c r="X939" s="1311"/>
      <c r="Y939" s="1311"/>
      <c r="Z939" s="1315"/>
      <c r="AC939" s="982"/>
      <c r="AD939" s="8"/>
      <c r="AE939" s="8"/>
      <c r="AF939" s="184"/>
      <c r="AG939" s="184"/>
      <c r="AH939" s="184"/>
      <c r="AI939" s="184"/>
      <c r="AJ939" s="184"/>
      <c r="AK939" s="184"/>
      <c r="AL939" s="184"/>
      <c r="AM939" s="184"/>
      <c r="AN939" s="184"/>
      <c r="AO939" s="185"/>
      <c r="AP939" s="185"/>
      <c r="AQ939" s="185"/>
      <c r="AR939" s="8"/>
      <c r="AS939" s="8"/>
      <c r="AT939" s="8"/>
      <c r="AU939" s="8"/>
    </row>
    <row r="940" spans="1:47" ht="12" customHeight="1" thickBot="1" x14ac:dyDescent="0.3">
      <c r="A940" s="1293"/>
      <c r="B940" s="1326"/>
      <c r="C940" s="1269"/>
      <c r="D940" s="1269"/>
      <c r="E940" s="1306"/>
      <c r="F940" s="486"/>
      <c r="G940" s="1269"/>
      <c r="H940" s="1306"/>
      <c r="I940" s="1309"/>
      <c r="J940" s="1269"/>
      <c r="K940" s="1269"/>
      <c r="L940" s="1269"/>
      <c r="M940" s="1309"/>
      <c r="N940" s="1309"/>
      <c r="O940" s="1311"/>
      <c r="P940" s="1311"/>
      <c r="Q940" s="1311"/>
      <c r="R940" s="1311"/>
      <c r="S940" s="1311"/>
      <c r="T940" s="1311"/>
      <c r="U940" s="1311"/>
      <c r="V940" s="1319"/>
      <c r="W940" s="1311"/>
      <c r="X940" s="1311"/>
      <c r="Y940" s="1311"/>
      <c r="Z940" s="1315"/>
      <c r="AC940" s="1305"/>
      <c r="AD940" s="8"/>
      <c r="AE940" s="8"/>
      <c r="AF940" s="184"/>
      <c r="AG940" s="184"/>
      <c r="AH940" s="184"/>
      <c r="AI940" s="184"/>
      <c r="AJ940" s="184"/>
      <c r="AK940" s="184"/>
      <c r="AL940" s="184"/>
      <c r="AM940" s="184"/>
      <c r="AN940" s="184"/>
      <c r="AO940" s="185"/>
      <c r="AP940" s="185"/>
      <c r="AQ940" s="185"/>
      <c r="AR940" s="8"/>
      <c r="AS940" s="8"/>
      <c r="AT940" s="8"/>
      <c r="AU940" s="8"/>
    </row>
    <row r="941" spans="1:47" ht="10.5" customHeight="1" x14ac:dyDescent="0.25">
      <c r="A941" s="1293"/>
      <c r="B941" s="1326"/>
      <c r="C941" s="1316" t="s">
        <v>357</v>
      </c>
      <c r="D941" s="199" t="s">
        <v>288</v>
      </c>
      <c r="E941" s="456">
        <v>156.79999999999998</v>
      </c>
      <c r="F941" s="456"/>
      <c r="G941" s="198"/>
      <c r="H941" s="456">
        <v>156.79999999999998</v>
      </c>
      <c r="I941" s="456"/>
      <c r="J941" s="905">
        <v>488154.18328675005</v>
      </c>
      <c r="K941" s="456">
        <v>156.79999999999998</v>
      </c>
      <c r="L941" s="456">
        <v>147536.15328674999</v>
      </c>
      <c r="M941" s="456">
        <f>L941+316648.96</f>
        <v>464185.11328675004</v>
      </c>
      <c r="N941" s="456">
        <v>488154.18328675005</v>
      </c>
      <c r="O941" s="1317" t="s">
        <v>287</v>
      </c>
      <c r="P941" s="1318" t="s">
        <v>86</v>
      </c>
      <c r="Q941" s="1310" t="s">
        <v>86</v>
      </c>
      <c r="R941" s="1318" t="s">
        <v>86</v>
      </c>
      <c r="S941" s="1310" t="s">
        <v>290</v>
      </c>
      <c r="T941" s="1310">
        <v>7878783</v>
      </c>
      <c r="U941" s="1311"/>
      <c r="V941" s="1319"/>
      <c r="W941" s="1310" t="s">
        <v>291</v>
      </c>
      <c r="X941" s="1310" t="s">
        <v>292</v>
      </c>
      <c r="Y941" s="1310" t="s">
        <v>293</v>
      </c>
      <c r="Z941" s="1315">
        <v>7878810</v>
      </c>
      <c r="AC941" s="1304">
        <v>7878783</v>
      </c>
      <c r="AD941" s="8"/>
      <c r="AE941" s="8"/>
      <c r="AF941" s="184">
        <v>12</v>
      </c>
      <c r="AG941" s="184" t="s">
        <v>294</v>
      </c>
      <c r="AH941" s="184"/>
      <c r="AI941" s="184"/>
      <c r="AJ941" s="184"/>
      <c r="AK941" s="184" t="s">
        <v>295</v>
      </c>
      <c r="AL941" s="184"/>
      <c r="AM941" s="184"/>
      <c r="AN941" s="184"/>
      <c r="AO941" s="185"/>
      <c r="AP941" s="185"/>
      <c r="AQ941" s="185"/>
      <c r="AR941" s="8"/>
      <c r="AS941" s="8"/>
      <c r="AT941" s="8"/>
      <c r="AU941" s="8"/>
    </row>
    <row r="942" spans="1:47" ht="10.5" customHeight="1" x14ac:dyDescent="0.25">
      <c r="A942" s="1293"/>
      <c r="B942" s="1326"/>
      <c r="C942" s="1269"/>
      <c r="D942" s="904" t="s">
        <v>296</v>
      </c>
      <c r="E942" s="456">
        <v>18831.60606627557</v>
      </c>
      <c r="F942" s="456"/>
      <c r="G942" s="198"/>
      <c r="H942" s="456">
        <v>18831.60606627557</v>
      </c>
      <c r="I942" s="456"/>
      <c r="J942" s="456">
        <f>+J941*$J$1033/$J$1032</f>
        <v>35292426.322610587</v>
      </c>
      <c r="K942" s="456">
        <v>34349.322432462308</v>
      </c>
      <c r="L942" s="456">
        <v>25716005.985783901</v>
      </c>
      <c r="M942" s="456">
        <v>25716005.985783901</v>
      </c>
      <c r="N942" s="456">
        <v>33352635.274726201</v>
      </c>
      <c r="O942" s="1311"/>
      <c r="P942" s="1311"/>
      <c r="Q942" s="1311"/>
      <c r="R942" s="1311"/>
      <c r="S942" s="1311"/>
      <c r="T942" s="1311"/>
      <c r="U942" s="1311"/>
      <c r="V942" s="1319"/>
      <c r="W942" s="1311"/>
      <c r="X942" s="1311"/>
      <c r="Y942" s="1311"/>
      <c r="Z942" s="1315"/>
      <c r="AC942" s="982"/>
      <c r="AD942" s="8"/>
      <c r="AE942" s="8"/>
      <c r="AF942" s="184">
        <v>13</v>
      </c>
      <c r="AG942" s="184" t="s">
        <v>297</v>
      </c>
      <c r="AH942" s="184"/>
      <c r="AI942" s="184"/>
      <c r="AJ942" s="184"/>
      <c r="AK942" s="184" t="s">
        <v>298</v>
      </c>
      <c r="AL942" s="184"/>
      <c r="AM942" s="184"/>
      <c r="AN942" s="184"/>
      <c r="AO942" s="185"/>
      <c r="AP942" s="185"/>
      <c r="AQ942" s="185"/>
      <c r="AR942" s="8"/>
      <c r="AS942" s="8"/>
      <c r="AT942" s="8"/>
      <c r="AU942" s="8"/>
    </row>
    <row r="943" spans="1:47" ht="21.75" customHeight="1" x14ac:dyDescent="0.25">
      <c r="A943" s="1293"/>
      <c r="B943" s="1326"/>
      <c r="C943" s="1269"/>
      <c r="D943" s="904" t="s">
        <v>299</v>
      </c>
      <c r="E943" s="456"/>
      <c r="F943" s="456"/>
      <c r="G943" s="198"/>
      <c r="H943" s="456"/>
      <c r="I943" s="456"/>
      <c r="J943" s="198"/>
      <c r="K943" s="456"/>
      <c r="L943" s="456"/>
      <c r="M943" s="456"/>
      <c r="N943" s="456"/>
      <c r="O943" s="1311"/>
      <c r="P943" s="1311"/>
      <c r="Q943" s="1311"/>
      <c r="R943" s="1311"/>
      <c r="S943" s="1311"/>
      <c r="T943" s="1311"/>
      <c r="U943" s="1311"/>
      <c r="V943" s="1319"/>
      <c r="W943" s="1311"/>
      <c r="X943" s="1311"/>
      <c r="Y943" s="1311"/>
      <c r="Z943" s="1315"/>
      <c r="AC943" s="982"/>
      <c r="AD943" s="8"/>
      <c r="AE943" s="8"/>
      <c r="AF943" s="184">
        <v>14</v>
      </c>
      <c r="AG943" s="184" t="s">
        <v>300</v>
      </c>
      <c r="AH943" s="184"/>
      <c r="AI943" s="184"/>
      <c r="AJ943" s="184"/>
      <c r="AK943" s="184" t="s">
        <v>301</v>
      </c>
      <c r="AL943" s="184"/>
      <c r="AM943" s="184"/>
      <c r="AN943" s="184"/>
      <c r="AO943" s="185"/>
      <c r="AP943" s="185"/>
      <c r="AQ943" s="185"/>
      <c r="AR943" s="8"/>
      <c r="AS943" s="8"/>
      <c r="AT943" s="8"/>
      <c r="AU943" s="8"/>
    </row>
    <row r="944" spans="1:47" ht="9" customHeight="1" x14ac:dyDescent="0.25">
      <c r="A944" s="1293"/>
      <c r="B944" s="1326"/>
      <c r="C944" s="1269"/>
      <c r="D944" s="1286" t="s">
        <v>302</v>
      </c>
      <c r="E944" s="1306"/>
      <c r="F944" s="935"/>
      <c r="G944" s="1272"/>
      <c r="H944" s="1306"/>
      <c r="I944" s="1307"/>
      <c r="J944" s="1272"/>
      <c r="K944" s="1306"/>
      <c r="L944" s="1306"/>
      <c r="M944" s="1307"/>
      <c r="N944" s="1307"/>
      <c r="O944" s="1311"/>
      <c r="P944" s="1311"/>
      <c r="Q944" s="1311"/>
      <c r="R944" s="1311"/>
      <c r="S944" s="1311"/>
      <c r="T944" s="1311"/>
      <c r="U944" s="1311"/>
      <c r="V944" s="1319"/>
      <c r="W944" s="1311"/>
      <c r="X944" s="1311"/>
      <c r="Y944" s="1311"/>
      <c r="Z944" s="1315"/>
      <c r="AC944" s="982"/>
      <c r="AD944" s="8"/>
      <c r="AE944" s="8"/>
      <c r="AF944" s="184"/>
      <c r="AG944" s="184"/>
      <c r="AH944" s="184"/>
      <c r="AI944" s="184"/>
      <c r="AJ944" s="184"/>
      <c r="AK944" s="184"/>
      <c r="AL944" s="184"/>
      <c r="AM944" s="184"/>
      <c r="AN944" s="184"/>
      <c r="AO944" s="185"/>
      <c r="AP944" s="185"/>
      <c r="AQ944" s="185"/>
      <c r="AR944" s="8"/>
      <c r="AS944" s="8"/>
      <c r="AT944" s="8"/>
      <c r="AU944" s="8"/>
    </row>
    <row r="945" spans="1:47" ht="12" customHeight="1" x14ac:dyDescent="0.25">
      <c r="A945" s="1293"/>
      <c r="B945" s="1326"/>
      <c r="C945" s="1269"/>
      <c r="D945" s="1269"/>
      <c r="E945" s="1306"/>
      <c r="F945" s="486"/>
      <c r="G945" s="1269"/>
      <c r="H945" s="1306"/>
      <c r="I945" s="1308"/>
      <c r="J945" s="1269"/>
      <c r="K945" s="1269"/>
      <c r="L945" s="1269"/>
      <c r="M945" s="1308"/>
      <c r="N945" s="1308"/>
      <c r="O945" s="1311"/>
      <c r="P945" s="1311"/>
      <c r="Q945" s="1311"/>
      <c r="R945" s="1311"/>
      <c r="S945" s="1311"/>
      <c r="T945" s="1311"/>
      <c r="U945" s="1311"/>
      <c r="V945" s="1319"/>
      <c r="W945" s="1311"/>
      <c r="X945" s="1311"/>
      <c r="Y945" s="1311"/>
      <c r="Z945" s="1315"/>
      <c r="AC945" s="982"/>
      <c r="AD945" s="8"/>
      <c r="AE945" s="8"/>
      <c r="AF945" s="184"/>
      <c r="AG945" s="184"/>
      <c r="AH945" s="184"/>
      <c r="AI945" s="184"/>
      <c r="AJ945" s="184"/>
      <c r="AK945" s="184"/>
      <c r="AL945" s="184"/>
      <c r="AM945" s="184"/>
      <c r="AN945" s="184"/>
      <c r="AO945" s="185"/>
      <c r="AP945" s="185"/>
      <c r="AQ945" s="185"/>
      <c r="AR945" s="8"/>
      <c r="AS945" s="8"/>
      <c r="AT945" s="8"/>
      <c r="AU945" s="8"/>
    </row>
    <row r="946" spans="1:47" ht="12.75" customHeight="1" x14ac:dyDescent="0.25">
      <c r="A946" s="1293"/>
      <c r="B946" s="1326"/>
      <c r="C946" s="1269"/>
      <c r="D946" s="1269"/>
      <c r="E946" s="1306"/>
      <c r="F946" s="486"/>
      <c r="G946" s="1269"/>
      <c r="H946" s="1306"/>
      <c r="I946" s="1308"/>
      <c r="J946" s="1269"/>
      <c r="K946" s="1269"/>
      <c r="L946" s="1269"/>
      <c r="M946" s="1308"/>
      <c r="N946" s="1308"/>
      <c r="O946" s="1311"/>
      <c r="P946" s="1311"/>
      <c r="Q946" s="1311"/>
      <c r="R946" s="1311"/>
      <c r="S946" s="1311"/>
      <c r="T946" s="1311"/>
      <c r="U946" s="1311"/>
      <c r="V946" s="1319"/>
      <c r="W946" s="1311"/>
      <c r="X946" s="1311"/>
      <c r="Y946" s="1311"/>
      <c r="Z946" s="1315"/>
      <c r="AC946" s="982"/>
      <c r="AD946" s="8"/>
      <c r="AE946" s="8"/>
      <c r="AF946" s="184"/>
      <c r="AG946" s="184"/>
      <c r="AH946" s="184"/>
      <c r="AI946" s="184"/>
      <c r="AJ946" s="184"/>
      <c r="AK946" s="184"/>
      <c r="AL946" s="184"/>
      <c r="AM946" s="184"/>
      <c r="AN946" s="184"/>
      <c r="AO946" s="185"/>
      <c r="AP946" s="185"/>
      <c r="AQ946" s="185"/>
      <c r="AR946" s="8"/>
      <c r="AS946" s="8"/>
      <c r="AT946" s="8"/>
      <c r="AU946" s="8"/>
    </row>
    <row r="947" spans="1:47" ht="13.5" customHeight="1" thickBot="1" x14ac:dyDescent="0.3">
      <c r="A947" s="1293"/>
      <c r="B947" s="1326"/>
      <c r="C947" s="1269"/>
      <c r="D947" s="1269"/>
      <c r="E947" s="1306"/>
      <c r="F947" s="486"/>
      <c r="G947" s="1269"/>
      <c r="H947" s="1306"/>
      <c r="I947" s="1309"/>
      <c r="J947" s="1269"/>
      <c r="K947" s="1269"/>
      <c r="L947" s="1269"/>
      <c r="M947" s="1309"/>
      <c r="N947" s="1309"/>
      <c r="O947" s="1311"/>
      <c r="P947" s="1311"/>
      <c r="Q947" s="1311"/>
      <c r="R947" s="1311"/>
      <c r="S947" s="1311"/>
      <c r="T947" s="1311"/>
      <c r="U947" s="1311"/>
      <c r="V947" s="1319"/>
      <c r="W947" s="1311"/>
      <c r="X947" s="1311"/>
      <c r="Y947" s="1311"/>
      <c r="Z947" s="1315"/>
      <c r="AC947" s="1305"/>
      <c r="AD947" s="8"/>
      <c r="AE947" s="8"/>
      <c r="AF947" s="184"/>
      <c r="AG947" s="184"/>
      <c r="AH947" s="184"/>
      <c r="AI947" s="184"/>
      <c r="AJ947" s="184"/>
      <c r="AK947" s="184"/>
      <c r="AL947" s="184"/>
      <c r="AM947" s="184"/>
      <c r="AN947" s="184"/>
      <c r="AO947" s="185"/>
      <c r="AP947" s="185"/>
      <c r="AQ947" s="185"/>
      <c r="AR947" s="8"/>
      <c r="AS947" s="8"/>
      <c r="AT947" s="8"/>
      <c r="AU947" s="8"/>
    </row>
    <row r="948" spans="1:47" ht="10.5" customHeight="1" x14ac:dyDescent="0.25">
      <c r="A948" s="1293"/>
      <c r="B948" s="1326"/>
      <c r="C948" s="1316" t="s">
        <v>377</v>
      </c>
      <c r="D948" s="199" t="s">
        <v>288</v>
      </c>
      <c r="E948" s="456">
        <v>168950.59999999998</v>
      </c>
      <c r="F948" s="456"/>
      <c r="G948" s="198"/>
      <c r="H948" s="456">
        <v>168950.59999999998</v>
      </c>
      <c r="I948" s="456"/>
      <c r="J948" s="905">
        <v>1152397.10528675</v>
      </c>
      <c r="K948" s="456">
        <v>168950.59999999998</v>
      </c>
      <c r="L948" s="456">
        <v>544236.41528674995</v>
      </c>
      <c r="M948" s="456">
        <f>L948+222907.3</f>
        <v>767143.71528674988</v>
      </c>
      <c r="N948" s="456">
        <v>1152397.10528675</v>
      </c>
      <c r="O948" s="1317" t="s">
        <v>287</v>
      </c>
      <c r="P948" s="1318" t="s">
        <v>86</v>
      </c>
      <c r="Q948" s="1310" t="s">
        <v>86</v>
      </c>
      <c r="R948" s="1318" t="s">
        <v>86</v>
      </c>
      <c r="S948" s="1310" t="s">
        <v>290</v>
      </c>
      <c r="T948" s="1310">
        <v>7878783</v>
      </c>
      <c r="U948" s="1311"/>
      <c r="V948" s="1319"/>
      <c r="W948" s="1310" t="s">
        <v>291</v>
      </c>
      <c r="X948" s="1310" t="s">
        <v>292</v>
      </c>
      <c r="Y948" s="1310" t="s">
        <v>293</v>
      </c>
      <c r="Z948" s="1315">
        <v>7878811</v>
      </c>
      <c r="AC948" s="1304">
        <v>7878783</v>
      </c>
      <c r="AD948" s="8"/>
      <c r="AE948" s="8"/>
      <c r="AF948" s="184">
        <v>12</v>
      </c>
      <c r="AG948" s="184" t="s">
        <v>294</v>
      </c>
      <c r="AH948" s="184"/>
      <c r="AI948" s="184"/>
      <c r="AJ948" s="184"/>
      <c r="AK948" s="184" t="s">
        <v>295</v>
      </c>
      <c r="AL948" s="184"/>
      <c r="AM948" s="184"/>
      <c r="AN948" s="184"/>
      <c r="AO948" s="185"/>
      <c r="AP948" s="185"/>
      <c r="AQ948" s="185"/>
      <c r="AR948" s="8"/>
      <c r="AS948" s="8"/>
      <c r="AT948" s="8"/>
      <c r="AU948" s="8"/>
    </row>
    <row r="949" spans="1:47" ht="10.5" customHeight="1" x14ac:dyDescent="0.25">
      <c r="A949" s="1293"/>
      <c r="B949" s="1326"/>
      <c r="C949" s="1269"/>
      <c r="D949" s="904" t="s">
        <v>296</v>
      </c>
      <c r="E949" s="456">
        <v>20290887.397072047</v>
      </c>
      <c r="F949" s="456"/>
      <c r="G949" s="198"/>
      <c r="H949" s="456">
        <v>20290887.397072047</v>
      </c>
      <c r="I949" s="456"/>
      <c r="J949" s="456">
        <f>+J948*$J$1033/$J$1032</f>
        <v>83315664.036482453</v>
      </c>
      <c r="K949" s="456">
        <v>37011088.230599277</v>
      </c>
      <c r="L949" s="456">
        <v>94862083.641247898</v>
      </c>
      <c r="M949" s="456">
        <v>94862083.641247898</v>
      </c>
      <c r="N949" s="456">
        <v>78736353.513335794</v>
      </c>
      <c r="O949" s="1311"/>
      <c r="P949" s="1311"/>
      <c r="Q949" s="1311"/>
      <c r="R949" s="1311"/>
      <c r="S949" s="1311"/>
      <c r="T949" s="1311"/>
      <c r="U949" s="1311"/>
      <c r="V949" s="1319"/>
      <c r="W949" s="1311"/>
      <c r="X949" s="1311"/>
      <c r="Y949" s="1311"/>
      <c r="Z949" s="1315"/>
      <c r="AC949" s="982"/>
      <c r="AD949" s="8"/>
      <c r="AE949" s="8"/>
      <c r="AF949" s="184">
        <v>13</v>
      </c>
      <c r="AG949" s="184" t="s">
        <v>297</v>
      </c>
      <c r="AH949" s="184"/>
      <c r="AI949" s="184"/>
      <c r="AJ949" s="184"/>
      <c r="AK949" s="184" t="s">
        <v>298</v>
      </c>
      <c r="AL949" s="184"/>
      <c r="AM949" s="184"/>
      <c r="AN949" s="184"/>
      <c r="AO949" s="185"/>
      <c r="AP949" s="185"/>
      <c r="AQ949" s="185"/>
      <c r="AR949" s="8"/>
      <c r="AS949" s="8"/>
      <c r="AT949" s="8"/>
      <c r="AU949" s="8"/>
    </row>
    <row r="950" spans="1:47" ht="10.5" customHeight="1" x14ac:dyDescent="0.25">
      <c r="A950" s="1293"/>
      <c r="B950" s="1326"/>
      <c r="C950" s="1269"/>
      <c r="D950" s="904" t="s">
        <v>299</v>
      </c>
      <c r="E950" s="456"/>
      <c r="F950" s="456"/>
      <c r="G950" s="198"/>
      <c r="H950" s="456"/>
      <c r="I950" s="456"/>
      <c r="J950" s="198"/>
      <c r="K950" s="456"/>
      <c r="L950" s="456"/>
      <c r="M950" s="456"/>
      <c r="N950" s="456"/>
      <c r="O950" s="1311"/>
      <c r="P950" s="1311"/>
      <c r="Q950" s="1311"/>
      <c r="R950" s="1311"/>
      <c r="S950" s="1311"/>
      <c r="T950" s="1311"/>
      <c r="U950" s="1311"/>
      <c r="V950" s="1319"/>
      <c r="W950" s="1311"/>
      <c r="X950" s="1311"/>
      <c r="Y950" s="1311"/>
      <c r="Z950" s="1315"/>
      <c r="AC950" s="982"/>
      <c r="AD950" s="8"/>
      <c r="AE950" s="8"/>
      <c r="AF950" s="184">
        <v>14</v>
      </c>
      <c r="AG950" s="184" t="s">
        <v>300</v>
      </c>
      <c r="AH950" s="184"/>
      <c r="AI950" s="184"/>
      <c r="AJ950" s="184"/>
      <c r="AK950" s="184" t="s">
        <v>301</v>
      </c>
      <c r="AL950" s="184"/>
      <c r="AM950" s="184"/>
      <c r="AN950" s="184"/>
      <c r="AO950" s="185"/>
      <c r="AP950" s="185"/>
      <c r="AQ950" s="185"/>
      <c r="AR950" s="8"/>
      <c r="AS950" s="8"/>
      <c r="AT950" s="8"/>
      <c r="AU950" s="8"/>
    </row>
    <row r="951" spans="1:47" ht="10.5" customHeight="1" x14ac:dyDescent="0.25">
      <c r="A951" s="1293"/>
      <c r="B951" s="1326"/>
      <c r="C951" s="1269"/>
      <c r="D951" s="1286" t="s">
        <v>302</v>
      </c>
      <c r="E951" s="1306"/>
      <c r="F951" s="935"/>
      <c r="G951" s="1272"/>
      <c r="H951" s="1306"/>
      <c r="I951" s="1307"/>
      <c r="J951" s="1272"/>
      <c r="K951" s="1306"/>
      <c r="L951" s="1306"/>
      <c r="M951" s="1307"/>
      <c r="N951" s="1307"/>
      <c r="O951" s="1311"/>
      <c r="P951" s="1311"/>
      <c r="Q951" s="1311"/>
      <c r="R951" s="1311"/>
      <c r="S951" s="1311"/>
      <c r="T951" s="1311"/>
      <c r="U951" s="1311"/>
      <c r="V951" s="1319"/>
      <c r="W951" s="1311"/>
      <c r="X951" s="1311"/>
      <c r="Y951" s="1311"/>
      <c r="Z951" s="1315"/>
      <c r="AC951" s="982"/>
      <c r="AD951" s="8"/>
      <c r="AE951" s="8"/>
      <c r="AF951" s="184"/>
      <c r="AG951" s="184"/>
      <c r="AH951" s="184"/>
      <c r="AI951" s="184"/>
      <c r="AJ951" s="184"/>
      <c r="AK951" s="184"/>
      <c r="AL951" s="184"/>
      <c r="AM951" s="184"/>
      <c r="AN951" s="184"/>
      <c r="AO951" s="185"/>
      <c r="AP951" s="185"/>
      <c r="AQ951" s="185"/>
      <c r="AR951" s="8"/>
      <c r="AS951" s="8"/>
      <c r="AT951" s="8"/>
      <c r="AU951" s="8"/>
    </row>
    <row r="952" spans="1:47" ht="11.25" customHeight="1" x14ac:dyDescent="0.25">
      <c r="A952" s="1293"/>
      <c r="B952" s="1326"/>
      <c r="C952" s="1269"/>
      <c r="D952" s="1269"/>
      <c r="E952" s="1306"/>
      <c r="F952" s="486"/>
      <c r="G952" s="1269"/>
      <c r="H952" s="1306"/>
      <c r="I952" s="1308"/>
      <c r="J952" s="1269"/>
      <c r="K952" s="1269"/>
      <c r="L952" s="1269"/>
      <c r="M952" s="1308"/>
      <c r="N952" s="1308"/>
      <c r="O952" s="1311"/>
      <c r="P952" s="1311"/>
      <c r="Q952" s="1311"/>
      <c r="R952" s="1311"/>
      <c r="S952" s="1311"/>
      <c r="T952" s="1311"/>
      <c r="U952" s="1311"/>
      <c r="V952" s="1319"/>
      <c r="W952" s="1311"/>
      <c r="X952" s="1311"/>
      <c r="Y952" s="1311"/>
      <c r="Z952" s="1315"/>
      <c r="AC952" s="982"/>
      <c r="AD952" s="8"/>
      <c r="AE952" s="8"/>
      <c r="AF952" s="184"/>
      <c r="AG952" s="184"/>
      <c r="AH952" s="184"/>
      <c r="AI952" s="184"/>
      <c r="AJ952" s="184"/>
      <c r="AK952" s="184"/>
      <c r="AL952" s="184"/>
      <c r="AM952" s="184"/>
      <c r="AN952" s="184"/>
      <c r="AO952" s="185"/>
      <c r="AP952" s="185"/>
      <c r="AQ952" s="185"/>
      <c r="AR952" s="8"/>
      <c r="AS952" s="8"/>
      <c r="AT952" s="8"/>
      <c r="AU952" s="8"/>
    </row>
    <row r="953" spans="1:47" ht="10.5" customHeight="1" x14ac:dyDescent="0.25">
      <c r="A953" s="1293"/>
      <c r="B953" s="1326"/>
      <c r="C953" s="1269"/>
      <c r="D953" s="1269"/>
      <c r="E953" s="1306"/>
      <c r="F953" s="486"/>
      <c r="G953" s="1269"/>
      <c r="H953" s="1306"/>
      <c r="I953" s="1308"/>
      <c r="J953" s="1269"/>
      <c r="K953" s="1269"/>
      <c r="L953" s="1269"/>
      <c r="M953" s="1308"/>
      <c r="N953" s="1308"/>
      <c r="O953" s="1311"/>
      <c r="P953" s="1311"/>
      <c r="Q953" s="1311"/>
      <c r="R953" s="1311"/>
      <c r="S953" s="1311"/>
      <c r="T953" s="1311"/>
      <c r="U953" s="1311"/>
      <c r="V953" s="1319"/>
      <c r="W953" s="1311"/>
      <c r="X953" s="1311"/>
      <c r="Y953" s="1311"/>
      <c r="Z953" s="1315"/>
      <c r="AC953" s="982"/>
      <c r="AD953" s="8"/>
      <c r="AE953" s="8"/>
      <c r="AF953" s="184"/>
      <c r="AG953" s="184"/>
      <c r="AH953" s="184"/>
      <c r="AI953" s="184"/>
      <c r="AJ953" s="184"/>
      <c r="AK953" s="184"/>
      <c r="AL953" s="184"/>
      <c r="AM953" s="184"/>
      <c r="AN953" s="184"/>
      <c r="AO953" s="185"/>
      <c r="AP953" s="185"/>
      <c r="AQ953" s="185"/>
      <c r="AR953" s="8"/>
      <c r="AS953" s="8"/>
      <c r="AT953" s="8"/>
      <c r="AU953" s="8"/>
    </row>
    <row r="954" spans="1:47" ht="14.25" customHeight="1" thickBot="1" x14ac:dyDescent="0.3">
      <c r="A954" s="1293"/>
      <c r="B954" s="1326"/>
      <c r="C954" s="1269"/>
      <c r="D954" s="1269"/>
      <c r="E954" s="1306"/>
      <c r="F954" s="486"/>
      <c r="G954" s="1269"/>
      <c r="H954" s="1306"/>
      <c r="I954" s="1309"/>
      <c r="J954" s="1269"/>
      <c r="K954" s="1269"/>
      <c r="L954" s="1269"/>
      <c r="M954" s="1309"/>
      <c r="N954" s="1309"/>
      <c r="O954" s="1311"/>
      <c r="P954" s="1311"/>
      <c r="Q954" s="1311"/>
      <c r="R954" s="1311"/>
      <c r="S954" s="1311"/>
      <c r="T954" s="1311"/>
      <c r="U954" s="1311"/>
      <c r="V954" s="1319"/>
      <c r="W954" s="1311"/>
      <c r="X954" s="1311"/>
      <c r="Y954" s="1311"/>
      <c r="Z954" s="1315"/>
      <c r="AC954" s="1305"/>
      <c r="AD954" s="8"/>
      <c r="AE954" s="8"/>
      <c r="AF954" s="184"/>
      <c r="AG954" s="184"/>
      <c r="AH954" s="184"/>
      <c r="AI954" s="184"/>
      <c r="AJ954" s="184"/>
      <c r="AK954" s="184"/>
      <c r="AL954" s="184"/>
      <c r="AM954" s="184"/>
      <c r="AN954" s="184"/>
      <c r="AO954" s="185"/>
      <c r="AP954" s="185"/>
      <c r="AQ954" s="185"/>
      <c r="AR954" s="8"/>
      <c r="AS954" s="8"/>
      <c r="AT954" s="8"/>
      <c r="AU954" s="8"/>
    </row>
    <row r="955" spans="1:47" ht="10.5" customHeight="1" x14ac:dyDescent="0.25">
      <c r="A955" s="1293"/>
      <c r="B955" s="1326"/>
      <c r="C955" s="1316" t="s">
        <v>358</v>
      </c>
      <c r="D955" s="199" t="s">
        <v>288</v>
      </c>
      <c r="E955" s="456">
        <v>62070.805999999997</v>
      </c>
      <c r="F955" s="456"/>
      <c r="G955" s="198"/>
      <c r="H955" s="456">
        <v>62070.805999999997</v>
      </c>
      <c r="I955" s="456"/>
      <c r="J955" s="905">
        <v>1823533.9900000002</v>
      </c>
      <c r="K955" s="456">
        <v>62070.805999999997</v>
      </c>
      <c r="L955" s="456">
        <v>209618.35</v>
      </c>
      <c r="M955" s="456">
        <f>L955+488537.31</f>
        <v>698155.66</v>
      </c>
      <c r="N955" s="456">
        <v>1823533.9900000002</v>
      </c>
      <c r="O955" s="1317" t="s">
        <v>287</v>
      </c>
      <c r="P955" s="1318" t="s">
        <v>86</v>
      </c>
      <c r="Q955" s="1310" t="s">
        <v>86</v>
      </c>
      <c r="R955" s="1318" t="s">
        <v>86</v>
      </c>
      <c r="S955" s="1310" t="s">
        <v>290</v>
      </c>
      <c r="T955" s="1310">
        <v>7878783</v>
      </c>
      <c r="U955" s="1311"/>
      <c r="V955" s="1319"/>
      <c r="W955" s="1310" t="s">
        <v>291</v>
      </c>
      <c r="X955" s="1310" t="s">
        <v>292</v>
      </c>
      <c r="Y955" s="1310" t="s">
        <v>293</v>
      </c>
      <c r="Z955" s="1315">
        <v>7878812</v>
      </c>
      <c r="AC955" s="1304">
        <v>7878783</v>
      </c>
      <c r="AD955" s="8"/>
      <c r="AE955" s="8"/>
      <c r="AF955" s="184">
        <v>12</v>
      </c>
      <c r="AG955" s="184" t="s">
        <v>294</v>
      </c>
      <c r="AH955" s="184"/>
      <c r="AI955" s="184"/>
      <c r="AJ955" s="184"/>
      <c r="AK955" s="184" t="s">
        <v>295</v>
      </c>
      <c r="AL955" s="184"/>
      <c r="AM955" s="184"/>
      <c r="AN955" s="184"/>
      <c r="AO955" s="185"/>
      <c r="AP955" s="185"/>
      <c r="AQ955" s="185"/>
      <c r="AR955" s="8"/>
      <c r="AS955" s="8"/>
      <c r="AT955" s="8"/>
      <c r="AU955" s="8"/>
    </row>
    <row r="956" spans="1:47" ht="10.5" customHeight="1" x14ac:dyDescent="0.25">
      <c r="A956" s="1293"/>
      <c r="B956" s="1326"/>
      <c r="C956" s="1269"/>
      <c r="D956" s="904" t="s">
        <v>296</v>
      </c>
      <c r="E956" s="456">
        <v>7454674.5332156513</v>
      </c>
      <c r="F956" s="456"/>
      <c r="G956" s="198"/>
      <c r="H956" s="456">
        <v>7454674.5332156513</v>
      </c>
      <c r="I956" s="456"/>
      <c r="J956" s="456">
        <f>+J955*$J$1033/$J$1032</f>
        <v>131837319.4213656</v>
      </c>
      <c r="K956" s="456">
        <v>13597513.577403165</v>
      </c>
      <c r="L956" s="456">
        <v>36537124.109865703</v>
      </c>
      <c r="M956" s="456">
        <v>36537124.109865703</v>
      </c>
      <c r="N956" s="456">
        <v>124591094.70298199</v>
      </c>
      <c r="O956" s="1311"/>
      <c r="P956" s="1311"/>
      <c r="Q956" s="1311"/>
      <c r="R956" s="1311"/>
      <c r="S956" s="1311"/>
      <c r="T956" s="1311"/>
      <c r="U956" s="1311"/>
      <c r="V956" s="1319"/>
      <c r="W956" s="1311"/>
      <c r="X956" s="1311"/>
      <c r="Y956" s="1311"/>
      <c r="Z956" s="1315"/>
      <c r="AC956" s="982"/>
      <c r="AD956" s="8"/>
      <c r="AE956" s="8"/>
      <c r="AF956" s="184">
        <v>13</v>
      </c>
      <c r="AG956" s="184" t="s">
        <v>297</v>
      </c>
      <c r="AH956" s="184"/>
      <c r="AI956" s="184"/>
      <c r="AJ956" s="184"/>
      <c r="AK956" s="184" t="s">
        <v>298</v>
      </c>
      <c r="AL956" s="184"/>
      <c r="AM956" s="184"/>
      <c r="AN956" s="184"/>
      <c r="AO956" s="185"/>
      <c r="AP956" s="185"/>
      <c r="AQ956" s="185"/>
      <c r="AR956" s="8"/>
      <c r="AS956" s="8"/>
      <c r="AT956" s="8"/>
      <c r="AU956" s="8"/>
    </row>
    <row r="957" spans="1:47" ht="21.75" customHeight="1" x14ac:dyDescent="0.25">
      <c r="A957" s="1293"/>
      <c r="B957" s="1326"/>
      <c r="C957" s="1269"/>
      <c r="D957" s="904" t="s">
        <v>299</v>
      </c>
      <c r="E957" s="456"/>
      <c r="F957" s="456"/>
      <c r="G957" s="198"/>
      <c r="H957" s="456"/>
      <c r="I957" s="456"/>
      <c r="J957" s="198"/>
      <c r="K957" s="456"/>
      <c r="L957" s="456"/>
      <c r="M957" s="456"/>
      <c r="N957" s="456"/>
      <c r="O957" s="1311"/>
      <c r="P957" s="1311"/>
      <c r="Q957" s="1311"/>
      <c r="R957" s="1311"/>
      <c r="S957" s="1311"/>
      <c r="T957" s="1311"/>
      <c r="U957" s="1311"/>
      <c r="V957" s="1319"/>
      <c r="W957" s="1311"/>
      <c r="X957" s="1311"/>
      <c r="Y957" s="1311"/>
      <c r="Z957" s="1315"/>
      <c r="AC957" s="982"/>
      <c r="AD957" s="8"/>
      <c r="AE957" s="8"/>
      <c r="AF957" s="184">
        <v>14</v>
      </c>
      <c r="AG957" s="184" t="s">
        <v>300</v>
      </c>
      <c r="AH957" s="184"/>
      <c r="AI957" s="184"/>
      <c r="AJ957" s="184"/>
      <c r="AK957" s="184" t="s">
        <v>301</v>
      </c>
      <c r="AL957" s="184"/>
      <c r="AM957" s="184"/>
      <c r="AN957" s="184"/>
      <c r="AO957" s="185"/>
      <c r="AP957" s="185"/>
      <c r="AQ957" s="185"/>
      <c r="AR957" s="8"/>
      <c r="AS957" s="8"/>
      <c r="AT957" s="8"/>
      <c r="AU957" s="8"/>
    </row>
    <row r="958" spans="1:47" ht="12" customHeight="1" x14ac:dyDescent="0.25">
      <c r="A958" s="1293"/>
      <c r="B958" s="1326"/>
      <c r="C958" s="1269"/>
      <c r="D958" s="1299" t="s">
        <v>302</v>
      </c>
      <c r="E958" s="1306"/>
      <c r="F958" s="935"/>
      <c r="G958" s="1272"/>
      <c r="H958" s="1306"/>
      <c r="I958" s="1307"/>
      <c r="J958" s="1272"/>
      <c r="K958" s="1306"/>
      <c r="L958" s="1306"/>
      <c r="M958" s="1307"/>
      <c r="N958" s="1307"/>
      <c r="O958" s="1311"/>
      <c r="P958" s="1311"/>
      <c r="Q958" s="1311"/>
      <c r="R958" s="1311"/>
      <c r="S958" s="1311"/>
      <c r="T958" s="1311"/>
      <c r="U958" s="1311"/>
      <c r="V958" s="1319"/>
      <c r="W958" s="1311"/>
      <c r="X958" s="1311"/>
      <c r="Y958" s="1311"/>
      <c r="Z958" s="1315"/>
      <c r="AC958" s="982"/>
      <c r="AD958" s="8"/>
      <c r="AE958" s="8"/>
      <c r="AF958" s="184"/>
      <c r="AG958" s="184"/>
      <c r="AH958" s="184"/>
      <c r="AI958" s="184"/>
      <c r="AJ958" s="184"/>
      <c r="AK958" s="184"/>
      <c r="AL958" s="184"/>
      <c r="AM958" s="184"/>
      <c r="AN958" s="184"/>
      <c r="AO958" s="185"/>
      <c r="AP958" s="185"/>
      <c r="AQ958" s="185"/>
      <c r="AR958" s="8"/>
      <c r="AS958" s="8"/>
      <c r="AT958" s="8"/>
      <c r="AU958" s="8"/>
    </row>
    <row r="959" spans="1:47" ht="12.75" customHeight="1" x14ac:dyDescent="0.25">
      <c r="A959" s="1293"/>
      <c r="B959" s="1326"/>
      <c r="C959" s="1269"/>
      <c r="D959" s="1269"/>
      <c r="E959" s="1306"/>
      <c r="F959" s="486"/>
      <c r="G959" s="1269"/>
      <c r="H959" s="1306"/>
      <c r="I959" s="1308"/>
      <c r="J959" s="1269"/>
      <c r="K959" s="1269"/>
      <c r="L959" s="1269"/>
      <c r="M959" s="1308"/>
      <c r="N959" s="1308"/>
      <c r="O959" s="1311"/>
      <c r="P959" s="1311"/>
      <c r="Q959" s="1311"/>
      <c r="R959" s="1311"/>
      <c r="S959" s="1311"/>
      <c r="T959" s="1311"/>
      <c r="U959" s="1311"/>
      <c r="V959" s="1319"/>
      <c r="W959" s="1311"/>
      <c r="X959" s="1311"/>
      <c r="Y959" s="1311"/>
      <c r="Z959" s="1315"/>
      <c r="AC959" s="982"/>
      <c r="AD959" s="8"/>
      <c r="AE959" s="8"/>
      <c r="AF959" s="184"/>
      <c r="AG959" s="184"/>
      <c r="AH959" s="184"/>
      <c r="AI959" s="184"/>
      <c r="AJ959" s="184"/>
      <c r="AK959" s="184"/>
      <c r="AL959" s="184"/>
      <c r="AM959" s="184"/>
      <c r="AN959" s="184"/>
      <c r="AO959" s="185"/>
      <c r="AP959" s="185"/>
      <c r="AQ959" s="185"/>
      <c r="AR959" s="8"/>
      <c r="AS959" s="8"/>
      <c r="AT959" s="8"/>
      <c r="AU959" s="8"/>
    </row>
    <row r="960" spans="1:47" ht="12.75" customHeight="1" x14ac:dyDescent="0.25">
      <c r="A960" s="1293"/>
      <c r="B960" s="1326"/>
      <c r="C960" s="1269"/>
      <c r="D960" s="1269"/>
      <c r="E960" s="1306"/>
      <c r="F960" s="486"/>
      <c r="G960" s="1269"/>
      <c r="H960" s="1306"/>
      <c r="I960" s="1308"/>
      <c r="J960" s="1269"/>
      <c r="K960" s="1269"/>
      <c r="L960" s="1269"/>
      <c r="M960" s="1308"/>
      <c r="N960" s="1308"/>
      <c r="O960" s="1311"/>
      <c r="P960" s="1311"/>
      <c r="Q960" s="1311"/>
      <c r="R960" s="1311"/>
      <c r="S960" s="1311"/>
      <c r="T960" s="1311"/>
      <c r="U960" s="1311"/>
      <c r="V960" s="1319"/>
      <c r="W960" s="1311"/>
      <c r="X960" s="1311"/>
      <c r="Y960" s="1311"/>
      <c r="Z960" s="1315"/>
      <c r="AC960" s="982"/>
      <c r="AD960" s="8"/>
      <c r="AE960" s="8"/>
      <c r="AF960" s="184"/>
      <c r="AG960" s="184"/>
      <c r="AH960" s="184"/>
      <c r="AI960" s="184"/>
      <c r="AJ960" s="184"/>
      <c r="AK960" s="184"/>
      <c r="AL960" s="184"/>
      <c r="AM960" s="184"/>
      <c r="AN960" s="184"/>
      <c r="AO960" s="185"/>
      <c r="AP960" s="185"/>
      <c r="AQ960" s="185"/>
      <c r="AR960" s="8"/>
      <c r="AS960" s="8"/>
      <c r="AT960" s="8"/>
      <c r="AU960" s="8"/>
    </row>
    <row r="961" spans="1:47" ht="15" customHeight="1" thickBot="1" x14ac:dyDescent="0.3">
      <c r="A961" s="1293"/>
      <c r="B961" s="1326"/>
      <c r="C961" s="1269"/>
      <c r="D961" s="1269"/>
      <c r="E961" s="1306"/>
      <c r="F961" s="486"/>
      <c r="G961" s="1269"/>
      <c r="H961" s="1306"/>
      <c r="I961" s="1309"/>
      <c r="J961" s="1269"/>
      <c r="K961" s="1269"/>
      <c r="L961" s="1269"/>
      <c r="M961" s="1309"/>
      <c r="N961" s="1309"/>
      <c r="O961" s="1311"/>
      <c r="P961" s="1311"/>
      <c r="Q961" s="1311"/>
      <c r="R961" s="1311"/>
      <c r="S961" s="1311"/>
      <c r="T961" s="1311"/>
      <c r="U961" s="1311"/>
      <c r="V961" s="1319"/>
      <c r="W961" s="1311"/>
      <c r="X961" s="1311"/>
      <c r="Y961" s="1311"/>
      <c r="Z961" s="1315"/>
      <c r="AC961" s="1305"/>
      <c r="AD961" s="8"/>
      <c r="AE961" s="8"/>
      <c r="AF961" s="184"/>
      <c r="AG961" s="184"/>
      <c r="AH961" s="184"/>
      <c r="AI961" s="184"/>
      <c r="AJ961" s="184"/>
      <c r="AK961" s="184"/>
      <c r="AL961" s="184"/>
      <c r="AM961" s="184"/>
      <c r="AN961" s="184"/>
      <c r="AO961" s="185"/>
      <c r="AP961" s="185"/>
      <c r="AQ961" s="185"/>
      <c r="AR961" s="8"/>
      <c r="AS961" s="8"/>
      <c r="AT961" s="8"/>
      <c r="AU961" s="8"/>
    </row>
    <row r="962" spans="1:47" ht="10.5" customHeight="1" x14ac:dyDescent="0.25">
      <c r="A962" s="1293"/>
      <c r="B962" s="1326"/>
      <c r="C962" s="1316" t="s">
        <v>399</v>
      </c>
      <c r="D962" s="199" t="s">
        <v>288</v>
      </c>
      <c r="E962" s="456">
        <v>9048.4660000000003</v>
      </c>
      <c r="F962" s="456"/>
      <c r="G962" s="198"/>
      <c r="H962" s="456">
        <v>9048.4660000000003</v>
      </c>
      <c r="I962" s="456"/>
      <c r="J962" s="905">
        <v>357600.73126599996</v>
      </c>
      <c r="K962" s="456">
        <v>9048.4660000000003</v>
      </c>
      <c r="L962" s="456">
        <v>30350.751265999999</v>
      </c>
      <c r="M962" s="456">
        <f>L962+263813.06</f>
        <v>294163.81126599998</v>
      </c>
      <c r="N962" s="456">
        <v>357600.73126599996</v>
      </c>
      <c r="O962" s="1317" t="s">
        <v>287</v>
      </c>
      <c r="P962" s="1318" t="s">
        <v>86</v>
      </c>
      <c r="Q962" s="1310" t="s">
        <v>86</v>
      </c>
      <c r="R962" s="1318" t="s">
        <v>86</v>
      </c>
      <c r="S962" s="1310" t="s">
        <v>290</v>
      </c>
      <c r="T962" s="1310">
        <v>7878783</v>
      </c>
      <c r="U962" s="1311"/>
      <c r="V962" s="1319"/>
      <c r="W962" s="1310" t="s">
        <v>291</v>
      </c>
      <c r="X962" s="1310" t="s">
        <v>292</v>
      </c>
      <c r="Y962" s="1310" t="s">
        <v>293</v>
      </c>
      <c r="Z962" s="1315">
        <v>7878813</v>
      </c>
      <c r="AC962" s="1304">
        <v>7878783</v>
      </c>
      <c r="AD962" s="8"/>
      <c r="AE962" s="8"/>
      <c r="AF962" s="184">
        <v>12</v>
      </c>
      <c r="AG962" s="184" t="s">
        <v>294</v>
      </c>
      <c r="AH962" s="184"/>
      <c r="AI962" s="184"/>
      <c r="AJ962" s="184"/>
      <c r="AK962" s="184" t="s">
        <v>295</v>
      </c>
      <c r="AL962" s="184"/>
      <c r="AM962" s="184"/>
      <c r="AN962" s="184"/>
      <c r="AO962" s="185"/>
      <c r="AP962" s="185"/>
      <c r="AQ962" s="185"/>
      <c r="AR962" s="8"/>
      <c r="AS962" s="8"/>
      <c r="AT962" s="8"/>
      <c r="AU962" s="8"/>
    </row>
    <row r="963" spans="1:47" ht="10.5" customHeight="1" x14ac:dyDescent="0.25">
      <c r="A963" s="1293"/>
      <c r="B963" s="1326"/>
      <c r="C963" s="1269"/>
      <c r="D963" s="904" t="s">
        <v>296</v>
      </c>
      <c r="E963" s="456">
        <v>1086716.5001026036</v>
      </c>
      <c r="F963" s="456"/>
      <c r="G963" s="198"/>
      <c r="H963" s="456">
        <v>1086716.5001026036</v>
      </c>
      <c r="I963" s="456"/>
      <c r="J963" s="456">
        <f>+J962*$J$1033/$J$1032</f>
        <v>25853711.579694524</v>
      </c>
      <c r="K963" s="456">
        <v>1982198.1897523759</v>
      </c>
      <c r="L963" s="456">
        <v>5290229.43761128</v>
      </c>
      <c r="M963" s="456">
        <v>5290229.43761128</v>
      </c>
      <c r="N963" s="456">
        <v>24432704.199288201</v>
      </c>
      <c r="O963" s="1311"/>
      <c r="P963" s="1311"/>
      <c r="Q963" s="1311"/>
      <c r="R963" s="1311"/>
      <c r="S963" s="1311"/>
      <c r="T963" s="1311"/>
      <c r="U963" s="1311"/>
      <c r="V963" s="1319"/>
      <c r="W963" s="1311"/>
      <c r="X963" s="1311"/>
      <c r="Y963" s="1311"/>
      <c r="Z963" s="1315"/>
      <c r="AC963" s="982"/>
      <c r="AD963" s="8"/>
      <c r="AE963" s="8"/>
      <c r="AF963" s="184">
        <v>13</v>
      </c>
      <c r="AG963" s="184" t="s">
        <v>297</v>
      </c>
      <c r="AH963" s="184"/>
      <c r="AI963" s="184"/>
      <c r="AJ963" s="184"/>
      <c r="AK963" s="184" t="s">
        <v>298</v>
      </c>
      <c r="AL963" s="184"/>
      <c r="AM963" s="184"/>
      <c r="AN963" s="184"/>
      <c r="AO963" s="185"/>
      <c r="AP963" s="185"/>
      <c r="AQ963" s="185"/>
      <c r="AR963" s="8"/>
      <c r="AS963" s="8"/>
      <c r="AT963" s="8"/>
      <c r="AU963" s="8"/>
    </row>
    <row r="964" spans="1:47" ht="15.75" customHeight="1" x14ac:dyDescent="0.25">
      <c r="A964" s="1293"/>
      <c r="B964" s="1326"/>
      <c r="C964" s="1269"/>
      <c r="D964" s="904" t="s">
        <v>299</v>
      </c>
      <c r="E964" s="456"/>
      <c r="F964" s="456"/>
      <c r="G964" s="198"/>
      <c r="H964" s="456"/>
      <c r="I964" s="456"/>
      <c r="J964" s="198"/>
      <c r="K964" s="456"/>
      <c r="L964" s="456"/>
      <c r="M964" s="456"/>
      <c r="N964" s="456"/>
      <c r="O964" s="1311"/>
      <c r="P964" s="1311"/>
      <c r="Q964" s="1311"/>
      <c r="R964" s="1311"/>
      <c r="S964" s="1311"/>
      <c r="T964" s="1311"/>
      <c r="U964" s="1311"/>
      <c r="V964" s="1319"/>
      <c r="W964" s="1311"/>
      <c r="X964" s="1311"/>
      <c r="Y964" s="1311"/>
      <c r="Z964" s="1315"/>
      <c r="AC964" s="982"/>
      <c r="AD964" s="8"/>
      <c r="AE964" s="8"/>
      <c r="AF964" s="184">
        <v>14</v>
      </c>
      <c r="AG964" s="184" t="s">
        <v>300</v>
      </c>
      <c r="AH964" s="184"/>
      <c r="AI964" s="184"/>
      <c r="AJ964" s="184"/>
      <c r="AK964" s="184" t="s">
        <v>301</v>
      </c>
      <c r="AL964" s="184"/>
      <c r="AM964" s="184"/>
      <c r="AN964" s="184"/>
      <c r="AO964" s="185"/>
      <c r="AP964" s="185"/>
      <c r="AQ964" s="185"/>
      <c r="AR964" s="8"/>
      <c r="AS964" s="8"/>
      <c r="AT964" s="8"/>
      <c r="AU964" s="8"/>
    </row>
    <row r="965" spans="1:47" ht="13.5" customHeight="1" x14ac:dyDescent="0.25">
      <c r="A965" s="1293"/>
      <c r="B965" s="1326"/>
      <c r="C965" s="1269"/>
      <c r="D965" s="1299" t="s">
        <v>302</v>
      </c>
      <c r="E965" s="1306"/>
      <c r="F965" s="935"/>
      <c r="G965" s="1272"/>
      <c r="H965" s="1306"/>
      <c r="I965" s="1307"/>
      <c r="J965" s="1272"/>
      <c r="K965" s="1306"/>
      <c r="L965" s="1306"/>
      <c r="M965" s="1307"/>
      <c r="N965" s="1307"/>
      <c r="O965" s="1311"/>
      <c r="P965" s="1311"/>
      <c r="Q965" s="1311"/>
      <c r="R965" s="1311"/>
      <c r="S965" s="1311"/>
      <c r="T965" s="1311"/>
      <c r="U965" s="1311"/>
      <c r="V965" s="1319"/>
      <c r="W965" s="1311"/>
      <c r="X965" s="1311"/>
      <c r="Y965" s="1311"/>
      <c r="Z965" s="1315"/>
      <c r="AC965" s="982"/>
      <c r="AD965" s="8"/>
      <c r="AE965" s="8"/>
      <c r="AF965" s="184"/>
      <c r="AG965" s="184"/>
      <c r="AH965" s="184"/>
      <c r="AI965" s="184"/>
      <c r="AJ965" s="184"/>
      <c r="AK965" s="184"/>
      <c r="AL965" s="184"/>
      <c r="AM965" s="184"/>
      <c r="AN965" s="184"/>
      <c r="AO965" s="185"/>
      <c r="AP965" s="185"/>
      <c r="AQ965" s="185"/>
      <c r="AR965" s="8"/>
      <c r="AS965" s="8"/>
      <c r="AT965" s="8"/>
      <c r="AU965" s="8"/>
    </row>
    <row r="966" spans="1:47" ht="12.75" customHeight="1" x14ac:dyDescent="0.25">
      <c r="A966" s="1293"/>
      <c r="B966" s="1326"/>
      <c r="C966" s="1269"/>
      <c r="D966" s="1269"/>
      <c r="E966" s="1306"/>
      <c r="F966" s="486"/>
      <c r="G966" s="1269"/>
      <c r="H966" s="1306"/>
      <c r="I966" s="1308"/>
      <c r="J966" s="1269"/>
      <c r="K966" s="1269"/>
      <c r="L966" s="1269"/>
      <c r="M966" s="1308"/>
      <c r="N966" s="1308"/>
      <c r="O966" s="1311"/>
      <c r="P966" s="1311"/>
      <c r="Q966" s="1311"/>
      <c r="R966" s="1311"/>
      <c r="S966" s="1311"/>
      <c r="T966" s="1311"/>
      <c r="U966" s="1311"/>
      <c r="V966" s="1319"/>
      <c r="W966" s="1311"/>
      <c r="X966" s="1311"/>
      <c r="Y966" s="1311"/>
      <c r="Z966" s="1315"/>
      <c r="AC966" s="982"/>
      <c r="AD966" s="8"/>
      <c r="AE966" s="8"/>
      <c r="AF966" s="184"/>
      <c r="AG966" s="184"/>
      <c r="AH966" s="184"/>
      <c r="AI966" s="184"/>
      <c r="AJ966" s="184"/>
      <c r="AK966" s="184"/>
      <c r="AL966" s="184"/>
      <c r="AM966" s="184"/>
      <c r="AN966" s="184"/>
      <c r="AO966" s="185"/>
      <c r="AP966" s="185"/>
      <c r="AQ966" s="185"/>
      <c r="AR966" s="8"/>
      <c r="AS966" s="8"/>
      <c r="AT966" s="8"/>
      <c r="AU966" s="8"/>
    </row>
    <row r="967" spans="1:47" ht="14.25" customHeight="1" x14ac:dyDescent="0.25">
      <c r="A967" s="1293"/>
      <c r="B967" s="1326"/>
      <c r="C967" s="1269"/>
      <c r="D967" s="1269"/>
      <c r="E967" s="1306"/>
      <c r="F967" s="486"/>
      <c r="G967" s="1269"/>
      <c r="H967" s="1306"/>
      <c r="I967" s="1308"/>
      <c r="J967" s="1269"/>
      <c r="K967" s="1269"/>
      <c r="L967" s="1269"/>
      <c r="M967" s="1308"/>
      <c r="N967" s="1308"/>
      <c r="O967" s="1311"/>
      <c r="P967" s="1311"/>
      <c r="Q967" s="1311"/>
      <c r="R967" s="1311"/>
      <c r="S967" s="1311"/>
      <c r="T967" s="1311"/>
      <c r="U967" s="1311"/>
      <c r="V967" s="1319"/>
      <c r="W967" s="1311"/>
      <c r="X967" s="1311"/>
      <c r="Y967" s="1311"/>
      <c r="Z967" s="1315"/>
      <c r="AC967" s="982"/>
      <c r="AD967" s="8"/>
      <c r="AE967" s="8"/>
      <c r="AF967" s="184"/>
      <c r="AG967" s="184"/>
      <c r="AH967" s="184"/>
      <c r="AI967" s="184"/>
      <c r="AJ967" s="184"/>
      <c r="AK967" s="184"/>
      <c r="AL967" s="184"/>
      <c r="AM967" s="184"/>
      <c r="AN967" s="184"/>
      <c r="AO967" s="185"/>
      <c r="AP967" s="185"/>
      <c r="AQ967" s="185"/>
      <c r="AR967" s="8"/>
      <c r="AS967" s="8"/>
      <c r="AT967" s="8"/>
      <c r="AU967" s="8"/>
    </row>
    <row r="968" spans="1:47" ht="13.5" customHeight="1" thickBot="1" x14ac:dyDescent="0.3">
      <c r="A968" s="1293"/>
      <c r="B968" s="1326"/>
      <c r="C968" s="1269"/>
      <c r="D968" s="1269"/>
      <c r="E968" s="1306"/>
      <c r="F968" s="486"/>
      <c r="G968" s="1269"/>
      <c r="H968" s="1306"/>
      <c r="I968" s="1309"/>
      <c r="J968" s="1269"/>
      <c r="K968" s="1269"/>
      <c r="L968" s="1269"/>
      <c r="M968" s="1309"/>
      <c r="N968" s="1309"/>
      <c r="O968" s="1311"/>
      <c r="P968" s="1311"/>
      <c r="Q968" s="1311"/>
      <c r="R968" s="1311"/>
      <c r="S968" s="1311"/>
      <c r="T968" s="1311"/>
      <c r="U968" s="1311"/>
      <c r="V968" s="1319"/>
      <c r="W968" s="1311"/>
      <c r="X968" s="1311"/>
      <c r="Y968" s="1311"/>
      <c r="Z968" s="1315"/>
      <c r="AC968" s="1305"/>
      <c r="AD968" s="8"/>
      <c r="AE968" s="8"/>
      <c r="AF968" s="184"/>
      <c r="AG968" s="184"/>
      <c r="AH968" s="184"/>
      <c r="AI968" s="184"/>
      <c r="AJ968" s="184"/>
      <c r="AK968" s="184"/>
      <c r="AL968" s="184"/>
      <c r="AM968" s="184"/>
      <c r="AN968" s="184"/>
      <c r="AO968" s="185"/>
      <c r="AP968" s="185"/>
      <c r="AQ968" s="185"/>
      <c r="AR968" s="8"/>
      <c r="AS968" s="8"/>
      <c r="AT968" s="8"/>
      <c r="AU968" s="8"/>
    </row>
    <row r="969" spans="1:47" ht="10.5" customHeight="1" x14ac:dyDescent="0.25">
      <c r="A969" s="1293"/>
      <c r="B969" s="1326"/>
      <c r="C969" s="1316" t="s">
        <v>365</v>
      </c>
      <c r="D969" s="199" t="s">
        <v>288</v>
      </c>
      <c r="E969" s="456">
        <v>186712.69399999999</v>
      </c>
      <c r="F969" s="456"/>
      <c r="G969" s="198"/>
      <c r="H969" s="456">
        <v>186712.69399999999</v>
      </c>
      <c r="I969" s="456"/>
      <c r="J969" s="905">
        <v>1157099.46328675</v>
      </c>
      <c r="K969" s="456">
        <v>186712.69399999999</v>
      </c>
      <c r="L969" s="456">
        <v>402703.66328674997</v>
      </c>
      <c r="M969" s="456">
        <f>L969+423034.64</f>
        <v>825738.30328674999</v>
      </c>
      <c r="N969" s="456">
        <v>1157099.46328675</v>
      </c>
      <c r="O969" s="1317" t="s">
        <v>287</v>
      </c>
      <c r="P969" s="1318" t="s">
        <v>86</v>
      </c>
      <c r="Q969" s="1310" t="s">
        <v>86</v>
      </c>
      <c r="R969" s="1318" t="s">
        <v>86</v>
      </c>
      <c r="S969" s="1310" t="s">
        <v>290</v>
      </c>
      <c r="T969" s="1310">
        <v>7878783</v>
      </c>
      <c r="U969" s="1311"/>
      <c r="V969" s="1319"/>
      <c r="W969" s="1310" t="s">
        <v>291</v>
      </c>
      <c r="X969" s="1310" t="s">
        <v>292</v>
      </c>
      <c r="Y969" s="1310" t="s">
        <v>293</v>
      </c>
      <c r="Z969" s="1315">
        <v>7878814</v>
      </c>
      <c r="AC969" s="1304">
        <v>7878783</v>
      </c>
      <c r="AD969" s="8"/>
      <c r="AE969" s="8"/>
      <c r="AF969" s="184">
        <v>12</v>
      </c>
      <c r="AG969" s="184" t="s">
        <v>294</v>
      </c>
      <c r="AH969" s="184"/>
      <c r="AI969" s="184"/>
      <c r="AJ969" s="184"/>
      <c r="AK969" s="184" t="s">
        <v>295</v>
      </c>
      <c r="AL969" s="184"/>
      <c r="AM969" s="184"/>
      <c r="AN969" s="184"/>
      <c r="AO969" s="185"/>
      <c r="AP969" s="185"/>
      <c r="AQ969" s="185"/>
      <c r="AR969" s="8"/>
      <c r="AS969" s="8"/>
      <c r="AT969" s="8"/>
      <c r="AU969" s="8"/>
    </row>
    <row r="970" spans="1:47" ht="10.5" customHeight="1" x14ac:dyDescent="0.25">
      <c r="A970" s="1293"/>
      <c r="B970" s="1326"/>
      <c r="C970" s="1269"/>
      <c r="D970" s="904" t="s">
        <v>296</v>
      </c>
      <c r="E970" s="456">
        <v>22424106.511358764</v>
      </c>
      <c r="F970" s="456"/>
      <c r="G970" s="198"/>
      <c r="H970" s="456">
        <v>22424106.511358764</v>
      </c>
      <c r="I970" s="456"/>
      <c r="J970" s="456">
        <f>+J969*$J$1033/$J$1032</f>
        <v>83655633.720118344</v>
      </c>
      <c r="K970" s="456">
        <v>40902133.472191781</v>
      </c>
      <c r="L970" s="456">
        <v>70192488.992521599</v>
      </c>
      <c r="M970" s="456">
        <v>70192488.992521599</v>
      </c>
      <c r="N970" s="456">
        <v>79057637.313976899</v>
      </c>
      <c r="O970" s="1311"/>
      <c r="P970" s="1311"/>
      <c r="Q970" s="1311"/>
      <c r="R970" s="1311"/>
      <c r="S970" s="1311"/>
      <c r="T970" s="1311"/>
      <c r="U970" s="1311"/>
      <c r="V970" s="1319"/>
      <c r="W970" s="1311"/>
      <c r="X970" s="1311"/>
      <c r="Y970" s="1311"/>
      <c r="Z970" s="1315"/>
      <c r="AC970" s="982"/>
      <c r="AD970" s="8"/>
      <c r="AE970" s="8"/>
      <c r="AF970" s="184">
        <v>13</v>
      </c>
      <c r="AG970" s="184" t="s">
        <v>297</v>
      </c>
      <c r="AH970" s="184"/>
      <c r="AI970" s="184"/>
      <c r="AJ970" s="184"/>
      <c r="AK970" s="184" t="s">
        <v>298</v>
      </c>
      <c r="AL970" s="184"/>
      <c r="AM970" s="184"/>
      <c r="AN970" s="184"/>
      <c r="AO970" s="185"/>
      <c r="AP970" s="185"/>
      <c r="AQ970" s="185"/>
      <c r="AR970" s="8"/>
      <c r="AS970" s="8"/>
      <c r="AT970" s="8"/>
      <c r="AU970" s="8"/>
    </row>
    <row r="971" spans="1:47" ht="18" customHeight="1" x14ac:dyDescent="0.25">
      <c r="A971" s="1293"/>
      <c r="B971" s="1326"/>
      <c r="C971" s="1269"/>
      <c r="D971" s="904" t="s">
        <v>299</v>
      </c>
      <c r="E971" s="456"/>
      <c r="F971" s="456"/>
      <c r="G971" s="198"/>
      <c r="H971" s="456"/>
      <c r="I971" s="456"/>
      <c r="J971" s="198"/>
      <c r="K971" s="456"/>
      <c r="L971" s="456"/>
      <c r="M971" s="456"/>
      <c r="N971" s="456"/>
      <c r="O971" s="1311"/>
      <c r="P971" s="1311"/>
      <c r="Q971" s="1311"/>
      <c r="R971" s="1311"/>
      <c r="S971" s="1311"/>
      <c r="T971" s="1311"/>
      <c r="U971" s="1311"/>
      <c r="V971" s="1319"/>
      <c r="W971" s="1311"/>
      <c r="X971" s="1311"/>
      <c r="Y971" s="1311"/>
      <c r="Z971" s="1315"/>
      <c r="AC971" s="982"/>
      <c r="AD971" s="8"/>
      <c r="AE971" s="8"/>
      <c r="AF971" s="184">
        <v>14</v>
      </c>
      <c r="AG971" s="184" t="s">
        <v>300</v>
      </c>
      <c r="AH971" s="184"/>
      <c r="AI971" s="184"/>
      <c r="AJ971" s="184"/>
      <c r="AK971" s="184" t="s">
        <v>301</v>
      </c>
      <c r="AL971" s="184"/>
      <c r="AM971" s="184"/>
      <c r="AN971" s="184"/>
      <c r="AO971" s="185"/>
      <c r="AP971" s="185"/>
      <c r="AQ971" s="185"/>
      <c r="AR971" s="8"/>
      <c r="AS971" s="8"/>
      <c r="AT971" s="8"/>
      <c r="AU971" s="8"/>
    </row>
    <row r="972" spans="1:47" ht="12" customHeight="1" x14ac:dyDescent="0.25">
      <c r="A972" s="1293"/>
      <c r="B972" s="1326"/>
      <c r="C972" s="1269"/>
      <c r="D972" s="1299" t="s">
        <v>302</v>
      </c>
      <c r="E972" s="1306"/>
      <c r="F972" s="935"/>
      <c r="G972" s="1272"/>
      <c r="H972" s="1306"/>
      <c r="I972" s="1307"/>
      <c r="J972" s="1272"/>
      <c r="K972" s="1306"/>
      <c r="L972" s="1306"/>
      <c r="M972" s="1307"/>
      <c r="N972" s="1307"/>
      <c r="O972" s="1311"/>
      <c r="P972" s="1311"/>
      <c r="Q972" s="1311"/>
      <c r="R972" s="1311"/>
      <c r="S972" s="1311"/>
      <c r="T972" s="1311"/>
      <c r="U972" s="1311"/>
      <c r="V972" s="1319"/>
      <c r="W972" s="1311"/>
      <c r="X972" s="1311"/>
      <c r="Y972" s="1311"/>
      <c r="Z972" s="1315"/>
      <c r="AC972" s="982"/>
      <c r="AD972" s="8"/>
      <c r="AE972" s="8"/>
      <c r="AF972" s="184"/>
      <c r="AG972" s="184"/>
      <c r="AH972" s="184"/>
      <c r="AI972" s="184"/>
      <c r="AJ972" s="184"/>
      <c r="AK972" s="184"/>
      <c r="AL972" s="184"/>
      <c r="AM972" s="184"/>
      <c r="AN972" s="184"/>
      <c r="AO972" s="185"/>
      <c r="AP972" s="185"/>
      <c r="AQ972" s="185"/>
      <c r="AR972" s="8"/>
      <c r="AS972" s="8"/>
      <c r="AT972" s="8"/>
      <c r="AU972" s="8"/>
    </row>
    <row r="973" spans="1:47" ht="8.25" customHeight="1" x14ac:dyDescent="0.25">
      <c r="A973" s="1293"/>
      <c r="B973" s="1326"/>
      <c r="C973" s="1269"/>
      <c r="D973" s="1269"/>
      <c r="E973" s="1306"/>
      <c r="F973" s="486"/>
      <c r="G973" s="1269"/>
      <c r="H973" s="1306"/>
      <c r="I973" s="1308"/>
      <c r="J973" s="1269"/>
      <c r="K973" s="1269"/>
      <c r="L973" s="1269"/>
      <c r="M973" s="1308"/>
      <c r="N973" s="1308"/>
      <c r="O973" s="1311"/>
      <c r="P973" s="1311"/>
      <c r="Q973" s="1311"/>
      <c r="R973" s="1311"/>
      <c r="S973" s="1311"/>
      <c r="T973" s="1311"/>
      <c r="U973" s="1311"/>
      <c r="V973" s="1319"/>
      <c r="W973" s="1311"/>
      <c r="X973" s="1311"/>
      <c r="Y973" s="1311"/>
      <c r="Z973" s="1315"/>
      <c r="AC973" s="982"/>
      <c r="AD973" s="8"/>
      <c r="AE973" s="8"/>
      <c r="AF973" s="184"/>
      <c r="AG973" s="184"/>
      <c r="AH973" s="184"/>
      <c r="AI973" s="184"/>
      <c r="AJ973" s="184"/>
      <c r="AK973" s="184"/>
      <c r="AL973" s="184"/>
      <c r="AM973" s="184"/>
      <c r="AN973" s="184"/>
      <c r="AO973" s="185"/>
      <c r="AP973" s="185"/>
      <c r="AQ973" s="185"/>
      <c r="AR973" s="8"/>
      <c r="AS973" s="8"/>
      <c r="AT973" s="8"/>
      <c r="AU973" s="8"/>
    </row>
    <row r="974" spans="1:47" ht="11.25" customHeight="1" x14ac:dyDescent="0.25">
      <c r="A974" s="1293"/>
      <c r="B974" s="1326"/>
      <c r="C974" s="1269"/>
      <c r="D974" s="1269"/>
      <c r="E974" s="1306"/>
      <c r="F974" s="486"/>
      <c r="G974" s="1269"/>
      <c r="H974" s="1306"/>
      <c r="I974" s="1308"/>
      <c r="J974" s="1269"/>
      <c r="K974" s="1269"/>
      <c r="L974" s="1269"/>
      <c r="M974" s="1308"/>
      <c r="N974" s="1308"/>
      <c r="O974" s="1311"/>
      <c r="P974" s="1311"/>
      <c r="Q974" s="1311"/>
      <c r="R974" s="1311"/>
      <c r="S974" s="1311"/>
      <c r="T974" s="1311"/>
      <c r="U974" s="1311"/>
      <c r="V974" s="1319"/>
      <c r="W974" s="1311"/>
      <c r="X974" s="1311"/>
      <c r="Y974" s="1311"/>
      <c r="Z974" s="1315"/>
      <c r="AC974" s="982"/>
      <c r="AD974" s="8"/>
      <c r="AE974" s="8"/>
      <c r="AF974" s="184"/>
      <c r="AG974" s="184"/>
      <c r="AH974" s="184"/>
      <c r="AI974" s="184"/>
      <c r="AJ974" s="184"/>
      <c r="AK974" s="184"/>
      <c r="AL974" s="184"/>
      <c r="AM974" s="184"/>
      <c r="AN974" s="184"/>
      <c r="AO974" s="185"/>
      <c r="AP974" s="185"/>
      <c r="AQ974" s="185"/>
      <c r="AR974" s="8"/>
      <c r="AS974" s="8"/>
      <c r="AT974" s="8"/>
      <c r="AU974" s="8"/>
    </row>
    <row r="975" spans="1:47" ht="11.25" customHeight="1" thickBot="1" x14ac:dyDescent="0.3">
      <c r="A975" s="1293"/>
      <c r="B975" s="1326"/>
      <c r="C975" s="1269"/>
      <c r="D975" s="1269"/>
      <c r="E975" s="1306"/>
      <c r="F975" s="486"/>
      <c r="G975" s="1269"/>
      <c r="H975" s="1306"/>
      <c r="I975" s="1309"/>
      <c r="J975" s="1269"/>
      <c r="K975" s="1269"/>
      <c r="L975" s="1269"/>
      <c r="M975" s="1309"/>
      <c r="N975" s="1309"/>
      <c r="O975" s="1311"/>
      <c r="P975" s="1311"/>
      <c r="Q975" s="1311"/>
      <c r="R975" s="1311"/>
      <c r="S975" s="1311"/>
      <c r="T975" s="1311"/>
      <c r="U975" s="1311"/>
      <c r="V975" s="1319"/>
      <c r="W975" s="1311"/>
      <c r="X975" s="1311"/>
      <c r="Y975" s="1311"/>
      <c r="Z975" s="1315"/>
      <c r="AC975" s="1305"/>
      <c r="AD975" s="8"/>
      <c r="AE975" s="8"/>
      <c r="AF975" s="184"/>
      <c r="AG975" s="184"/>
      <c r="AH975" s="184"/>
      <c r="AI975" s="184"/>
      <c r="AJ975" s="184"/>
      <c r="AK975" s="184"/>
      <c r="AL975" s="184"/>
      <c r="AM975" s="184"/>
      <c r="AN975" s="184"/>
      <c r="AO975" s="185"/>
      <c r="AP975" s="185"/>
      <c r="AQ975" s="185"/>
      <c r="AR975" s="8"/>
      <c r="AS975" s="8"/>
      <c r="AT975" s="8"/>
      <c r="AU975" s="8"/>
    </row>
    <row r="976" spans="1:47" ht="10.5" customHeight="1" x14ac:dyDescent="0.25">
      <c r="A976" s="1293"/>
      <c r="B976" s="1326"/>
      <c r="C976" s="1316" t="s">
        <v>359</v>
      </c>
      <c r="D976" s="199" t="s">
        <v>288</v>
      </c>
      <c r="E976" s="456">
        <v>43593.48</v>
      </c>
      <c r="F976" s="456"/>
      <c r="G976" s="198"/>
      <c r="H976" s="456">
        <v>43593.48</v>
      </c>
      <c r="I976" s="456"/>
      <c r="J976" s="905">
        <v>408719.67000000004</v>
      </c>
      <c r="K976" s="456">
        <v>43593.48</v>
      </c>
      <c r="L976" s="456">
        <v>44478.28</v>
      </c>
      <c r="M976" s="456">
        <f>L976+212254.75</f>
        <v>256733.03</v>
      </c>
      <c r="N976" s="456">
        <v>408719.67000000004</v>
      </c>
      <c r="O976" s="1317" t="s">
        <v>287</v>
      </c>
      <c r="P976" s="1318" t="s">
        <v>86</v>
      </c>
      <c r="Q976" s="1310" t="s">
        <v>86</v>
      </c>
      <c r="R976" s="1318" t="s">
        <v>86</v>
      </c>
      <c r="S976" s="1310" t="s">
        <v>290</v>
      </c>
      <c r="T976" s="1310">
        <v>7878783</v>
      </c>
      <c r="U976" s="1311"/>
      <c r="V976" s="1319"/>
      <c r="W976" s="1310" t="s">
        <v>291</v>
      </c>
      <c r="X976" s="1310" t="s">
        <v>292</v>
      </c>
      <c r="Y976" s="1310" t="s">
        <v>293</v>
      </c>
      <c r="Z976" s="1315">
        <v>7878815</v>
      </c>
      <c r="AC976" s="1304">
        <v>7878783</v>
      </c>
      <c r="AD976" s="8"/>
      <c r="AE976" s="8"/>
      <c r="AF976" s="184">
        <v>12</v>
      </c>
      <c r="AG976" s="184" t="s">
        <v>294</v>
      </c>
      <c r="AH976" s="184"/>
      <c r="AI976" s="184"/>
      <c r="AJ976" s="184"/>
      <c r="AK976" s="184" t="s">
        <v>295</v>
      </c>
      <c r="AL976" s="184"/>
      <c r="AM976" s="184"/>
      <c r="AN976" s="184"/>
      <c r="AO976" s="185"/>
      <c r="AP976" s="185"/>
      <c r="AQ976" s="185"/>
      <c r="AR976" s="8"/>
      <c r="AS976" s="8"/>
      <c r="AT976" s="8"/>
      <c r="AU976" s="8"/>
    </row>
    <row r="977" spans="1:47" ht="10.5" customHeight="1" x14ac:dyDescent="0.25">
      <c r="A977" s="1293"/>
      <c r="B977" s="1326"/>
      <c r="C977" s="1269"/>
      <c r="D977" s="904" t="s">
        <v>296</v>
      </c>
      <c r="E977" s="456">
        <v>5235556.3929723399</v>
      </c>
      <c r="F977" s="456"/>
      <c r="G977" s="198"/>
      <c r="H977" s="456">
        <v>5235556.3929723399</v>
      </c>
      <c r="I977" s="456"/>
      <c r="J977" s="456">
        <f>+J976*$J$1033/$J$1032</f>
        <v>29549493.446834594</v>
      </c>
      <c r="K977" s="456">
        <v>9549786.35505802</v>
      </c>
      <c r="L977" s="456">
        <v>7752701.2141511301</v>
      </c>
      <c r="M977" s="456">
        <v>7752701.2141511301</v>
      </c>
      <c r="N977" s="456">
        <v>27925353.402346801</v>
      </c>
      <c r="O977" s="1311"/>
      <c r="P977" s="1311"/>
      <c r="Q977" s="1311"/>
      <c r="R977" s="1311"/>
      <c r="S977" s="1311"/>
      <c r="T977" s="1311"/>
      <c r="U977" s="1311"/>
      <c r="V977" s="1319"/>
      <c r="W977" s="1311"/>
      <c r="X977" s="1311"/>
      <c r="Y977" s="1311"/>
      <c r="Z977" s="1315"/>
      <c r="AC977" s="982"/>
      <c r="AD977" s="8"/>
      <c r="AE977" s="8"/>
      <c r="AF977" s="184">
        <v>13</v>
      </c>
      <c r="AG977" s="184" t="s">
        <v>297</v>
      </c>
      <c r="AH977" s="184"/>
      <c r="AI977" s="184"/>
      <c r="AJ977" s="184"/>
      <c r="AK977" s="184" t="s">
        <v>298</v>
      </c>
      <c r="AL977" s="184"/>
      <c r="AM977" s="184"/>
      <c r="AN977" s="184"/>
      <c r="AO977" s="185"/>
      <c r="AP977" s="185"/>
      <c r="AQ977" s="185"/>
      <c r="AR977" s="8"/>
      <c r="AS977" s="8"/>
      <c r="AT977" s="8"/>
      <c r="AU977" s="8"/>
    </row>
    <row r="978" spans="1:47" ht="21.75" customHeight="1" x14ac:dyDescent="0.25">
      <c r="A978" s="1293"/>
      <c r="B978" s="1326"/>
      <c r="C978" s="1269"/>
      <c r="D978" s="904" t="s">
        <v>299</v>
      </c>
      <c r="E978" s="456"/>
      <c r="F978" s="456"/>
      <c r="G978" s="198"/>
      <c r="H978" s="456"/>
      <c r="I978" s="456"/>
      <c r="J978" s="198"/>
      <c r="K978" s="456"/>
      <c r="L978" s="456"/>
      <c r="M978" s="456"/>
      <c r="N978" s="456"/>
      <c r="O978" s="1311"/>
      <c r="P978" s="1311"/>
      <c r="Q978" s="1311"/>
      <c r="R978" s="1311"/>
      <c r="S978" s="1311"/>
      <c r="T978" s="1311"/>
      <c r="U978" s="1311"/>
      <c r="V978" s="1319"/>
      <c r="W978" s="1311"/>
      <c r="X978" s="1311"/>
      <c r="Y978" s="1311"/>
      <c r="Z978" s="1315"/>
      <c r="AC978" s="982"/>
      <c r="AD978" s="8"/>
      <c r="AE978" s="8"/>
      <c r="AF978" s="184">
        <v>14</v>
      </c>
      <c r="AG978" s="184" t="s">
        <v>300</v>
      </c>
      <c r="AH978" s="184"/>
      <c r="AI978" s="184"/>
      <c r="AJ978" s="184"/>
      <c r="AK978" s="184" t="s">
        <v>301</v>
      </c>
      <c r="AL978" s="184"/>
      <c r="AM978" s="184"/>
      <c r="AN978" s="184"/>
      <c r="AO978" s="185"/>
      <c r="AP978" s="185"/>
      <c r="AQ978" s="185"/>
      <c r="AR978" s="8"/>
      <c r="AS978" s="8"/>
      <c r="AT978" s="8"/>
      <c r="AU978" s="8"/>
    </row>
    <row r="979" spans="1:47" ht="14.25" customHeight="1" x14ac:dyDescent="0.25">
      <c r="A979" s="1293"/>
      <c r="B979" s="1326"/>
      <c r="C979" s="1269"/>
      <c r="D979" s="1286" t="s">
        <v>302</v>
      </c>
      <c r="E979" s="1306"/>
      <c r="F979" s="935"/>
      <c r="G979" s="1272"/>
      <c r="H979" s="1306"/>
      <c r="I979" s="1307"/>
      <c r="J979" s="1272"/>
      <c r="K979" s="1306"/>
      <c r="L979" s="1306"/>
      <c r="M979" s="1307"/>
      <c r="N979" s="1307"/>
      <c r="O979" s="1311"/>
      <c r="P979" s="1311"/>
      <c r="Q979" s="1311"/>
      <c r="R979" s="1311"/>
      <c r="S979" s="1311"/>
      <c r="T979" s="1311"/>
      <c r="U979" s="1311"/>
      <c r="V979" s="1319"/>
      <c r="W979" s="1311"/>
      <c r="X979" s="1311"/>
      <c r="Y979" s="1311"/>
      <c r="Z979" s="1315"/>
      <c r="AC979" s="982"/>
      <c r="AD979" s="8"/>
      <c r="AE979" s="8"/>
      <c r="AF979" s="184"/>
      <c r="AG979" s="184"/>
      <c r="AH979" s="184"/>
      <c r="AI979" s="184"/>
      <c r="AJ979" s="184"/>
      <c r="AK979" s="184"/>
      <c r="AL979" s="184"/>
      <c r="AM979" s="184"/>
      <c r="AN979" s="184"/>
      <c r="AO979" s="185"/>
      <c r="AP979" s="185"/>
      <c r="AQ979" s="185"/>
      <c r="AR979" s="8"/>
      <c r="AS979" s="8"/>
      <c r="AT979" s="8"/>
      <c r="AU979" s="8"/>
    </row>
    <row r="980" spans="1:47" ht="9.75" customHeight="1" x14ac:dyDescent="0.25">
      <c r="A980" s="1293"/>
      <c r="B980" s="1326"/>
      <c r="C980" s="1269"/>
      <c r="D980" s="1269"/>
      <c r="E980" s="1306"/>
      <c r="F980" s="486"/>
      <c r="G980" s="1269"/>
      <c r="H980" s="1306"/>
      <c r="I980" s="1308"/>
      <c r="J980" s="1269"/>
      <c r="K980" s="1269"/>
      <c r="L980" s="1269"/>
      <c r="M980" s="1308"/>
      <c r="N980" s="1308"/>
      <c r="O980" s="1311"/>
      <c r="P980" s="1311"/>
      <c r="Q980" s="1311"/>
      <c r="R980" s="1311"/>
      <c r="S980" s="1311"/>
      <c r="T980" s="1311"/>
      <c r="U980" s="1311"/>
      <c r="V980" s="1319"/>
      <c r="W980" s="1311"/>
      <c r="X980" s="1311"/>
      <c r="Y980" s="1311"/>
      <c r="Z980" s="1315"/>
      <c r="AC980" s="982"/>
      <c r="AD980" s="8"/>
      <c r="AE980" s="8"/>
      <c r="AF980" s="184"/>
      <c r="AG980" s="184"/>
      <c r="AH980" s="184"/>
      <c r="AI980" s="184"/>
      <c r="AJ980" s="184"/>
      <c r="AK980" s="184"/>
      <c r="AL980" s="184"/>
      <c r="AM980" s="184"/>
      <c r="AN980" s="184"/>
      <c r="AO980" s="185"/>
      <c r="AP980" s="185"/>
      <c r="AQ980" s="185"/>
      <c r="AR980" s="8"/>
      <c r="AS980" s="8"/>
      <c r="AT980" s="8"/>
      <c r="AU980" s="8"/>
    </row>
    <row r="981" spans="1:47" ht="9.75" customHeight="1" x14ac:dyDescent="0.25">
      <c r="A981" s="1293"/>
      <c r="B981" s="1326"/>
      <c r="C981" s="1269"/>
      <c r="D981" s="1269"/>
      <c r="E981" s="1306"/>
      <c r="F981" s="486"/>
      <c r="G981" s="1269"/>
      <c r="H981" s="1306"/>
      <c r="I981" s="1308"/>
      <c r="J981" s="1269"/>
      <c r="K981" s="1269"/>
      <c r="L981" s="1269"/>
      <c r="M981" s="1308"/>
      <c r="N981" s="1308"/>
      <c r="O981" s="1311"/>
      <c r="P981" s="1311"/>
      <c r="Q981" s="1311"/>
      <c r="R981" s="1311"/>
      <c r="S981" s="1311"/>
      <c r="T981" s="1311"/>
      <c r="U981" s="1311"/>
      <c r="V981" s="1319"/>
      <c r="W981" s="1311"/>
      <c r="X981" s="1311"/>
      <c r="Y981" s="1311"/>
      <c r="Z981" s="1315"/>
      <c r="AC981" s="982"/>
      <c r="AD981" s="8"/>
      <c r="AE981" s="8"/>
      <c r="AF981" s="184"/>
      <c r="AG981" s="184"/>
      <c r="AH981" s="184"/>
      <c r="AI981" s="184"/>
      <c r="AJ981" s="184"/>
      <c r="AK981" s="184"/>
      <c r="AL981" s="184"/>
      <c r="AM981" s="184"/>
      <c r="AN981" s="184"/>
      <c r="AO981" s="185"/>
      <c r="AP981" s="185"/>
      <c r="AQ981" s="185"/>
      <c r="AR981" s="8"/>
      <c r="AS981" s="8"/>
      <c r="AT981" s="8"/>
      <c r="AU981" s="8"/>
    </row>
    <row r="982" spans="1:47" ht="12.75" customHeight="1" thickBot="1" x14ac:dyDescent="0.3">
      <c r="A982" s="1293"/>
      <c r="B982" s="1326"/>
      <c r="C982" s="1269"/>
      <c r="D982" s="1269"/>
      <c r="E982" s="1306"/>
      <c r="F982" s="486"/>
      <c r="G982" s="1269"/>
      <c r="H982" s="1306"/>
      <c r="I982" s="1309"/>
      <c r="J982" s="1269"/>
      <c r="K982" s="1269"/>
      <c r="L982" s="1269"/>
      <c r="M982" s="1309"/>
      <c r="N982" s="1309"/>
      <c r="O982" s="1311"/>
      <c r="P982" s="1311"/>
      <c r="Q982" s="1311"/>
      <c r="R982" s="1311"/>
      <c r="S982" s="1311"/>
      <c r="T982" s="1311"/>
      <c r="U982" s="1311"/>
      <c r="V982" s="1319"/>
      <c r="W982" s="1311"/>
      <c r="X982" s="1311"/>
      <c r="Y982" s="1311"/>
      <c r="Z982" s="1315"/>
      <c r="AC982" s="1305"/>
      <c r="AD982" s="8"/>
      <c r="AE982" s="8"/>
      <c r="AF982" s="184"/>
      <c r="AG982" s="184"/>
      <c r="AH982" s="184"/>
      <c r="AI982" s="184"/>
      <c r="AJ982" s="184"/>
      <c r="AK982" s="184"/>
      <c r="AL982" s="184"/>
      <c r="AM982" s="184"/>
      <c r="AN982" s="184"/>
      <c r="AO982" s="185"/>
      <c r="AP982" s="185"/>
      <c r="AQ982" s="185"/>
      <c r="AR982" s="8"/>
      <c r="AS982" s="8"/>
      <c r="AT982" s="8"/>
      <c r="AU982" s="8"/>
    </row>
    <row r="983" spans="1:47" ht="10.5" customHeight="1" x14ac:dyDescent="0.25">
      <c r="A983" s="1293"/>
      <c r="B983" s="1326"/>
      <c r="C983" s="1316" t="s">
        <v>366</v>
      </c>
      <c r="D983" s="199" t="s">
        <v>288</v>
      </c>
      <c r="E983" s="456">
        <v>28645.399999999998</v>
      </c>
      <c r="F983" s="456"/>
      <c r="G983" s="198"/>
      <c r="H983" s="456">
        <v>28645.399999999998</v>
      </c>
      <c r="I983" s="456"/>
      <c r="J983" s="905">
        <v>353881.1</v>
      </c>
      <c r="K983" s="456">
        <v>28645.399999999998</v>
      </c>
      <c r="L983" s="456">
        <v>130316.2</v>
      </c>
      <c r="M983" s="456">
        <f>L983+44670.34</f>
        <v>174986.53999999998</v>
      </c>
      <c r="N983" s="456">
        <v>353881.1</v>
      </c>
      <c r="O983" s="1317" t="s">
        <v>287</v>
      </c>
      <c r="P983" s="1318" t="s">
        <v>86</v>
      </c>
      <c r="Q983" s="1310" t="s">
        <v>86</v>
      </c>
      <c r="R983" s="1318" t="s">
        <v>86</v>
      </c>
      <c r="S983" s="1310" t="s">
        <v>290</v>
      </c>
      <c r="T983" s="1310">
        <v>7878783</v>
      </c>
      <c r="U983" s="1311"/>
      <c r="V983" s="1319"/>
      <c r="W983" s="1310" t="s">
        <v>291</v>
      </c>
      <c r="X983" s="1310" t="s">
        <v>292</v>
      </c>
      <c r="Y983" s="1310" t="s">
        <v>293</v>
      </c>
      <c r="Z983" s="1315">
        <v>7878816</v>
      </c>
      <c r="AC983" s="1304">
        <v>7878783</v>
      </c>
      <c r="AD983" s="8"/>
      <c r="AE983" s="8"/>
      <c r="AF983" s="184">
        <v>12</v>
      </c>
      <c r="AG983" s="184" t="s">
        <v>294</v>
      </c>
      <c r="AH983" s="184"/>
      <c r="AI983" s="184"/>
      <c r="AJ983" s="184"/>
      <c r="AK983" s="184" t="s">
        <v>295</v>
      </c>
      <c r="AL983" s="184"/>
      <c r="AM983" s="184"/>
      <c r="AN983" s="184"/>
      <c r="AO983" s="185"/>
      <c r="AP983" s="185"/>
      <c r="AQ983" s="185"/>
      <c r="AR983" s="8"/>
      <c r="AS983" s="8"/>
      <c r="AT983" s="8"/>
      <c r="AU983" s="8"/>
    </row>
    <row r="984" spans="1:47" ht="10.5" customHeight="1" x14ac:dyDescent="0.25">
      <c r="A984" s="1293"/>
      <c r="B984" s="1326"/>
      <c r="C984" s="1269"/>
      <c r="D984" s="904" t="s">
        <v>296</v>
      </c>
      <c r="E984" s="456">
        <v>3440299.0332327182</v>
      </c>
      <c r="F984" s="456"/>
      <c r="G984" s="198"/>
      <c r="H984" s="456">
        <v>3440299.0332327182</v>
      </c>
      <c r="I984" s="456"/>
      <c r="J984" s="456">
        <f>+J983*$J$1033/$J$1032</f>
        <v>25584790.781927906</v>
      </c>
      <c r="K984" s="456">
        <v>6275191.8418804593</v>
      </c>
      <c r="L984" s="456">
        <v>22714515.0838468</v>
      </c>
      <c r="M984" s="456">
        <v>22714515.0838468</v>
      </c>
      <c r="N984" s="456">
        <v>24178564.197586201</v>
      </c>
      <c r="O984" s="1311"/>
      <c r="P984" s="1311"/>
      <c r="Q984" s="1311"/>
      <c r="R984" s="1311"/>
      <c r="S984" s="1311"/>
      <c r="T984" s="1311"/>
      <c r="U984" s="1311"/>
      <c r="V984" s="1319"/>
      <c r="W984" s="1311"/>
      <c r="X984" s="1311"/>
      <c r="Y984" s="1311"/>
      <c r="Z984" s="1315"/>
      <c r="AC984" s="982"/>
      <c r="AD984" s="8"/>
      <c r="AE984" s="8"/>
      <c r="AF984" s="184">
        <v>13</v>
      </c>
      <c r="AG984" s="184" t="s">
        <v>297</v>
      </c>
      <c r="AH984" s="184"/>
      <c r="AI984" s="184"/>
      <c r="AJ984" s="184"/>
      <c r="AK984" s="184" t="s">
        <v>298</v>
      </c>
      <c r="AL984" s="184"/>
      <c r="AM984" s="184"/>
      <c r="AN984" s="184"/>
      <c r="AO984" s="185"/>
      <c r="AP984" s="185"/>
      <c r="AQ984" s="185"/>
      <c r="AR984" s="8"/>
      <c r="AS984" s="8"/>
      <c r="AT984" s="8"/>
      <c r="AU984" s="8"/>
    </row>
    <row r="985" spans="1:47" ht="21.75" customHeight="1" x14ac:dyDescent="0.25">
      <c r="A985" s="1293"/>
      <c r="B985" s="1326"/>
      <c r="C985" s="1269"/>
      <c r="D985" s="904" t="s">
        <v>299</v>
      </c>
      <c r="E985" s="456"/>
      <c r="F985" s="456"/>
      <c r="G985" s="198"/>
      <c r="H985" s="456"/>
      <c r="I985" s="456"/>
      <c r="J985" s="198"/>
      <c r="K985" s="456"/>
      <c r="L985" s="456"/>
      <c r="M985" s="456"/>
      <c r="N985" s="456"/>
      <c r="O985" s="1311"/>
      <c r="P985" s="1311"/>
      <c r="Q985" s="1311"/>
      <c r="R985" s="1311"/>
      <c r="S985" s="1311"/>
      <c r="T985" s="1311"/>
      <c r="U985" s="1311"/>
      <c r="V985" s="1319"/>
      <c r="W985" s="1311"/>
      <c r="X985" s="1311"/>
      <c r="Y985" s="1311"/>
      <c r="Z985" s="1315"/>
      <c r="AC985" s="982"/>
      <c r="AD985" s="8"/>
      <c r="AE985" s="8"/>
      <c r="AF985" s="184">
        <v>14</v>
      </c>
      <c r="AG985" s="184" t="s">
        <v>300</v>
      </c>
      <c r="AH985" s="184"/>
      <c r="AI985" s="184"/>
      <c r="AJ985" s="184"/>
      <c r="AK985" s="184" t="s">
        <v>301</v>
      </c>
      <c r="AL985" s="184"/>
      <c r="AM985" s="184"/>
      <c r="AN985" s="184"/>
      <c r="AO985" s="185"/>
      <c r="AP985" s="185"/>
      <c r="AQ985" s="185"/>
      <c r="AR985" s="8"/>
      <c r="AS985" s="8"/>
      <c r="AT985" s="8"/>
      <c r="AU985" s="8"/>
    </row>
    <row r="986" spans="1:47" ht="13.5" customHeight="1" x14ac:dyDescent="0.25">
      <c r="A986" s="1293"/>
      <c r="B986" s="1326"/>
      <c r="C986" s="1269"/>
      <c r="D986" s="1286" t="s">
        <v>302</v>
      </c>
      <c r="E986" s="1306"/>
      <c r="F986" s="935"/>
      <c r="G986" s="1272"/>
      <c r="H986" s="1306"/>
      <c r="I986" s="1307"/>
      <c r="J986" s="1272"/>
      <c r="K986" s="1306"/>
      <c r="L986" s="1306"/>
      <c r="M986" s="1307"/>
      <c r="N986" s="1307"/>
      <c r="O986" s="1311"/>
      <c r="P986" s="1311"/>
      <c r="Q986" s="1311"/>
      <c r="R986" s="1311"/>
      <c r="S986" s="1311"/>
      <c r="T986" s="1311"/>
      <c r="U986" s="1311"/>
      <c r="V986" s="1319"/>
      <c r="W986" s="1311"/>
      <c r="X986" s="1311"/>
      <c r="Y986" s="1311"/>
      <c r="Z986" s="1315"/>
      <c r="AC986" s="982"/>
      <c r="AD986" s="8"/>
      <c r="AE986" s="8"/>
      <c r="AF986" s="184"/>
      <c r="AG986" s="184"/>
      <c r="AH986" s="184"/>
      <c r="AI986" s="184"/>
      <c r="AJ986" s="184"/>
      <c r="AK986" s="184"/>
      <c r="AL986" s="184"/>
      <c r="AM986" s="184"/>
      <c r="AN986" s="184"/>
      <c r="AO986" s="185"/>
      <c r="AP986" s="185"/>
      <c r="AQ986" s="185"/>
      <c r="AR986" s="8"/>
      <c r="AS986" s="8"/>
      <c r="AT986" s="8"/>
      <c r="AU986" s="8"/>
    </row>
    <row r="987" spans="1:47" ht="12" customHeight="1" x14ac:dyDescent="0.25">
      <c r="A987" s="1293"/>
      <c r="B987" s="1326"/>
      <c r="C987" s="1269"/>
      <c r="D987" s="1269"/>
      <c r="E987" s="1306"/>
      <c r="F987" s="486"/>
      <c r="G987" s="1269"/>
      <c r="H987" s="1306"/>
      <c r="I987" s="1308"/>
      <c r="J987" s="1269"/>
      <c r="K987" s="1269"/>
      <c r="L987" s="1269"/>
      <c r="M987" s="1308"/>
      <c r="N987" s="1308"/>
      <c r="O987" s="1311"/>
      <c r="P987" s="1311"/>
      <c r="Q987" s="1311"/>
      <c r="R987" s="1311"/>
      <c r="S987" s="1311"/>
      <c r="T987" s="1311"/>
      <c r="U987" s="1311"/>
      <c r="V987" s="1319"/>
      <c r="W987" s="1311"/>
      <c r="X987" s="1311"/>
      <c r="Y987" s="1311"/>
      <c r="Z987" s="1315"/>
      <c r="AC987" s="982"/>
      <c r="AD987" s="8"/>
      <c r="AE987" s="8"/>
      <c r="AF987" s="184"/>
      <c r="AG987" s="184"/>
      <c r="AH987" s="184"/>
      <c r="AI987" s="184"/>
      <c r="AJ987" s="184"/>
      <c r="AK987" s="184"/>
      <c r="AL987" s="184"/>
      <c r="AM987" s="184"/>
      <c r="AN987" s="184"/>
      <c r="AO987" s="185"/>
      <c r="AP987" s="185"/>
      <c r="AQ987" s="185"/>
      <c r="AR987" s="8"/>
      <c r="AS987" s="8"/>
      <c r="AT987" s="8"/>
      <c r="AU987" s="8"/>
    </row>
    <row r="988" spans="1:47" ht="13.5" customHeight="1" x14ac:dyDescent="0.25">
      <c r="A988" s="1293"/>
      <c r="B988" s="1326"/>
      <c r="C988" s="1269"/>
      <c r="D988" s="1269"/>
      <c r="E988" s="1306"/>
      <c r="F988" s="486"/>
      <c r="G988" s="1269"/>
      <c r="H988" s="1306"/>
      <c r="I988" s="1308"/>
      <c r="J988" s="1269"/>
      <c r="K988" s="1269"/>
      <c r="L988" s="1269"/>
      <c r="M988" s="1308"/>
      <c r="N988" s="1308"/>
      <c r="O988" s="1311"/>
      <c r="P988" s="1311"/>
      <c r="Q988" s="1311"/>
      <c r="R988" s="1311"/>
      <c r="S988" s="1311"/>
      <c r="T988" s="1311"/>
      <c r="U988" s="1311"/>
      <c r="V988" s="1319"/>
      <c r="W988" s="1311"/>
      <c r="X988" s="1311"/>
      <c r="Y988" s="1311"/>
      <c r="Z988" s="1315"/>
      <c r="AC988" s="982"/>
      <c r="AD988" s="8"/>
      <c r="AE988" s="8"/>
      <c r="AF988" s="184"/>
      <c r="AG988" s="184"/>
      <c r="AH988" s="184"/>
      <c r="AI988" s="184"/>
      <c r="AJ988" s="184"/>
      <c r="AK988" s="184"/>
      <c r="AL988" s="184"/>
      <c r="AM988" s="184"/>
      <c r="AN988" s="184"/>
      <c r="AO988" s="185"/>
      <c r="AP988" s="185"/>
      <c r="AQ988" s="185"/>
      <c r="AR988" s="8"/>
      <c r="AS988" s="8"/>
      <c r="AT988" s="8"/>
      <c r="AU988" s="8"/>
    </row>
    <row r="989" spans="1:47" ht="12.75" customHeight="1" thickBot="1" x14ac:dyDescent="0.3">
      <c r="A989" s="1293"/>
      <c r="B989" s="1326"/>
      <c r="C989" s="1269"/>
      <c r="D989" s="1269"/>
      <c r="E989" s="1306"/>
      <c r="F989" s="486"/>
      <c r="G989" s="1269"/>
      <c r="H989" s="1306"/>
      <c r="I989" s="1309"/>
      <c r="J989" s="1269"/>
      <c r="K989" s="1269"/>
      <c r="L989" s="1269"/>
      <c r="M989" s="1309"/>
      <c r="N989" s="1309"/>
      <c r="O989" s="1311"/>
      <c r="P989" s="1311"/>
      <c r="Q989" s="1311"/>
      <c r="R989" s="1311"/>
      <c r="S989" s="1311"/>
      <c r="T989" s="1311"/>
      <c r="U989" s="1311"/>
      <c r="V989" s="1319"/>
      <c r="W989" s="1311"/>
      <c r="X989" s="1311"/>
      <c r="Y989" s="1311"/>
      <c r="Z989" s="1315"/>
      <c r="AC989" s="1305"/>
      <c r="AD989" s="8"/>
      <c r="AE989" s="8"/>
      <c r="AF989" s="184"/>
      <c r="AG989" s="184"/>
      <c r="AH989" s="184"/>
      <c r="AI989" s="184"/>
      <c r="AJ989" s="184"/>
      <c r="AK989" s="184"/>
      <c r="AL989" s="184"/>
      <c r="AM989" s="184"/>
      <c r="AN989" s="184"/>
      <c r="AO989" s="185"/>
      <c r="AP989" s="185"/>
      <c r="AQ989" s="185"/>
      <c r="AR989" s="8"/>
      <c r="AS989" s="8"/>
      <c r="AT989" s="8"/>
      <c r="AU989" s="8"/>
    </row>
    <row r="990" spans="1:47" ht="10.5" customHeight="1" x14ac:dyDescent="0.25">
      <c r="A990" s="1293"/>
      <c r="B990" s="1326"/>
      <c r="C990" s="1316" t="s">
        <v>397</v>
      </c>
      <c r="D990" s="199" t="s">
        <v>288</v>
      </c>
      <c r="E990" s="456">
        <v>18930.8</v>
      </c>
      <c r="F990" s="456"/>
      <c r="G990" s="198"/>
      <c r="H990" s="456">
        <v>18930.8</v>
      </c>
      <c r="I990" s="456"/>
      <c r="J990" s="905">
        <v>172135.53</v>
      </c>
      <c r="K990" s="456">
        <v>18930.8</v>
      </c>
      <c r="L990" s="456">
        <v>19469.8</v>
      </c>
      <c r="M990" s="456">
        <f>L990+23610.59</f>
        <v>43080.39</v>
      </c>
      <c r="N990" s="456">
        <v>172135.53</v>
      </c>
      <c r="O990" s="1317" t="s">
        <v>287</v>
      </c>
      <c r="P990" s="1318" t="s">
        <v>86</v>
      </c>
      <c r="Q990" s="1310" t="s">
        <v>86</v>
      </c>
      <c r="R990" s="1318" t="s">
        <v>86</v>
      </c>
      <c r="S990" s="1310" t="s">
        <v>290</v>
      </c>
      <c r="T990" s="1310">
        <v>7878783</v>
      </c>
      <c r="U990" s="1311"/>
      <c r="V990" s="1319"/>
      <c r="W990" s="1310" t="s">
        <v>291</v>
      </c>
      <c r="X990" s="1310" t="s">
        <v>292</v>
      </c>
      <c r="Y990" s="1310" t="s">
        <v>293</v>
      </c>
      <c r="Z990" s="1315">
        <v>7878817</v>
      </c>
      <c r="AC990" s="1304">
        <v>7878783</v>
      </c>
      <c r="AD990" s="8"/>
      <c r="AE990" s="8"/>
      <c r="AF990" s="184">
        <v>12</v>
      </c>
      <c r="AG990" s="184" t="s">
        <v>294</v>
      </c>
      <c r="AH990" s="184"/>
      <c r="AI990" s="184"/>
      <c r="AJ990" s="184"/>
      <c r="AK990" s="184" t="s">
        <v>295</v>
      </c>
      <c r="AL990" s="184"/>
      <c r="AM990" s="184"/>
      <c r="AN990" s="184"/>
      <c r="AO990" s="185"/>
      <c r="AP990" s="185"/>
      <c r="AQ990" s="185"/>
      <c r="AR990" s="8"/>
      <c r="AS990" s="8"/>
      <c r="AT990" s="8"/>
      <c r="AU990" s="8"/>
    </row>
    <row r="991" spans="1:47" ht="10.5" customHeight="1" x14ac:dyDescent="0.25">
      <c r="A991" s="1293"/>
      <c r="B991" s="1326"/>
      <c r="C991" s="1269"/>
      <c r="D991" s="904" t="s">
        <v>296</v>
      </c>
      <c r="E991" s="456">
        <v>2273580.1538230204</v>
      </c>
      <c r="F991" s="456"/>
      <c r="G991" s="198"/>
      <c r="H991" s="456">
        <v>2273580.1538230204</v>
      </c>
      <c r="I991" s="456"/>
      <c r="J991" s="456">
        <f>+J990*$J$1033/$J$1032</f>
        <v>12445003.480508778</v>
      </c>
      <c r="K991" s="456">
        <v>4147067.302962102</v>
      </c>
      <c r="L991" s="456">
        <v>3393646.1144468598</v>
      </c>
      <c r="M991" s="456">
        <v>3393646.1144468598</v>
      </c>
      <c r="N991" s="456">
        <v>11760984.0220077</v>
      </c>
      <c r="O991" s="1311"/>
      <c r="P991" s="1311"/>
      <c r="Q991" s="1311"/>
      <c r="R991" s="1311"/>
      <c r="S991" s="1311"/>
      <c r="T991" s="1311"/>
      <c r="U991" s="1311"/>
      <c r="V991" s="1319"/>
      <c r="W991" s="1311"/>
      <c r="X991" s="1311"/>
      <c r="Y991" s="1311"/>
      <c r="Z991" s="1315"/>
      <c r="AC991" s="982"/>
      <c r="AD991" s="8"/>
      <c r="AE991" s="8"/>
      <c r="AF991" s="184">
        <v>13</v>
      </c>
      <c r="AG991" s="184" t="s">
        <v>297</v>
      </c>
      <c r="AH991" s="184"/>
      <c r="AI991" s="184"/>
      <c r="AJ991" s="184"/>
      <c r="AK991" s="184" t="s">
        <v>298</v>
      </c>
      <c r="AL991" s="184"/>
      <c r="AM991" s="184"/>
      <c r="AN991" s="184"/>
      <c r="AO991" s="185"/>
      <c r="AP991" s="185"/>
      <c r="AQ991" s="185"/>
      <c r="AR991" s="8"/>
      <c r="AS991" s="8"/>
      <c r="AT991" s="8"/>
      <c r="AU991" s="8"/>
    </row>
    <row r="992" spans="1:47" ht="20.25" customHeight="1" x14ac:dyDescent="0.25">
      <c r="A992" s="1293"/>
      <c r="B992" s="1326"/>
      <c r="C992" s="1269"/>
      <c r="D992" s="904" t="s">
        <v>299</v>
      </c>
      <c r="E992" s="456"/>
      <c r="F992" s="456"/>
      <c r="G992" s="198"/>
      <c r="H992" s="456"/>
      <c r="I992" s="456"/>
      <c r="J992" s="198"/>
      <c r="K992" s="456"/>
      <c r="L992" s="456"/>
      <c r="M992" s="456"/>
      <c r="N992" s="456"/>
      <c r="O992" s="1311"/>
      <c r="P992" s="1311"/>
      <c r="Q992" s="1311"/>
      <c r="R992" s="1311"/>
      <c r="S992" s="1311"/>
      <c r="T992" s="1311"/>
      <c r="U992" s="1311"/>
      <c r="V992" s="1319"/>
      <c r="W992" s="1311"/>
      <c r="X992" s="1311"/>
      <c r="Y992" s="1311"/>
      <c r="Z992" s="1315"/>
      <c r="AC992" s="982"/>
      <c r="AD992" s="8"/>
      <c r="AE992" s="8"/>
      <c r="AF992" s="184">
        <v>14</v>
      </c>
      <c r="AG992" s="184" t="s">
        <v>300</v>
      </c>
      <c r="AH992" s="184"/>
      <c r="AI992" s="184"/>
      <c r="AJ992" s="184"/>
      <c r="AK992" s="184" t="s">
        <v>301</v>
      </c>
      <c r="AL992" s="184"/>
      <c r="AM992" s="184"/>
      <c r="AN992" s="184"/>
      <c r="AO992" s="185"/>
      <c r="AP992" s="185"/>
      <c r="AQ992" s="185"/>
      <c r="AR992" s="8"/>
      <c r="AS992" s="8"/>
      <c r="AT992" s="8"/>
      <c r="AU992" s="8"/>
    </row>
    <row r="993" spans="1:47" ht="15" customHeight="1" x14ac:dyDescent="0.25">
      <c r="A993" s="1293"/>
      <c r="B993" s="1326"/>
      <c r="C993" s="1269"/>
      <c r="D993" s="1286" t="s">
        <v>302</v>
      </c>
      <c r="E993" s="1306"/>
      <c r="F993" s="935"/>
      <c r="G993" s="1272"/>
      <c r="H993" s="1306"/>
      <c r="I993" s="1307"/>
      <c r="J993" s="1272"/>
      <c r="K993" s="1306"/>
      <c r="L993" s="1306"/>
      <c r="M993" s="1307"/>
      <c r="N993" s="1307"/>
      <c r="O993" s="1311"/>
      <c r="P993" s="1311"/>
      <c r="Q993" s="1311"/>
      <c r="R993" s="1311"/>
      <c r="S993" s="1311"/>
      <c r="T993" s="1311"/>
      <c r="U993" s="1311"/>
      <c r="V993" s="1319"/>
      <c r="W993" s="1311"/>
      <c r="X993" s="1311"/>
      <c r="Y993" s="1311"/>
      <c r="Z993" s="1315"/>
      <c r="AC993" s="982"/>
      <c r="AD993" s="8"/>
      <c r="AE993" s="8"/>
      <c r="AF993" s="184"/>
      <c r="AG993" s="184"/>
      <c r="AH993" s="184"/>
      <c r="AI993" s="184"/>
      <c r="AJ993" s="184"/>
      <c r="AK993" s="184"/>
      <c r="AL993" s="184"/>
      <c r="AM993" s="184"/>
      <c r="AN993" s="184"/>
      <c r="AO993" s="185"/>
      <c r="AP993" s="185"/>
      <c r="AQ993" s="185"/>
      <c r="AR993" s="8"/>
      <c r="AS993" s="8"/>
      <c r="AT993" s="8"/>
      <c r="AU993" s="8"/>
    </row>
    <row r="994" spans="1:47" ht="13.5" customHeight="1" x14ac:dyDescent="0.25">
      <c r="A994" s="1293"/>
      <c r="B994" s="1326"/>
      <c r="C994" s="1269"/>
      <c r="D994" s="1269"/>
      <c r="E994" s="1306"/>
      <c r="F994" s="486"/>
      <c r="G994" s="1269"/>
      <c r="H994" s="1306"/>
      <c r="I994" s="1308"/>
      <c r="J994" s="1269"/>
      <c r="K994" s="1269"/>
      <c r="L994" s="1269"/>
      <c r="M994" s="1308"/>
      <c r="N994" s="1308"/>
      <c r="O994" s="1311"/>
      <c r="P994" s="1311"/>
      <c r="Q994" s="1311"/>
      <c r="R994" s="1311"/>
      <c r="S994" s="1311"/>
      <c r="T994" s="1311"/>
      <c r="U994" s="1311"/>
      <c r="V994" s="1319"/>
      <c r="W994" s="1311"/>
      <c r="X994" s="1311"/>
      <c r="Y994" s="1311"/>
      <c r="Z994" s="1315"/>
      <c r="AC994" s="982"/>
      <c r="AD994" s="8"/>
      <c r="AE994" s="8"/>
      <c r="AF994" s="184"/>
      <c r="AG994" s="184"/>
      <c r="AH994" s="184"/>
      <c r="AI994" s="184"/>
      <c r="AJ994" s="184"/>
      <c r="AK994" s="184"/>
      <c r="AL994" s="184"/>
      <c r="AM994" s="184"/>
      <c r="AN994" s="184"/>
      <c r="AO994" s="185"/>
      <c r="AP994" s="185"/>
      <c r="AQ994" s="185"/>
      <c r="AR994" s="8"/>
      <c r="AS994" s="8"/>
      <c r="AT994" s="8"/>
      <c r="AU994" s="8"/>
    </row>
    <row r="995" spans="1:47" ht="11.25" customHeight="1" x14ac:dyDescent="0.25">
      <c r="A995" s="1293"/>
      <c r="B995" s="1326"/>
      <c r="C995" s="1269"/>
      <c r="D995" s="1269"/>
      <c r="E995" s="1306"/>
      <c r="F995" s="486"/>
      <c r="G995" s="1269"/>
      <c r="H995" s="1306"/>
      <c r="I995" s="1308"/>
      <c r="J995" s="1269"/>
      <c r="K995" s="1269"/>
      <c r="L995" s="1269"/>
      <c r="M995" s="1308"/>
      <c r="N995" s="1308"/>
      <c r="O995" s="1311"/>
      <c r="P995" s="1311"/>
      <c r="Q995" s="1311"/>
      <c r="R995" s="1311"/>
      <c r="S995" s="1311"/>
      <c r="T995" s="1311"/>
      <c r="U995" s="1311"/>
      <c r="V995" s="1319"/>
      <c r="W995" s="1311"/>
      <c r="X995" s="1311"/>
      <c r="Y995" s="1311"/>
      <c r="Z995" s="1315"/>
      <c r="AC995" s="982"/>
      <c r="AD995" s="8"/>
      <c r="AE995" s="8"/>
      <c r="AF995" s="184"/>
      <c r="AG995" s="184"/>
      <c r="AH995" s="184"/>
      <c r="AI995" s="184"/>
      <c r="AJ995" s="184"/>
      <c r="AK995" s="184"/>
      <c r="AL995" s="184"/>
      <c r="AM995" s="184"/>
      <c r="AN995" s="184"/>
      <c r="AO995" s="185"/>
      <c r="AP995" s="185"/>
      <c r="AQ995" s="185"/>
      <c r="AR995" s="8"/>
      <c r="AS995" s="8"/>
      <c r="AT995" s="8"/>
      <c r="AU995" s="8"/>
    </row>
    <row r="996" spans="1:47" ht="12" customHeight="1" thickBot="1" x14ac:dyDescent="0.3">
      <c r="A996" s="1293"/>
      <c r="B996" s="1326"/>
      <c r="C996" s="1269"/>
      <c r="D996" s="1269"/>
      <c r="E996" s="1306"/>
      <c r="F996" s="486"/>
      <c r="G996" s="1269"/>
      <c r="H996" s="1306"/>
      <c r="I996" s="1309"/>
      <c r="J996" s="1269"/>
      <c r="K996" s="1269"/>
      <c r="L996" s="1269"/>
      <c r="M996" s="1309"/>
      <c r="N996" s="1309"/>
      <c r="O996" s="1311"/>
      <c r="P996" s="1311"/>
      <c r="Q996" s="1311"/>
      <c r="R996" s="1311"/>
      <c r="S996" s="1311"/>
      <c r="T996" s="1311"/>
      <c r="U996" s="1311"/>
      <c r="V996" s="1319"/>
      <c r="W996" s="1311"/>
      <c r="X996" s="1311"/>
      <c r="Y996" s="1311"/>
      <c r="Z996" s="1315"/>
      <c r="AC996" s="1305"/>
      <c r="AD996" s="8"/>
      <c r="AE996" s="8"/>
      <c r="AF996" s="184"/>
      <c r="AG996" s="184"/>
      <c r="AH996" s="184"/>
      <c r="AI996" s="184"/>
      <c r="AJ996" s="184"/>
      <c r="AK996" s="184"/>
      <c r="AL996" s="184"/>
      <c r="AM996" s="184"/>
      <c r="AN996" s="184"/>
      <c r="AO996" s="185"/>
      <c r="AP996" s="185"/>
      <c r="AQ996" s="185"/>
      <c r="AR996" s="8"/>
      <c r="AS996" s="8"/>
      <c r="AT996" s="8"/>
      <c r="AU996" s="8"/>
    </row>
    <row r="997" spans="1:47" ht="10.5" customHeight="1" x14ac:dyDescent="0.25">
      <c r="A997" s="1293"/>
      <c r="B997" s="1326"/>
      <c r="C997" s="1316" t="s">
        <v>368</v>
      </c>
      <c r="D997" s="199" t="s">
        <v>288</v>
      </c>
      <c r="E997" s="456">
        <v>19899.599999999999</v>
      </c>
      <c r="F997" s="456"/>
      <c r="G997" s="198"/>
      <c r="H997" s="456">
        <v>19899.599999999999</v>
      </c>
      <c r="I997" s="456"/>
      <c r="J997" s="905">
        <v>173820.71000000002</v>
      </c>
      <c r="K997" s="456">
        <v>19899.599999999999</v>
      </c>
      <c r="L997" s="456">
        <v>22915.200000000001</v>
      </c>
      <c r="M997" s="456">
        <f>L997+10290.57</f>
        <v>33205.770000000004</v>
      </c>
      <c r="N997" s="456">
        <v>173820.71000000002</v>
      </c>
      <c r="O997" s="1317" t="s">
        <v>287</v>
      </c>
      <c r="P997" s="1318" t="s">
        <v>86</v>
      </c>
      <c r="Q997" s="1310" t="s">
        <v>86</v>
      </c>
      <c r="R997" s="1318" t="s">
        <v>86</v>
      </c>
      <c r="S997" s="1310" t="s">
        <v>290</v>
      </c>
      <c r="T997" s="1310">
        <v>7878783</v>
      </c>
      <c r="U997" s="1311"/>
      <c r="V997" s="1319"/>
      <c r="W997" s="1310" t="s">
        <v>291</v>
      </c>
      <c r="X997" s="1310" t="s">
        <v>292</v>
      </c>
      <c r="Y997" s="1310" t="s">
        <v>293</v>
      </c>
      <c r="Z997" s="1315">
        <v>7878818</v>
      </c>
      <c r="AC997" s="1304">
        <v>7878783</v>
      </c>
      <c r="AD997" s="8"/>
      <c r="AE997" s="8"/>
      <c r="AF997" s="184">
        <v>12</v>
      </c>
      <c r="AG997" s="184" t="s">
        <v>294</v>
      </c>
      <c r="AH997" s="184"/>
      <c r="AI997" s="184"/>
      <c r="AJ997" s="184"/>
      <c r="AK997" s="184" t="s">
        <v>295</v>
      </c>
      <c r="AL997" s="184"/>
      <c r="AM997" s="184"/>
      <c r="AN997" s="184"/>
      <c r="AO997" s="185"/>
      <c r="AP997" s="185"/>
      <c r="AQ997" s="185"/>
      <c r="AR997" s="8"/>
      <c r="AS997" s="8"/>
      <c r="AT997" s="8"/>
      <c r="AU997" s="8"/>
    </row>
    <row r="998" spans="1:47" ht="10.5" customHeight="1" x14ac:dyDescent="0.25">
      <c r="A998" s="1293"/>
      <c r="B998" s="1326"/>
      <c r="C998" s="1269"/>
      <c r="D998" s="904" t="s">
        <v>296</v>
      </c>
      <c r="E998" s="456">
        <v>2389932.5770182228</v>
      </c>
      <c r="F998" s="456"/>
      <c r="G998" s="198"/>
      <c r="H998" s="456">
        <v>2389932.5770182228</v>
      </c>
      <c r="I998" s="456"/>
      <c r="J998" s="456">
        <f>+J997*$J$1033/$J$1032</f>
        <v>12566838.124206591</v>
      </c>
      <c r="K998" s="456">
        <v>4359297.0451341001</v>
      </c>
      <c r="L998" s="456">
        <v>3994189.9475995</v>
      </c>
      <c r="M998" s="456">
        <v>3994189.9475995</v>
      </c>
      <c r="N998" s="456">
        <v>11876122.221856499</v>
      </c>
      <c r="O998" s="1311"/>
      <c r="P998" s="1311"/>
      <c r="Q998" s="1311"/>
      <c r="R998" s="1311"/>
      <c r="S998" s="1311"/>
      <c r="T998" s="1311"/>
      <c r="U998" s="1311"/>
      <c r="V998" s="1319"/>
      <c r="W998" s="1311"/>
      <c r="X998" s="1311"/>
      <c r="Y998" s="1311"/>
      <c r="Z998" s="1315"/>
      <c r="AC998" s="982"/>
      <c r="AD998" s="8"/>
      <c r="AE998" s="8"/>
      <c r="AF998" s="184">
        <v>13</v>
      </c>
      <c r="AG998" s="184" t="s">
        <v>297</v>
      </c>
      <c r="AH998" s="184"/>
      <c r="AI998" s="184"/>
      <c r="AJ998" s="184"/>
      <c r="AK998" s="184" t="s">
        <v>298</v>
      </c>
      <c r="AL998" s="184"/>
      <c r="AM998" s="184"/>
      <c r="AN998" s="184"/>
      <c r="AO998" s="185"/>
      <c r="AP998" s="185"/>
      <c r="AQ998" s="185"/>
      <c r="AR998" s="8"/>
      <c r="AS998" s="8"/>
      <c r="AT998" s="8"/>
      <c r="AU998" s="8"/>
    </row>
    <row r="999" spans="1:47" ht="21.75" customHeight="1" x14ac:dyDescent="0.25">
      <c r="A999" s="1293"/>
      <c r="B999" s="1326"/>
      <c r="C999" s="1269"/>
      <c r="D999" s="904" t="s">
        <v>299</v>
      </c>
      <c r="E999" s="456"/>
      <c r="F999" s="456"/>
      <c r="G999" s="198"/>
      <c r="H999" s="456"/>
      <c r="I999" s="456"/>
      <c r="J999" s="198"/>
      <c r="K999" s="456"/>
      <c r="L999" s="456"/>
      <c r="M999" s="456"/>
      <c r="N999" s="456"/>
      <c r="O999" s="1311"/>
      <c r="P999" s="1311"/>
      <c r="Q999" s="1311"/>
      <c r="R999" s="1311"/>
      <c r="S999" s="1311"/>
      <c r="T999" s="1311"/>
      <c r="U999" s="1311"/>
      <c r="V999" s="1319"/>
      <c r="W999" s="1311"/>
      <c r="X999" s="1311"/>
      <c r="Y999" s="1311"/>
      <c r="Z999" s="1315"/>
      <c r="AC999" s="982"/>
      <c r="AD999" s="8"/>
      <c r="AE999" s="8"/>
      <c r="AF999" s="184">
        <v>14</v>
      </c>
      <c r="AG999" s="184" t="s">
        <v>300</v>
      </c>
      <c r="AH999" s="184"/>
      <c r="AI999" s="184"/>
      <c r="AJ999" s="184"/>
      <c r="AK999" s="184" t="s">
        <v>301</v>
      </c>
      <c r="AL999" s="184"/>
      <c r="AM999" s="184"/>
      <c r="AN999" s="184"/>
      <c r="AO999" s="185"/>
      <c r="AP999" s="185"/>
      <c r="AQ999" s="185"/>
      <c r="AR999" s="8"/>
      <c r="AS999" s="8"/>
      <c r="AT999" s="8"/>
      <c r="AU999" s="8"/>
    </row>
    <row r="1000" spans="1:47" ht="9" customHeight="1" x14ac:dyDescent="0.25">
      <c r="A1000" s="1293"/>
      <c r="B1000" s="1326"/>
      <c r="C1000" s="1269"/>
      <c r="D1000" s="1286" t="s">
        <v>302</v>
      </c>
      <c r="E1000" s="1306"/>
      <c r="F1000" s="935"/>
      <c r="G1000" s="1272"/>
      <c r="H1000" s="1306"/>
      <c r="I1000" s="1307"/>
      <c r="J1000" s="1272"/>
      <c r="K1000" s="1306"/>
      <c r="L1000" s="1306"/>
      <c r="M1000" s="1307"/>
      <c r="N1000" s="1307"/>
      <c r="O1000" s="1311"/>
      <c r="P1000" s="1311"/>
      <c r="Q1000" s="1311"/>
      <c r="R1000" s="1311"/>
      <c r="S1000" s="1311"/>
      <c r="T1000" s="1311"/>
      <c r="U1000" s="1311"/>
      <c r="V1000" s="1319"/>
      <c r="W1000" s="1311"/>
      <c r="X1000" s="1311"/>
      <c r="Y1000" s="1311"/>
      <c r="Z1000" s="1315"/>
      <c r="AC1000" s="982"/>
      <c r="AD1000" s="8"/>
      <c r="AE1000" s="8"/>
      <c r="AF1000" s="184"/>
      <c r="AG1000" s="184"/>
      <c r="AH1000" s="184"/>
      <c r="AI1000" s="184"/>
      <c r="AJ1000" s="184"/>
      <c r="AK1000" s="184"/>
      <c r="AL1000" s="184"/>
      <c r="AM1000" s="184"/>
      <c r="AN1000" s="184"/>
      <c r="AO1000" s="185"/>
      <c r="AP1000" s="185"/>
      <c r="AQ1000" s="185"/>
      <c r="AR1000" s="8"/>
      <c r="AS1000" s="8"/>
      <c r="AT1000" s="8"/>
      <c r="AU1000" s="8"/>
    </row>
    <row r="1001" spans="1:47" ht="12" customHeight="1" x14ac:dyDescent="0.25">
      <c r="A1001" s="1293"/>
      <c r="B1001" s="1326"/>
      <c r="C1001" s="1269"/>
      <c r="D1001" s="1269"/>
      <c r="E1001" s="1306"/>
      <c r="F1001" s="486"/>
      <c r="G1001" s="1269"/>
      <c r="H1001" s="1306"/>
      <c r="I1001" s="1308"/>
      <c r="J1001" s="1269"/>
      <c r="K1001" s="1269"/>
      <c r="L1001" s="1269"/>
      <c r="M1001" s="1308"/>
      <c r="N1001" s="1308"/>
      <c r="O1001" s="1311"/>
      <c r="P1001" s="1311"/>
      <c r="Q1001" s="1311"/>
      <c r="R1001" s="1311"/>
      <c r="S1001" s="1311"/>
      <c r="T1001" s="1311"/>
      <c r="U1001" s="1311"/>
      <c r="V1001" s="1319"/>
      <c r="W1001" s="1311"/>
      <c r="X1001" s="1311"/>
      <c r="Y1001" s="1311"/>
      <c r="Z1001" s="1315"/>
      <c r="AC1001" s="982"/>
      <c r="AD1001" s="8"/>
      <c r="AE1001" s="8"/>
      <c r="AF1001" s="184"/>
      <c r="AG1001" s="184"/>
      <c r="AH1001" s="184"/>
      <c r="AI1001" s="184"/>
      <c r="AJ1001" s="184"/>
      <c r="AK1001" s="184"/>
      <c r="AL1001" s="184"/>
      <c r="AM1001" s="184"/>
      <c r="AN1001" s="184"/>
      <c r="AO1001" s="185"/>
      <c r="AP1001" s="185"/>
      <c r="AQ1001" s="185"/>
      <c r="AR1001" s="8"/>
      <c r="AS1001" s="8"/>
      <c r="AT1001" s="8"/>
      <c r="AU1001" s="8"/>
    </row>
    <row r="1002" spans="1:47" ht="12.75" customHeight="1" x14ac:dyDescent="0.25">
      <c r="A1002" s="1293"/>
      <c r="B1002" s="1326"/>
      <c r="C1002" s="1269"/>
      <c r="D1002" s="1269"/>
      <c r="E1002" s="1306"/>
      <c r="F1002" s="486"/>
      <c r="G1002" s="1269"/>
      <c r="H1002" s="1306"/>
      <c r="I1002" s="1308"/>
      <c r="J1002" s="1269"/>
      <c r="K1002" s="1269"/>
      <c r="L1002" s="1269"/>
      <c r="M1002" s="1308"/>
      <c r="N1002" s="1308"/>
      <c r="O1002" s="1311"/>
      <c r="P1002" s="1311"/>
      <c r="Q1002" s="1311"/>
      <c r="R1002" s="1311"/>
      <c r="S1002" s="1311"/>
      <c r="T1002" s="1311"/>
      <c r="U1002" s="1311"/>
      <c r="V1002" s="1319"/>
      <c r="W1002" s="1311"/>
      <c r="X1002" s="1311"/>
      <c r="Y1002" s="1311"/>
      <c r="Z1002" s="1315"/>
      <c r="AC1002" s="982"/>
      <c r="AD1002" s="8"/>
      <c r="AE1002" s="8"/>
      <c r="AF1002" s="184"/>
      <c r="AG1002" s="184"/>
      <c r="AH1002" s="184"/>
      <c r="AI1002" s="184"/>
      <c r="AJ1002" s="184"/>
      <c r="AK1002" s="184"/>
      <c r="AL1002" s="184"/>
      <c r="AM1002" s="184"/>
      <c r="AN1002" s="184"/>
      <c r="AO1002" s="185"/>
      <c r="AP1002" s="185"/>
      <c r="AQ1002" s="185"/>
      <c r="AR1002" s="8"/>
      <c r="AS1002" s="8"/>
      <c r="AT1002" s="8"/>
      <c r="AU1002" s="8"/>
    </row>
    <row r="1003" spans="1:47" ht="13.5" customHeight="1" thickBot="1" x14ac:dyDescent="0.3">
      <c r="A1003" s="1293"/>
      <c r="B1003" s="1326"/>
      <c r="C1003" s="1269"/>
      <c r="D1003" s="1269"/>
      <c r="E1003" s="1306"/>
      <c r="F1003" s="486"/>
      <c r="G1003" s="1269"/>
      <c r="H1003" s="1306"/>
      <c r="I1003" s="1309"/>
      <c r="J1003" s="1269"/>
      <c r="K1003" s="1269"/>
      <c r="L1003" s="1269"/>
      <c r="M1003" s="1309"/>
      <c r="N1003" s="1309"/>
      <c r="O1003" s="1311"/>
      <c r="P1003" s="1311"/>
      <c r="Q1003" s="1311"/>
      <c r="R1003" s="1311"/>
      <c r="S1003" s="1311"/>
      <c r="T1003" s="1311"/>
      <c r="U1003" s="1311"/>
      <c r="V1003" s="1319"/>
      <c r="W1003" s="1311"/>
      <c r="X1003" s="1311"/>
      <c r="Y1003" s="1311"/>
      <c r="Z1003" s="1315"/>
      <c r="AC1003" s="1305"/>
      <c r="AD1003" s="8"/>
      <c r="AE1003" s="8"/>
      <c r="AF1003" s="184"/>
      <c r="AG1003" s="184"/>
      <c r="AH1003" s="184"/>
      <c r="AI1003" s="184"/>
      <c r="AJ1003" s="184"/>
      <c r="AK1003" s="184"/>
      <c r="AL1003" s="184"/>
      <c r="AM1003" s="184"/>
      <c r="AN1003" s="184"/>
      <c r="AO1003" s="185"/>
      <c r="AP1003" s="185"/>
      <c r="AQ1003" s="185"/>
      <c r="AR1003" s="8"/>
      <c r="AS1003" s="8"/>
      <c r="AT1003" s="8"/>
      <c r="AU1003" s="8"/>
    </row>
    <row r="1004" spans="1:47" ht="10.5" customHeight="1" x14ac:dyDescent="0.25">
      <c r="A1004" s="1293"/>
      <c r="B1004" s="1326"/>
      <c r="C1004" s="1316" t="s">
        <v>360</v>
      </c>
      <c r="D1004" s="199" t="s">
        <v>288</v>
      </c>
      <c r="E1004" s="456">
        <v>106493.8</v>
      </c>
      <c r="F1004" s="456"/>
      <c r="G1004" s="198"/>
      <c r="H1004" s="456">
        <v>106493.8</v>
      </c>
      <c r="I1004" s="456"/>
      <c r="J1004" s="905">
        <v>799133.09000000008</v>
      </c>
      <c r="K1004" s="456">
        <v>106493.8</v>
      </c>
      <c r="L1004" s="456">
        <v>602877.54</v>
      </c>
      <c r="M1004" s="456">
        <f>L1004+58869.8</f>
        <v>661747.34000000008</v>
      </c>
      <c r="N1004" s="456">
        <v>799133.09000000008</v>
      </c>
      <c r="O1004" s="1317" t="s">
        <v>287</v>
      </c>
      <c r="P1004" s="1318" t="s">
        <v>86</v>
      </c>
      <c r="Q1004" s="1310" t="s">
        <v>86</v>
      </c>
      <c r="R1004" s="1318" t="s">
        <v>86</v>
      </c>
      <c r="S1004" s="1310" t="s">
        <v>290</v>
      </c>
      <c r="T1004" s="1310">
        <v>7878783</v>
      </c>
      <c r="U1004" s="1311"/>
      <c r="V1004" s="1319"/>
      <c r="W1004" s="1310" t="s">
        <v>291</v>
      </c>
      <c r="X1004" s="1310" t="s">
        <v>292</v>
      </c>
      <c r="Y1004" s="1310" t="s">
        <v>293</v>
      </c>
      <c r="Z1004" s="1315">
        <v>7878819</v>
      </c>
      <c r="AC1004" s="1304">
        <v>7878783</v>
      </c>
      <c r="AD1004" s="8"/>
      <c r="AE1004" s="8"/>
      <c r="AF1004" s="184">
        <v>12</v>
      </c>
      <c r="AG1004" s="184" t="s">
        <v>294</v>
      </c>
      <c r="AH1004" s="184"/>
      <c r="AI1004" s="184"/>
      <c r="AJ1004" s="184"/>
      <c r="AK1004" s="184" t="s">
        <v>295</v>
      </c>
      <c r="AL1004" s="184"/>
      <c r="AM1004" s="184"/>
      <c r="AN1004" s="184"/>
      <c r="AO1004" s="185"/>
      <c r="AP1004" s="185"/>
      <c r="AQ1004" s="185"/>
      <c r="AR1004" s="8"/>
      <c r="AS1004" s="8"/>
      <c r="AT1004" s="8"/>
      <c r="AU1004" s="8"/>
    </row>
    <row r="1005" spans="1:47" ht="10.5" customHeight="1" x14ac:dyDescent="0.25">
      <c r="A1005" s="1293"/>
      <c r="B1005" s="1326"/>
      <c r="C1005" s="1269"/>
      <c r="D1005" s="904" t="s">
        <v>296</v>
      </c>
      <c r="E1005" s="456">
        <v>12789855.166458784</v>
      </c>
      <c r="F1005" s="456"/>
      <c r="G1005" s="198"/>
      <c r="H1005" s="456">
        <v>12789855.166458784</v>
      </c>
      <c r="I1005" s="456"/>
      <c r="J1005" s="456">
        <f>+J1004*$J$1033/$J$1032</f>
        <v>57775487.062082626</v>
      </c>
      <c r="K1005" s="456">
        <v>23329017.048840277</v>
      </c>
      <c r="L1005" s="456">
        <v>105083412.315909</v>
      </c>
      <c r="M1005" s="456">
        <v>105083412.315909</v>
      </c>
      <c r="N1005" s="456">
        <v>54599950.997610196</v>
      </c>
      <c r="O1005" s="1311"/>
      <c r="P1005" s="1311"/>
      <c r="Q1005" s="1311"/>
      <c r="R1005" s="1311"/>
      <c r="S1005" s="1311"/>
      <c r="T1005" s="1311"/>
      <c r="U1005" s="1311"/>
      <c r="V1005" s="1319"/>
      <c r="W1005" s="1311"/>
      <c r="X1005" s="1311"/>
      <c r="Y1005" s="1311"/>
      <c r="Z1005" s="1315"/>
      <c r="AC1005" s="982"/>
      <c r="AD1005" s="8"/>
      <c r="AE1005" s="8"/>
      <c r="AF1005" s="184">
        <v>13</v>
      </c>
      <c r="AG1005" s="184" t="s">
        <v>297</v>
      </c>
      <c r="AH1005" s="184"/>
      <c r="AI1005" s="184"/>
      <c r="AJ1005" s="184"/>
      <c r="AK1005" s="184" t="s">
        <v>298</v>
      </c>
      <c r="AL1005" s="184"/>
      <c r="AM1005" s="184"/>
      <c r="AN1005" s="184"/>
      <c r="AO1005" s="185"/>
      <c r="AP1005" s="185"/>
      <c r="AQ1005" s="185"/>
      <c r="AR1005" s="8"/>
      <c r="AS1005" s="8"/>
      <c r="AT1005" s="8"/>
      <c r="AU1005" s="8"/>
    </row>
    <row r="1006" spans="1:47" ht="20.25" customHeight="1" x14ac:dyDescent="0.25">
      <c r="A1006" s="1293"/>
      <c r="B1006" s="1326"/>
      <c r="C1006" s="1269"/>
      <c r="D1006" s="904" t="s">
        <v>299</v>
      </c>
      <c r="E1006" s="456"/>
      <c r="F1006" s="456"/>
      <c r="G1006" s="198"/>
      <c r="H1006" s="456"/>
      <c r="I1006" s="456"/>
      <c r="J1006" s="198"/>
      <c r="K1006" s="456"/>
      <c r="L1006" s="456"/>
      <c r="M1006" s="456"/>
      <c r="N1006" s="456"/>
      <c r="O1006" s="1311"/>
      <c r="P1006" s="1311"/>
      <c r="Q1006" s="1311"/>
      <c r="R1006" s="1311"/>
      <c r="S1006" s="1311"/>
      <c r="T1006" s="1311"/>
      <c r="U1006" s="1311"/>
      <c r="V1006" s="1319"/>
      <c r="W1006" s="1311"/>
      <c r="X1006" s="1311"/>
      <c r="Y1006" s="1311"/>
      <c r="Z1006" s="1315"/>
      <c r="AC1006" s="982"/>
      <c r="AD1006" s="8"/>
      <c r="AE1006" s="8"/>
      <c r="AF1006" s="184">
        <v>14</v>
      </c>
      <c r="AG1006" s="184" t="s">
        <v>300</v>
      </c>
      <c r="AH1006" s="184"/>
      <c r="AI1006" s="184"/>
      <c r="AJ1006" s="184"/>
      <c r="AK1006" s="184" t="s">
        <v>301</v>
      </c>
      <c r="AL1006" s="184"/>
      <c r="AM1006" s="184"/>
      <c r="AN1006" s="184"/>
      <c r="AO1006" s="185"/>
      <c r="AP1006" s="185"/>
      <c r="AQ1006" s="185"/>
      <c r="AR1006" s="8"/>
      <c r="AS1006" s="8"/>
      <c r="AT1006" s="8"/>
      <c r="AU1006" s="8"/>
    </row>
    <row r="1007" spans="1:47" ht="15" customHeight="1" x14ac:dyDescent="0.25">
      <c r="A1007" s="1293"/>
      <c r="B1007" s="1326"/>
      <c r="C1007" s="1269"/>
      <c r="D1007" s="1286" t="s">
        <v>302</v>
      </c>
      <c r="E1007" s="1306"/>
      <c r="F1007" s="935"/>
      <c r="G1007" s="1272"/>
      <c r="H1007" s="1306"/>
      <c r="I1007" s="1307"/>
      <c r="J1007" s="1272"/>
      <c r="K1007" s="1306"/>
      <c r="L1007" s="1306"/>
      <c r="M1007" s="1307"/>
      <c r="N1007" s="1307"/>
      <c r="O1007" s="1311"/>
      <c r="P1007" s="1311"/>
      <c r="Q1007" s="1311"/>
      <c r="R1007" s="1311"/>
      <c r="S1007" s="1311"/>
      <c r="T1007" s="1311"/>
      <c r="U1007" s="1311"/>
      <c r="V1007" s="1319"/>
      <c r="W1007" s="1311"/>
      <c r="X1007" s="1311"/>
      <c r="Y1007" s="1311"/>
      <c r="Z1007" s="1315"/>
      <c r="AC1007" s="982"/>
      <c r="AD1007" s="8"/>
      <c r="AE1007" s="8"/>
      <c r="AF1007" s="184"/>
      <c r="AG1007" s="184"/>
      <c r="AH1007" s="184"/>
      <c r="AI1007" s="184"/>
      <c r="AJ1007" s="184"/>
      <c r="AK1007" s="184"/>
      <c r="AL1007" s="184"/>
      <c r="AM1007" s="184"/>
      <c r="AN1007" s="184"/>
      <c r="AO1007" s="185"/>
      <c r="AP1007" s="185"/>
      <c r="AQ1007" s="185"/>
      <c r="AR1007" s="8"/>
      <c r="AS1007" s="8"/>
      <c r="AT1007" s="8"/>
      <c r="AU1007" s="8"/>
    </row>
    <row r="1008" spans="1:47" ht="13.5" customHeight="1" x14ac:dyDescent="0.25">
      <c r="A1008" s="1293"/>
      <c r="B1008" s="1326"/>
      <c r="C1008" s="1269"/>
      <c r="D1008" s="1269"/>
      <c r="E1008" s="1306"/>
      <c r="F1008" s="486"/>
      <c r="G1008" s="1269"/>
      <c r="H1008" s="1306"/>
      <c r="I1008" s="1308"/>
      <c r="J1008" s="1269"/>
      <c r="K1008" s="1269"/>
      <c r="L1008" s="1269"/>
      <c r="M1008" s="1308"/>
      <c r="N1008" s="1308"/>
      <c r="O1008" s="1311"/>
      <c r="P1008" s="1311"/>
      <c r="Q1008" s="1311"/>
      <c r="R1008" s="1311"/>
      <c r="S1008" s="1311"/>
      <c r="T1008" s="1311"/>
      <c r="U1008" s="1311"/>
      <c r="V1008" s="1319"/>
      <c r="W1008" s="1311"/>
      <c r="X1008" s="1311"/>
      <c r="Y1008" s="1311"/>
      <c r="Z1008" s="1315"/>
      <c r="AC1008" s="982"/>
      <c r="AD1008" s="8"/>
      <c r="AE1008" s="8"/>
      <c r="AF1008" s="184"/>
      <c r="AG1008" s="184"/>
      <c r="AH1008" s="184"/>
      <c r="AI1008" s="184"/>
      <c r="AJ1008" s="184"/>
      <c r="AK1008" s="184"/>
      <c r="AL1008" s="184"/>
      <c r="AM1008" s="184"/>
      <c r="AN1008" s="184"/>
      <c r="AO1008" s="185"/>
      <c r="AP1008" s="185"/>
      <c r="AQ1008" s="185"/>
      <c r="AR1008" s="8"/>
      <c r="AS1008" s="8"/>
      <c r="AT1008" s="8"/>
      <c r="AU1008" s="8"/>
    </row>
    <row r="1009" spans="1:47" ht="11.25" customHeight="1" x14ac:dyDescent="0.25">
      <c r="A1009" s="1293"/>
      <c r="B1009" s="1326"/>
      <c r="C1009" s="1269"/>
      <c r="D1009" s="1269"/>
      <c r="E1009" s="1306"/>
      <c r="F1009" s="486"/>
      <c r="G1009" s="1269"/>
      <c r="H1009" s="1306"/>
      <c r="I1009" s="1308"/>
      <c r="J1009" s="1269"/>
      <c r="K1009" s="1269"/>
      <c r="L1009" s="1269"/>
      <c r="M1009" s="1308"/>
      <c r="N1009" s="1308"/>
      <c r="O1009" s="1311"/>
      <c r="P1009" s="1311"/>
      <c r="Q1009" s="1311"/>
      <c r="R1009" s="1311"/>
      <c r="S1009" s="1311"/>
      <c r="T1009" s="1311"/>
      <c r="U1009" s="1311"/>
      <c r="V1009" s="1319"/>
      <c r="W1009" s="1311"/>
      <c r="X1009" s="1311"/>
      <c r="Y1009" s="1311"/>
      <c r="Z1009" s="1315"/>
      <c r="AC1009" s="982"/>
      <c r="AD1009" s="8"/>
      <c r="AE1009" s="8"/>
      <c r="AF1009" s="184"/>
      <c r="AG1009" s="184"/>
      <c r="AH1009" s="184"/>
      <c r="AI1009" s="184"/>
      <c r="AJ1009" s="184"/>
      <c r="AK1009" s="184"/>
      <c r="AL1009" s="184"/>
      <c r="AM1009" s="184"/>
      <c r="AN1009" s="184"/>
      <c r="AO1009" s="185"/>
      <c r="AP1009" s="185"/>
      <c r="AQ1009" s="185"/>
      <c r="AR1009" s="8"/>
      <c r="AS1009" s="8"/>
      <c r="AT1009" s="8"/>
      <c r="AU1009" s="8"/>
    </row>
    <row r="1010" spans="1:47" ht="12" customHeight="1" thickBot="1" x14ac:dyDescent="0.3">
      <c r="A1010" s="1293"/>
      <c r="B1010" s="1326"/>
      <c r="C1010" s="1269"/>
      <c r="D1010" s="1269"/>
      <c r="E1010" s="1306"/>
      <c r="F1010" s="486"/>
      <c r="G1010" s="1269"/>
      <c r="H1010" s="1306"/>
      <c r="I1010" s="1309"/>
      <c r="J1010" s="1269"/>
      <c r="K1010" s="1269"/>
      <c r="L1010" s="1269"/>
      <c r="M1010" s="1309"/>
      <c r="N1010" s="1309"/>
      <c r="O1010" s="1311"/>
      <c r="P1010" s="1311"/>
      <c r="Q1010" s="1311"/>
      <c r="R1010" s="1311"/>
      <c r="S1010" s="1311"/>
      <c r="T1010" s="1311"/>
      <c r="U1010" s="1311"/>
      <c r="V1010" s="1319"/>
      <c r="W1010" s="1311"/>
      <c r="X1010" s="1311"/>
      <c r="Y1010" s="1311"/>
      <c r="Z1010" s="1315"/>
      <c r="AC1010" s="1305"/>
      <c r="AD1010" s="8"/>
      <c r="AE1010" s="8"/>
      <c r="AF1010" s="184"/>
      <c r="AG1010" s="184"/>
      <c r="AH1010" s="184"/>
      <c r="AI1010" s="184"/>
      <c r="AJ1010" s="184"/>
      <c r="AK1010" s="184"/>
      <c r="AL1010" s="184"/>
      <c r="AM1010" s="184"/>
      <c r="AN1010" s="184"/>
      <c r="AO1010" s="185"/>
      <c r="AP1010" s="185"/>
      <c r="AQ1010" s="185"/>
      <c r="AR1010" s="8"/>
      <c r="AS1010" s="8"/>
      <c r="AT1010" s="8"/>
      <c r="AU1010" s="8"/>
    </row>
    <row r="1011" spans="1:47" ht="10.5" customHeight="1" x14ac:dyDescent="0.25">
      <c r="A1011" s="1293"/>
      <c r="B1011" s="1326"/>
      <c r="C1011" s="1316" t="s">
        <v>369</v>
      </c>
      <c r="D1011" s="199" t="s">
        <v>288</v>
      </c>
      <c r="E1011" s="456">
        <v>27434.400000000001</v>
      </c>
      <c r="F1011" s="456"/>
      <c r="G1011" s="198"/>
      <c r="H1011" s="456">
        <v>27434.400000000001</v>
      </c>
      <c r="I1011" s="456"/>
      <c r="J1011" s="905">
        <v>224621.89799999999</v>
      </c>
      <c r="K1011" s="456">
        <v>27434.400000000001</v>
      </c>
      <c r="L1011" s="456">
        <v>39136.508000000002</v>
      </c>
      <c r="M1011" s="456">
        <f>L1011+55038.65</f>
        <v>94175.157999999996</v>
      </c>
      <c r="N1011" s="456">
        <v>224621.89799999999</v>
      </c>
      <c r="O1011" s="1317" t="s">
        <v>287</v>
      </c>
      <c r="P1011" s="1318" t="s">
        <v>86</v>
      </c>
      <c r="Q1011" s="1310" t="s">
        <v>86</v>
      </c>
      <c r="R1011" s="1318" t="s">
        <v>86</v>
      </c>
      <c r="S1011" s="1310" t="s">
        <v>290</v>
      </c>
      <c r="T1011" s="1310">
        <v>7878783</v>
      </c>
      <c r="U1011" s="1311"/>
      <c r="V1011" s="1319"/>
      <c r="W1011" s="1310" t="s">
        <v>291</v>
      </c>
      <c r="X1011" s="1310" t="s">
        <v>292</v>
      </c>
      <c r="Y1011" s="1310" t="s">
        <v>293</v>
      </c>
      <c r="Z1011" s="1315">
        <v>7878820</v>
      </c>
      <c r="AC1011" s="1304">
        <v>7878783</v>
      </c>
      <c r="AD1011" s="8"/>
      <c r="AE1011" s="8"/>
      <c r="AF1011" s="184">
        <v>12</v>
      </c>
      <c r="AG1011" s="184" t="s">
        <v>294</v>
      </c>
      <c r="AH1011" s="184"/>
      <c r="AI1011" s="184"/>
      <c r="AJ1011" s="184"/>
      <c r="AK1011" s="184" t="s">
        <v>295</v>
      </c>
      <c r="AL1011" s="184"/>
      <c r="AM1011" s="184"/>
      <c r="AN1011" s="184"/>
      <c r="AO1011" s="185"/>
      <c r="AP1011" s="185"/>
      <c r="AQ1011" s="185"/>
      <c r="AR1011" s="8"/>
      <c r="AS1011" s="8"/>
      <c r="AT1011" s="8"/>
      <c r="AU1011" s="8"/>
    </row>
    <row r="1012" spans="1:47" ht="10.5" customHeight="1" x14ac:dyDescent="0.25">
      <c r="A1012" s="1293"/>
      <c r="B1012" s="1326"/>
      <c r="C1012" s="1269"/>
      <c r="D1012" s="904" t="s">
        <v>296</v>
      </c>
      <c r="E1012" s="456">
        <v>3294858.5042387149</v>
      </c>
      <c r="F1012" s="456"/>
      <c r="G1012" s="198"/>
      <c r="H1012" s="456">
        <v>3294858.5042387149</v>
      </c>
      <c r="I1012" s="456"/>
      <c r="J1012" s="456">
        <f>+J1011*$J$1033/$J$1032</f>
        <v>16239647.343047002</v>
      </c>
      <c r="K1012" s="456">
        <v>6009904.6641654596</v>
      </c>
      <c r="L1012" s="456">
        <v>6821613.8998458404</v>
      </c>
      <c r="M1012" s="456">
        <v>6821613.8998458404</v>
      </c>
      <c r="N1012" s="456">
        <v>15347061.4310192</v>
      </c>
      <c r="O1012" s="1311"/>
      <c r="P1012" s="1311"/>
      <c r="Q1012" s="1311"/>
      <c r="R1012" s="1311"/>
      <c r="S1012" s="1311"/>
      <c r="T1012" s="1311"/>
      <c r="U1012" s="1311"/>
      <c r="V1012" s="1319"/>
      <c r="W1012" s="1311"/>
      <c r="X1012" s="1311"/>
      <c r="Y1012" s="1311"/>
      <c r="Z1012" s="1315"/>
      <c r="AC1012" s="982"/>
      <c r="AD1012" s="8"/>
      <c r="AE1012" s="8"/>
      <c r="AF1012" s="184">
        <v>13</v>
      </c>
      <c r="AG1012" s="184" t="s">
        <v>297</v>
      </c>
      <c r="AH1012" s="184"/>
      <c r="AI1012" s="184"/>
      <c r="AJ1012" s="184"/>
      <c r="AK1012" s="184" t="s">
        <v>298</v>
      </c>
      <c r="AL1012" s="184"/>
      <c r="AM1012" s="184"/>
      <c r="AN1012" s="184"/>
      <c r="AO1012" s="185"/>
      <c r="AP1012" s="185"/>
      <c r="AQ1012" s="185"/>
      <c r="AR1012" s="8"/>
      <c r="AS1012" s="8"/>
      <c r="AT1012" s="8"/>
      <c r="AU1012" s="8"/>
    </row>
    <row r="1013" spans="1:47" ht="21.75" customHeight="1" x14ac:dyDescent="0.25">
      <c r="A1013" s="1293"/>
      <c r="B1013" s="1326"/>
      <c r="C1013" s="1269"/>
      <c r="D1013" s="904" t="s">
        <v>299</v>
      </c>
      <c r="E1013" s="456"/>
      <c r="F1013" s="456"/>
      <c r="G1013" s="198"/>
      <c r="H1013" s="456"/>
      <c r="I1013" s="456"/>
      <c r="J1013" s="198"/>
      <c r="K1013" s="456"/>
      <c r="L1013" s="456"/>
      <c r="M1013" s="456"/>
      <c r="N1013" s="456"/>
      <c r="O1013" s="1311"/>
      <c r="P1013" s="1311"/>
      <c r="Q1013" s="1311"/>
      <c r="R1013" s="1311"/>
      <c r="S1013" s="1311"/>
      <c r="T1013" s="1311"/>
      <c r="U1013" s="1311"/>
      <c r="V1013" s="1319"/>
      <c r="W1013" s="1311"/>
      <c r="X1013" s="1311"/>
      <c r="Y1013" s="1311"/>
      <c r="Z1013" s="1315"/>
      <c r="AC1013" s="982"/>
      <c r="AD1013" s="8"/>
      <c r="AE1013" s="8"/>
      <c r="AF1013" s="184">
        <v>14</v>
      </c>
      <c r="AG1013" s="184" t="s">
        <v>300</v>
      </c>
      <c r="AH1013" s="184"/>
      <c r="AI1013" s="184"/>
      <c r="AJ1013" s="184"/>
      <c r="AK1013" s="184" t="s">
        <v>301</v>
      </c>
      <c r="AL1013" s="184"/>
      <c r="AM1013" s="184"/>
      <c r="AN1013" s="184"/>
      <c r="AO1013" s="185"/>
      <c r="AP1013" s="185"/>
      <c r="AQ1013" s="185"/>
      <c r="AR1013" s="8"/>
      <c r="AS1013" s="8"/>
      <c r="AT1013" s="8"/>
      <c r="AU1013" s="8"/>
    </row>
    <row r="1014" spans="1:47" ht="9" customHeight="1" x14ac:dyDescent="0.25">
      <c r="A1014" s="1293"/>
      <c r="B1014" s="1326"/>
      <c r="C1014" s="1269"/>
      <c r="D1014" s="1286" t="s">
        <v>302</v>
      </c>
      <c r="E1014" s="1306"/>
      <c r="F1014" s="935"/>
      <c r="G1014" s="1272"/>
      <c r="H1014" s="1306"/>
      <c r="I1014" s="1307"/>
      <c r="J1014" s="1272"/>
      <c r="K1014" s="1306"/>
      <c r="L1014" s="1306"/>
      <c r="M1014" s="1307"/>
      <c r="N1014" s="1307"/>
      <c r="O1014" s="1311"/>
      <c r="P1014" s="1311"/>
      <c r="Q1014" s="1311"/>
      <c r="R1014" s="1311"/>
      <c r="S1014" s="1311"/>
      <c r="T1014" s="1311"/>
      <c r="U1014" s="1311"/>
      <c r="V1014" s="1319"/>
      <c r="W1014" s="1311"/>
      <c r="X1014" s="1311"/>
      <c r="Y1014" s="1311"/>
      <c r="Z1014" s="1315"/>
      <c r="AC1014" s="982"/>
      <c r="AD1014" s="8"/>
      <c r="AE1014" s="8"/>
      <c r="AF1014" s="184"/>
      <c r="AG1014" s="184"/>
      <c r="AH1014" s="184"/>
      <c r="AI1014" s="184"/>
      <c r="AJ1014" s="184"/>
      <c r="AK1014" s="184"/>
      <c r="AL1014" s="184"/>
      <c r="AM1014" s="184"/>
      <c r="AN1014" s="184"/>
      <c r="AO1014" s="185"/>
      <c r="AP1014" s="185"/>
      <c r="AQ1014" s="185"/>
      <c r="AR1014" s="8"/>
      <c r="AS1014" s="8"/>
      <c r="AT1014" s="8"/>
      <c r="AU1014" s="8"/>
    </row>
    <row r="1015" spans="1:47" ht="12" customHeight="1" x14ac:dyDescent="0.25">
      <c r="A1015" s="1293"/>
      <c r="B1015" s="1326"/>
      <c r="C1015" s="1269"/>
      <c r="D1015" s="1269"/>
      <c r="E1015" s="1306"/>
      <c r="F1015" s="486"/>
      <c r="G1015" s="1269"/>
      <c r="H1015" s="1306"/>
      <c r="I1015" s="1308"/>
      <c r="J1015" s="1269"/>
      <c r="K1015" s="1269"/>
      <c r="L1015" s="1269"/>
      <c r="M1015" s="1308"/>
      <c r="N1015" s="1308"/>
      <c r="O1015" s="1311"/>
      <c r="P1015" s="1311"/>
      <c r="Q1015" s="1311"/>
      <c r="R1015" s="1311"/>
      <c r="S1015" s="1311"/>
      <c r="T1015" s="1311"/>
      <c r="U1015" s="1311"/>
      <c r="V1015" s="1319"/>
      <c r="W1015" s="1311"/>
      <c r="X1015" s="1311"/>
      <c r="Y1015" s="1311"/>
      <c r="Z1015" s="1315"/>
      <c r="AC1015" s="982"/>
      <c r="AD1015" s="8"/>
      <c r="AE1015" s="8"/>
      <c r="AF1015" s="184"/>
      <c r="AG1015" s="184"/>
      <c r="AH1015" s="184"/>
      <c r="AI1015" s="184"/>
      <c r="AJ1015" s="184"/>
      <c r="AK1015" s="184"/>
      <c r="AL1015" s="184"/>
      <c r="AM1015" s="184"/>
      <c r="AN1015" s="184"/>
      <c r="AO1015" s="185"/>
      <c r="AP1015" s="185"/>
      <c r="AQ1015" s="185"/>
      <c r="AR1015" s="8"/>
      <c r="AS1015" s="8"/>
      <c r="AT1015" s="8"/>
      <c r="AU1015" s="8"/>
    </row>
    <row r="1016" spans="1:47" ht="12.75" customHeight="1" x14ac:dyDescent="0.25">
      <c r="A1016" s="1293"/>
      <c r="B1016" s="1326"/>
      <c r="C1016" s="1269"/>
      <c r="D1016" s="1269"/>
      <c r="E1016" s="1306"/>
      <c r="F1016" s="486"/>
      <c r="G1016" s="1269"/>
      <c r="H1016" s="1306"/>
      <c r="I1016" s="1308"/>
      <c r="J1016" s="1269"/>
      <c r="K1016" s="1269"/>
      <c r="L1016" s="1269"/>
      <c r="M1016" s="1308"/>
      <c r="N1016" s="1308"/>
      <c r="O1016" s="1311"/>
      <c r="P1016" s="1311"/>
      <c r="Q1016" s="1311"/>
      <c r="R1016" s="1311"/>
      <c r="S1016" s="1311"/>
      <c r="T1016" s="1311"/>
      <c r="U1016" s="1311"/>
      <c r="V1016" s="1319"/>
      <c r="W1016" s="1311"/>
      <c r="X1016" s="1311"/>
      <c r="Y1016" s="1311"/>
      <c r="Z1016" s="1315"/>
      <c r="AC1016" s="982"/>
      <c r="AD1016" s="8"/>
      <c r="AE1016" s="8"/>
      <c r="AF1016" s="184"/>
      <c r="AG1016" s="184"/>
      <c r="AH1016" s="184"/>
      <c r="AI1016" s="184"/>
      <c r="AJ1016" s="184"/>
      <c r="AK1016" s="184"/>
      <c r="AL1016" s="184"/>
      <c r="AM1016" s="184"/>
      <c r="AN1016" s="184"/>
      <c r="AO1016" s="185"/>
      <c r="AP1016" s="185"/>
      <c r="AQ1016" s="185"/>
      <c r="AR1016" s="8"/>
      <c r="AS1016" s="8"/>
      <c r="AT1016" s="8"/>
      <c r="AU1016" s="8"/>
    </row>
    <row r="1017" spans="1:47" ht="13.5" customHeight="1" thickBot="1" x14ac:dyDescent="0.3">
      <c r="A1017" s="1293"/>
      <c r="B1017" s="1326"/>
      <c r="C1017" s="1269"/>
      <c r="D1017" s="1269"/>
      <c r="E1017" s="1306"/>
      <c r="F1017" s="486"/>
      <c r="G1017" s="1269"/>
      <c r="H1017" s="1306"/>
      <c r="I1017" s="1309"/>
      <c r="J1017" s="1269"/>
      <c r="K1017" s="1269"/>
      <c r="L1017" s="1269"/>
      <c r="M1017" s="1309"/>
      <c r="N1017" s="1309"/>
      <c r="O1017" s="1311"/>
      <c r="P1017" s="1311"/>
      <c r="Q1017" s="1311"/>
      <c r="R1017" s="1311"/>
      <c r="S1017" s="1311"/>
      <c r="T1017" s="1311"/>
      <c r="U1017" s="1311"/>
      <c r="V1017" s="1319"/>
      <c r="W1017" s="1311"/>
      <c r="X1017" s="1311"/>
      <c r="Y1017" s="1311"/>
      <c r="Z1017" s="1315"/>
      <c r="AC1017" s="1305"/>
      <c r="AD1017" s="8"/>
      <c r="AE1017" s="8"/>
      <c r="AF1017" s="184"/>
      <c r="AG1017" s="184"/>
      <c r="AH1017" s="184"/>
      <c r="AI1017" s="184"/>
      <c r="AJ1017" s="184"/>
      <c r="AK1017" s="184"/>
      <c r="AL1017" s="184"/>
      <c r="AM1017" s="184"/>
      <c r="AN1017" s="184"/>
      <c r="AO1017" s="185"/>
      <c r="AP1017" s="185"/>
      <c r="AQ1017" s="185"/>
      <c r="AR1017" s="8"/>
      <c r="AS1017" s="8"/>
      <c r="AT1017" s="8"/>
      <c r="AU1017" s="8"/>
    </row>
    <row r="1018" spans="1:47" ht="10.5" customHeight="1" x14ac:dyDescent="0.25">
      <c r="A1018" s="1293"/>
      <c r="B1018" s="1326"/>
      <c r="C1018" s="1316" t="s">
        <v>370</v>
      </c>
      <c r="D1018" s="199" t="s">
        <v>288</v>
      </c>
      <c r="E1018" s="456">
        <v>43983.799999999996</v>
      </c>
      <c r="F1018" s="456"/>
      <c r="G1018" s="198"/>
      <c r="H1018" s="456">
        <v>43983.799999999996</v>
      </c>
      <c r="I1018" s="456"/>
      <c r="J1018" s="905">
        <v>303209.05</v>
      </c>
      <c r="K1018" s="456">
        <v>43983.799999999996</v>
      </c>
      <c r="L1018" s="456">
        <v>87995.6</v>
      </c>
      <c r="M1018" s="456">
        <f>L1018+85031.31</f>
        <v>173026.91</v>
      </c>
      <c r="N1018" s="456">
        <v>303209.05</v>
      </c>
      <c r="O1018" s="1317" t="s">
        <v>287</v>
      </c>
      <c r="P1018" s="1318" t="s">
        <v>86</v>
      </c>
      <c r="Q1018" s="1310" t="s">
        <v>86</v>
      </c>
      <c r="R1018" s="1318" t="s">
        <v>86</v>
      </c>
      <c r="S1018" s="1310" t="s">
        <v>290</v>
      </c>
      <c r="T1018" s="1310">
        <v>7878783</v>
      </c>
      <c r="U1018" s="1311"/>
      <c r="V1018" s="1312"/>
      <c r="W1018" s="1310" t="s">
        <v>291</v>
      </c>
      <c r="X1018" s="1310" t="s">
        <v>292</v>
      </c>
      <c r="Y1018" s="1310" t="s">
        <v>293</v>
      </c>
      <c r="Z1018" s="1315">
        <v>7878821</v>
      </c>
      <c r="AC1018" s="1304">
        <v>7878783</v>
      </c>
      <c r="AD1018" s="8"/>
      <c r="AE1018" s="8"/>
      <c r="AF1018" s="184">
        <v>12</v>
      </c>
      <c r="AG1018" s="184" t="s">
        <v>294</v>
      </c>
      <c r="AH1018" s="184"/>
      <c r="AI1018" s="184"/>
      <c r="AJ1018" s="184"/>
      <c r="AK1018" s="184" t="s">
        <v>295</v>
      </c>
      <c r="AL1018" s="184"/>
      <c r="AM1018" s="184"/>
      <c r="AN1018" s="184"/>
      <c r="AO1018" s="185"/>
      <c r="AP1018" s="185"/>
      <c r="AQ1018" s="185"/>
      <c r="AR1018" s="8"/>
      <c r="AS1018" s="8"/>
      <c r="AT1018" s="8"/>
      <c r="AU1018" s="8"/>
    </row>
    <row r="1019" spans="1:47" ht="10.5" customHeight="1" x14ac:dyDescent="0.25">
      <c r="A1019" s="1293"/>
      <c r="B1019" s="1326"/>
      <c r="C1019" s="1269"/>
      <c r="D1019" s="904" t="s">
        <v>296</v>
      </c>
      <c r="E1019" s="456">
        <v>5282433.6409301748</v>
      </c>
      <c r="F1019" s="456"/>
      <c r="G1019" s="198"/>
      <c r="H1019" s="456">
        <v>5282433.6409301748</v>
      </c>
      <c r="I1019" s="456"/>
      <c r="J1019" s="456">
        <f>+J1018*$J$1033/$J$1032</f>
        <v>21921317.943900134</v>
      </c>
      <c r="K1019" s="456">
        <v>9635291.6326845381</v>
      </c>
      <c r="L1019" s="456">
        <v>15337904.140177101</v>
      </c>
      <c r="M1019" s="456">
        <v>15337904.140177101</v>
      </c>
      <c r="N1019" s="456">
        <v>20716448.210187301</v>
      </c>
      <c r="O1019" s="1311"/>
      <c r="P1019" s="1311"/>
      <c r="Q1019" s="1311"/>
      <c r="R1019" s="1311"/>
      <c r="S1019" s="1311"/>
      <c r="T1019" s="1311"/>
      <c r="U1019" s="1311"/>
      <c r="V1019" s="1313"/>
      <c r="W1019" s="1311"/>
      <c r="X1019" s="1311"/>
      <c r="Y1019" s="1311"/>
      <c r="Z1019" s="1315"/>
      <c r="AC1019" s="982"/>
      <c r="AD1019" s="8"/>
      <c r="AE1019" s="8"/>
      <c r="AF1019" s="184">
        <v>13</v>
      </c>
      <c r="AG1019" s="184" t="s">
        <v>297</v>
      </c>
      <c r="AH1019" s="184"/>
      <c r="AI1019" s="184"/>
      <c r="AJ1019" s="184"/>
      <c r="AK1019" s="184" t="s">
        <v>298</v>
      </c>
      <c r="AL1019" s="184"/>
      <c r="AM1019" s="184"/>
      <c r="AN1019" s="184"/>
      <c r="AO1019" s="185"/>
      <c r="AP1019" s="185"/>
      <c r="AQ1019" s="185"/>
      <c r="AR1019" s="8"/>
      <c r="AS1019" s="8"/>
      <c r="AT1019" s="8"/>
      <c r="AU1019" s="8"/>
    </row>
    <row r="1020" spans="1:47" ht="10.5" customHeight="1" x14ac:dyDescent="0.25">
      <c r="A1020" s="1293"/>
      <c r="B1020" s="1326"/>
      <c r="C1020" s="1269"/>
      <c r="D1020" s="904" t="s">
        <v>299</v>
      </c>
      <c r="E1020" s="456"/>
      <c r="F1020" s="456"/>
      <c r="G1020" s="198"/>
      <c r="H1020" s="456"/>
      <c r="I1020" s="456"/>
      <c r="J1020" s="198"/>
      <c r="K1020" s="456"/>
      <c r="L1020" s="456"/>
      <c r="M1020" s="456"/>
      <c r="N1020" s="456"/>
      <c r="O1020" s="1311"/>
      <c r="P1020" s="1311"/>
      <c r="Q1020" s="1311"/>
      <c r="R1020" s="1311"/>
      <c r="S1020" s="1311"/>
      <c r="T1020" s="1311"/>
      <c r="U1020" s="1311"/>
      <c r="V1020" s="1313"/>
      <c r="W1020" s="1311"/>
      <c r="X1020" s="1311"/>
      <c r="Y1020" s="1311"/>
      <c r="Z1020" s="1315"/>
      <c r="AC1020" s="982"/>
      <c r="AD1020" s="8"/>
      <c r="AE1020" s="8"/>
      <c r="AF1020" s="184">
        <v>14</v>
      </c>
      <c r="AG1020" s="184" t="s">
        <v>300</v>
      </c>
      <c r="AH1020" s="184"/>
      <c r="AI1020" s="184"/>
      <c r="AJ1020" s="184"/>
      <c r="AK1020" s="184" t="s">
        <v>301</v>
      </c>
      <c r="AL1020" s="184"/>
      <c r="AM1020" s="184"/>
      <c r="AN1020" s="184"/>
      <c r="AO1020" s="185"/>
      <c r="AP1020" s="185"/>
      <c r="AQ1020" s="185"/>
      <c r="AR1020" s="8"/>
      <c r="AS1020" s="8"/>
      <c r="AT1020" s="8"/>
      <c r="AU1020" s="8"/>
    </row>
    <row r="1021" spans="1:47" ht="10.5" customHeight="1" x14ac:dyDescent="0.25">
      <c r="A1021" s="1293"/>
      <c r="B1021" s="1326"/>
      <c r="C1021" s="1269"/>
      <c r="D1021" s="1286" t="s">
        <v>302</v>
      </c>
      <c r="E1021" s="1306"/>
      <c r="F1021" s="935"/>
      <c r="G1021" s="1272"/>
      <c r="H1021" s="1306"/>
      <c r="I1021" s="1307"/>
      <c r="J1021" s="1272"/>
      <c r="K1021" s="1306"/>
      <c r="L1021" s="1306"/>
      <c r="M1021" s="1307"/>
      <c r="N1021" s="1307"/>
      <c r="O1021" s="1311"/>
      <c r="P1021" s="1311"/>
      <c r="Q1021" s="1311"/>
      <c r="R1021" s="1311"/>
      <c r="S1021" s="1311"/>
      <c r="T1021" s="1311"/>
      <c r="U1021" s="1311"/>
      <c r="V1021" s="1313"/>
      <c r="W1021" s="1311"/>
      <c r="X1021" s="1311"/>
      <c r="Y1021" s="1311"/>
      <c r="Z1021" s="1315"/>
      <c r="AC1021" s="982"/>
      <c r="AD1021" s="8"/>
      <c r="AE1021" s="8"/>
      <c r="AF1021" s="184"/>
      <c r="AG1021" s="184"/>
      <c r="AH1021" s="184"/>
      <c r="AI1021" s="184"/>
      <c r="AJ1021" s="184"/>
      <c r="AK1021" s="184"/>
      <c r="AL1021" s="184"/>
      <c r="AM1021" s="184"/>
      <c r="AN1021" s="184"/>
      <c r="AO1021" s="185"/>
      <c r="AP1021" s="185"/>
      <c r="AQ1021" s="185"/>
      <c r="AR1021" s="8"/>
      <c r="AS1021" s="8"/>
      <c r="AT1021" s="8"/>
      <c r="AU1021" s="8"/>
    </row>
    <row r="1022" spans="1:47" ht="11.25" customHeight="1" x14ac:dyDescent="0.25">
      <c r="A1022" s="1293"/>
      <c r="B1022" s="1326"/>
      <c r="C1022" s="1269"/>
      <c r="D1022" s="1269"/>
      <c r="E1022" s="1306"/>
      <c r="F1022" s="486"/>
      <c r="G1022" s="1269"/>
      <c r="H1022" s="1306"/>
      <c r="I1022" s="1308"/>
      <c r="J1022" s="1269"/>
      <c r="K1022" s="1269"/>
      <c r="L1022" s="1269"/>
      <c r="M1022" s="1308"/>
      <c r="N1022" s="1308"/>
      <c r="O1022" s="1311"/>
      <c r="P1022" s="1311"/>
      <c r="Q1022" s="1311"/>
      <c r="R1022" s="1311"/>
      <c r="S1022" s="1311"/>
      <c r="T1022" s="1311"/>
      <c r="U1022" s="1311"/>
      <c r="V1022" s="1313"/>
      <c r="W1022" s="1311"/>
      <c r="X1022" s="1311"/>
      <c r="Y1022" s="1311"/>
      <c r="Z1022" s="1315"/>
      <c r="AC1022" s="982"/>
      <c r="AD1022" s="8"/>
      <c r="AE1022" s="8"/>
      <c r="AF1022" s="184"/>
      <c r="AG1022" s="184"/>
      <c r="AH1022" s="184"/>
      <c r="AI1022" s="184"/>
      <c r="AJ1022" s="184"/>
      <c r="AK1022" s="184"/>
      <c r="AL1022" s="184"/>
      <c r="AM1022" s="184"/>
      <c r="AN1022" s="184"/>
      <c r="AO1022" s="185"/>
      <c r="AP1022" s="185"/>
      <c r="AQ1022" s="185"/>
      <c r="AR1022" s="8"/>
      <c r="AS1022" s="8"/>
      <c r="AT1022" s="8"/>
      <c r="AU1022" s="8"/>
    </row>
    <row r="1023" spans="1:47" ht="10.5" customHeight="1" x14ac:dyDescent="0.25">
      <c r="A1023" s="1293"/>
      <c r="B1023" s="1326"/>
      <c r="C1023" s="1269"/>
      <c r="D1023" s="1269"/>
      <c r="E1023" s="1306"/>
      <c r="F1023" s="486"/>
      <c r="G1023" s="1269"/>
      <c r="H1023" s="1306"/>
      <c r="I1023" s="1308"/>
      <c r="J1023" s="1269"/>
      <c r="K1023" s="1269"/>
      <c r="L1023" s="1269"/>
      <c r="M1023" s="1308"/>
      <c r="N1023" s="1308"/>
      <c r="O1023" s="1311"/>
      <c r="P1023" s="1311"/>
      <c r="Q1023" s="1311"/>
      <c r="R1023" s="1311"/>
      <c r="S1023" s="1311"/>
      <c r="T1023" s="1311"/>
      <c r="U1023" s="1311"/>
      <c r="V1023" s="1313"/>
      <c r="W1023" s="1311"/>
      <c r="X1023" s="1311"/>
      <c r="Y1023" s="1311"/>
      <c r="Z1023" s="1315"/>
      <c r="AC1023" s="982"/>
      <c r="AD1023" s="8"/>
      <c r="AE1023" s="8"/>
      <c r="AF1023" s="184"/>
      <c r="AG1023" s="184"/>
      <c r="AH1023" s="184"/>
      <c r="AI1023" s="184"/>
      <c r="AJ1023" s="184"/>
      <c r="AK1023" s="184"/>
      <c r="AL1023" s="184"/>
      <c r="AM1023" s="184"/>
      <c r="AN1023" s="184"/>
      <c r="AO1023" s="185"/>
      <c r="AP1023" s="185"/>
      <c r="AQ1023" s="185"/>
      <c r="AR1023" s="8"/>
      <c r="AS1023" s="8"/>
      <c r="AT1023" s="8"/>
      <c r="AU1023" s="8"/>
    </row>
    <row r="1024" spans="1:47" ht="14.25" customHeight="1" thickBot="1" x14ac:dyDescent="0.3">
      <c r="A1024" s="1293"/>
      <c r="B1024" s="1326"/>
      <c r="C1024" s="1269"/>
      <c r="D1024" s="1269"/>
      <c r="E1024" s="1306"/>
      <c r="F1024" s="486"/>
      <c r="G1024" s="1269"/>
      <c r="H1024" s="1306"/>
      <c r="I1024" s="1309"/>
      <c r="J1024" s="1269"/>
      <c r="K1024" s="1269"/>
      <c r="L1024" s="1269"/>
      <c r="M1024" s="1309"/>
      <c r="N1024" s="1309"/>
      <c r="O1024" s="1311"/>
      <c r="P1024" s="1311"/>
      <c r="Q1024" s="1311"/>
      <c r="R1024" s="1311"/>
      <c r="S1024" s="1311"/>
      <c r="T1024" s="1311"/>
      <c r="U1024" s="1311"/>
      <c r="V1024" s="1314"/>
      <c r="W1024" s="1311"/>
      <c r="X1024" s="1311"/>
      <c r="Y1024" s="1311"/>
      <c r="Z1024" s="1315"/>
      <c r="AC1024" s="1305"/>
      <c r="AD1024" s="8"/>
      <c r="AE1024" s="8"/>
      <c r="AF1024" s="184"/>
      <c r="AG1024" s="184"/>
      <c r="AH1024" s="184"/>
      <c r="AI1024" s="184"/>
      <c r="AJ1024" s="184"/>
      <c r="AK1024" s="184"/>
      <c r="AL1024" s="184"/>
      <c r="AM1024" s="184"/>
      <c r="AN1024" s="184"/>
      <c r="AO1024" s="185"/>
      <c r="AP1024" s="185"/>
      <c r="AQ1024" s="185"/>
      <c r="AR1024" s="8"/>
      <c r="AS1024" s="8"/>
      <c r="AT1024" s="8"/>
      <c r="AU1024" s="8"/>
    </row>
    <row r="1025" spans="1:47" ht="10.5" customHeight="1" x14ac:dyDescent="0.25">
      <c r="A1025" s="1293"/>
      <c r="B1025" s="1326"/>
      <c r="C1025" s="1316" t="s">
        <v>319</v>
      </c>
      <c r="D1025" s="199" t="s">
        <v>288</v>
      </c>
      <c r="E1025" s="456">
        <v>63224</v>
      </c>
      <c r="F1025" s="456"/>
      <c r="G1025" s="198"/>
      <c r="H1025" s="456">
        <v>63224</v>
      </c>
      <c r="I1025" s="456"/>
      <c r="J1025" s="905">
        <v>637528.04328674998</v>
      </c>
      <c r="K1025" s="456">
        <v>63224</v>
      </c>
      <c r="L1025" s="456">
        <v>486392.15328675002</v>
      </c>
      <c r="M1025" s="456">
        <f>L1025+90394.25</f>
        <v>576786.40328674996</v>
      </c>
      <c r="N1025" s="456">
        <v>637528.04328674998</v>
      </c>
      <c r="O1025" s="1317" t="s">
        <v>287</v>
      </c>
      <c r="P1025" s="1318" t="s">
        <v>86</v>
      </c>
      <c r="Q1025" s="1310" t="s">
        <v>86</v>
      </c>
      <c r="R1025" s="1318" t="s">
        <v>86</v>
      </c>
      <c r="S1025" s="1310" t="s">
        <v>290</v>
      </c>
      <c r="T1025" s="1310">
        <v>7878783</v>
      </c>
      <c r="U1025" s="1311"/>
      <c r="V1025" s="1312"/>
      <c r="W1025" s="1310" t="s">
        <v>291</v>
      </c>
      <c r="X1025" s="1310" t="s">
        <v>292</v>
      </c>
      <c r="Y1025" s="1310" t="s">
        <v>293</v>
      </c>
      <c r="Z1025" s="1315">
        <v>7878822</v>
      </c>
      <c r="AC1025" s="1304">
        <v>7878783</v>
      </c>
      <c r="AD1025" s="8"/>
      <c r="AE1025" s="8"/>
      <c r="AF1025" s="184">
        <v>12</v>
      </c>
      <c r="AG1025" s="184" t="s">
        <v>294</v>
      </c>
      <c r="AH1025" s="184"/>
      <c r="AI1025" s="184"/>
      <c r="AJ1025" s="184"/>
      <c r="AK1025" s="184" t="s">
        <v>295</v>
      </c>
      <c r="AL1025" s="184"/>
      <c r="AM1025" s="184"/>
      <c r="AN1025" s="184"/>
      <c r="AO1025" s="185"/>
      <c r="AP1025" s="185"/>
      <c r="AQ1025" s="185"/>
      <c r="AR1025" s="8"/>
      <c r="AS1025" s="8"/>
      <c r="AT1025" s="8"/>
      <c r="AU1025" s="8"/>
    </row>
    <row r="1026" spans="1:47" ht="10.5" customHeight="1" x14ac:dyDescent="0.25">
      <c r="A1026" s="1293"/>
      <c r="B1026" s="1326"/>
      <c r="C1026" s="1269"/>
      <c r="D1026" s="904" t="s">
        <v>296</v>
      </c>
      <c r="E1026" s="456">
        <v>7593172.5888661137</v>
      </c>
      <c r="F1026" s="456"/>
      <c r="G1026" s="198"/>
      <c r="H1026" s="456">
        <v>7593172.5888661137</v>
      </c>
      <c r="I1026" s="456"/>
      <c r="J1026" s="456">
        <f>+J1025*$J$1033/$J$1032</f>
        <v>46091813.338161826</v>
      </c>
      <c r="K1026" s="456">
        <v>13850137.509374984</v>
      </c>
      <c r="L1026" s="456">
        <v>84779650.5921489</v>
      </c>
      <c r="M1026" s="456">
        <v>84779650.5921489</v>
      </c>
      <c r="N1026" s="456">
        <v>43558451.4752841</v>
      </c>
      <c r="O1026" s="1311"/>
      <c r="P1026" s="1311"/>
      <c r="Q1026" s="1311"/>
      <c r="R1026" s="1311"/>
      <c r="S1026" s="1311"/>
      <c r="T1026" s="1311"/>
      <c r="U1026" s="1311"/>
      <c r="V1026" s="1313"/>
      <c r="W1026" s="1311"/>
      <c r="X1026" s="1311"/>
      <c r="Y1026" s="1311"/>
      <c r="Z1026" s="1315"/>
      <c r="AC1026" s="982"/>
      <c r="AD1026" s="8"/>
      <c r="AE1026" s="8"/>
      <c r="AF1026" s="184">
        <v>13</v>
      </c>
      <c r="AG1026" s="184" t="s">
        <v>297</v>
      </c>
      <c r="AH1026" s="184"/>
      <c r="AI1026" s="184"/>
      <c r="AJ1026" s="184"/>
      <c r="AK1026" s="184" t="s">
        <v>298</v>
      </c>
      <c r="AL1026" s="184"/>
      <c r="AM1026" s="184"/>
      <c r="AN1026" s="184"/>
      <c r="AO1026" s="185"/>
      <c r="AP1026" s="185"/>
      <c r="AQ1026" s="185"/>
      <c r="AR1026" s="8"/>
      <c r="AS1026" s="8"/>
      <c r="AT1026" s="8"/>
      <c r="AU1026" s="8"/>
    </row>
    <row r="1027" spans="1:47" ht="10.5" customHeight="1" x14ac:dyDescent="0.25">
      <c r="A1027" s="1293"/>
      <c r="B1027" s="1326"/>
      <c r="C1027" s="1269"/>
      <c r="D1027" s="904" t="s">
        <v>299</v>
      </c>
      <c r="E1027" s="456"/>
      <c r="F1027" s="456"/>
      <c r="G1027" s="198"/>
      <c r="H1027" s="456"/>
      <c r="I1027" s="456"/>
      <c r="J1027" s="198"/>
      <c r="K1027" s="456"/>
      <c r="L1027" s="456"/>
      <c r="M1027" s="456"/>
      <c r="N1027" s="456"/>
      <c r="O1027" s="1311"/>
      <c r="P1027" s="1311"/>
      <c r="Q1027" s="1311"/>
      <c r="R1027" s="1311"/>
      <c r="S1027" s="1311"/>
      <c r="T1027" s="1311"/>
      <c r="U1027" s="1311"/>
      <c r="V1027" s="1313"/>
      <c r="W1027" s="1311"/>
      <c r="X1027" s="1311"/>
      <c r="Y1027" s="1311"/>
      <c r="Z1027" s="1315"/>
      <c r="AC1027" s="982"/>
      <c r="AD1027" s="8"/>
      <c r="AE1027" s="8"/>
      <c r="AF1027" s="184">
        <v>14</v>
      </c>
      <c r="AG1027" s="184" t="s">
        <v>300</v>
      </c>
      <c r="AH1027" s="184"/>
      <c r="AI1027" s="184"/>
      <c r="AJ1027" s="184"/>
      <c r="AK1027" s="184" t="s">
        <v>301</v>
      </c>
      <c r="AL1027" s="184"/>
      <c r="AM1027" s="184"/>
      <c r="AN1027" s="184"/>
      <c r="AO1027" s="185"/>
      <c r="AP1027" s="185"/>
      <c r="AQ1027" s="185"/>
      <c r="AR1027" s="8"/>
      <c r="AS1027" s="8"/>
      <c r="AT1027" s="8"/>
      <c r="AU1027" s="8"/>
    </row>
    <row r="1028" spans="1:47" ht="10.5" customHeight="1" x14ac:dyDescent="0.25">
      <c r="A1028" s="1293"/>
      <c r="B1028" s="1326"/>
      <c r="C1028" s="1269"/>
      <c r="D1028" s="1286" t="s">
        <v>302</v>
      </c>
      <c r="E1028" s="1306"/>
      <c r="F1028" s="209"/>
      <c r="G1028" s="1272"/>
      <c r="H1028" s="1306"/>
      <c r="I1028" s="1307"/>
      <c r="J1028" s="1272"/>
      <c r="K1028" s="1306"/>
      <c r="L1028" s="1307"/>
      <c r="M1028" s="1307"/>
      <c r="N1028" s="1307"/>
      <c r="O1028" s="1311"/>
      <c r="P1028" s="1311"/>
      <c r="Q1028" s="1311"/>
      <c r="R1028" s="1311"/>
      <c r="S1028" s="1311"/>
      <c r="T1028" s="1311"/>
      <c r="U1028" s="1311"/>
      <c r="V1028" s="1313"/>
      <c r="W1028" s="1311"/>
      <c r="X1028" s="1311"/>
      <c r="Y1028" s="1311"/>
      <c r="Z1028" s="1315"/>
      <c r="AC1028" s="982"/>
      <c r="AD1028" s="8"/>
      <c r="AE1028" s="8"/>
      <c r="AF1028" s="184"/>
      <c r="AG1028" s="184"/>
      <c r="AH1028" s="184"/>
      <c r="AI1028" s="184"/>
      <c r="AJ1028" s="184"/>
      <c r="AK1028" s="184"/>
      <c r="AL1028" s="184"/>
      <c r="AM1028" s="184"/>
      <c r="AN1028" s="184"/>
      <c r="AO1028" s="185"/>
      <c r="AP1028" s="185"/>
      <c r="AQ1028" s="185"/>
      <c r="AR1028" s="8"/>
      <c r="AS1028" s="8"/>
      <c r="AT1028" s="8"/>
      <c r="AU1028" s="8"/>
    </row>
    <row r="1029" spans="1:47" ht="11.25" customHeight="1" x14ac:dyDescent="0.25">
      <c r="A1029" s="1293"/>
      <c r="B1029" s="1326"/>
      <c r="C1029" s="1269"/>
      <c r="D1029" s="1269"/>
      <c r="E1029" s="1306"/>
      <c r="F1029" s="209"/>
      <c r="G1029" s="1269"/>
      <c r="H1029" s="1306"/>
      <c r="I1029" s="1308"/>
      <c r="J1029" s="1269"/>
      <c r="K1029" s="1269"/>
      <c r="L1029" s="1308"/>
      <c r="M1029" s="1308"/>
      <c r="N1029" s="1308"/>
      <c r="O1029" s="1311"/>
      <c r="P1029" s="1311"/>
      <c r="Q1029" s="1311"/>
      <c r="R1029" s="1311"/>
      <c r="S1029" s="1311"/>
      <c r="T1029" s="1311"/>
      <c r="U1029" s="1311"/>
      <c r="V1029" s="1313"/>
      <c r="W1029" s="1311"/>
      <c r="X1029" s="1311"/>
      <c r="Y1029" s="1311"/>
      <c r="Z1029" s="1315"/>
      <c r="AC1029" s="982"/>
      <c r="AD1029" s="8"/>
      <c r="AE1029" s="8"/>
      <c r="AF1029" s="184"/>
      <c r="AG1029" s="184"/>
      <c r="AH1029" s="184"/>
      <c r="AI1029" s="184"/>
      <c r="AJ1029" s="184"/>
      <c r="AK1029" s="184"/>
      <c r="AL1029" s="184"/>
      <c r="AM1029" s="184"/>
      <c r="AN1029" s="184"/>
      <c r="AO1029" s="185"/>
      <c r="AP1029" s="185"/>
      <c r="AQ1029" s="185"/>
      <c r="AR1029" s="8"/>
      <c r="AS1029" s="8"/>
      <c r="AT1029" s="8"/>
      <c r="AU1029" s="8"/>
    </row>
    <row r="1030" spans="1:47" ht="10.5" customHeight="1" x14ac:dyDescent="0.25">
      <c r="A1030" s="1293"/>
      <c r="B1030" s="1326"/>
      <c r="C1030" s="1269"/>
      <c r="D1030" s="1269"/>
      <c r="E1030" s="1306"/>
      <c r="F1030" s="486"/>
      <c r="G1030" s="1269"/>
      <c r="H1030" s="1306"/>
      <c r="I1030" s="1308"/>
      <c r="J1030" s="1269"/>
      <c r="K1030" s="1269"/>
      <c r="L1030" s="1308"/>
      <c r="M1030" s="1308"/>
      <c r="N1030" s="1308"/>
      <c r="O1030" s="1311"/>
      <c r="P1030" s="1311"/>
      <c r="Q1030" s="1311"/>
      <c r="R1030" s="1311"/>
      <c r="S1030" s="1311"/>
      <c r="T1030" s="1311"/>
      <c r="U1030" s="1311"/>
      <c r="V1030" s="1313"/>
      <c r="W1030" s="1311"/>
      <c r="X1030" s="1311"/>
      <c r="Y1030" s="1311"/>
      <c r="Z1030" s="1315"/>
      <c r="AC1030" s="982"/>
      <c r="AD1030" s="8"/>
      <c r="AE1030" s="8"/>
      <c r="AF1030" s="184"/>
      <c r="AG1030" s="184"/>
      <c r="AH1030" s="184"/>
      <c r="AI1030" s="184"/>
      <c r="AJ1030" s="184"/>
      <c r="AK1030" s="184"/>
      <c r="AL1030" s="184"/>
      <c r="AM1030" s="184"/>
      <c r="AN1030" s="184"/>
      <c r="AO1030" s="185"/>
      <c r="AP1030" s="185"/>
      <c r="AQ1030" s="185"/>
      <c r="AR1030" s="8"/>
      <c r="AS1030" s="8"/>
      <c r="AT1030" s="8"/>
      <c r="AU1030" s="8"/>
    </row>
    <row r="1031" spans="1:47" ht="14.25" customHeight="1" thickBot="1" x14ac:dyDescent="0.3">
      <c r="A1031" s="1293"/>
      <c r="B1031" s="1326"/>
      <c r="C1031" s="1269"/>
      <c r="D1031" s="1269"/>
      <c r="E1031" s="1306"/>
      <c r="F1031" s="486"/>
      <c r="G1031" s="1269"/>
      <c r="H1031" s="1306"/>
      <c r="I1031" s="1309"/>
      <c r="J1031" s="1269"/>
      <c r="K1031" s="1269"/>
      <c r="L1031" s="1309"/>
      <c r="M1031" s="1309"/>
      <c r="N1031" s="1309"/>
      <c r="O1031" s="1311"/>
      <c r="P1031" s="1311"/>
      <c r="Q1031" s="1311"/>
      <c r="R1031" s="1311"/>
      <c r="S1031" s="1311"/>
      <c r="T1031" s="1311"/>
      <c r="U1031" s="1311"/>
      <c r="V1031" s="1314"/>
      <c r="W1031" s="1311"/>
      <c r="X1031" s="1311"/>
      <c r="Y1031" s="1311"/>
      <c r="Z1031" s="1315"/>
      <c r="AC1031" s="1305"/>
      <c r="AD1031" s="8"/>
      <c r="AE1031" s="8"/>
      <c r="AF1031" s="184"/>
      <c r="AG1031" s="184"/>
      <c r="AH1031" s="184"/>
      <c r="AI1031" s="184"/>
      <c r="AJ1031" s="184"/>
      <c r="AK1031" s="184"/>
      <c r="AL1031" s="184"/>
      <c r="AM1031" s="184"/>
      <c r="AN1031" s="184"/>
      <c r="AO1031" s="185"/>
      <c r="AP1031" s="185"/>
      <c r="AQ1031" s="185"/>
      <c r="AR1031" s="8"/>
      <c r="AS1031" s="8"/>
      <c r="AT1031" s="8"/>
      <c r="AU1031" s="8"/>
    </row>
    <row r="1032" spans="1:47" ht="14.25" customHeight="1" x14ac:dyDescent="0.25">
      <c r="A1032" s="1293"/>
      <c r="B1032" s="1326"/>
      <c r="C1032" s="1302" t="s">
        <v>69</v>
      </c>
      <c r="D1032" s="912" t="s">
        <v>400</v>
      </c>
      <c r="E1032" s="486">
        <v>8000000</v>
      </c>
      <c r="F1032" s="486"/>
      <c r="G1032" s="486">
        <f>F1025+F1018+F1011+F1004+F997+F990+F983+F976+F969+F962+F955+F948+F941+F934+F927+F920+F913+F906+F899+G892</f>
        <v>0</v>
      </c>
      <c r="H1032" s="486">
        <v>8000000</v>
      </c>
      <c r="I1032" s="486"/>
      <c r="J1032" s="486">
        <f>+[2]INVERSIÓN!Q69</f>
        <v>11375079.609999999</v>
      </c>
      <c r="K1032" s="486">
        <f>K1025+K1018+K1004+K1011+K997+K990+K983+K976+K969+K962+K955+K948+K941+K934+K927+K920+K913+K906+K899+K892</f>
        <v>1570012.0811999999</v>
      </c>
      <c r="L1032" s="486">
        <f>L1025+L1018+L1011+L1004+L997+L990+L983+L976+L969+L962+L955+L948+L941+L934+L927+L920+L913+L906+L899+L892</f>
        <v>4271112.1247132504</v>
      </c>
      <c r="M1032" s="486">
        <f>M1025+M1018+M1011+M1004+M997+M990+M983+M976+M969+M962+M955+M948+M941+M934+M927+M920+M913+M906+M899+M892</f>
        <v>7430602.0247132499</v>
      </c>
      <c r="N1032" s="486">
        <f>N1025+N1018+N1011+N1004+N997+N990+N983+N976+N969+N962+N955+N948+N941+N934+N927+N920+N913+N906+N899+N892</f>
        <v>11375579.67471325</v>
      </c>
      <c r="O1032" s="919"/>
      <c r="P1032" s="287"/>
      <c r="Q1032" s="287"/>
      <c r="R1032" s="287"/>
      <c r="S1032" s="287"/>
      <c r="T1032" s="288"/>
      <c r="U1032" s="288"/>
      <c r="V1032" s="288"/>
      <c r="W1032" s="287"/>
      <c r="X1032" s="287"/>
      <c r="Y1032" s="287"/>
      <c r="Z1032" s="286"/>
      <c r="AC1032" s="248"/>
      <c r="AD1032" s="8"/>
      <c r="AE1032" s="8"/>
      <c r="AF1032" s="184"/>
      <c r="AG1032" s="184"/>
      <c r="AH1032" s="184"/>
      <c r="AI1032" s="184"/>
      <c r="AJ1032" s="184"/>
      <c r="AK1032" s="184"/>
      <c r="AL1032" s="184"/>
      <c r="AM1032" s="184"/>
      <c r="AN1032" s="184"/>
      <c r="AO1032" s="185"/>
      <c r="AP1032" s="185"/>
      <c r="AQ1032" s="185"/>
      <c r="AR1032" s="8"/>
      <c r="AS1032" s="8"/>
      <c r="AT1032" s="8"/>
      <c r="AU1032" s="8"/>
    </row>
    <row r="1033" spans="1:47" ht="32.25" customHeight="1" x14ac:dyDescent="0.25">
      <c r="A1033" s="1293"/>
      <c r="B1033" s="1326"/>
      <c r="C1033" s="1302"/>
      <c r="D1033" s="912" t="s">
        <v>355</v>
      </c>
      <c r="E1033" s="486">
        <v>846827000</v>
      </c>
      <c r="F1033" s="486"/>
      <c r="G1033" s="486">
        <f>F1026+F1019+F1012+F1005+F998+F991+F984+F977+F970+F963+F956+F949+F942+F935+F928+F921+F914+F907+F900+F893</f>
        <v>0</v>
      </c>
      <c r="H1033" s="486">
        <v>846827000</v>
      </c>
      <c r="I1033" s="486"/>
      <c r="J1033" s="486">
        <f>+[2]INVERSIÓN!Q70</f>
        <v>822392131</v>
      </c>
      <c r="K1033" s="486">
        <f>+[4]INVERSIÓN!AF76</f>
        <v>343934000</v>
      </c>
      <c r="L1033" s="486">
        <f>+[4]INVERSIÓN!AG76</f>
        <v>744468000</v>
      </c>
      <c r="M1033" s="486">
        <v>744468000</v>
      </c>
      <c r="N1033" s="486">
        <f>N1026+N1019+N1012+N1005+N998+N991+N984+N977+N970+N963+N956+N949+N942+N935+N928+N921+N914+N907+N900+N893</f>
        <v>777224846</v>
      </c>
      <c r="O1033" s="919"/>
      <c r="P1033" s="287"/>
      <c r="Q1033" s="287"/>
      <c r="R1033" s="287"/>
      <c r="S1033" s="287"/>
      <c r="T1033" s="288"/>
      <c r="U1033" s="288"/>
      <c r="V1033" s="288"/>
      <c r="W1033" s="287"/>
      <c r="X1033" s="287"/>
      <c r="Y1033" s="287"/>
      <c r="Z1033" s="286"/>
      <c r="AC1033" s="248"/>
      <c r="AD1033" s="8"/>
      <c r="AE1033" s="8"/>
      <c r="AF1033" s="184"/>
      <c r="AG1033" s="184"/>
      <c r="AH1033" s="184"/>
      <c r="AI1033" s="184"/>
      <c r="AJ1033" s="184"/>
      <c r="AK1033" s="184"/>
      <c r="AL1033" s="184"/>
      <c r="AM1033" s="184"/>
      <c r="AN1033" s="184"/>
      <c r="AO1033" s="185"/>
      <c r="AP1033" s="185"/>
      <c r="AQ1033" s="185"/>
      <c r="AR1033" s="8"/>
      <c r="AS1033" s="8"/>
      <c r="AT1033" s="8"/>
      <c r="AU1033" s="8"/>
    </row>
    <row r="1034" spans="1:47" ht="31.5" customHeight="1" thickBot="1" x14ac:dyDescent="0.3">
      <c r="A1034" s="1298"/>
      <c r="B1034" s="1326"/>
      <c r="C1034" s="1303"/>
      <c r="D1034" s="938" t="s">
        <v>401</v>
      </c>
      <c r="E1034" s="940">
        <v>290216168</v>
      </c>
      <c r="F1034" s="940">
        <v>290216168</v>
      </c>
      <c r="G1034" s="208"/>
      <c r="H1034" s="940">
        <v>290216168</v>
      </c>
      <c r="I1034" s="940"/>
      <c r="J1034" s="487">
        <f>+[2]INVERSIÓN!Q72</f>
        <v>290216168</v>
      </c>
      <c r="K1034" s="203">
        <f>+[4]INVERSIÓN!AF78</f>
        <v>137832253</v>
      </c>
      <c r="L1034" s="203">
        <f>+[4]INVERSIÓN!AG78</f>
        <v>168606787</v>
      </c>
      <c r="M1034" s="203">
        <v>229681801</v>
      </c>
      <c r="N1034" s="486">
        <v>290096678</v>
      </c>
      <c r="O1034" s="917"/>
      <c r="P1034" s="284"/>
      <c r="Q1034" s="284"/>
      <c r="R1034" s="284"/>
      <c r="S1034" s="284"/>
      <c r="T1034" s="285"/>
      <c r="U1034" s="285"/>
      <c r="V1034" s="285"/>
      <c r="W1034" s="284"/>
      <c r="X1034" s="284"/>
      <c r="Y1034" s="284"/>
      <c r="Z1034" s="283"/>
      <c r="AC1034" s="248"/>
      <c r="AD1034" s="8"/>
      <c r="AE1034" s="8"/>
      <c r="AF1034" s="184"/>
      <c r="AG1034" s="184"/>
      <c r="AH1034" s="184"/>
      <c r="AI1034" s="184"/>
      <c r="AJ1034" s="184"/>
      <c r="AK1034" s="184"/>
      <c r="AL1034" s="184"/>
      <c r="AM1034" s="184"/>
      <c r="AN1034" s="184"/>
      <c r="AO1034" s="185"/>
      <c r="AP1034" s="185"/>
      <c r="AQ1034" s="185"/>
      <c r="AR1034" s="8"/>
      <c r="AS1034" s="8"/>
      <c r="AT1034" s="8"/>
      <c r="AU1034" s="8"/>
    </row>
    <row r="1035" spans="1:47" ht="10.5" customHeight="1" x14ac:dyDescent="0.25">
      <c r="A1035" s="1292">
        <v>12</v>
      </c>
      <c r="B1035" s="1268" t="s">
        <v>163</v>
      </c>
      <c r="C1035" s="1268" t="s">
        <v>431</v>
      </c>
      <c r="D1035" s="194" t="s">
        <v>288</v>
      </c>
      <c r="E1035" s="242">
        <v>1</v>
      </c>
      <c r="F1035" s="213"/>
      <c r="G1035" s="213"/>
      <c r="H1035" s="242">
        <v>1</v>
      </c>
      <c r="I1035" s="242"/>
      <c r="J1035" s="293">
        <f>+[2]INVERSIÓN!P75</f>
        <v>1</v>
      </c>
      <c r="K1035" s="428">
        <v>1</v>
      </c>
      <c r="L1035" s="429">
        <v>1</v>
      </c>
      <c r="M1035" s="430">
        <v>1</v>
      </c>
      <c r="N1035" s="427">
        <v>1</v>
      </c>
      <c r="O1035" s="1295" t="s">
        <v>287</v>
      </c>
      <c r="P1035" s="1268" t="s">
        <v>86</v>
      </c>
      <c r="Q1035" s="1271" t="s">
        <v>86</v>
      </c>
      <c r="R1035" s="1268" t="s">
        <v>86</v>
      </c>
      <c r="S1035" s="1271" t="s">
        <v>290</v>
      </c>
      <c r="T1035" s="1288">
        <v>7878783</v>
      </c>
      <c r="U1035" s="1288"/>
      <c r="V1035" s="1289"/>
      <c r="W1035" s="1271" t="s">
        <v>291</v>
      </c>
      <c r="X1035" s="1271" t="s">
        <v>292</v>
      </c>
      <c r="Y1035" s="1271" t="s">
        <v>293</v>
      </c>
      <c r="Z1035" s="1283">
        <v>7878783</v>
      </c>
      <c r="AA1035" s="8"/>
      <c r="AB1035" s="8"/>
      <c r="AC1035" s="184">
        <v>12</v>
      </c>
      <c r="AD1035" s="184" t="s">
        <v>294</v>
      </c>
      <c r="AE1035" s="184"/>
      <c r="AF1035" s="184"/>
      <c r="AG1035" s="184"/>
      <c r="AH1035" s="184" t="s">
        <v>295</v>
      </c>
      <c r="AI1035" s="184"/>
      <c r="AJ1035" s="184"/>
      <c r="AK1035" s="184"/>
      <c r="AL1035" s="185"/>
      <c r="AM1035" s="185"/>
      <c r="AN1035" s="185"/>
      <c r="AO1035" s="8"/>
      <c r="AP1035" s="8"/>
      <c r="AQ1035" s="8"/>
      <c r="AR1035" s="8"/>
      <c r="AS1035" s="8"/>
      <c r="AT1035" s="8"/>
      <c r="AU1035" s="8"/>
    </row>
    <row r="1036" spans="1:47" ht="10.5" customHeight="1" x14ac:dyDescent="0.25">
      <c r="A1036" s="1293"/>
      <c r="B1036" s="1269"/>
      <c r="C1036" s="1269"/>
      <c r="D1036" s="904" t="s">
        <v>296</v>
      </c>
      <c r="E1036" s="905">
        <v>100968000</v>
      </c>
      <c r="F1036" s="198"/>
      <c r="G1036" s="198"/>
      <c r="H1036" s="905">
        <v>100968000</v>
      </c>
      <c r="I1036" s="905"/>
      <c r="J1036" s="198">
        <f>+[2]INVERSIÓN!P76</f>
        <v>100968000</v>
      </c>
      <c r="K1036" s="302">
        <f>+[4]INVERSIÓN!AF82</f>
        <v>55222500</v>
      </c>
      <c r="L1036" s="302">
        <f>+[4]INVERSIÓN!AG82</f>
        <v>100968000</v>
      </c>
      <c r="M1036" s="302">
        <v>100968000</v>
      </c>
      <c r="N1036" s="302">
        <v>97187000</v>
      </c>
      <c r="O1036" s="1269"/>
      <c r="P1036" s="1269"/>
      <c r="Q1036" s="1269"/>
      <c r="R1036" s="1269"/>
      <c r="S1036" s="1269"/>
      <c r="T1036" s="1269"/>
      <c r="U1036" s="1269"/>
      <c r="V1036" s="1290"/>
      <c r="W1036" s="1269"/>
      <c r="X1036" s="1269"/>
      <c r="Y1036" s="1269"/>
      <c r="Z1036" s="1284"/>
      <c r="AA1036" s="8"/>
      <c r="AB1036" s="8"/>
      <c r="AC1036" s="184">
        <v>13</v>
      </c>
      <c r="AD1036" s="184" t="s">
        <v>297</v>
      </c>
      <c r="AE1036" s="184"/>
      <c r="AF1036" s="184"/>
      <c r="AG1036" s="184"/>
      <c r="AH1036" s="184" t="s">
        <v>298</v>
      </c>
      <c r="AI1036" s="184"/>
      <c r="AJ1036" s="184"/>
      <c r="AK1036" s="184"/>
      <c r="AL1036" s="185"/>
      <c r="AM1036" s="185"/>
      <c r="AN1036" s="185"/>
      <c r="AO1036" s="8"/>
      <c r="AP1036" s="8"/>
      <c r="AQ1036" s="8"/>
      <c r="AR1036" s="8"/>
      <c r="AS1036" s="8"/>
      <c r="AT1036" s="8"/>
      <c r="AU1036" s="8"/>
    </row>
    <row r="1037" spans="1:47" ht="21.75" customHeight="1" x14ac:dyDescent="0.25">
      <c r="A1037" s="1293"/>
      <c r="B1037" s="1269"/>
      <c r="C1037" s="1269"/>
      <c r="D1037" s="904" t="s">
        <v>299</v>
      </c>
      <c r="E1037" s="905"/>
      <c r="F1037" s="198"/>
      <c r="G1037" s="198"/>
      <c r="H1037" s="905"/>
      <c r="I1037" s="905"/>
      <c r="J1037" s="905"/>
      <c r="K1037" s="214"/>
      <c r="L1037" s="909"/>
      <c r="M1037" s="909"/>
      <c r="N1037" s="431">
        <v>0</v>
      </c>
      <c r="O1037" s="1269"/>
      <c r="P1037" s="1269"/>
      <c r="Q1037" s="1269"/>
      <c r="R1037" s="1269"/>
      <c r="S1037" s="1269"/>
      <c r="T1037" s="1269"/>
      <c r="U1037" s="1269"/>
      <c r="V1037" s="1290"/>
      <c r="W1037" s="1269"/>
      <c r="X1037" s="1269"/>
      <c r="Y1037" s="1269"/>
      <c r="Z1037" s="1284"/>
      <c r="AA1037" s="8"/>
      <c r="AB1037" s="8"/>
      <c r="AC1037" s="184">
        <v>14</v>
      </c>
      <c r="AD1037" s="184" t="s">
        <v>300</v>
      </c>
      <c r="AE1037" s="184"/>
      <c r="AF1037" s="184"/>
      <c r="AG1037" s="184"/>
      <c r="AH1037" s="184" t="s">
        <v>301</v>
      </c>
      <c r="AI1037" s="184"/>
      <c r="AJ1037" s="184"/>
      <c r="AK1037" s="184"/>
      <c r="AL1037" s="185"/>
      <c r="AM1037" s="185"/>
      <c r="AN1037" s="185"/>
      <c r="AO1037" s="8"/>
      <c r="AP1037" s="8"/>
      <c r="AQ1037" s="8"/>
      <c r="AR1037" s="8"/>
      <c r="AS1037" s="8"/>
      <c r="AT1037" s="8"/>
      <c r="AU1037" s="8"/>
    </row>
    <row r="1038" spans="1:47" ht="12" customHeight="1" x14ac:dyDescent="0.25">
      <c r="A1038" s="1293"/>
      <c r="B1038" s="1269"/>
      <c r="C1038" s="1269"/>
      <c r="D1038" s="1299" t="s">
        <v>302</v>
      </c>
      <c r="E1038" s="1272">
        <v>20174074</v>
      </c>
      <c r="F1038" s="1297"/>
      <c r="G1038" s="1297"/>
      <c r="H1038" s="1272">
        <v>20174074</v>
      </c>
      <c r="I1038" s="1297"/>
      <c r="J1038" s="1272">
        <f>+[2]INVERSIÓN!Q78</f>
        <v>20174074</v>
      </c>
      <c r="K1038" s="1272">
        <f>+[4]INVERSIÓN!AF84</f>
        <v>16057782</v>
      </c>
      <c r="L1038" s="1272">
        <f>+[4]INVERSIÓN!AG84</f>
        <v>20174074</v>
      </c>
      <c r="M1038" s="1272">
        <v>20174074</v>
      </c>
      <c r="N1038" s="1272">
        <v>20174074</v>
      </c>
      <c r="O1038" s="1269"/>
      <c r="P1038" s="1269"/>
      <c r="Q1038" s="1269"/>
      <c r="R1038" s="1269"/>
      <c r="S1038" s="1269"/>
      <c r="T1038" s="1269"/>
      <c r="U1038" s="1269"/>
      <c r="V1038" s="1290"/>
      <c r="W1038" s="1269"/>
      <c r="X1038" s="1269"/>
      <c r="Y1038" s="1269"/>
      <c r="Z1038" s="1284"/>
      <c r="AA1038" s="8"/>
      <c r="AB1038" s="8"/>
      <c r="AC1038" s="184"/>
      <c r="AD1038" s="184"/>
      <c r="AE1038" s="184"/>
      <c r="AF1038" s="184"/>
      <c r="AG1038" s="184"/>
      <c r="AH1038" s="184"/>
      <c r="AI1038" s="184"/>
      <c r="AJ1038" s="184"/>
      <c r="AK1038" s="184"/>
      <c r="AL1038" s="185"/>
      <c r="AM1038" s="185"/>
      <c r="AN1038" s="185"/>
      <c r="AO1038" s="8"/>
      <c r="AP1038" s="8"/>
      <c r="AQ1038" s="8"/>
      <c r="AR1038" s="8"/>
      <c r="AS1038" s="8"/>
      <c r="AT1038" s="8"/>
      <c r="AU1038" s="8"/>
    </row>
    <row r="1039" spans="1:47" ht="12.75" customHeight="1" x14ac:dyDescent="0.25">
      <c r="A1039" s="1293"/>
      <c r="B1039" s="1269"/>
      <c r="C1039" s="1269"/>
      <c r="D1039" s="1269"/>
      <c r="E1039" s="1272"/>
      <c r="F1039" s="1300"/>
      <c r="G1039" s="1300"/>
      <c r="H1039" s="1272"/>
      <c r="I1039" s="1300"/>
      <c r="J1039" s="1269"/>
      <c r="K1039" s="1269"/>
      <c r="L1039" s="1269"/>
      <c r="M1039" s="1269"/>
      <c r="N1039" s="1269"/>
      <c r="O1039" s="1269"/>
      <c r="P1039" s="1269"/>
      <c r="Q1039" s="1269"/>
      <c r="R1039" s="1269"/>
      <c r="S1039" s="1269"/>
      <c r="T1039" s="1269"/>
      <c r="U1039" s="1269"/>
      <c r="V1039" s="1290"/>
      <c r="W1039" s="1269"/>
      <c r="X1039" s="1269"/>
      <c r="Y1039" s="1269"/>
      <c r="Z1039" s="1284"/>
      <c r="AA1039" s="8"/>
      <c r="AB1039" s="8"/>
      <c r="AC1039" s="184"/>
      <c r="AD1039" s="184"/>
      <c r="AE1039" s="184"/>
      <c r="AF1039" s="184"/>
      <c r="AG1039" s="184"/>
      <c r="AH1039" s="184"/>
      <c r="AI1039" s="184"/>
      <c r="AJ1039" s="184"/>
      <c r="AK1039" s="184"/>
      <c r="AL1039" s="185"/>
      <c r="AM1039" s="185"/>
      <c r="AN1039" s="185"/>
      <c r="AO1039" s="8"/>
      <c r="AP1039" s="8"/>
      <c r="AQ1039" s="8"/>
      <c r="AR1039" s="8"/>
      <c r="AS1039" s="8"/>
      <c r="AT1039" s="8"/>
      <c r="AU1039" s="8"/>
    </row>
    <row r="1040" spans="1:47" ht="12.75" customHeight="1" x14ac:dyDescent="0.25">
      <c r="A1040" s="1293"/>
      <c r="B1040" s="1269"/>
      <c r="C1040" s="1269"/>
      <c r="D1040" s="1269"/>
      <c r="E1040" s="1272"/>
      <c r="F1040" s="1300"/>
      <c r="G1040" s="1300"/>
      <c r="H1040" s="1272"/>
      <c r="I1040" s="1300"/>
      <c r="J1040" s="1269"/>
      <c r="K1040" s="1269"/>
      <c r="L1040" s="1269"/>
      <c r="M1040" s="1269"/>
      <c r="N1040" s="1269"/>
      <c r="O1040" s="1269"/>
      <c r="P1040" s="1269"/>
      <c r="Q1040" s="1269"/>
      <c r="R1040" s="1269"/>
      <c r="S1040" s="1269"/>
      <c r="T1040" s="1269"/>
      <c r="U1040" s="1269"/>
      <c r="V1040" s="1290"/>
      <c r="W1040" s="1269"/>
      <c r="X1040" s="1269"/>
      <c r="Y1040" s="1269"/>
      <c r="Z1040" s="1284"/>
      <c r="AA1040" s="8"/>
      <c r="AB1040" s="8"/>
      <c r="AC1040" s="184"/>
      <c r="AD1040" s="184"/>
      <c r="AE1040" s="184"/>
      <c r="AF1040" s="184"/>
      <c r="AG1040" s="184"/>
      <c r="AH1040" s="184"/>
      <c r="AI1040" s="184"/>
      <c r="AJ1040" s="184"/>
      <c r="AK1040" s="184"/>
      <c r="AL1040" s="185"/>
      <c r="AM1040" s="185"/>
      <c r="AN1040" s="185"/>
      <c r="AO1040" s="8"/>
      <c r="AP1040" s="8"/>
      <c r="AQ1040" s="8"/>
      <c r="AR1040" s="8"/>
      <c r="AS1040" s="8"/>
      <c r="AT1040" s="8"/>
      <c r="AU1040" s="8"/>
    </row>
    <row r="1041" spans="1:47" ht="15" customHeight="1" thickBot="1" x14ac:dyDescent="0.3">
      <c r="A1041" s="1298"/>
      <c r="B1041" s="1270"/>
      <c r="C1041" s="1270"/>
      <c r="D1041" s="1270"/>
      <c r="E1041" s="1297"/>
      <c r="F1041" s="1301"/>
      <c r="G1041" s="1301"/>
      <c r="H1041" s="1297"/>
      <c r="I1041" s="1301"/>
      <c r="J1041" s="1270"/>
      <c r="K1041" s="1270"/>
      <c r="L1041" s="1270"/>
      <c r="M1041" s="1270"/>
      <c r="N1041" s="1270"/>
      <c r="O1041" s="1270"/>
      <c r="P1041" s="1270"/>
      <c r="Q1041" s="1270"/>
      <c r="R1041" s="1270"/>
      <c r="S1041" s="1270"/>
      <c r="T1041" s="1270"/>
      <c r="U1041" s="1270"/>
      <c r="V1041" s="1291"/>
      <c r="W1041" s="1270"/>
      <c r="X1041" s="1270"/>
      <c r="Y1041" s="1270"/>
      <c r="Z1041" s="1296"/>
      <c r="AA1041" s="8"/>
      <c r="AB1041" s="8"/>
      <c r="AC1041" s="184"/>
      <c r="AD1041" s="184"/>
      <c r="AE1041" s="184"/>
      <c r="AF1041" s="184"/>
      <c r="AG1041" s="184"/>
      <c r="AH1041" s="184"/>
      <c r="AI1041" s="184"/>
      <c r="AJ1041" s="184"/>
      <c r="AK1041" s="184"/>
      <c r="AL1041" s="185"/>
      <c r="AM1041" s="185"/>
      <c r="AN1041" s="185"/>
      <c r="AO1041" s="8"/>
      <c r="AP1041" s="8"/>
      <c r="AQ1041" s="8"/>
      <c r="AR1041" s="8"/>
      <c r="AS1041" s="8"/>
      <c r="AT1041" s="8"/>
      <c r="AU1041" s="8"/>
    </row>
    <row r="1042" spans="1:47" ht="10.5" customHeight="1" x14ac:dyDescent="0.25">
      <c r="A1042" s="1292">
        <v>13</v>
      </c>
      <c r="B1042" s="1268" t="s">
        <v>167</v>
      </c>
      <c r="C1042" s="1268" t="s">
        <v>430</v>
      </c>
      <c r="D1042" s="194" t="s">
        <v>288</v>
      </c>
      <c r="E1042" s="242">
        <v>1</v>
      </c>
      <c r="F1042" s="213"/>
      <c r="G1042" s="213"/>
      <c r="H1042" s="242">
        <v>1</v>
      </c>
      <c r="I1042" s="242"/>
      <c r="J1042" s="427">
        <f>+[2]INVERSIÓN!P81</f>
        <v>1</v>
      </c>
      <c r="K1042" s="428">
        <v>1</v>
      </c>
      <c r="L1042" s="429">
        <v>1</v>
      </c>
      <c r="M1042" s="430">
        <v>1</v>
      </c>
      <c r="N1042" s="427">
        <v>1</v>
      </c>
      <c r="O1042" s="1295" t="s">
        <v>287</v>
      </c>
      <c r="P1042" s="1268" t="s">
        <v>86</v>
      </c>
      <c r="Q1042" s="1271" t="s">
        <v>86</v>
      </c>
      <c r="R1042" s="1268" t="s">
        <v>86</v>
      </c>
      <c r="S1042" s="1271" t="s">
        <v>290</v>
      </c>
      <c r="T1042" s="1288">
        <v>7878783</v>
      </c>
      <c r="U1042" s="1288"/>
      <c r="V1042" s="1289"/>
      <c r="W1042" s="1271" t="s">
        <v>291</v>
      </c>
      <c r="X1042" s="1271" t="s">
        <v>292</v>
      </c>
      <c r="Y1042" s="1271" t="s">
        <v>293</v>
      </c>
      <c r="Z1042" s="1283">
        <v>7878783</v>
      </c>
      <c r="AA1042" s="8"/>
      <c r="AB1042" s="8"/>
      <c r="AC1042" s="184">
        <v>12</v>
      </c>
      <c r="AD1042" s="184" t="s">
        <v>294</v>
      </c>
      <c r="AE1042" s="184"/>
      <c r="AF1042" s="184"/>
      <c r="AG1042" s="184"/>
      <c r="AH1042" s="184" t="s">
        <v>295</v>
      </c>
      <c r="AI1042" s="184"/>
      <c r="AJ1042" s="184"/>
      <c r="AK1042" s="184"/>
      <c r="AL1042" s="185"/>
      <c r="AM1042" s="185"/>
      <c r="AN1042" s="185"/>
      <c r="AO1042" s="8"/>
      <c r="AP1042" s="8"/>
      <c r="AQ1042" s="8"/>
      <c r="AR1042" s="8"/>
      <c r="AS1042" s="8"/>
      <c r="AT1042" s="8"/>
      <c r="AU1042" s="8"/>
    </row>
    <row r="1043" spans="1:47" ht="10.5" customHeight="1" x14ac:dyDescent="0.25">
      <c r="A1043" s="1293"/>
      <c r="B1043" s="1269"/>
      <c r="C1043" s="1269"/>
      <c r="D1043" s="904" t="s">
        <v>296</v>
      </c>
      <c r="E1043" s="905">
        <v>311755000</v>
      </c>
      <c r="F1043" s="198"/>
      <c r="G1043" s="198"/>
      <c r="H1043" s="905">
        <v>311755000</v>
      </c>
      <c r="I1043" s="905"/>
      <c r="J1043" s="302">
        <f>+[2]INVERSIÓN!Q82</f>
        <v>316420834</v>
      </c>
      <c r="K1043" s="302">
        <f>+[4]INVERSIÓN!AF88</f>
        <v>102852000</v>
      </c>
      <c r="L1043" s="302">
        <f>+[4]INVERSIÓN!AG88</f>
        <v>311738000</v>
      </c>
      <c r="M1043" s="302">
        <v>311738000</v>
      </c>
      <c r="N1043" s="302">
        <v>307653234</v>
      </c>
      <c r="O1043" s="1269"/>
      <c r="P1043" s="1269"/>
      <c r="Q1043" s="1269"/>
      <c r="R1043" s="1269"/>
      <c r="S1043" s="1269"/>
      <c r="T1043" s="1269"/>
      <c r="U1043" s="1269"/>
      <c r="V1043" s="1290"/>
      <c r="W1043" s="1269"/>
      <c r="X1043" s="1269"/>
      <c r="Y1043" s="1269"/>
      <c r="Z1043" s="1284"/>
      <c r="AA1043" s="8"/>
      <c r="AB1043" s="8"/>
      <c r="AC1043" s="184">
        <v>13</v>
      </c>
      <c r="AD1043" s="184" t="s">
        <v>297</v>
      </c>
      <c r="AE1043" s="184"/>
      <c r="AF1043" s="184"/>
      <c r="AG1043" s="184"/>
      <c r="AH1043" s="184" t="s">
        <v>298</v>
      </c>
      <c r="AI1043" s="184"/>
      <c r="AJ1043" s="184"/>
      <c r="AK1043" s="184"/>
      <c r="AL1043" s="185"/>
      <c r="AM1043" s="185"/>
      <c r="AN1043" s="185"/>
      <c r="AO1043" s="8"/>
      <c r="AP1043" s="8"/>
      <c r="AQ1043" s="8"/>
      <c r="AR1043" s="8"/>
      <c r="AS1043" s="8"/>
      <c r="AT1043" s="8"/>
      <c r="AU1043" s="8"/>
    </row>
    <row r="1044" spans="1:47" ht="15.75" customHeight="1" x14ac:dyDescent="0.25">
      <c r="A1044" s="1293"/>
      <c r="B1044" s="1269"/>
      <c r="C1044" s="1269"/>
      <c r="D1044" s="904" t="s">
        <v>299</v>
      </c>
      <c r="E1044" s="905"/>
      <c r="F1044" s="198"/>
      <c r="G1044" s="198"/>
      <c r="H1044" s="905"/>
      <c r="I1044" s="905"/>
      <c r="J1044" s="432"/>
      <c r="K1044" s="214"/>
      <c r="L1044" s="909"/>
      <c r="M1044" s="909"/>
      <c r="N1044" s="432"/>
      <c r="O1044" s="1269"/>
      <c r="P1044" s="1269"/>
      <c r="Q1044" s="1269"/>
      <c r="R1044" s="1269"/>
      <c r="S1044" s="1269"/>
      <c r="T1044" s="1269"/>
      <c r="U1044" s="1269"/>
      <c r="V1044" s="1290"/>
      <c r="W1044" s="1269"/>
      <c r="X1044" s="1269"/>
      <c r="Y1044" s="1269"/>
      <c r="Z1044" s="1284"/>
      <c r="AA1044" s="8"/>
      <c r="AB1044" s="8"/>
      <c r="AC1044" s="184">
        <v>14</v>
      </c>
      <c r="AD1044" s="184" t="s">
        <v>300</v>
      </c>
      <c r="AE1044" s="184"/>
      <c r="AF1044" s="184"/>
      <c r="AG1044" s="184"/>
      <c r="AH1044" s="184" t="s">
        <v>301</v>
      </c>
      <c r="AI1044" s="184"/>
      <c r="AJ1044" s="184"/>
      <c r="AK1044" s="184"/>
      <c r="AL1044" s="185"/>
      <c r="AM1044" s="185"/>
      <c r="AN1044" s="185"/>
      <c r="AO1044" s="8"/>
      <c r="AP1044" s="8"/>
      <c r="AQ1044" s="8"/>
      <c r="AR1044" s="8"/>
      <c r="AS1044" s="8"/>
      <c r="AT1044" s="8"/>
      <c r="AU1044" s="8"/>
    </row>
    <row r="1045" spans="1:47" ht="13.5" customHeight="1" x14ac:dyDescent="0.25">
      <c r="A1045" s="1293"/>
      <c r="B1045" s="1269"/>
      <c r="C1045" s="1269"/>
      <c r="D1045" s="1299" t="s">
        <v>302</v>
      </c>
      <c r="E1045" s="1272">
        <v>53169121</v>
      </c>
      <c r="F1045" s="1272"/>
      <c r="G1045" s="1272"/>
      <c r="H1045" s="1272">
        <v>53169121</v>
      </c>
      <c r="I1045" s="905"/>
      <c r="J1045" s="1272">
        <f>+[2]INVERSIÓN!Q84</f>
        <v>53169121</v>
      </c>
      <c r="K1045" s="1272">
        <f>+[4]INVERSIÓN!AF90</f>
        <v>53169121</v>
      </c>
      <c r="L1045" s="1272">
        <f>+[4]INVERSIÓN!AG90</f>
        <v>53169121</v>
      </c>
      <c r="M1045" s="1272">
        <v>53169121</v>
      </c>
      <c r="N1045" s="1272">
        <v>53169121</v>
      </c>
      <c r="O1045" s="1269"/>
      <c r="P1045" s="1269"/>
      <c r="Q1045" s="1269"/>
      <c r="R1045" s="1269"/>
      <c r="S1045" s="1269"/>
      <c r="T1045" s="1269"/>
      <c r="U1045" s="1269"/>
      <c r="V1045" s="1290"/>
      <c r="W1045" s="1269"/>
      <c r="X1045" s="1269"/>
      <c r="Y1045" s="1269"/>
      <c r="Z1045" s="1284"/>
      <c r="AA1045" s="8"/>
      <c r="AB1045" s="8"/>
      <c r="AC1045" s="184"/>
      <c r="AD1045" s="184"/>
      <c r="AE1045" s="184"/>
      <c r="AF1045" s="184"/>
      <c r="AG1045" s="184"/>
      <c r="AH1045" s="184"/>
      <c r="AI1045" s="184"/>
      <c r="AJ1045" s="184"/>
      <c r="AK1045" s="184"/>
      <c r="AL1045" s="185"/>
      <c r="AM1045" s="185"/>
      <c r="AN1045" s="185"/>
      <c r="AO1045" s="8"/>
      <c r="AP1045" s="8"/>
      <c r="AQ1045" s="8"/>
      <c r="AR1045" s="8"/>
      <c r="AS1045" s="8"/>
      <c r="AT1045" s="8"/>
      <c r="AU1045" s="8"/>
    </row>
    <row r="1046" spans="1:47" ht="12.75" customHeight="1" x14ac:dyDescent="0.25">
      <c r="A1046" s="1293"/>
      <c r="B1046" s="1269"/>
      <c r="C1046" s="1269"/>
      <c r="D1046" s="1269"/>
      <c r="E1046" s="1272"/>
      <c r="F1046" s="1269"/>
      <c r="G1046" s="1269"/>
      <c r="H1046" s="1272"/>
      <c r="I1046" s="905"/>
      <c r="J1046" s="1269"/>
      <c r="K1046" s="1269"/>
      <c r="L1046" s="1269"/>
      <c r="M1046" s="1269"/>
      <c r="N1046" s="1269"/>
      <c r="O1046" s="1269"/>
      <c r="P1046" s="1269"/>
      <c r="Q1046" s="1269"/>
      <c r="R1046" s="1269"/>
      <c r="S1046" s="1269"/>
      <c r="T1046" s="1269"/>
      <c r="U1046" s="1269"/>
      <c r="V1046" s="1290"/>
      <c r="W1046" s="1269"/>
      <c r="X1046" s="1269"/>
      <c r="Y1046" s="1269"/>
      <c r="Z1046" s="1284"/>
      <c r="AA1046" s="8"/>
      <c r="AB1046" s="8"/>
      <c r="AC1046" s="184"/>
      <c r="AD1046" s="184"/>
      <c r="AE1046" s="184"/>
      <c r="AF1046" s="184"/>
      <c r="AG1046" s="184"/>
      <c r="AH1046" s="184"/>
      <c r="AI1046" s="184"/>
      <c r="AJ1046" s="184"/>
      <c r="AK1046" s="184"/>
      <c r="AL1046" s="185"/>
      <c r="AM1046" s="185"/>
      <c r="AN1046" s="185"/>
      <c r="AO1046" s="8"/>
      <c r="AP1046" s="8"/>
      <c r="AQ1046" s="8"/>
      <c r="AR1046" s="8"/>
      <c r="AS1046" s="8"/>
      <c r="AT1046" s="8"/>
      <c r="AU1046" s="8"/>
    </row>
    <row r="1047" spans="1:47" ht="14.25" customHeight="1" x14ac:dyDescent="0.25">
      <c r="A1047" s="1293"/>
      <c r="B1047" s="1269"/>
      <c r="C1047" s="1269"/>
      <c r="D1047" s="1269"/>
      <c r="E1047" s="1272"/>
      <c r="F1047" s="1269"/>
      <c r="G1047" s="1269"/>
      <c r="H1047" s="1272"/>
      <c r="I1047" s="905"/>
      <c r="J1047" s="1269"/>
      <c r="K1047" s="1269"/>
      <c r="L1047" s="1269"/>
      <c r="M1047" s="1269"/>
      <c r="N1047" s="1269"/>
      <c r="O1047" s="1269"/>
      <c r="P1047" s="1269"/>
      <c r="Q1047" s="1269"/>
      <c r="R1047" s="1269"/>
      <c r="S1047" s="1269"/>
      <c r="T1047" s="1269"/>
      <c r="U1047" s="1269"/>
      <c r="V1047" s="1290"/>
      <c r="W1047" s="1269"/>
      <c r="X1047" s="1269"/>
      <c r="Y1047" s="1269"/>
      <c r="Z1047" s="1284"/>
      <c r="AA1047" s="8"/>
      <c r="AB1047" s="8"/>
      <c r="AC1047" s="184"/>
      <c r="AD1047" s="184"/>
      <c r="AE1047" s="184"/>
      <c r="AF1047" s="184"/>
      <c r="AG1047" s="184"/>
      <c r="AH1047" s="184"/>
      <c r="AI1047" s="184"/>
      <c r="AJ1047" s="184"/>
      <c r="AK1047" s="184"/>
      <c r="AL1047" s="185"/>
      <c r="AM1047" s="185"/>
      <c r="AN1047" s="185"/>
      <c r="AO1047" s="8"/>
      <c r="AP1047" s="8"/>
      <c r="AQ1047" s="8"/>
      <c r="AR1047" s="8"/>
      <c r="AS1047" s="8"/>
      <c r="AT1047" s="8"/>
      <c r="AU1047" s="8"/>
    </row>
    <row r="1048" spans="1:47" ht="13.5" customHeight="1" thickBot="1" x14ac:dyDescent="0.3">
      <c r="A1048" s="1298"/>
      <c r="B1048" s="1270"/>
      <c r="C1048" s="1270"/>
      <c r="D1048" s="1270"/>
      <c r="E1048" s="1297"/>
      <c r="F1048" s="1270"/>
      <c r="G1048" s="1270"/>
      <c r="H1048" s="1297"/>
      <c r="I1048" s="915"/>
      <c r="J1048" s="1270"/>
      <c r="K1048" s="1270"/>
      <c r="L1048" s="1270"/>
      <c r="M1048" s="1270"/>
      <c r="N1048" s="1270"/>
      <c r="O1048" s="1270"/>
      <c r="P1048" s="1270"/>
      <c r="Q1048" s="1270"/>
      <c r="R1048" s="1270"/>
      <c r="S1048" s="1270"/>
      <c r="T1048" s="1270"/>
      <c r="U1048" s="1270"/>
      <c r="V1048" s="1291"/>
      <c r="W1048" s="1270"/>
      <c r="X1048" s="1270"/>
      <c r="Y1048" s="1270"/>
      <c r="Z1048" s="1296"/>
      <c r="AA1048" s="8"/>
      <c r="AB1048" s="8"/>
      <c r="AC1048" s="184"/>
      <c r="AD1048" s="184"/>
      <c r="AE1048" s="184"/>
      <c r="AF1048" s="184"/>
      <c r="AG1048" s="184"/>
      <c r="AH1048" s="184"/>
      <c r="AI1048" s="184"/>
      <c r="AJ1048" s="184"/>
      <c r="AK1048" s="184"/>
      <c r="AL1048" s="185"/>
      <c r="AM1048" s="185"/>
      <c r="AN1048" s="185"/>
      <c r="AO1048" s="8"/>
      <c r="AP1048" s="8"/>
      <c r="AQ1048" s="8"/>
      <c r="AR1048" s="8"/>
      <c r="AS1048" s="8"/>
      <c r="AT1048" s="8"/>
      <c r="AU1048" s="8"/>
    </row>
    <row r="1049" spans="1:47" ht="10.5" customHeight="1" thickBot="1" x14ac:dyDescent="0.3">
      <c r="A1049" s="1292">
        <v>14</v>
      </c>
      <c r="B1049" s="1268" t="s">
        <v>170</v>
      </c>
      <c r="C1049" s="1268" t="s">
        <v>429</v>
      </c>
      <c r="D1049" s="194" t="s">
        <v>288</v>
      </c>
      <c r="E1049" s="242">
        <v>0.2</v>
      </c>
      <c r="F1049" s="213"/>
      <c r="G1049" s="213"/>
      <c r="H1049" s="242">
        <v>0.2</v>
      </c>
      <c r="I1049" s="242"/>
      <c r="J1049" s="427">
        <f>+[2]INVERSIÓN!Q87</f>
        <v>0.25</v>
      </c>
      <c r="K1049" s="249">
        <v>0.11940000000000001</v>
      </c>
      <c r="L1049" s="212">
        <v>15.39</v>
      </c>
      <c r="M1049" s="212">
        <v>22</v>
      </c>
      <c r="N1049" s="427">
        <v>0.3034</v>
      </c>
      <c r="O1049" s="1295" t="s">
        <v>287</v>
      </c>
      <c r="P1049" s="1268" t="s">
        <v>86</v>
      </c>
      <c r="Q1049" s="1271" t="s">
        <v>86</v>
      </c>
      <c r="R1049" s="1268" t="s">
        <v>86</v>
      </c>
      <c r="S1049" s="1271" t="s">
        <v>290</v>
      </c>
      <c r="T1049" s="1288">
        <v>7878783</v>
      </c>
      <c r="U1049" s="1288"/>
      <c r="V1049" s="1289"/>
      <c r="W1049" s="1271" t="s">
        <v>291</v>
      </c>
      <c r="X1049" s="1271" t="s">
        <v>292</v>
      </c>
      <c r="Y1049" s="1271" t="s">
        <v>293</v>
      </c>
      <c r="Z1049" s="1283">
        <v>7878783</v>
      </c>
      <c r="AA1049" s="8"/>
      <c r="AB1049" s="8"/>
      <c r="AC1049" s="184">
        <v>12</v>
      </c>
      <c r="AD1049" s="184" t="s">
        <v>294</v>
      </c>
      <c r="AE1049" s="184"/>
      <c r="AF1049" s="184"/>
      <c r="AG1049" s="184"/>
      <c r="AH1049" s="184" t="s">
        <v>295</v>
      </c>
      <c r="AI1049" s="184"/>
      <c r="AJ1049" s="184"/>
      <c r="AK1049" s="184"/>
      <c r="AL1049" s="185"/>
      <c r="AM1049" s="185"/>
      <c r="AN1049" s="185"/>
      <c r="AO1049" s="8"/>
      <c r="AP1049" s="8"/>
      <c r="AQ1049" s="8"/>
      <c r="AR1049" s="8"/>
      <c r="AS1049" s="8"/>
      <c r="AT1049" s="8"/>
      <c r="AU1049" s="8"/>
    </row>
    <row r="1050" spans="1:47" ht="10.5" customHeight="1" x14ac:dyDescent="0.25">
      <c r="A1050" s="1293"/>
      <c r="B1050" s="1269"/>
      <c r="C1050" s="1269"/>
      <c r="D1050" s="904" t="s">
        <v>296</v>
      </c>
      <c r="E1050" s="905">
        <v>418379000</v>
      </c>
      <c r="F1050" s="198"/>
      <c r="G1050" s="198"/>
      <c r="H1050" s="905">
        <v>418379000</v>
      </c>
      <c r="I1050" s="905"/>
      <c r="J1050" s="941">
        <f>+[2]INVERSIÓN!Q88</f>
        <v>443255434</v>
      </c>
      <c r="K1050" s="909">
        <f>+[4]INVERSIÓN!AF94</f>
        <v>57119000</v>
      </c>
      <c r="L1050" s="909">
        <f>+[4]INVERSIÓN!AG94</f>
        <v>368379000</v>
      </c>
      <c r="M1050" s="909">
        <v>368379000</v>
      </c>
      <c r="N1050" s="302">
        <v>438081434</v>
      </c>
      <c r="O1050" s="1269"/>
      <c r="P1050" s="1269"/>
      <c r="Q1050" s="1269"/>
      <c r="R1050" s="1269"/>
      <c r="S1050" s="1269"/>
      <c r="T1050" s="1269"/>
      <c r="U1050" s="1269"/>
      <c r="V1050" s="1290"/>
      <c r="W1050" s="1269"/>
      <c r="X1050" s="1269"/>
      <c r="Y1050" s="1269"/>
      <c r="Z1050" s="1284"/>
      <c r="AA1050" s="8"/>
      <c r="AB1050" s="8"/>
      <c r="AC1050" s="184">
        <v>13</v>
      </c>
      <c r="AD1050" s="184" t="s">
        <v>297</v>
      </c>
      <c r="AE1050" s="184"/>
      <c r="AF1050" s="184"/>
      <c r="AG1050" s="184"/>
      <c r="AH1050" s="184" t="s">
        <v>298</v>
      </c>
      <c r="AI1050" s="184"/>
      <c r="AJ1050" s="184"/>
      <c r="AK1050" s="184"/>
      <c r="AL1050" s="185"/>
      <c r="AM1050" s="185"/>
      <c r="AN1050" s="185"/>
      <c r="AO1050" s="8"/>
      <c r="AP1050" s="8"/>
      <c r="AQ1050" s="8"/>
      <c r="AR1050" s="8"/>
      <c r="AS1050" s="8"/>
      <c r="AT1050" s="8"/>
      <c r="AU1050" s="8"/>
    </row>
    <row r="1051" spans="1:47" ht="18" customHeight="1" x14ac:dyDescent="0.25">
      <c r="A1051" s="1293"/>
      <c r="B1051" s="1269"/>
      <c r="C1051" s="1269"/>
      <c r="D1051" s="904" t="s">
        <v>299</v>
      </c>
      <c r="E1051" s="905"/>
      <c r="F1051" s="198"/>
      <c r="G1051" s="198"/>
      <c r="H1051" s="905"/>
      <c r="I1051" s="905"/>
      <c r="J1051" s="927"/>
      <c r="K1051" s="214"/>
      <c r="L1051" s="909"/>
      <c r="M1051" s="909"/>
      <c r="N1051" s="927"/>
      <c r="O1051" s="1269"/>
      <c r="P1051" s="1269"/>
      <c r="Q1051" s="1269"/>
      <c r="R1051" s="1269"/>
      <c r="S1051" s="1269"/>
      <c r="T1051" s="1269"/>
      <c r="U1051" s="1269"/>
      <c r="V1051" s="1290"/>
      <c r="W1051" s="1269"/>
      <c r="X1051" s="1269"/>
      <c r="Y1051" s="1269"/>
      <c r="Z1051" s="1284"/>
      <c r="AA1051" s="8"/>
      <c r="AB1051" s="8"/>
      <c r="AC1051" s="184">
        <v>14</v>
      </c>
      <c r="AD1051" s="184" t="s">
        <v>300</v>
      </c>
      <c r="AE1051" s="184"/>
      <c r="AF1051" s="184"/>
      <c r="AG1051" s="184"/>
      <c r="AH1051" s="184" t="s">
        <v>301</v>
      </c>
      <c r="AI1051" s="184"/>
      <c r="AJ1051" s="184"/>
      <c r="AK1051" s="184"/>
      <c r="AL1051" s="185"/>
      <c r="AM1051" s="185"/>
      <c r="AN1051" s="185"/>
      <c r="AO1051" s="8"/>
      <c r="AP1051" s="8"/>
      <c r="AQ1051" s="8"/>
      <c r="AR1051" s="8"/>
      <c r="AS1051" s="8"/>
      <c r="AT1051" s="8"/>
      <c r="AU1051" s="8"/>
    </row>
    <row r="1052" spans="1:47" ht="12" customHeight="1" x14ac:dyDescent="0.25">
      <c r="A1052" s="1293"/>
      <c r="B1052" s="1269"/>
      <c r="C1052" s="1269"/>
      <c r="D1052" s="1299" t="s">
        <v>302</v>
      </c>
      <c r="E1052" s="1272">
        <v>200557722</v>
      </c>
      <c r="F1052" s="1272"/>
      <c r="G1052" s="1272"/>
      <c r="H1052" s="1272">
        <v>200557722</v>
      </c>
      <c r="I1052" s="905"/>
      <c r="J1052" s="1272">
        <f>+[2]INVERSIÓN!AM90</f>
        <v>200557722</v>
      </c>
      <c r="K1052" s="1272">
        <v>74838708</v>
      </c>
      <c r="L1052" s="1272">
        <f>+[4]INVERSIÓN!AG96</f>
        <v>105891644</v>
      </c>
      <c r="M1052" s="1272">
        <v>148409295</v>
      </c>
      <c r="N1052" s="1272">
        <v>200557722</v>
      </c>
      <c r="O1052" s="1269"/>
      <c r="P1052" s="1269"/>
      <c r="Q1052" s="1269"/>
      <c r="R1052" s="1269"/>
      <c r="S1052" s="1269"/>
      <c r="T1052" s="1269"/>
      <c r="U1052" s="1269"/>
      <c r="V1052" s="1290"/>
      <c r="W1052" s="1269"/>
      <c r="X1052" s="1269"/>
      <c r="Y1052" s="1269"/>
      <c r="Z1052" s="1284"/>
      <c r="AA1052" s="8"/>
      <c r="AB1052" s="8"/>
      <c r="AC1052" s="184"/>
      <c r="AD1052" s="184"/>
      <c r="AE1052" s="184"/>
      <c r="AF1052" s="184"/>
      <c r="AG1052" s="184"/>
      <c r="AH1052" s="184"/>
      <c r="AI1052" s="184"/>
      <c r="AJ1052" s="184"/>
      <c r="AK1052" s="184"/>
      <c r="AL1052" s="185"/>
      <c r="AM1052" s="185"/>
      <c r="AN1052" s="185"/>
      <c r="AO1052" s="8"/>
      <c r="AP1052" s="8"/>
      <c r="AQ1052" s="8"/>
      <c r="AR1052" s="8"/>
      <c r="AS1052" s="8"/>
      <c r="AT1052" s="8"/>
      <c r="AU1052" s="8"/>
    </row>
    <row r="1053" spans="1:47" ht="8.25" customHeight="1" x14ac:dyDescent="0.25">
      <c r="A1053" s="1293"/>
      <c r="B1053" s="1269"/>
      <c r="C1053" s="1269"/>
      <c r="D1053" s="1269"/>
      <c r="E1053" s="1272"/>
      <c r="F1053" s="1269"/>
      <c r="G1053" s="1269"/>
      <c r="H1053" s="1272"/>
      <c r="I1053" s="905"/>
      <c r="J1053" s="1269"/>
      <c r="K1053" s="1269"/>
      <c r="L1053" s="1269"/>
      <c r="M1053" s="1269"/>
      <c r="N1053" s="1269"/>
      <c r="O1053" s="1269"/>
      <c r="P1053" s="1269"/>
      <c r="Q1053" s="1269"/>
      <c r="R1053" s="1269"/>
      <c r="S1053" s="1269"/>
      <c r="T1053" s="1269"/>
      <c r="U1053" s="1269"/>
      <c r="V1053" s="1290"/>
      <c r="W1053" s="1269"/>
      <c r="X1053" s="1269"/>
      <c r="Y1053" s="1269"/>
      <c r="Z1053" s="1284"/>
      <c r="AA1053" s="8"/>
      <c r="AB1053" s="8"/>
      <c r="AC1053" s="184"/>
      <c r="AD1053" s="184"/>
      <c r="AE1053" s="184"/>
      <c r="AF1053" s="184"/>
      <c r="AG1053" s="184"/>
      <c r="AH1053" s="184"/>
      <c r="AI1053" s="184"/>
      <c r="AJ1053" s="184"/>
      <c r="AK1053" s="184"/>
      <c r="AL1053" s="185"/>
      <c r="AM1053" s="185"/>
      <c r="AN1053" s="185"/>
      <c r="AO1053" s="8"/>
      <c r="AP1053" s="8"/>
      <c r="AQ1053" s="8"/>
      <c r="AR1053" s="8"/>
      <c r="AS1053" s="8"/>
      <c r="AT1053" s="8"/>
      <c r="AU1053" s="8"/>
    </row>
    <row r="1054" spans="1:47" ht="11.25" customHeight="1" x14ac:dyDescent="0.25">
      <c r="A1054" s="1293"/>
      <c r="B1054" s="1269"/>
      <c r="C1054" s="1269"/>
      <c r="D1054" s="1269"/>
      <c r="E1054" s="1272"/>
      <c r="F1054" s="1269"/>
      <c r="G1054" s="1269"/>
      <c r="H1054" s="1272"/>
      <c r="I1054" s="905"/>
      <c r="J1054" s="1269"/>
      <c r="K1054" s="1269"/>
      <c r="L1054" s="1269"/>
      <c r="M1054" s="1269"/>
      <c r="N1054" s="1269"/>
      <c r="O1054" s="1269"/>
      <c r="P1054" s="1269"/>
      <c r="Q1054" s="1269"/>
      <c r="R1054" s="1269"/>
      <c r="S1054" s="1269"/>
      <c r="T1054" s="1269"/>
      <c r="U1054" s="1269"/>
      <c r="V1054" s="1290"/>
      <c r="W1054" s="1269"/>
      <c r="X1054" s="1269"/>
      <c r="Y1054" s="1269"/>
      <c r="Z1054" s="1284"/>
      <c r="AA1054" s="8"/>
      <c r="AB1054" s="8"/>
      <c r="AC1054" s="184"/>
      <c r="AD1054" s="184"/>
      <c r="AE1054" s="184"/>
      <c r="AF1054" s="184"/>
      <c r="AG1054" s="184"/>
      <c r="AH1054" s="184"/>
      <c r="AI1054" s="184"/>
      <c r="AJ1054" s="184"/>
      <c r="AK1054" s="184"/>
      <c r="AL1054" s="185"/>
      <c r="AM1054" s="185"/>
      <c r="AN1054" s="185"/>
      <c r="AO1054" s="8"/>
      <c r="AP1054" s="8"/>
      <c r="AQ1054" s="8"/>
      <c r="AR1054" s="8"/>
      <c r="AS1054" s="8"/>
      <c r="AT1054" s="8"/>
      <c r="AU1054" s="8"/>
    </row>
    <row r="1055" spans="1:47" ht="11.25" customHeight="1" thickBot="1" x14ac:dyDescent="0.3">
      <c r="A1055" s="1298"/>
      <c r="B1055" s="1270"/>
      <c r="C1055" s="1270"/>
      <c r="D1055" s="1270"/>
      <c r="E1055" s="1297"/>
      <c r="F1055" s="1270"/>
      <c r="G1055" s="1270"/>
      <c r="H1055" s="1297"/>
      <c r="I1055" s="915"/>
      <c r="J1055" s="1270"/>
      <c r="K1055" s="1270"/>
      <c r="L1055" s="1270"/>
      <c r="M1055" s="1270"/>
      <c r="N1055" s="1270"/>
      <c r="O1055" s="1270"/>
      <c r="P1055" s="1270"/>
      <c r="Q1055" s="1270"/>
      <c r="R1055" s="1270"/>
      <c r="S1055" s="1270"/>
      <c r="T1055" s="1270"/>
      <c r="U1055" s="1270"/>
      <c r="V1055" s="1291"/>
      <c r="W1055" s="1270"/>
      <c r="X1055" s="1270"/>
      <c r="Y1055" s="1270"/>
      <c r="Z1055" s="1296"/>
      <c r="AA1055" s="8"/>
      <c r="AB1055" s="8"/>
      <c r="AC1055" s="184"/>
      <c r="AD1055" s="184"/>
      <c r="AE1055" s="184"/>
      <c r="AF1055" s="184"/>
      <c r="AG1055" s="184"/>
      <c r="AH1055" s="184"/>
      <c r="AI1055" s="184"/>
      <c r="AJ1055" s="184"/>
      <c r="AK1055" s="184"/>
      <c r="AL1055" s="185"/>
      <c r="AM1055" s="185"/>
      <c r="AN1055" s="185"/>
      <c r="AO1055" s="8"/>
      <c r="AP1055" s="8"/>
      <c r="AQ1055" s="8"/>
      <c r="AR1055" s="8"/>
      <c r="AS1055" s="8"/>
      <c r="AT1055" s="8"/>
      <c r="AU1055" s="8"/>
    </row>
    <row r="1056" spans="1:47" ht="10.5" customHeight="1" x14ac:dyDescent="0.25">
      <c r="A1056" s="1292">
        <v>15</v>
      </c>
      <c r="B1056" s="1268" t="s">
        <v>172</v>
      </c>
      <c r="C1056" s="1268" t="s">
        <v>428</v>
      </c>
      <c r="D1056" s="194" t="s">
        <v>288</v>
      </c>
      <c r="E1056" s="242">
        <v>0.5</v>
      </c>
      <c r="F1056" s="213"/>
      <c r="G1056" s="213"/>
      <c r="H1056" s="242">
        <v>0.5</v>
      </c>
      <c r="I1056" s="242"/>
      <c r="J1056" s="427">
        <f>+[2]INVERSIÓN!Q93</f>
        <v>0.5</v>
      </c>
      <c r="K1056" s="428">
        <v>0.16</v>
      </c>
      <c r="L1056" s="429">
        <v>16</v>
      </c>
      <c r="M1056" s="429">
        <v>24</v>
      </c>
      <c r="N1056" s="427">
        <v>0.24000000000000002</v>
      </c>
      <c r="O1056" s="1295" t="s">
        <v>287</v>
      </c>
      <c r="P1056" s="1268" t="s">
        <v>86</v>
      </c>
      <c r="Q1056" s="1271" t="s">
        <v>86</v>
      </c>
      <c r="R1056" s="1268" t="s">
        <v>86</v>
      </c>
      <c r="S1056" s="1271" t="s">
        <v>290</v>
      </c>
      <c r="T1056" s="1288">
        <v>7878783</v>
      </c>
      <c r="U1056" s="1288"/>
      <c r="V1056" s="1289"/>
      <c r="W1056" s="1271" t="s">
        <v>291</v>
      </c>
      <c r="X1056" s="1271" t="s">
        <v>292</v>
      </c>
      <c r="Y1056" s="1271" t="s">
        <v>293</v>
      </c>
      <c r="Z1056" s="1283">
        <v>7878783</v>
      </c>
      <c r="AA1056" s="8"/>
      <c r="AB1056" s="8"/>
      <c r="AC1056" s="184">
        <v>12</v>
      </c>
      <c r="AD1056" s="184" t="s">
        <v>294</v>
      </c>
      <c r="AE1056" s="184"/>
      <c r="AF1056" s="184"/>
      <c r="AG1056" s="184"/>
      <c r="AH1056" s="184" t="s">
        <v>295</v>
      </c>
      <c r="AI1056" s="184"/>
      <c r="AJ1056" s="184"/>
      <c r="AK1056" s="184"/>
      <c r="AL1056" s="185"/>
      <c r="AM1056" s="185"/>
      <c r="AN1056" s="185"/>
      <c r="AO1056" s="8"/>
      <c r="AP1056" s="8"/>
      <c r="AQ1056" s="8"/>
      <c r="AR1056" s="8"/>
      <c r="AS1056" s="8"/>
      <c r="AT1056" s="8"/>
      <c r="AU1056" s="8"/>
    </row>
    <row r="1057" spans="1:47" ht="10.5" customHeight="1" x14ac:dyDescent="0.25">
      <c r="A1057" s="1293"/>
      <c r="B1057" s="1269"/>
      <c r="C1057" s="1269"/>
      <c r="D1057" s="904" t="s">
        <v>296</v>
      </c>
      <c r="E1057" s="905">
        <v>200000000</v>
      </c>
      <c r="F1057" s="198"/>
      <c r="G1057" s="198"/>
      <c r="H1057" s="905">
        <v>200000000</v>
      </c>
      <c r="I1057" s="905"/>
      <c r="J1057" s="302">
        <f>+[2]INVERSIÓN!Q94</f>
        <v>350000000</v>
      </c>
      <c r="K1057" s="302">
        <f>+[4]INVERSIÓN!AF100</f>
        <v>0</v>
      </c>
      <c r="L1057" s="302">
        <f>+[4]INVERSIÓN!AG100</f>
        <v>0</v>
      </c>
      <c r="M1057" s="302">
        <v>0</v>
      </c>
      <c r="N1057" s="302">
        <v>0</v>
      </c>
      <c r="O1057" s="1269"/>
      <c r="P1057" s="1269"/>
      <c r="Q1057" s="1269"/>
      <c r="R1057" s="1269"/>
      <c r="S1057" s="1269"/>
      <c r="T1057" s="1269"/>
      <c r="U1057" s="1269"/>
      <c r="V1057" s="1290"/>
      <c r="W1057" s="1269"/>
      <c r="X1057" s="1269"/>
      <c r="Y1057" s="1269"/>
      <c r="Z1057" s="1284"/>
      <c r="AA1057" s="8"/>
      <c r="AB1057" s="8"/>
      <c r="AC1057" s="184">
        <v>13</v>
      </c>
      <c r="AD1057" s="184" t="s">
        <v>297</v>
      </c>
      <c r="AE1057" s="184"/>
      <c r="AF1057" s="184"/>
      <c r="AG1057" s="184"/>
      <c r="AH1057" s="184" t="s">
        <v>298</v>
      </c>
      <c r="AI1057" s="184"/>
      <c r="AJ1057" s="184"/>
      <c r="AK1057" s="184"/>
      <c r="AL1057" s="185"/>
      <c r="AM1057" s="185"/>
      <c r="AN1057" s="185"/>
      <c r="AO1057" s="8"/>
      <c r="AP1057" s="8"/>
      <c r="AQ1057" s="8"/>
      <c r="AR1057" s="8"/>
      <c r="AS1057" s="8"/>
      <c r="AT1057" s="8"/>
      <c r="AU1057" s="8"/>
    </row>
    <row r="1058" spans="1:47" ht="21.75" customHeight="1" x14ac:dyDescent="0.25">
      <c r="A1058" s="1293"/>
      <c r="B1058" s="1269"/>
      <c r="C1058" s="1269"/>
      <c r="D1058" s="904" t="s">
        <v>299</v>
      </c>
      <c r="E1058" s="905"/>
      <c r="F1058" s="198"/>
      <c r="G1058" s="198"/>
      <c r="H1058" s="905"/>
      <c r="I1058" s="905"/>
      <c r="J1058" s="236">
        <f>+[2]INVERSIÓN!Q95</f>
        <v>0.05</v>
      </c>
      <c r="K1058" s="214"/>
      <c r="L1058" s="909"/>
      <c r="M1058" s="909"/>
      <c r="N1058" s="432">
        <v>0.05</v>
      </c>
      <c r="O1058" s="1269"/>
      <c r="P1058" s="1269"/>
      <c r="Q1058" s="1269"/>
      <c r="R1058" s="1269"/>
      <c r="S1058" s="1269"/>
      <c r="T1058" s="1269"/>
      <c r="U1058" s="1269"/>
      <c r="V1058" s="1290"/>
      <c r="W1058" s="1269"/>
      <c r="X1058" s="1269"/>
      <c r="Y1058" s="1269"/>
      <c r="Z1058" s="1284"/>
      <c r="AA1058" s="8"/>
      <c r="AB1058" s="8"/>
      <c r="AC1058" s="184">
        <v>14</v>
      </c>
      <c r="AD1058" s="184" t="s">
        <v>300</v>
      </c>
      <c r="AE1058" s="184"/>
      <c r="AF1058" s="184"/>
      <c r="AG1058" s="184"/>
      <c r="AH1058" s="184" t="s">
        <v>301</v>
      </c>
      <c r="AI1058" s="184"/>
      <c r="AJ1058" s="184"/>
      <c r="AK1058" s="184"/>
      <c r="AL1058" s="185"/>
      <c r="AM1058" s="185"/>
      <c r="AN1058" s="185"/>
      <c r="AO1058" s="8"/>
      <c r="AP1058" s="8"/>
      <c r="AQ1058" s="8"/>
      <c r="AR1058" s="8"/>
      <c r="AS1058" s="8"/>
      <c r="AT1058" s="8"/>
      <c r="AU1058" s="8"/>
    </row>
    <row r="1059" spans="1:47" ht="14.25" customHeight="1" x14ac:dyDescent="0.25">
      <c r="A1059" s="1293"/>
      <c r="B1059" s="1269"/>
      <c r="C1059" s="1269"/>
      <c r="D1059" s="1286" t="s">
        <v>302</v>
      </c>
      <c r="E1059" s="1272">
        <v>245268594</v>
      </c>
      <c r="F1059" s="1272"/>
      <c r="G1059" s="1272"/>
      <c r="H1059" s="1272">
        <v>245268594</v>
      </c>
      <c r="I1059" s="905"/>
      <c r="J1059" s="1272">
        <f>+[2]INVERSIÓN!Q96</f>
        <v>245268594</v>
      </c>
      <c r="K1059" s="1272">
        <f>+[3]INVERSIÓN!AF102</f>
        <v>147161156</v>
      </c>
      <c r="L1059" s="1272">
        <f>+[4]INVERSIÓN!AG102</f>
        <v>147161156</v>
      </c>
      <c r="M1059" s="1272">
        <v>245268594</v>
      </c>
      <c r="N1059" s="1272">
        <v>245268594</v>
      </c>
      <c r="O1059" s="1269"/>
      <c r="P1059" s="1269"/>
      <c r="Q1059" s="1269"/>
      <c r="R1059" s="1269"/>
      <c r="S1059" s="1269"/>
      <c r="T1059" s="1269"/>
      <c r="U1059" s="1269"/>
      <c r="V1059" s="1290"/>
      <c r="W1059" s="1269"/>
      <c r="X1059" s="1269"/>
      <c r="Y1059" s="1269"/>
      <c r="Z1059" s="1284"/>
      <c r="AA1059" s="8"/>
      <c r="AB1059" s="8"/>
      <c r="AC1059" s="184"/>
      <c r="AD1059" s="184"/>
      <c r="AE1059" s="184"/>
      <c r="AF1059" s="184"/>
      <c r="AG1059" s="184"/>
      <c r="AH1059" s="184"/>
      <c r="AI1059" s="184"/>
      <c r="AJ1059" s="184"/>
      <c r="AK1059" s="184"/>
      <c r="AL1059" s="185"/>
      <c r="AM1059" s="185"/>
      <c r="AN1059" s="185"/>
      <c r="AO1059" s="8"/>
      <c r="AP1059" s="8"/>
      <c r="AQ1059" s="8"/>
      <c r="AR1059" s="8"/>
      <c r="AS1059" s="8"/>
      <c r="AT1059" s="8"/>
      <c r="AU1059" s="8"/>
    </row>
    <row r="1060" spans="1:47" ht="9.75" customHeight="1" x14ac:dyDescent="0.25">
      <c r="A1060" s="1293"/>
      <c r="B1060" s="1269"/>
      <c r="C1060" s="1269"/>
      <c r="D1060" s="1269"/>
      <c r="E1060" s="1272"/>
      <c r="F1060" s="1269"/>
      <c r="G1060" s="1269"/>
      <c r="H1060" s="1272"/>
      <c r="I1060" s="905"/>
      <c r="J1060" s="1269"/>
      <c r="K1060" s="1269"/>
      <c r="L1060" s="1269"/>
      <c r="M1060" s="1269"/>
      <c r="N1060" s="1269"/>
      <c r="O1060" s="1269"/>
      <c r="P1060" s="1269"/>
      <c r="Q1060" s="1269"/>
      <c r="R1060" s="1269"/>
      <c r="S1060" s="1269"/>
      <c r="T1060" s="1269"/>
      <c r="U1060" s="1269"/>
      <c r="V1060" s="1290"/>
      <c r="W1060" s="1269"/>
      <c r="X1060" s="1269"/>
      <c r="Y1060" s="1269"/>
      <c r="Z1060" s="1284"/>
      <c r="AA1060" s="8"/>
      <c r="AB1060" s="8"/>
      <c r="AC1060" s="184"/>
      <c r="AD1060" s="184"/>
      <c r="AE1060" s="184"/>
      <c r="AF1060" s="184"/>
      <c r="AG1060" s="184"/>
      <c r="AH1060" s="184"/>
      <c r="AI1060" s="184"/>
      <c r="AJ1060" s="184"/>
      <c r="AK1060" s="184"/>
      <c r="AL1060" s="185"/>
      <c r="AM1060" s="185"/>
      <c r="AN1060" s="185"/>
      <c r="AO1060" s="8"/>
      <c r="AP1060" s="8"/>
      <c r="AQ1060" s="8"/>
      <c r="AR1060" s="8"/>
      <c r="AS1060" s="8"/>
      <c r="AT1060" s="8"/>
      <c r="AU1060" s="8"/>
    </row>
    <row r="1061" spans="1:47" ht="9.75" customHeight="1" x14ac:dyDescent="0.25">
      <c r="A1061" s="1293"/>
      <c r="B1061" s="1269"/>
      <c r="C1061" s="1269"/>
      <c r="D1061" s="1269"/>
      <c r="E1061" s="1272"/>
      <c r="F1061" s="1269"/>
      <c r="G1061" s="1269"/>
      <c r="H1061" s="1272"/>
      <c r="I1061" s="905"/>
      <c r="J1061" s="1269"/>
      <c r="K1061" s="1269"/>
      <c r="L1061" s="1269"/>
      <c r="M1061" s="1269"/>
      <c r="N1061" s="1269"/>
      <c r="O1061" s="1269"/>
      <c r="P1061" s="1269"/>
      <c r="Q1061" s="1269"/>
      <c r="R1061" s="1269"/>
      <c r="S1061" s="1269"/>
      <c r="T1061" s="1269"/>
      <c r="U1061" s="1269"/>
      <c r="V1061" s="1290"/>
      <c r="W1061" s="1269"/>
      <c r="X1061" s="1269"/>
      <c r="Y1061" s="1269"/>
      <c r="Z1061" s="1284"/>
      <c r="AA1061" s="8"/>
      <c r="AB1061" s="8"/>
      <c r="AC1061" s="184"/>
      <c r="AD1061" s="184"/>
      <c r="AE1061" s="184"/>
      <c r="AF1061" s="184"/>
      <c r="AG1061" s="184"/>
      <c r="AH1061" s="184"/>
      <c r="AI1061" s="184"/>
      <c r="AJ1061" s="184"/>
      <c r="AK1061" s="184"/>
      <c r="AL1061" s="185"/>
      <c r="AM1061" s="185"/>
      <c r="AN1061" s="185"/>
      <c r="AO1061" s="8"/>
      <c r="AP1061" s="8"/>
      <c r="AQ1061" s="8"/>
      <c r="AR1061" s="8"/>
      <c r="AS1061" s="8"/>
      <c r="AT1061" s="8"/>
      <c r="AU1061" s="8"/>
    </row>
    <row r="1062" spans="1:47" ht="12.75" customHeight="1" thickBot="1" x14ac:dyDescent="0.3">
      <c r="A1062" s="1298"/>
      <c r="B1062" s="1270"/>
      <c r="C1062" s="1270"/>
      <c r="D1062" s="1270"/>
      <c r="E1062" s="1297"/>
      <c r="F1062" s="1270"/>
      <c r="G1062" s="1270"/>
      <c r="H1062" s="1297"/>
      <c r="I1062" s="915"/>
      <c r="J1062" s="1270"/>
      <c r="K1062" s="1270"/>
      <c r="L1062" s="1270"/>
      <c r="M1062" s="1270"/>
      <c r="N1062" s="1270"/>
      <c r="O1062" s="1270"/>
      <c r="P1062" s="1270"/>
      <c r="Q1062" s="1270"/>
      <c r="R1062" s="1270"/>
      <c r="S1062" s="1270"/>
      <c r="T1062" s="1270"/>
      <c r="U1062" s="1270"/>
      <c r="V1062" s="1291"/>
      <c r="W1062" s="1270"/>
      <c r="X1062" s="1270"/>
      <c r="Y1062" s="1270"/>
      <c r="Z1062" s="1296"/>
      <c r="AA1062" s="8"/>
      <c r="AB1062" s="8"/>
      <c r="AC1062" s="184"/>
      <c r="AD1062" s="184"/>
      <c r="AE1062" s="184"/>
      <c r="AF1062" s="184"/>
      <c r="AG1062" s="184"/>
      <c r="AH1062" s="184"/>
      <c r="AI1062" s="184"/>
      <c r="AJ1062" s="184"/>
      <c r="AK1062" s="184"/>
      <c r="AL1062" s="185"/>
      <c r="AM1062" s="185"/>
      <c r="AN1062" s="185"/>
      <c r="AO1062" s="8"/>
      <c r="AP1062" s="8"/>
      <c r="AQ1062" s="8"/>
      <c r="AR1062" s="8"/>
      <c r="AS1062" s="8"/>
      <c r="AT1062" s="8"/>
      <c r="AU1062" s="8"/>
    </row>
    <row r="1063" spans="1:47" ht="10.5" customHeight="1" x14ac:dyDescent="0.25">
      <c r="A1063" s="1292">
        <v>16</v>
      </c>
      <c r="B1063" s="1268" t="s">
        <v>174</v>
      </c>
      <c r="C1063" s="1268" t="s">
        <v>427</v>
      </c>
      <c r="D1063" s="194" t="s">
        <v>288</v>
      </c>
      <c r="E1063" s="907">
        <v>8000</v>
      </c>
      <c r="F1063" s="213"/>
      <c r="G1063" s="213"/>
      <c r="H1063" s="907">
        <v>8000</v>
      </c>
      <c r="I1063" s="907"/>
      <c r="J1063" s="426">
        <f>+[2]INVERSIÓN!Q99</f>
        <v>8028</v>
      </c>
      <c r="K1063" s="433">
        <v>28.5</v>
      </c>
      <c r="L1063" s="429">
        <v>4206.0829999999996</v>
      </c>
      <c r="M1063" s="434">
        <v>6383</v>
      </c>
      <c r="N1063" s="426">
        <v>8028</v>
      </c>
      <c r="O1063" s="1295" t="s">
        <v>287</v>
      </c>
      <c r="P1063" s="1268" t="s">
        <v>86</v>
      </c>
      <c r="Q1063" s="1271" t="s">
        <v>86</v>
      </c>
      <c r="R1063" s="1268" t="s">
        <v>86</v>
      </c>
      <c r="S1063" s="1271" t="s">
        <v>290</v>
      </c>
      <c r="T1063" s="1288">
        <v>7878783</v>
      </c>
      <c r="U1063" s="1288"/>
      <c r="V1063" s="1289"/>
      <c r="W1063" s="1271" t="s">
        <v>291</v>
      </c>
      <c r="X1063" s="1271" t="s">
        <v>292</v>
      </c>
      <c r="Y1063" s="1271" t="s">
        <v>293</v>
      </c>
      <c r="Z1063" s="1283">
        <v>7878783</v>
      </c>
      <c r="AA1063" s="8"/>
      <c r="AB1063" s="8"/>
      <c r="AC1063" s="184">
        <v>12</v>
      </c>
      <c r="AD1063" s="184" t="s">
        <v>294</v>
      </c>
      <c r="AE1063" s="184"/>
      <c r="AF1063" s="184"/>
      <c r="AG1063" s="184"/>
      <c r="AH1063" s="184" t="s">
        <v>295</v>
      </c>
      <c r="AI1063" s="184"/>
      <c r="AJ1063" s="184"/>
      <c r="AK1063" s="184"/>
      <c r="AL1063" s="185"/>
      <c r="AM1063" s="185"/>
      <c r="AN1063" s="185"/>
      <c r="AO1063" s="8"/>
      <c r="AP1063" s="8"/>
      <c r="AQ1063" s="8"/>
      <c r="AR1063" s="8"/>
      <c r="AS1063" s="8"/>
      <c r="AT1063" s="8"/>
      <c r="AU1063" s="8"/>
    </row>
    <row r="1064" spans="1:47" ht="10.5" customHeight="1" x14ac:dyDescent="0.25">
      <c r="A1064" s="1293"/>
      <c r="B1064" s="1269"/>
      <c r="C1064" s="1269"/>
      <c r="D1064" s="904" t="s">
        <v>296</v>
      </c>
      <c r="E1064" s="905">
        <v>307231000</v>
      </c>
      <c r="F1064" s="198"/>
      <c r="G1064" s="198"/>
      <c r="H1064" s="905">
        <v>307231000</v>
      </c>
      <c r="I1064" s="905"/>
      <c r="J1064" s="905">
        <f>+[2]INVERSIÓN!Q100</f>
        <v>258978562</v>
      </c>
      <c r="K1064" s="210">
        <f>+[4]INVERSIÓN!AF106</f>
        <v>51851000</v>
      </c>
      <c r="L1064" s="210">
        <f>+[4]INVERSIÓN!AG106</f>
        <v>239789500</v>
      </c>
      <c r="M1064" s="210">
        <v>239789500</v>
      </c>
      <c r="N1064" s="905">
        <v>243130723</v>
      </c>
      <c r="O1064" s="1269"/>
      <c r="P1064" s="1269"/>
      <c r="Q1064" s="1269"/>
      <c r="R1064" s="1269"/>
      <c r="S1064" s="1269"/>
      <c r="T1064" s="1269"/>
      <c r="U1064" s="1269"/>
      <c r="V1064" s="1290"/>
      <c r="W1064" s="1269"/>
      <c r="X1064" s="1269"/>
      <c r="Y1064" s="1269"/>
      <c r="Z1064" s="1284"/>
      <c r="AA1064" s="8"/>
      <c r="AB1064" s="8"/>
      <c r="AC1064" s="184">
        <v>13</v>
      </c>
      <c r="AD1064" s="184" t="s">
        <v>297</v>
      </c>
      <c r="AE1064" s="184"/>
      <c r="AF1064" s="184"/>
      <c r="AG1064" s="184"/>
      <c r="AH1064" s="184" t="s">
        <v>298</v>
      </c>
      <c r="AI1064" s="184"/>
      <c r="AJ1064" s="184"/>
      <c r="AK1064" s="184"/>
      <c r="AL1064" s="185"/>
      <c r="AM1064" s="185"/>
      <c r="AN1064" s="185"/>
      <c r="AO1064" s="8"/>
      <c r="AP1064" s="8"/>
      <c r="AQ1064" s="8"/>
      <c r="AR1064" s="8"/>
      <c r="AS1064" s="8"/>
      <c r="AT1064" s="8"/>
      <c r="AU1064" s="8"/>
    </row>
    <row r="1065" spans="1:47" ht="21.75" customHeight="1" x14ac:dyDescent="0.25">
      <c r="A1065" s="1293"/>
      <c r="B1065" s="1269"/>
      <c r="C1065" s="1269"/>
      <c r="D1065" s="904" t="s">
        <v>299</v>
      </c>
      <c r="E1065" s="905"/>
      <c r="F1065" s="198"/>
      <c r="G1065" s="198"/>
      <c r="H1065" s="905"/>
      <c r="I1065" s="905"/>
      <c r="J1065" s="927">
        <f>+N1065</f>
        <v>0</v>
      </c>
      <c r="K1065" s="214"/>
      <c r="L1065" s="909"/>
      <c r="M1065" s="909"/>
      <c r="N1065" s="927">
        <v>0</v>
      </c>
      <c r="O1065" s="1269"/>
      <c r="P1065" s="1269"/>
      <c r="Q1065" s="1269"/>
      <c r="R1065" s="1269"/>
      <c r="S1065" s="1269"/>
      <c r="T1065" s="1269"/>
      <c r="U1065" s="1269"/>
      <c r="V1065" s="1290"/>
      <c r="W1065" s="1269"/>
      <c r="X1065" s="1269"/>
      <c r="Y1065" s="1269"/>
      <c r="Z1065" s="1284"/>
      <c r="AA1065" s="8"/>
      <c r="AB1065" s="8"/>
      <c r="AC1065" s="184">
        <v>14</v>
      </c>
      <c r="AD1065" s="184" t="s">
        <v>300</v>
      </c>
      <c r="AE1065" s="184"/>
      <c r="AF1065" s="184"/>
      <c r="AG1065" s="184"/>
      <c r="AH1065" s="184" t="s">
        <v>301</v>
      </c>
      <c r="AI1065" s="184"/>
      <c r="AJ1065" s="184"/>
      <c r="AK1065" s="184"/>
      <c r="AL1065" s="185"/>
      <c r="AM1065" s="185"/>
      <c r="AN1065" s="185"/>
      <c r="AO1065" s="8"/>
      <c r="AP1065" s="8"/>
      <c r="AQ1065" s="8"/>
      <c r="AR1065" s="8"/>
      <c r="AS1065" s="8"/>
      <c r="AT1065" s="8"/>
      <c r="AU1065" s="8"/>
    </row>
    <row r="1066" spans="1:47" ht="13.5" customHeight="1" x14ac:dyDescent="0.25">
      <c r="A1066" s="1293"/>
      <c r="B1066" s="1269"/>
      <c r="C1066" s="1269"/>
      <c r="D1066" s="1286" t="s">
        <v>302</v>
      </c>
      <c r="E1066" s="1272">
        <v>430313010</v>
      </c>
      <c r="F1066" s="1272"/>
      <c r="G1066" s="1272"/>
      <c r="H1066" s="1272">
        <v>430313010</v>
      </c>
      <c r="I1066" s="905"/>
      <c r="J1066" s="1272">
        <f>+N1066</f>
        <v>430275443</v>
      </c>
      <c r="K1066" s="1272">
        <f>+[3]INVERSIÓN!AF108</f>
        <v>53565530</v>
      </c>
      <c r="L1066" s="1272">
        <f>+[4]INVERSIÓN!AG108</f>
        <v>89610819</v>
      </c>
      <c r="M1066" s="1272">
        <v>164524157</v>
      </c>
      <c r="N1066" s="1272">
        <v>430275443</v>
      </c>
      <c r="O1066" s="1269"/>
      <c r="P1066" s="1269"/>
      <c r="Q1066" s="1269"/>
      <c r="R1066" s="1269"/>
      <c r="S1066" s="1269"/>
      <c r="T1066" s="1269"/>
      <c r="U1066" s="1269"/>
      <c r="V1066" s="1290"/>
      <c r="W1066" s="1269"/>
      <c r="X1066" s="1269"/>
      <c r="Y1066" s="1269"/>
      <c r="Z1066" s="1284"/>
      <c r="AA1066" s="8"/>
      <c r="AB1066" s="8"/>
      <c r="AC1066" s="184"/>
      <c r="AD1066" s="184"/>
      <c r="AE1066" s="184"/>
      <c r="AF1066" s="184"/>
      <c r="AG1066" s="184"/>
      <c r="AH1066" s="184"/>
      <c r="AI1066" s="184"/>
      <c r="AJ1066" s="184"/>
      <c r="AK1066" s="184"/>
      <c r="AL1066" s="185"/>
      <c r="AM1066" s="185"/>
      <c r="AN1066" s="185"/>
      <c r="AO1066" s="8"/>
      <c r="AP1066" s="8"/>
      <c r="AQ1066" s="8"/>
      <c r="AR1066" s="8"/>
      <c r="AS1066" s="8"/>
      <c r="AT1066" s="8"/>
      <c r="AU1066" s="8"/>
    </row>
    <row r="1067" spans="1:47" ht="12" customHeight="1" x14ac:dyDescent="0.25">
      <c r="A1067" s="1293"/>
      <c r="B1067" s="1269"/>
      <c r="C1067" s="1269"/>
      <c r="D1067" s="1269"/>
      <c r="E1067" s="1272"/>
      <c r="F1067" s="1269"/>
      <c r="G1067" s="1269"/>
      <c r="H1067" s="1272"/>
      <c r="I1067" s="905"/>
      <c r="J1067" s="1269"/>
      <c r="K1067" s="1269"/>
      <c r="L1067" s="1269"/>
      <c r="M1067" s="1269"/>
      <c r="N1067" s="1269"/>
      <c r="O1067" s="1269"/>
      <c r="P1067" s="1269"/>
      <c r="Q1067" s="1269"/>
      <c r="R1067" s="1269"/>
      <c r="S1067" s="1269"/>
      <c r="T1067" s="1269"/>
      <c r="U1067" s="1269"/>
      <c r="V1067" s="1290"/>
      <c r="W1067" s="1269"/>
      <c r="X1067" s="1269"/>
      <c r="Y1067" s="1269"/>
      <c r="Z1067" s="1284"/>
      <c r="AA1067" s="8"/>
      <c r="AB1067" s="8"/>
      <c r="AC1067" s="184"/>
      <c r="AD1067" s="184"/>
      <c r="AE1067" s="184"/>
      <c r="AF1067" s="184"/>
      <c r="AG1067" s="184"/>
      <c r="AH1067" s="184"/>
      <c r="AI1067" s="184"/>
      <c r="AJ1067" s="184"/>
      <c r="AK1067" s="184"/>
      <c r="AL1067" s="185"/>
      <c r="AM1067" s="185"/>
      <c r="AN1067" s="185"/>
      <c r="AO1067" s="8"/>
      <c r="AP1067" s="8"/>
      <c r="AQ1067" s="8"/>
      <c r="AR1067" s="8"/>
      <c r="AS1067" s="8"/>
      <c r="AT1067" s="8"/>
      <c r="AU1067" s="8"/>
    </row>
    <row r="1068" spans="1:47" ht="13.5" customHeight="1" x14ac:dyDescent="0.25">
      <c r="A1068" s="1293"/>
      <c r="B1068" s="1269"/>
      <c r="C1068" s="1269"/>
      <c r="D1068" s="1269"/>
      <c r="E1068" s="1272"/>
      <c r="F1068" s="1269"/>
      <c r="G1068" s="1269"/>
      <c r="H1068" s="1272"/>
      <c r="I1068" s="905"/>
      <c r="J1068" s="1269"/>
      <c r="K1068" s="1269"/>
      <c r="L1068" s="1269"/>
      <c r="M1068" s="1269"/>
      <c r="N1068" s="1269"/>
      <c r="O1068" s="1269"/>
      <c r="P1068" s="1269"/>
      <c r="Q1068" s="1269"/>
      <c r="R1068" s="1269"/>
      <c r="S1068" s="1269"/>
      <c r="T1068" s="1269"/>
      <c r="U1068" s="1269"/>
      <c r="V1068" s="1290"/>
      <c r="W1068" s="1269"/>
      <c r="X1068" s="1269"/>
      <c r="Y1068" s="1269"/>
      <c r="Z1068" s="1284"/>
      <c r="AA1068" s="8"/>
      <c r="AB1068" s="8"/>
      <c r="AC1068" s="184"/>
      <c r="AD1068" s="184"/>
      <c r="AE1068" s="184"/>
      <c r="AF1068" s="184"/>
      <c r="AG1068" s="184"/>
      <c r="AH1068" s="184"/>
      <c r="AI1068" s="184"/>
      <c r="AJ1068" s="184"/>
      <c r="AK1068" s="184"/>
      <c r="AL1068" s="185"/>
      <c r="AM1068" s="185"/>
      <c r="AN1068" s="185"/>
      <c r="AO1068" s="8"/>
      <c r="AP1068" s="8"/>
      <c r="AQ1068" s="8"/>
      <c r="AR1068" s="8"/>
      <c r="AS1068" s="8"/>
      <c r="AT1068" s="8"/>
      <c r="AU1068" s="8"/>
    </row>
    <row r="1069" spans="1:47" ht="12.75" customHeight="1" thickBot="1" x14ac:dyDescent="0.3">
      <c r="A1069" s="1298"/>
      <c r="B1069" s="1270"/>
      <c r="C1069" s="1270"/>
      <c r="D1069" s="1270"/>
      <c r="E1069" s="1297"/>
      <c r="F1069" s="1270"/>
      <c r="G1069" s="1270"/>
      <c r="H1069" s="1297"/>
      <c r="I1069" s="915"/>
      <c r="J1069" s="1270"/>
      <c r="K1069" s="1270"/>
      <c r="L1069" s="1270"/>
      <c r="M1069" s="1270"/>
      <c r="N1069" s="1270"/>
      <c r="O1069" s="1270"/>
      <c r="P1069" s="1270"/>
      <c r="Q1069" s="1270"/>
      <c r="R1069" s="1270"/>
      <c r="S1069" s="1270"/>
      <c r="T1069" s="1270"/>
      <c r="U1069" s="1270"/>
      <c r="V1069" s="1291"/>
      <c r="W1069" s="1270"/>
      <c r="X1069" s="1270"/>
      <c r="Y1069" s="1270"/>
      <c r="Z1069" s="1296"/>
      <c r="AA1069" s="8"/>
      <c r="AB1069" s="8"/>
      <c r="AC1069" s="184"/>
      <c r="AD1069" s="184"/>
      <c r="AE1069" s="184"/>
      <c r="AF1069" s="184"/>
      <c r="AG1069" s="184"/>
      <c r="AH1069" s="184"/>
      <c r="AI1069" s="184"/>
      <c r="AJ1069" s="184"/>
      <c r="AK1069" s="184"/>
      <c r="AL1069" s="185"/>
      <c r="AM1069" s="185"/>
      <c r="AN1069" s="185"/>
      <c r="AO1069" s="8"/>
      <c r="AP1069" s="8"/>
      <c r="AQ1069" s="8"/>
      <c r="AR1069" s="8"/>
      <c r="AS1069" s="8"/>
      <c r="AT1069" s="8"/>
      <c r="AU1069" s="8"/>
    </row>
    <row r="1070" spans="1:47" ht="10.5" customHeight="1" x14ac:dyDescent="0.25">
      <c r="A1070" s="1292">
        <v>17</v>
      </c>
      <c r="B1070" s="1268" t="s">
        <v>178</v>
      </c>
      <c r="C1070" s="1268" t="s">
        <v>426</v>
      </c>
      <c r="D1070" s="194" t="s">
        <v>288</v>
      </c>
      <c r="E1070" s="242">
        <v>0.4</v>
      </c>
      <c r="F1070" s="213"/>
      <c r="G1070" s="213"/>
      <c r="H1070" s="242">
        <f>+[2]INVERSIÓN!Q105</f>
        <v>0.4</v>
      </c>
      <c r="I1070" s="242"/>
      <c r="J1070" s="427">
        <f>+[2]INVERSIÓN!Q105</f>
        <v>0.4</v>
      </c>
      <c r="K1070" s="435">
        <v>0.14499999999999999</v>
      </c>
      <c r="L1070" s="429">
        <v>16.75</v>
      </c>
      <c r="M1070" s="429">
        <v>17.75</v>
      </c>
      <c r="N1070" s="427">
        <v>0.2475</v>
      </c>
      <c r="O1070" s="1295" t="s">
        <v>287</v>
      </c>
      <c r="P1070" s="1268" t="s">
        <v>86</v>
      </c>
      <c r="Q1070" s="1271" t="s">
        <v>86</v>
      </c>
      <c r="R1070" s="1268" t="s">
        <v>86</v>
      </c>
      <c r="S1070" s="1271" t="s">
        <v>290</v>
      </c>
      <c r="T1070" s="1288">
        <v>7878783</v>
      </c>
      <c r="U1070" s="1288"/>
      <c r="V1070" s="1289"/>
      <c r="W1070" s="1271" t="s">
        <v>291</v>
      </c>
      <c r="X1070" s="1271" t="s">
        <v>292</v>
      </c>
      <c r="Y1070" s="1271" t="s">
        <v>293</v>
      </c>
      <c r="Z1070" s="1283">
        <v>7878783</v>
      </c>
      <c r="AA1070" s="8"/>
      <c r="AB1070" s="8"/>
      <c r="AC1070" s="184">
        <v>12</v>
      </c>
      <c r="AD1070" s="184" t="s">
        <v>294</v>
      </c>
      <c r="AE1070" s="184"/>
      <c r="AF1070" s="184"/>
      <c r="AG1070" s="184"/>
      <c r="AH1070" s="184" t="s">
        <v>295</v>
      </c>
      <c r="AI1070" s="184"/>
      <c r="AJ1070" s="184"/>
      <c r="AK1070" s="184"/>
      <c r="AL1070" s="185"/>
      <c r="AM1070" s="185"/>
      <c r="AN1070" s="185"/>
      <c r="AO1070" s="8"/>
      <c r="AP1070" s="8"/>
      <c r="AQ1070" s="8"/>
      <c r="AR1070" s="8"/>
      <c r="AS1070" s="8"/>
      <c r="AT1070" s="8"/>
      <c r="AU1070" s="8"/>
    </row>
    <row r="1071" spans="1:47" ht="10.5" customHeight="1" x14ac:dyDescent="0.25">
      <c r="A1071" s="1293"/>
      <c r="B1071" s="1269"/>
      <c r="C1071" s="1269"/>
      <c r="D1071" s="904" t="s">
        <v>296</v>
      </c>
      <c r="E1071" s="905">
        <v>232672000</v>
      </c>
      <c r="F1071" s="198"/>
      <c r="G1071" s="198"/>
      <c r="H1071" s="905">
        <v>232672000</v>
      </c>
      <c r="I1071" s="905"/>
      <c r="J1071" s="302">
        <f>+[2]INVERSIÓN!Q106</f>
        <v>199362000</v>
      </c>
      <c r="K1071" s="302">
        <f>+[4]INVERSIÓN!AF112</f>
        <v>0</v>
      </c>
      <c r="L1071" s="302">
        <f>+[4]INVERSIÓN!AG112</f>
        <v>0</v>
      </c>
      <c r="M1071" s="302">
        <v>0</v>
      </c>
      <c r="N1071" s="302">
        <v>187800001</v>
      </c>
      <c r="O1071" s="1269"/>
      <c r="P1071" s="1269"/>
      <c r="Q1071" s="1269"/>
      <c r="R1071" s="1269"/>
      <c r="S1071" s="1269"/>
      <c r="T1071" s="1269"/>
      <c r="U1071" s="1269"/>
      <c r="V1071" s="1290"/>
      <c r="W1071" s="1269"/>
      <c r="X1071" s="1269"/>
      <c r="Y1071" s="1269"/>
      <c r="Z1071" s="1284"/>
      <c r="AA1071" s="8"/>
      <c r="AB1071" s="8"/>
      <c r="AC1071" s="184">
        <v>13</v>
      </c>
      <c r="AD1071" s="184" t="s">
        <v>297</v>
      </c>
      <c r="AE1071" s="184"/>
      <c r="AF1071" s="184"/>
      <c r="AG1071" s="184"/>
      <c r="AH1071" s="184" t="s">
        <v>298</v>
      </c>
      <c r="AI1071" s="184"/>
      <c r="AJ1071" s="184"/>
      <c r="AK1071" s="184"/>
      <c r="AL1071" s="185"/>
      <c r="AM1071" s="185"/>
      <c r="AN1071" s="185"/>
      <c r="AO1071" s="8"/>
      <c r="AP1071" s="8"/>
      <c r="AQ1071" s="8"/>
      <c r="AR1071" s="8"/>
      <c r="AS1071" s="8"/>
      <c r="AT1071" s="8"/>
      <c r="AU1071" s="8"/>
    </row>
    <row r="1072" spans="1:47" ht="20.25" customHeight="1" x14ac:dyDescent="0.25">
      <c r="A1072" s="1293"/>
      <c r="B1072" s="1269"/>
      <c r="C1072" s="1269"/>
      <c r="D1072" s="904" t="s">
        <v>299</v>
      </c>
      <c r="E1072" s="905">
        <v>0</v>
      </c>
      <c r="F1072" s="198"/>
      <c r="G1072" s="198"/>
      <c r="H1072" s="905">
        <v>0</v>
      </c>
      <c r="I1072" s="905"/>
      <c r="J1072" s="432">
        <f>+N1072</f>
        <v>0</v>
      </c>
      <c r="K1072" s="214"/>
      <c r="L1072" s="909"/>
      <c r="M1072" s="909"/>
      <c r="N1072" s="432">
        <v>0</v>
      </c>
      <c r="O1072" s="1269"/>
      <c r="P1072" s="1269"/>
      <c r="Q1072" s="1269"/>
      <c r="R1072" s="1269"/>
      <c r="S1072" s="1269"/>
      <c r="T1072" s="1269"/>
      <c r="U1072" s="1269"/>
      <c r="V1072" s="1290"/>
      <c r="W1072" s="1269"/>
      <c r="X1072" s="1269"/>
      <c r="Y1072" s="1269"/>
      <c r="Z1072" s="1284"/>
      <c r="AA1072" s="8"/>
      <c r="AB1072" s="8"/>
      <c r="AC1072" s="184">
        <v>14</v>
      </c>
      <c r="AD1072" s="184" t="s">
        <v>300</v>
      </c>
      <c r="AE1072" s="184"/>
      <c r="AF1072" s="184"/>
      <c r="AG1072" s="184"/>
      <c r="AH1072" s="184" t="s">
        <v>301</v>
      </c>
      <c r="AI1072" s="184"/>
      <c r="AJ1072" s="184"/>
      <c r="AK1072" s="184"/>
      <c r="AL1072" s="185"/>
      <c r="AM1072" s="185"/>
      <c r="AN1072" s="185"/>
      <c r="AO1072" s="8"/>
      <c r="AP1072" s="8"/>
      <c r="AQ1072" s="8"/>
      <c r="AR1072" s="8"/>
      <c r="AS1072" s="8"/>
      <c r="AT1072" s="8"/>
      <c r="AU1072" s="8"/>
    </row>
    <row r="1073" spans="1:47" ht="15" customHeight="1" x14ac:dyDescent="0.25">
      <c r="A1073" s="1293"/>
      <c r="B1073" s="1269"/>
      <c r="C1073" s="1269"/>
      <c r="D1073" s="1286" t="s">
        <v>302</v>
      </c>
      <c r="E1073" s="1272">
        <v>317414034</v>
      </c>
      <c r="F1073" s="1272"/>
      <c r="G1073" s="1272"/>
      <c r="H1073" s="1272">
        <v>317414034</v>
      </c>
      <c r="I1073" s="905"/>
      <c r="J1073" s="1272">
        <f>+N1073</f>
        <v>128741984</v>
      </c>
      <c r="K1073" s="1272">
        <f>+[3]INVERSIÓN!AF114</f>
        <v>2960618</v>
      </c>
      <c r="L1073" s="1272">
        <f>+[4]INVERSIÓN!AG114</f>
        <v>65851301</v>
      </c>
      <c r="M1073" s="1272">
        <v>128741984</v>
      </c>
      <c r="N1073" s="1272">
        <v>128741984</v>
      </c>
      <c r="O1073" s="1269"/>
      <c r="P1073" s="1269"/>
      <c r="Q1073" s="1269"/>
      <c r="R1073" s="1269"/>
      <c r="S1073" s="1269"/>
      <c r="T1073" s="1269"/>
      <c r="U1073" s="1269"/>
      <c r="V1073" s="1290"/>
      <c r="W1073" s="1269"/>
      <c r="X1073" s="1269"/>
      <c r="Y1073" s="1269"/>
      <c r="Z1073" s="1284"/>
      <c r="AA1073" s="8"/>
      <c r="AB1073" s="8"/>
      <c r="AC1073" s="184"/>
      <c r="AD1073" s="184"/>
      <c r="AE1073" s="184"/>
      <c r="AF1073" s="184"/>
      <c r="AG1073" s="184"/>
      <c r="AH1073" s="184"/>
      <c r="AI1073" s="184"/>
      <c r="AJ1073" s="184"/>
      <c r="AK1073" s="184"/>
      <c r="AL1073" s="185"/>
      <c r="AM1073" s="185"/>
      <c r="AN1073" s="185"/>
      <c r="AO1073" s="8"/>
      <c r="AP1073" s="8"/>
      <c r="AQ1073" s="8"/>
      <c r="AR1073" s="8"/>
      <c r="AS1073" s="8"/>
      <c r="AT1073" s="8"/>
      <c r="AU1073" s="8"/>
    </row>
    <row r="1074" spans="1:47" ht="13.5" customHeight="1" x14ac:dyDescent="0.25">
      <c r="A1074" s="1293"/>
      <c r="B1074" s="1269"/>
      <c r="C1074" s="1269"/>
      <c r="D1074" s="1269"/>
      <c r="E1074" s="1272"/>
      <c r="F1074" s="1269"/>
      <c r="G1074" s="1269"/>
      <c r="H1074" s="1272"/>
      <c r="I1074" s="905"/>
      <c r="J1074" s="1269"/>
      <c r="K1074" s="1269"/>
      <c r="L1074" s="1269"/>
      <c r="M1074" s="1269"/>
      <c r="N1074" s="1269"/>
      <c r="O1074" s="1269"/>
      <c r="P1074" s="1269"/>
      <c r="Q1074" s="1269"/>
      <c r="R1074" s="1269"/>
      <c r="S1074" s="1269"/>
      <c r="T1074" s="1269"/>
      <c r="U1074" s="1269"/>
      <c r="V1074" s="1290"/>
      <c r="W1074" s="1269"/>
      <c r="X1074" s="1269"/>
      <c r="Y1074" s="1269"/>
      <c r="Z1074" s="1284"/>
      <c r="AA1074" s="8"/>
      <c r="AB1074" s="8"/>
      <c r="AC1074" s="184"/>
      <c r="AD1074" s="184"/>
      <c r="AE1074" s="184"/>
      <c r="AF1074" s="184"/>
      <c r="AG1074" s="184"/>
      <c r="AH1074" s="184"/>
      <c r="AI1074" s="184"/>
      <c r="AJ1074" s="184"/>
      <c r="AK1074" s="184"/>
      <c r="AL1074" s="185"/>
      <c r="AM1074" s="185"/>
      <c r="AN1074" s="185"/>
      <c r="AO1074" s="8"/>
      <c r="AP1074" s="8"/>
      <c r="AQ1074" s="8"/>
      <c r="AR1074" s="8"/>
      <c r="AS1074" s="8"/>
      <c r="AT1074" s="8"/>
      <c r="AU1074" s="8"/>
    </row>
    <row r="1075" spans="1:47" ht="11.25" customHeight="1" x14ac:dyDescent="0.25">
      <c r="A1075" s="1293"/>
      <c r="B1075" s="1269"/>
      <c r="C1075" s="1269"/>
      <c r="D1075" s="1269"/>
      <c r="E1075" s="1272"/>
      <c r="F1075" s="1269"/>
      <c r="G1075" s="1269"/>
      <c r="H1075" s="1272"/>
      <c r="I1075" s="905"/>
      <c r="J1075" s="1269"/>
      <c r="K1075" s="1269"/>
      <c r="L1075" s="1269"/>
      <c r="M1075" s="1269"/>
      <c r="N1075" s="1269"/>
      <c r="O1075" s="1269"/>
      <c r="P1075" s="1269"/>
      <c r="Q1075" s="1269"/>
      <c r="R1075" s="1269"/>
      <c r="S1075" s="1269"/>
      <c r="T1075" s="1269"/>
      <c r="U1075" s="1269"/>
      <c r="V1075" s="1290"/>
      <c r="W1075" s="1269"/>
      <c r="X1075" s="1269"/>
      <c r="Y1075" s="1269"/>
      <c r="Z1075" s="1284"/>
      <c r="AA1075" s="8"/>
      <c r="AB1075" s="8"/>
      <c r="AC1075" s="184"/>
      <c r="AD1075" s="184"/>
      <c r="AE1075" s="184"/>
      <c r="AF1075" s="184"/>
      <c r="AG1075" s="184"/>
      <c r="AH1075" s="184"/>
      <c r="AI1075" s="184"/>
      <c r="AJ1075" s="184"/>
      <c r="AK1075" s="184"/>
      <c r="AL1075" s="185"/>
      <c r="AM1075" s="185"/>
      <c r="AN1075" s="185"/>
      <c r="AO1075" s="8"/>
      <c r="AP1075" s="8"/>
      <c r="AQ1075" s="8"/>
      <c r="AR1075" s="8"/>
      <c r="AS1075" s="8"/>
      <c r="AT1075" s="8"/>
      <c r="AU1075" s="8"/>
    </row>
    <row r="1076" spans="1:47" ht="12" customHeight="1" thickBot="1" x14ac:dyDescent="0.3">
      <c r="A1076" s="1298"/>
      <c r="B1076" s="1270"/>
      <c r="C1076" s="1270"/>
      <c r="D1076" s="1270"/>
      <c r="E1076" s="1297"/>
      <c r="F1076" s="1270"/>
      <c r="G1076" s="1270"/>
      <c r="H1076" s="1297"/>
      <c r="I1076" s="915"/>
      <c r="J1076" s="1270"/>
      <c r="K1076" s="1270"/>
      <c r="L1076" s="1270"/>
      <c r="M1076" s="1270"/>
      <c r="N1076" s="1270"/>
      <c r="O1076" s="1270"/>
      <c r="P1076" s="1270"/>
      <c r="Q1076" s="1270"/>
      <c r="R1076" s="1270"/>
      <c r="S1076" s="1270"/>
      <c r="T1076" s="1270"/>
      <c r="U1076" s="1270"/>
      <c r="V1076" s="1291"/>
      <c r="W1076" s="1270"/>
      <c r="X1076" s="1270"/>
      <c r="Y1076" s="1270"/>
      <c r="Z1076" s="1296"/>
      <c r="AA1076" s="8"/>
      <c r="AB1076" s="8"/>
      <c r="AC1076" s="184"/>
      <c r="AD1076" s="184"/>
      <c r="AE1076" s="184"/>
      <c r="AF1076" s="184"/>
      <c r="AG1076" s="184"/>
      <c r="AH1076" s="184"/>
      <c r="AI1076" s="184"/>
      <c r="AJ1076" s="184"/>
      <c r="AK1076" s="184"/>
      <c r="AL1076" s="185"/>
      <c r="AM1076" s="185"/>
      <c r="AN1076" s="185"/>
      <c r="AO1076" s="8"/>
      <c r="AP1076" s="8"/>
      <c r="AQ1076" s="8"/>
      <c r="AR1076" s="8"/>
      <c r="AS1076" s="8"/>
      <c r="AT1076" s="8"/>
      <c r="AU1076" s="8"/>
    </row>
    <row r="1077" spans="1:47" ht="10.5" customHeight="1" x14ac:dyDescent="0.25">
      <c r="A1077" s="1292">
        <v>18</v>
      </c>
      <c r="B1077" s="1268" t="s">
        <v>179</v>
      </c>
      <c r="C1077" s="1268" t="s">
        <v>425</v>
      </c>
      <c r="D1077" s="194" t="s">
        <v>288</v>
      </c>
      <c r="E1077" s="242">
        <v>1</v>
      </c>
      <c r="F1077" s="213"/>
      <c r="G1077" s="213"/>
      <c r="H1077" s="242">
        <v>1</v>
      </c>
      <c r="I1077" s="242"/>
      <c r="J1077" s="427">
        <f>+N1077</f>
        <v>1</v>
      </c>
      <c r="K1077" s="435">
        <v>0.125</v>
      </c>
      <c r="L1077" s="436">
        <v>34</v>
      </c>
      <c r="M1077" s="436">
        <v>82.3</v>
      </c>
      <c r="N1077" s="427">
        <v>1</v>
      </c>
      <c r="O1077" s="1295" t="s">
        <v>287</v>
      </c>
      <c r="P1077" s="1268" t="s">
        <v>86</v>
      </c>
      <c r="Q1077" s="1271" t="s">
        <v>86</v>
      </c>
      <c r="R1077" s="1268" t="s">
        <v>86</v>
      </c>
      <c r="S1077" s="1271" t="s">
        <v>290</v>
      </c>
      <c r="T1077" s="1288">
        <v>7878783</v>
      </c>
      <c r="U1077" s="1288"/>
      <c r="V1077" s="1289"/>
      <c r="W1077" s="1271" t="s">
        <v>291</v>
      </c>
      <c r="X1077" s="1271" t="s">
        <v>292</v>
      </c>
      <c r="Y1077" s="1271" t="s">
        <v>293</v>
      </c>
      <c r="Z1077" s="1283">
        <v>7878783</v>
      </c>
      <c r="AA1077" s="8"/>
      <c r="AB1077" s="8"/>
      <c r="AC1077" s="184">
        <v>12</v>
      </c>
      <c r="AD1077" s="184" t="s">
        <v>294</v>
      </c>
      <c r="AE1077" s="184"/>
      <c r="AF1077" s="184"/>
      <c r="AG1077" s="184"/>
      <c r="AH1077" s="184" t="s">
        <v>295</v>
      </c>
      <c r="AI1077" s="184"/>
      <c r="AJ1077" s="184"/>
      <c r="AK1077" s="184"/>
      <c r="AL1077" s="185"/>
      <c r="AM1077" s="185"/>
      <c r="AN1077" s="185"/>
      <c r="AO1077" s="8"/>
      <c r="AP1077" s="8"/>
      <c r="AQ1077" s="8"/>
      <c r="AR1077" s="8"/>
      <c r="AS1077" s="8"/>
      <c r="AT1077" s="8"/>
      <c r="AU1077" s="8"/>
    </row>
    <row r="1078" spans="1:47" ht="10.5" customHeight="1" x14ac:dyDescent="0.25">
      <c r="A1078" s="1293"/>
      <c r="B1078" s="1269"/>
      <c r="C1078" s="1269"/>
      <c r="D1078" s="904" t="s">
        <v>296</v>
      </c>
      <c r="E1078" s="905">
        <v>217671000</v>
      </c>
      <c r="F1078" s="198"/>
      <c r="G1078" s="198"/>
      <c r="H1078" s="905">
        <v>217671000</v>
      </c>
      <c r="I1078" s="905"/>
      <c r="J1078" s="302">
        <f>+[2]INVERSIÓN!Q112</f>
        <v>231190370</v>
      </c>
      <c r="K1078" s="302">
        <f>+[4]INVERSIÓN!AF118</f>
        <v>86440000</v>
      </c>
      <c r="L1078" s="302">
        <f>+[4]INVERSIÓN!AG118</f>
        <v>205141000</v>
      </c>
      <c r="M1078" s="302">
        <v>205141000</v>
      </c>
      <c r="N1078" s="302">
        <v>222500537</v>
      </c>
      <c r="O1078" s="1269"/>
      <c r="P1078" s="1269"/>
      <c r="Q1078" s="1269"/>
      <c r="R1078" s="1269"/>
      <c r="S1078" s="1269"/>
      <c r="T1078" s="1269"/>
      <c r="U1078" s="1269"/>
      <c r="V1078" s="1290"/>
      <c r="W1078" s="1269"/>
      <c r="X1078" s="1269"/>
      <c r="Y1078" s="1269"/>
      <c r="Z1078" s="1284"/>
      <c r="AA1078" s="8"/>
      <c r="AB1078" s="8"/>
      <c r="AC1078" s="184">
        <v>13</v>
      </c>
      <c r="AD1078" s="184" t="s">
        <v>297</v>
      </c>
      <c r="AE1078" s="184"/>
      <c r="AF1078" s="184"/>
      <c r="AG1078" s="184"/>
      <c r="AH1078" s="184" t="s">
        <v>298</v>
      </c>
      <c r="AI1078" s="184"/>
      <c r="AJ1078" s="184"/>
      <c r="AK1078" s="184"/>
      <c r="AL1078" s="185"/>
      <c r="AM1078" s="185"/>
      <c r="AN1078" s="185"/>
      <c r="AO1078" s="8"/>
      <c r="AP1078" s="8"/>
      <c r="AQ1078" s="8"/>
      <c r="AR1078" s="8"/>
      <c r="AS1078" s="8"/>
      <c r="AT1078" s="8"/>
      <c r="AU1078" s="8"/>
    </row>
    <row r="1079" spans="1:47" ht="21.75" customHeight="1" x14ac:dyDescent="0.25">
      <c r="A1079" s="1293"/>
      <c r="B1079" s="1269"/>
      <c r="C1079" s="1269"/>
      <c r="D1079" s="904" t="s">
        <v>299</v>
      </c>
      <c r="E1079" s="905"/>
      <c r="F1079" s="198"/>
      <c r="G1079" s="198"/>
      <c r="H1079" s="905"/>
      <c r="I1079" s="905"/>
      <c r="J1079" s="432">
        <f>+N1079</f>
        <v>0</v>
      </c>
      <c r="K1079" s="214"/>
      <c r="L1079" s="909"/>
      <c r="M1079" s="909"/>
      <c r="N1079" s="432">
        <v>0</v>
      </c>
      <c r="O1079" s="1269"/>
      <c r="P1079" s="1269"/>
      <c r="Q1079" s="1269"/>
      <c r="R1079" s="1269"/>
      <c r="S1079" s="1269"/>
      <c r="T1079" s="1269"/>
      <c r="U1079" s="1269"/>
      <c r="V1079" s="1290"/>
      <c r="W1079" s="1269"/>
      <c r="X1079" s="1269"/>
      <c r="Y1079" s="1269"/>
      <c r="Z1079" s="1284"/>
      <c r="AA1079" s="8"/>
      <c r="AB1079" s="8"/>
      <c r="AC1079" s="184">
        <v>14</v>
      </c>
      <c r="AD1079" s="184" t="s">
        <v>300</v>
      </c>
      <c r="AE1079" s="184"/>
      <c r="AF1079" s="184"/>
      <c r="AG1079" s="184"/>
      <c r="AH1079" s="184" t="s">
        <v>301</v>
      </c>
      <c r="AI1079" s="184"/>
      <c r="AJ1079" s="184"/>
      <c r="AK1079" s="184"/>
      <c r="AL1079" s="185"/>
      <c r="AM1079" s="185"/>
      <c r="AN1079" s="185"/>
      <c r="AO1079" s="8"/>
      <c r="AP1079" s="8"/>
      <c r="AQ1079" s="8"/>
      <c r="AR1079" s="8"/>
      <c r="AS1079" s="8"/>
      <c r="AT1079" s="8"/>
      <c r="AU1079" s="8"/>
    </row>
    <row r="1080" spans="1:47" ht="9" customHeight="1" x14ac:dyDescent="0.25">
      <c r="A1080" s="1293"/>
      <c r="B1080" s="1269"/>
      <c r="C1080" s="1269"/>
      <c r="D1080" s="1286" t="s">
        <v>302</v>
      </c>
      <c r="E1080" s="1272">
        <v>35311699</v>
      </c>
      <c r="F1080" s="1272"/>
      <c r="G1080" s="1272"/>
      <c r="H1080" s="1272">
        <v>35311699</v>
      </c>
      <c r="I1080" s="905"/>
      <c r="J1080" s="1272">
        <f>+N1080</f>
        <v>35311699</v>
      </c>
      <c r="K1080" s="1272">
        <f>+[3]INVERSIÓN!AF120</f>
        <v>29420168</v>
      </c>
      <c r="L1080" s="1272">
        <f>+[4]INVERSIÓN!AG120</f>
        <v>35311699</v>
      </c>
      <c r="M1080" s="1272">
        <v>35311699</v>
      </c>
      <c r="N1080" s="1272">
        <v>35311699</v>
      </c>
      <c r="O1080" s="1269"/>
      <c r="P1080" s="1269"/>
      <c r="Q1080" s="1269"/>
      <c r="R1080" s="1269"/>
      <c r="S1080" s="1269"/>
      <c r="T1080" s="1269"/>
      <c r="U1080" s="1269"/>
      <c r="V1080" s="1290"/>
      <c r="W1080" s="1269"/>
      <c r="X1080" s="1269"/>
      <c r="Y1080" s="1269"/>
      <c r="Z1080" s="1284"/>
      <c r="AA1080" s="8"/>
      <c r="AB1080" s="8"/>
      <c r="AC1080" s="184"/>
      <c r="AD1080" s="184"/>
      <c r="AE1080" s="184"/>
      <c r="AF1080" s="184"/>
      <c r="AG1080" s="184"/>
      <c r="AH1080" s="184"/>
      <c r="AI1080" s="184"/>
      <c r="AJ1080" s="184"/>
      <c r="AK1080" s="184"/>
      <c r="AL1080" s="185"/>
      <c r="AM1080" s="185"/>
      <c r="AN1080" s="185"/>
      <c r="AO1080" s="8"/>
      <c r="AP1080" s="8"/>
      <c r="AQ1080" s="8"/>
      <c r="AR1080" s="8"/>
      <c r="AS1080" s="8"/>
      <c r="AT1080" s="8"/>
      <c r="AU1080" s="8"/>
    </row>
    <row r="1081" spans="1:47" ht="12" customHeight="1" x14ac:dyDescent="0.25">
      <c r="A1081" s="1293"/>
      <c r="B1081" s="1269"/>
      <c r="C1081" s="1269"/>
      <c r="D1081" s="1269"/>
      <c r="E1081" s="1272"/>
      <c r="F1081" s="1269"/>
      <c r="G1081" s="1269"/>
      <c r="H1081" s="1272"/>
      <c r="I1081" s="905"/>
      <c r="J1081" s="1269"/>
      <c r="K1081" s="1269"/>
      <c r="L1081" s="1269"/>
      <c r="M1081" s="1269"/>
      <c r="N1081" s="1269"/>
      <c r="O1081" s="1269"/>
      <c r="P1081" s="1269"/>
      <c r="Q1081" s="1269"/>
      <c r="R1081" s="1269"/>
      <c r="S1081" s="1269"/>
      <c r="T1081" s="1269"/>
      <c r="U1081" s="1269"/>
      <c r="V1081" s="1290"/>
      <c r="W1081" s="1269"/>
      <c r="X1081" s="1269"/>
      <c r="Y1081" s="1269"/>
      <c r="Z1081" s="1284"/>
      <c r="AA1081" s="8"/>
      <c r="AB1081" s="8"/>
      <c r="AC1081" s="184"/>
      <c r="AD1081" s="184"/>
      <c r="AE1081" s="184"/>
      <c r="AF1081" s="184"/>
      <c r="AG1081" s="184"/>
      <c r="AH1081" s="184"/>
      <c r="AI1081" s="184"/>
      <c r="AJ1081" s="184"/>
      <c r="AK1081" s="184"/>
      <c r="AL1081" s="185"/>
      <c r="AM1081" s="185"/>
      <c r="AN1081" s="185"/>
      <c r="AO1081" s="8"/>
      <c r="AP1081" s="8"/>
      <c r="AQ1081" s="8"/>
      <c r="AR1081" s="8"/>
      <c r="AS1081" s="8"/>
      <c r="AT1081" s="8"/>
      <c r="AU1081" s="8"/>
    </row>
    <row r="1082" spans="1:47" ht="12.75" customHeight="1" x14ac:dyDescent="0.25">
      <c r="A1082" s="1293"/>
      <c r="B1082" s="1269"/>
      <c r="C1082" s="1269"/>
      <c r="D1082" s="1269"/>
      <c r="E1082" s="1272"/>
      <c r="F1082" s="1269"/>
      <c r="G1082" s="1269"/>
      <c r="H1082" s="1272"/>
      <c r="I1082" s="905"/>
      <c r="J1082" s="1269"/>
      <c r="K1082" s="1269"/>
      <c r="L1082" s="1269"/>
      <c r="M1082" s="1269"/>
      <c r="N1082" s="1269"/>
      <c r="O1082" s="1269"/>
      <c r="P1082" s="1269"/>
      <c r="Q1082" s="1269"/>
      <c r="R1082" s="1269"/>
      <c r="S1082" s="1269"/>
      <c r="T1082" s="1269"/>
      <c r="U1082" s="1269"/>
      <c r="V1082" s="1290"/>
      <c r="W1082" s="1269"/>
      <c r="X1082" s="1269"/>
      <c r="Y1082" s="1269"/>
      <c r="Z1082" s="1284"/>
      <c r="AA1082" s="8"/>
      <c r="AB1082" s="8"/>
      <c r="AC1082" s="184"/>
      <c r="AD1082" s="184"/>
      <c r="AE1082" s="184"/>
      <c r="AF1082" s="184"/>
      <c r="AG1082" s="184"/>
      <c r="AH1082" s="184"/>
      <c r="AI1082" s="184"/>
      <c r="AJ1082" s="184"/>
      <c r="AK1082" s="184"/>
      <c r="AL1082" s="185"/>
      <c r="AM1082" s="185"/>
      <c r="AN1082" s="185"/>
      <c r="AO1082" s="8"/>
      <c r="AP1082" s="8"/>
      <c r="AQ1082" s="8"/>
      <c r="AR1082" s="8"/>
      <c r="AS1082" s="8"/>
      <c r="AT1082" s="8"/>
      <c r="AU1082" s="8"/>
    </row>
    <row r="1083" spans="1:47" ht="13.5" customHeight="1" thickBot="1" x14ac:dyDescent="0.3">
      <c r="A1083" s="1298"/>
      <c r="B1083" s="1270"/>
      <c r="C1083" s="1270"/>
      <c r="D1083" s="1270"/>
      <c r="E1083" s="1297"/>
      <c r="F1083" s="1270"/>
      <c r="G1083" s="1270"/>
      <c r="H1083" s="1297"/>
      <c r="I1083" s="915"/>
      <c r="J1083" s="1270"/>
      <c r="K1083" s="1270"/>
      <c r="L1083" s="1270"/>
      <c r="M1083" s="1270"/>
      <c r="N1083" s="1270"/>
      <c r="O1083" s="1270"/>
      <c r="P1083" s="1270"/>
      <c r="Q1083" s="1270"/>
      <c r="R1083" s="1270"/>
      <c r="S1083" s="1270"/>
      <c r="T1083" s="1270"/>
      <c r="U1083" s="1270"/>
      <c r="V1083" s="1290"/>
      <c r="W1083" s="1270"/>
      <c r="X1083" s="1270"/>
      <c r="Y1083" s="1270"/>
      <c r="Z1083" s="1296"/>
      <c r="AA1083" s="8"/>
      <c r="AB1083" s="8"/>
      <c r="AC1083" s="184"/>
      <c r="AD1083" s="184"/>
      <c r="AE1083" s="184"/>
      <c r="AF1083" s="184"/>
      <c r="AG1083" s="184"/>
      <c r="AH1083" s="184"/>
      <c r="AI1083" s="184"/>
      <c r="AJ1083" s="184"/>
      <c r="AK1083" s="184"/>
      <c r="AL1083" s="185"/>
      <c r="AM1083" s="185"/>
      <c r="AN1083" s="185"/>
      <c r="AO1083" s="8"/>
      <c r="AP1083" s="8"/>
      <c r="AQ1083" s="8"/>
      <c r="AR1083" s="8"/>
      <c r="AS1083" s="8"/>
      <c r="AT1083" s="8"/>
      <c r="AU1083" s="8"/>
    </row>
    <row r="1084" spans="1:47" ht="10.5" customHeight="1" x14ac:dyDescent="0.25">
      <c r="A1084" s="1292">
        <v>19</v>
      </c>
      <c r="B1084" s="1268" t="s">
        <v>402</v>
      </c>
      <c r="C1084" s="1268" t="s">
        <v>424</v>
      </c>
      <c r="D1084" s="194" t="s">
        <v>288</v>
      </c>
      <c r="E1084" s="281">
        <v>350000</v>
      </c>
      <c r="F1084" s="282"/>
      <c r="G1084" s="282"/>
      <c r="H1084" s="281">
        <v>350000</v>
      </c>
      <c r="I1084" s="281"/>
      <c r="J1084" s="457">
        <f>+[2]INVERSIÓN!Q117</f>
        <v>355398</v>
      </c>
      <c r="K1084" s="458">
        <v>0</v>
      </c>
      <c r="L1084" s="429">
        <v>116438</v>
      </c>
      <c r="M1084" s="434">
        <v>275339</v>
      </c>
      <c r="N1084" s="212">
        <v>355398</v>
      </c>
      <c r="O1084" s="1295" t="s">
        <v>287</v>
      </c>
      <c r="P1084" s="1268" t="s">
        <v>86</v>
      </c>
      <c r="Q1084" s="1271" t="s">
        <v>86</v>
      </c>
      <c r="R1084" s="1268" t="s">
        <v>86</v>
      </c>
      <c r="S1084" s="1271" t="s">
        <v>290</v>
      </c>
      <c r="T1084" s="1288">
        <v>7878783</v>
      </c>
      <c r="U1084" s="1288"/>
      <c r="V1084" s="1289"/>
      <c r="W1084" s="1271" t="s">
        <v>291</v>
      </c>
      <c r="X1084" s="1271" t="s">
        <v>292</v>
      </c>
      <c r="Y1084" s="1271" t="s">
        <v>293</v>
      </c>
      <c r="Z1084" s="1283">
        <v>7878783</v>
      </c>
      <c r="AA1084" s="8"/>
      <c r="AB1084" s="8"/>
      <c r="AC1084" s="184">
        <v>12</v>
      </c>
      <c r="AD1084" s="184" t="s">
        <v>294</v>
      </c>
      <c r="AE1084" s="184"/>
      <c r="AF1084" s="184"/>
      <c r="AG1084" s="184"/>
      <c r="AH1084" s="184" t="s">
        <v>295</v>
      </c>
      <c r="AI1084" s="184"/>
      <c r="AJ1084" s="184"/>
      <c r="AK1084" s="184"/>
      <c r="AL1084" s="185"/>
      <c r="AM1084" s="185"/>
      <c r="AN1084" s="185"/>
      <c r="AO1084" s="8"/>
      <c r="AP1084" s="8"/>
      <c r="AQ1084" s="8"/>
      <c r="AR1084" s="8"/>
      <c r="AS1084" s="8"/>
      <c r="AT1084" s="8"/>
      <c r="AU1084" s="8"/>
    </row>
    <row r="1085" spans="1:47" ht="10.5" customHeight="1" x14ac:dyDescent="0.25">
      <c r="A1085" s="1293"/>
      <c r="B1085" s="1269"/>
      <c r="C1085" s="1269"/>
      <c r="D1085" s="904" t="s">
        <v>296</v>
      </c>
      <c r="E1085" s="925">
        <v>213000000</v>
      </c>
      <c r="F1085" s="280"/>
      <c r="G1085" s="280"/>
      <c r="H1085" s="925">
        <v>213000000</v>
      </c>
      <c r="I1085" s="925"/>
      <c r="J1085" s="925">
        <f>+[2]INVERSIÓN!Q118</f>
        <v>213000000</v>
      </c>
      <c r="K1085" s="210">
        <f>+[4]INVERSIÓN!AF124</f>
        <v>37540000</v>
      </c>
      <c r="L1085" s="210">
        <f>+[4]INVERSIÓN!AG124</f>
        <v>114070000</v>
      </c>
      <c r="M1085" s="210">
        <v>115901567</v>
      </c>
      <c r="N1085" s="217">
        <v>115901567</v>
      </c>
      <c r="O1085" s="1269"/>
      <c r="P1085" s="1269"/>
      <c r="Q1085" s="1269"/>
      <c r="R1085" s="1269"/>
      <c r="S1085" s="1269"/>
      <c r="T1085" s="1269"/>
      <c r="U1085" s="1269"/>
      <c r="V1085" s="1290"/>
      <c r="W1085" s="1269"/>
      <c r="X1085" s="1269"/>
      <c r="Y1085" s="1269"/>
      <c r="Z1085" s="1284"/>
      <c r="AA1085" s="8"/>
      <c r="AB1085" s="8"/>
      <c r="AC1085" s="184">
        <v>13</v>
      </c>
      <c r="AD1085" s="184" t="s">
        <v>297</v>
      </c>
      <c r="AE1085" s="184"/>
      <c r="AF1085" s="184"/>
      <c r="AG1085" s="184"/>
      <c r="AH1085" s="184" t="s">
        <v>298</v>
      </c>
      <c r="AI1085" s="184"/>
      <c r="AJ1085" s="184"/>
      <c r="AK1085" s="184"/>
      <c r="AL1085" s="185"/>
      <c r="AM1085" s="185"/>
      <c r="AN1085" s="185"/>
      <c r="AO1085" s="8"/>
      <c r="AP1085" s="8"/>
      <c r="AQ1085" s="8"/>
      <c r="AR1085" s="8"/>
      <c r="AS1085" s="8"/>
      <c r="AT1085" s="8"/>
      <c r="AU1085" s="8"/>
    </row>
    <row r="1086" spans="1:47" ht="10.5" customHeight="1" x14ac:dyDescent="0.25">
      <c r="A1086" s="1293"/>
      <c r="B1086" s="1269"/>
      <c r="C1086" s="1269"/>
      <c r="D1086" s="904" t="s">
        <v>299</v>
      </c>
      <c r="E1086" s="905"/>
      <c r="F1086" s="198"/>
      <c r="G1086" s="198"/>
      <c r="H1086" s="905"/>
      <c r="I1086" s="905"/>
      <c r="J1086" s="929"/>
      <c r="K1086" s="214"/>
      <c r="L1086" s="909"/>
      <c r="M1086" s="909"/>
      <c r="N1086" s="909"/>
      <c r="O1086" s="1269"/>
      <c r="P1086" s="1269"/>
      <c r="Q1086" s="1269"/>
      <c r="R1086" s="1269"/>
      <c r="S1086" s="1269"/>
      <c r="T1086" s="1269"/>
      <c r="U1086" s="1269"/>
      <c r="V1086" s="1290"/>
      <c r="W1086" s="1269"/>
      <c r="X1086" s="1269"/>
      <c r="Y1086" s="1269"/>
      <c r="Z1086" s="1284"/>
      <c r="AA1086" s="8"/>
      <c r="AB1086" s="8"/>
      <c r="AC1086" s="184">
        <v>14</v>
      </c>
      <c r="AD1086" s="184" t="s">
        <v>300</v>
      </c>
      <c r="AE1086" s="184"/>
      <c r="AF1086" s="184"/>
      <c r="AG1086" s="184"/>
      <c r="AH1086" s="184" t="s">
        <v>301</v>
      </c>
      <c r="AI1086" s="184"/>
      <c r="AJ1086" s="184"/>
      <c r="AK1086" s="184"/>
      <c r="AL1086" s="185"/>
      <c r="AM1086" s="185"/>
      <c r="AN1086" s="185"/>
      <c r="AO1086" s="8"/>
      <c r="AP1086" s="8"/>
      <c r="AQ1086" s="8"/>
      <c r="AR1086" s="8"/>
      <c r="AS1086" s="8"/>
      <c r="AT1086" s="8"/>
      <c r="AU1086" s="8"/>
    </row>
    <row r="1087" spans="1:47" ht="10.5" customHeight="1" x14ac:dyDescent="0.25">
      <c r="A1087" s="1293"/>
      <c r="B1087" s="1269"/>
      <c r="C1087" s="1269"/>
      <c r="D1087" s="1286" t="s">
        <v>302</v>
      </c>
      <c r="E1087" s="1272">
        <v>151632088</v>
      </c>
      <c r="F1087" s="1272"/>
      <c r="G1087" s="1272"/>
      <c r="H1087" s="1272">
        <v>151632088</v>
      </c>
      <c r="I1087" s="905"/>
      <c r="J1087" s="1272">
        <f>+N1087</f>
        <v>151032326</v>
      </c>
      <c r="K1087" s="1272">
        <v>43732673</v>
      </c>
      <c r="L1087" s="1272">
        <f>+[4]INVERSIÓN!AG126</f>
        <v>59530422</v>
      </c>
      <c r="M1087" s="1272">
        <v>100626940</v>
      </c>
      <c r="N1087" s="1272">
        <v>151032326</v>
      </c>
      <c r="O1087" s="1269"/>
      <c r="P1087" s="1269"/>
      <c r="Q1087" s="1269"/>
      <c r="R1087" s="1269"/>
      <c r="S1087" s="1269"/>
      <c r="T1087" s="1269"/>
      <c r="U1087" s="1269"/>
      <c r="V1087" s="1290"/>
      <c r="W1087" s="1269"/>
      <c r="X1087" s="1269"/>
      <c r="Y1087" s="1269"/>
      <c r="Z1087" s="1284"/>
      <c r="AA1087" s="8"/>
      <c r="AB1087" s="8"/>
      <c r="AC1087" s="184"/>
      <c r="AD1087" s="184"/>
      <c r="AE1087" s="184"/>
      <c r="AF1087" s="184"/>
      <c r="AG1087" s="184"/>
      <c r="AH1087" s="184"/>
      <c r="AI1087" s="184"/>
      <c r="AJ1087" s="184"/>
      <c r="AK1087" s="184"/>
      <c r="AL1087" s="185"/>
      <c r="AM1087" s="185"/>
      <c r="AN1087" s="185"/>
      <c r="AO1087" s="8"/>
      <c r="AP1087" s="8"/>
      <c r="AQ1087" s="8"/>
      <c r="AR1087" s="8"/>
      <c r="AS1087" s="8"/>
      <c r="AT1087" s="8"/>
      <c r="AU1087" s="8"/>
    </row>
    <row r="1088" spans="1:47" ht="11.25" customHeight="1" x14ac:dyDescent="0.25">
      <c r="A1088" s="1293"/>
      <c r="B1088" s="1269"/>
      <c r="C1088" s="1269"/>
      <c r="D1088" s="1269"/>
      <c r="E1088" s="1272"/>
      <c r="F1088" s="1269"/>
      <c r="G1088" s="1269"/>
      <c r="H1088" s="1272"/>
      <c r="I1088" s="905"/>
      <c r="J1088" s="1269"/>
      <c r="K1088" s="1269"/>
      <c r="L1088" s="1269"/>
      <c r="M1088" s="1269"/>
      <c r="N1088" s="1269"/>
      <c r="O1088" s="1269"/>
      <c r="P1088" s="1269"/>
      <c r="Q1088" s="1269"/>
      <c r="R1088" s="1269"/>
      <c r="S1088" s="1269"/>
      <c r="T1088" s="1269"/>
      <c r="U1088" s="1269"/>
      <c r="V1088" s="1290"/>
      <c r="W1088" s="1269"/>
      <c r="X1088" s="1269"/>
      <c r="Y1088" s="1269"/>
      <c r="Z1088" s="1284"/>
      <c r="AA1088" s="8"/>
      <c r="AB1088" s="8"/>
      <c r="AC1088" s="184"/>
      <c r="AD1088" s="184"/>
      <c r="AE1088" s="184"/>
      <c r="AF1088" s="184"/>
      <c r="AG1088" s="184"/>
      <c r="AH1088" s="184"/>
      <c r="AI1088" s="184"/>
      <c r="AJ1088" s="184"/>
      <c r="AK1088" s="184"/>
      <c r="AL1088" s="185"/>
      <c r="AM1088" s="185"/>
      <c r="AN1088" s="185"/>
      <c r="AO1088" s="8"/>
      <c r="AP1088" s="8"/>
      <c r="AQ1088" s="8"/>
      <c r="AR1088" s="8"/>
      <c r="AS1088" s="8"/>
      <c r="AT1088" s="8"/>
      <c r="AU1088" s="8"/>
    </row>
    <row r="1089" spans="1:47" ht="10.5" customHeight="1" x14ac:dyDescent="0.25">
      <c r="A1089" s="1293"/>
      <c r="B1089" s="1269"/>
      <c r="C1089" s="1269"/>
      <c r="D1089" s="1269"/>
      <c r="E1089" s="1272"/>
      <c r="F1089" s="1269"/>
      <c r="G1089" s="1269"/>
      <c r="H1089" s="1272"/>
      <c r="I1089" s="905"/>
      <c r="J1089" s="1269"/>
      <c r="K1089" s="1269"/>
      <c r="L1089" s="1269"/>
      <c r="M1089" s="1269"/>
      <c r="N1089" s="1269"/>
      <c r="O1089" s="1269"/>
      <c r="P1089" s="1269"/>
      <c r="Q1089" s="1269"/>
      <c r="R1089" s="1269"/>
      <c r="S1089" s="1269"/>
      <c r="T1089" s="1269"/>
      <c r="U1089" s="1269"/>
      <c r="V1089" s="1290"/>
      <c r="W1089" s="1269"/>
      <c r="X1089" s="1269"/>
      <c r="Y1089" s="1269"/>
      <c r="Z1089" s="1284"/>
      <c r="AA1089" s="8"/>
      <c r="AB1089" s="8"/>
      <c r="AC1089" s="184"/>
      <c r="AD1089" s="184"/>
      <c r="AE1089" s="184"/>
      <c r="AF1089" s="184"/>
      <c r="AG1089" s="184"/>
      <c r="AH1089" s="184"/>
      <c r="AI1089" s="184"/>
      <c r="AJ1089" s="184"/>
      <c r="AK1089" s="184"/>
      <c r="AL1089" s="185"/>
      <c r="AM1089" s="185"/>
      <c r="AN1089" s="185"/>
      <c r="AO1089" s="8"/>
      <c r="AP1089" s="8"/>
      <c r="AQ1089" s="8"/>
      <c r="AR1089" s="8"/>
      <c r="AS1089" s="8"/>
      <c r="AT1089" s="8"/>
      <c r="AU1089" s="8"/>
    </row>
    <row r="1090" spans="1:47" ht="14.25" customHeight="1" thickBot="1" x14ac:dyDescent="0.3">
      <c r="A1090" s="1294"/>
      <c r="B1090" s="1282"/>
      <c r="C1090" s="1282"/>
      <c r="D1090" s="1282"/>
      <c r="E1090" s="1287"/>
      <c r="F1090" s="1282"/>
      <c r="G1090" s="1282"/>
      <c r="H1090" s="1287"/>
      <c r="I1090" s="936"/>
      <c r="J1090" s="1282"/>
      <c r="K1090" s="1282"/>
      <c r="L1090" s="1282"/>
      <c r="M1090" s="1282"/>
      <c r="N1090" s="1282"/>
      <c r="O1090" s="1282"/>
      <c r="P1090" s="1282"/>
      <c r="Q1090" s="1282"/>
      <c r="R1090" s="1282"/>
      <c r="S1090" s="1282"/>
      <c r="T1090" s="1282"/>
      <c r="U1090" s="1282"/>
      <c r="V1090" s="1291"/>
      <c r="W1090" s="1282"/>
      <c r="X1090" s="1282"/>
      <c r="Y1090" s="1282"/>
      <c r="Z1090" s="1285"/>
      <c r="AA1090" s="8"/>
      <c r="AB1090" s="8"/>
      <c r="AC1090" s="184"/>
      <c r="AD1090" s="184"/>
      <c r="AE1090" s="184"/>
      <c r="AF1090" s="184"/>
      <c r="AG1090" s="184"/>
      <c r="AH1090" s="184"/>
      <c r="AI1090" s="184"/>
      <c r="AJ1090" s="184"/>
      <c r="AK1090" s="184"/>
      <c r="AL1090" s="185"/>
      <c r="AM1090" s="185"/>
      <c r="AN1090" s="185"/>
      <c r="AO1090" s="8"/>
      <c r="AP1090" s="8"/>
      <c r="AQ1090" s="8"/>
      <c r="AR1090" s="8"/>
      <c r="AS1090" s="8"/>
      <c r="AT1090" s="8"/>
      <c r="AU1090" s="8"/>
    </row>
    <row r="1091" spans="1:47" ht="35.25" customHeight="1" x14ac:dyDescent="0.25">
      <c r="A1091" s="1273" t="s">
        <v>403</v>
      </c>
      <c r="B1091" s="1274"/>
      <c r="C1091" s="1274"/>
      <c r="D1091" s="250" t="s">
        <v>404</v>
      </c>
      <c r="E1091" s="251">
        <v>7801846000</v>
      </c>
      <c r="F1091" s="251"/>
      <c r="G1091" s="251"/>
      <c r="H1091" s="251"/>
      <c r="I1091" s="251"/>
      <c r="J1091" s="251">
        <f>+J1085+J1078+J1071+J1064+J1057+J1050+J1043+J1036+J753+J746+J599+J594+J321+J314+J277+J274+J154+J151+J1033+J8</f>
        <v>7706343182.8599997</v>
      </c>
      <c r="K1091" s="251" t="e">
        <f>+K1085+K1078+K1071+K1064+K1057+K1050+K1043+K1036+K753+K746+#REF!+K594+K321+K314+K277+K274+K154+K151+K1033+K8</f>
        <v>#REF!</v>
      </c>
      <c r="L1091" s="251" t="e">
        <f>+L1085+L1078+L1071+L1064+L1057+L1050+L1043+L1036+L753+L746+#REF!+L594+L321+L314+L277+L274+L154+L151+L1033+L8</f>
        <v>#REF!</v>
      </c>
      <c r="M1091" s="251" t="e">
        <f>+M1085+M1078+M1071+M1064+M1057+M1050+M1043+M1036+M753+M746+#REF!+M594+M321+M314+M277+M274+M154+M151+M1033+M8</f>
        <v>#REF!</v>
      </c>
      <c r="N1091" s="251">
        <v>6829858511</v>
      </c>
      <c r="O1091" s="252"/>
      <c r="P1091" s="252"/>
      <c r="Q1091" s="252"/>
      <c r="R1091" s="252"/>
      <c r="S1091" s="253"/>
      <c r="T1091" s="253"/>
      <c r="U1091" s="253"/>
      <c r="V1091" s="253"/>
      <c r="W1091" s="253"/>
      <c r="X1091" s="253"/>
      <c r="Y1091" s="253"/>
      <c r="Z1091" s="254"/>
      <c r="AA1091" s="255"/>
      <c r="AB1091" s="195"/>
      <c r="AC1091" s="196"/>
      <c r="AD1091" s="196"/>
      <c r="AE1091" s="196"/>
      <c r="AF1091" s="196"/>
      <c r="AG1091" s="196"/>
      <c r="AH1091" s="196"/>
      <c r="AI1091" s="196"/>
      <c r="AJ1091" s="196"/>
      <c r="AK1091" s="196"/>
      <c r="AL1091" s="197"/>
      <c r="AM1091" s="197"/>
      <c r="AN1091" s="197"/>
      <c r="AO1091" s="195"/>
      <c r="AP1091" s="195"/>
      <c r="AQ1091" s="195"/>
      <c r="AR1091" s="195"/>
      <c r="AS1091" s="195"/>
      <c r="AT1091" s="195"/>
      <c r="AU1091" s="195"/>
    </row>
    <row r="1092" spans="1:47" ht="35.25" customHeight="1" x14ac:dyDescent="0.25">
      <c r="A1092" s="1275"/>
      <c r="B1092" s="1276"/>
      <c r="C1092" s="1007"/>
      <c r="D1092" s="256" t="s">
        <v>405</v>
      </c>
      <c r="E1092" s="257">
        <v>2809659211</v>
      </c>
      <c r="F1092" s="257"/>
      <c r="G1092" s="257"/>
      <c r="H1092" s="257"/>
      <c r="I1092" s="257"/>
      <c r="J1092" s="257" t="e">
        <f>+J1087+J1080+J1073+J1066+J1059+J1052+J1045+J1038+J1034+J755+J748+#REF!+J596+J323+J316+J279+J275+J156+J152+J10</f>
        <v>#REF!</v>
      </c>
      <c r="K1092" s="257" t="e">
        <f>+K1087+K1080+K1073+K1066+K1059+K1052+K1045+K1038+K1034+K755+K748+#REF!+K596+K323+K316+K279+K275+K156+K152+K10</f>
        <v>#REF!</v>
      </c>
      <c r="L1092" s="257" t="e">
        <f>+L1087+L1080+L1073+L1066+L1059+L1052+L1045+L1038+L1034+L755+L748+#REF!+L596+L323+L316+L279+L275+L156+L152+L10</f>
        <v>#REF!</v>
      </c>
      <c r="M1092" s="257" t="e">
        <f>+M1087+M1080+M1073+M1066+M1059+M1052+M1045+M1038+M1034+M755+M748+#REF!+M596+M323+M316+M279+M275+M156+M152+M10</f>
        <v>#REF!</v>
      </c>
      <c r="N1092" s="257">
        <v>2620187650</v>
      </c>
      <c r="O1092" s="258"/>
      <c r="P1092" s="258"/>
      <c r="Q1092" s="258"/>
      <c r="R1092" s="258"/>
      <c r="S1092" s="259"/>
      <c r="T1092" s="259"/>
      <c r="U1092" s="259"/>
      <c r="V1092" s="259"/>
      <c r="W1092" s="259"/>
      <c r="X1092" s="259"/>
      <c r="Y1092" s="259"/>
      <c r="Z1092" s="260"/>
      <c r="AA1092" s="255"/>
      <c r="AB1092" s="195"/>
      <c r="AC1092" s="196"/>
      <c r="AD1092" s="196"/>
      <c r="AE1092" s="196"/>
      <c r="AF1092" s="196"/>
      <c r="AG1092" s="196"/>
      <c r="AH1092" s="196"/>
      <c r="AI1092" s="196"/>
      <c r="AJ1092" s="196"/>
      <c r="AK1092" s="196"/>
      <c r="AL1092" s="197"/>
      <c r="AM1092" s="197"/>
      <c r="AN1092" s="197"/>
      <c r="AO1092" s="195"/>
      <c r="AP1092" s="195"/>
      <c r="AQ1092" s="195"/>
      <c r="AR1092" s="195"/>
      <c r="AS1092" s="195"/>
      <c r="AT1092" s="195"/>
      <c r="AU1092" s="195"/>
    </row>
    <row r="1093" spans="1:47" ht="35.25" customHeight="1" thickBot="1" x14ac:dyDescent="0.3">
      <c r="A1093" s="1277"/>
      <c r="B1093" s="1278"/>
      <c r="C1093" s="1278"/>
      <c r="D1093" s="261" t="s">
        <v>406</v>
      </c>
      <c r="E1093" s="262">
        <v>10611505211</v>
      </c>
      <c r="F1093" s="262"/>
      <c r="G1093" s="262"/>
      <c r="H1093" s="262"/>
      <c r="I1093" s="262"/>
      <c r="J1093" s="262" t="e">
        <f>+J1091+J1092</f>
        <v>#REF!</v>
      </c>
      <c r="K1093" s="262" t="e">
        <f>+K1091+K1092</f>
        <v>#REF!</v>
      </c>
      <c r="L1093" s="262" t="e">
        <f>+L1091+L1092</f>
        <v>#REF!</v>
      </c>
      <c r="M1093" s="262" t="e">
        <f>+M1091+M1092</f>
        <v>#REF!</v>
      </c>
      <c r="N1093" s="262">
        <v>9450046161</v>
      </c>
      <c r="O1093" s="263"/>
      <c r="P1093" s="263"/>
      <c r="Q1093" s="263"/>
      <c r="R1093" s="263"/>
      <c r="S1093" s="263"/>
      <c r="T1093" s="263"/>
      <c r="U1093" s="263"/>
      <c r="V1093" s="263"/>
      <c r="W1093" s="1279" t="s">
        <v>422</v>
      </c>
      <c r="X1093" s="1278"/>
      <c r="Y1093" s="1278"/>
      <c r="Z1093" s="1280"/>
      <c r="AA1093" s="255"/>
      <c r="AB1093" s="195"/>
      <c r="AC1093" s="196"/>
      <c r="AD1093" s="196"/>
      <c r="AE1093" s="196"/>
      <c r="AF1093" s="196"/>
      <c r="AG1093" s="196"/>
      <c r="AH1093" s="196"/>
      <c r="AI1093" s="196"/>
      <c r="AJ1093" s="196"/>
      <c r="AK1093" s="196"/>
      <c r="AL1093" s="197"/>
      <c r="AM1093" s="197"/>
      <c r="AN1093" s="197"/>
      <c r="AO1093" s="195"/>
      <c r="AP1093" s="195"/>
      <c r="AQ1093" s="195"/>
      <c r="AR1093" s="195"/>
      <c r="AS1093" s="195"/>
      <c r="AT1093" s="195"/>
      <c r="AU1093" s="195"/>
    </row>
    <row r="1094" spans="1:47" x14ac:dyDescent="0.25">
      <c r="A1094" s="264"/>
      <c r="B1094" s="264"/>
      <c r="C1094" s="264"/>
      <c r="D1094" s="264"/>
      <c r="E1094" s="264"/>
      <c r="F1094" s="264"/>
      <c r="G1094" s="264"/>
      <c r="H1094" s="264"/>
      <c r="I1094" s="264"/>
      <c r="J1094" s="200"/>
      <c r="K1094" s="264"/>
      <c r="L1094" s="265"/>
      <c r="M1094" s="264"/>
      <c r="N1094" s="200"/>
      <c r="O1094" s="264"/>
      <c r="P1094" s="264"/>
      <c r="Q1094" s="264"/>
      <c r="R1094" s="264"/>
      <c r="S1094" s="264"/>
      <c r="T1094" s="264"/>
      <c r="U1094" s="264"/>
      <c r="V1094" s="264"/>
      <c r="W1094" s="264"/>
      <c r="X1094" s="264"/>
      <c r="Y1094" s="264"/>
      <c r="Z1094" s="264"/>
      <c r="AA1094" s="8"/>
      <c r="AB1094" s="8"/>
      <c r="AC1094" s="8"/>
      <c r="AD1094" s="8"/>
      <c r="AE1094" s="8"/>
      <c r="AF1094" s="8"/>
      <c r="AG1094" s="8"/>
      <c r="AH1094" s="8"/>
      <c r="AI1094" s="8"/>
      <c r="AJ1094" s="8"/>
      <c r="AK1094" s="8"/>
      <c r="AL1094" s="8"/>
      <c r="AM1094" s="8"/>
      <c r="AN1094" s="8"/>
      <c r="AO1094" s="8"/>
      <c r="AP1094" s="8"/>
      <c r="AQ1094" s="8"/>
      <c r="AR1094" s="8"/>
      <c r="AS1094" s="8"/>
      <c r="AT1094" s="8"/>
      <c r="AU1094" s="8"/>
    </row>
    <row r="1095" spans="1:47" ht="15" customHeight="1" x14ac:dyDescent="0.25">
      <c r="A1095" s="264"/>
      <c r="B1095" s="264"/>
      <c r="C1095" s="264"/>
      <c r="D1095" s="264"/>
      <c r="E1095" s="264"/>
      <c r="F1095" s="264"/>
      <c r="G1095" s="264"/>
      <c r="H1095" s="264"/>
      <c r="I1095" s="264"/>
      <c r="J1095" s="200"/>
      <c r="K1095" s="264"/>
      <c r="L1095" s="265"/>
      <c r="M1095" s="264"/>
      <c r="N1095" s="200"/>
      <c r="O1095" s="264"/>
      <c r="P1095" s="264"/>
      <c r="Q1095" s="264"/>
      <c r="R1095" s="264"/>
      <c r="S1095" s="264"/>
      <c r="T1095" s="37"/>
      <c r="U1095" s="1281" t="s">
        <v>187</v>
      </c>
      <c r="V1095" s="1281"/>
      <c r="W1095" s="1281"/>
      <c r="X1095" s="1281"/>
      <c r="Y1095" s="1281"/>
      <c r="Z1095" s="1281"/>
      <c r="AA1095" s="8"/>
      <c r="AB1095" s="8"/>
      <c r="AC1095" s="8"/>
      <c r="AD1095" s="8"/>
      <c r="AE1095" s="8"/>
      <c r="AF1095" s="8"/>
      <c r="AG1095" s="8"/>
      <c r="AH1095" s="8"/>
      <c r="AI1095" s="8"/>
      <c r="AJ1095" s="8"/>
      <c r="AK1095" s="8"/>
      <c r="AL1095" s="8"/>
      <c r="AM1095" s="8"/>
      <c r="AN1095" s="8"/>
      <c r="AO1095" s="8"/>
      <c r="AP1095" s="8"/>
      <c r="AQ1095" s="8"/>
      <c r="AR1095" s="8"/>
      <c r="AS1095" s="8"/>
      <c r="AT1095" s="8"/>
      <c r="AU1095" s="8"/>
    </row>
    <row r="1096" spans="1:47" x14ac:dyDescent="0.25">
      <c r="A1096" s="264"/>
      <c r="B1096" s="264"/>
      <c r="C1096" s="264"/>
      <c r="D1096" s="264"/>
      <c r="E1096" s="264"/>
      <c r="F1096" s="264"/>
      <c r="G1096" s="264"/>
      <c r="H1096" s="264"/>
      <c r="I1096" s="264"/>
      <c r="J1096" s="200"/>
      <c r="K1096" s="264"/>
      <c r="L1096" s="265"/>
      <c r="M1096" s="264"/>
      <c r="N1096" s="200"/>
      <c r="O1096" s="264"/>
      <c r="P1096" s="264"/>
      <c r="Q1096" s="264"/>
      <c r="R1096" s="264"/>
      <c r="S1096" s="264"/>
      <c r="T1096" s="264"/>
      <c r="U1096" s="264"/>
      <c r="V1096" s="264"/>
      <c r="W1096" s="264"/>
      <c r="X1096" s="264"/>
      <c r="Y1096" s="264"/>
      <c r="Z1096" s="264"/>
      <c r="AA1096" s="8"/>
      <c r="AB1096" s="8"/>
      <c r="AC1096" s="8"/>
      <c r="AD1096" s="8"/>
      <c r="AE1096" s="8"/>
      <c r="AF1096" s="8"/>
      <c r="AG1096" s="8"/>
      <c r="AH1096" s="8"/>
      <c r="AI1096" s="8"/>
      <c r="AJ1096" s="8"/>
      <c r="AK1096" s="8"/>
      <c r="AL1096" s="8"/>
      <c r="AM1096" s="8"/>
      <c r="AN1096" s="8"/>
      <c r="AO1096" s="8"/>
      <c r="AP1096" s="8"/>
      <c r="AQ1096" s="8"/>
      <c r="AR1096" s="8"/>
      <c r="AS1096" s="8"/>
      <c r="AT1096" s="8"/>
      <c r="AU1096" s="8"/>
    </row>
    <row r="1097" spans="1:47" x14ac:dyDescent="0.25">
      <c r="A1097" s="8"/>
      <c r="B1097" s="8"/>
      <c r="C1097" s="8"/>
      <c r="D1097" s="8"/>
      <c r="E1097" s="8"/>
      <c r="F1097" s="8"/>
      <c r="G1097" s="8"/>
      <c r="H1097" s="8"/>
      <c r="I1097" s="8"/>
      <c r="J1097" s="200"/>
      <c r="K1097" s="8"/>
      <c r="L1097" s="204"/>
      <c r="M1097" s="8"/>
      <c r="N1097" s="200"/>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row>
    <row r="1098" spans="1:47" x14ac:dyDescent="0.25">
      <c r="A1098" s="8"/>
      <c r="B1098" s="8"/>
      <c r="C1098" s="8"/>
      <c r="D1098" s="8"/>
      <c r="E1098" s="8"/>
      <c r="F1098" s="8"/>
      <c r="G1098" s="8"/>
      <c r="H1098" s="8"/>
      <c r="I1098" s="8"/>
      <c r="J1098" s="200"/>
      <c r="K1098" s="8"/>
      <c r="L1098" s="204"/>
      <c r="M1098" s="8"/>
      <c r="N1098" s="200"/>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row>
    <row r="1099" spans="1:47" x14ac:dyDescent="0.25">
      <c r="A1099" s="8"/>
      <c r="B1099" s="8"/>
      <c r="C1099" s="8"/>
      <c r="D1099" s="8"/>
      <c r="E1099" s="8"/>
      <c r="F1099" s="8"/>
      <c r="G1099" s="8"/>
      <c r="H1099" s="8"/>
      <c r="I1099" s="8"/>
      <c r="J1099" s="200"/>
      <c r="K1099" s="8"/>
      <c r="L1099" s="204"/>
      <c r="M1099" s="8"/>
      <c r="N1099" s="200"/>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row>
    <row r="1100" spans="1:47" x14ac:dyDescent="0.25">
      <c r="A1100" s="8"/>
      <c r="B1100" s="8"/>
      <c r="C1100" s="8"/>
      <c r="D1100" s="8"/>
      <c r="E1100" s="8"/>
      <c r="F1100" s="8"/>
      <c r="G1100" s="8"/>
      <c r="H1100" s="8"/>
      <c r="I1100" s="8"/>
      <c r="J1100" s="200"/>
      <c r="K1100" s="8"/>
      <c r="L1100" s="204"/>
      <c r="M1100" s="8"/>
      <c r="N1100" s="200"/>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row>
    <row r="1101" spans="1:47" x14ac:dyDescent="0.25">
      <c r="A1101" s="8"/>
      <c r="B1101" s="8"/>
      <c r="C1101" s="8"/>
      <c r="D1101" s="8"/>
      <c r="E1101" s="8"/>
      <c r="F1101" s="8"/>
      <c r="G1101" s="8"/>
      <c r="H1101" s="8"/>
      <c r="I1101" s="8"/>
      <c r="J1101" s="200"/>
      <c r="K1101" s="8"/>
      <c r="L1101" s="204"/>
      <c r="M1101" s="8"/>
      <c r="N1101" s="200"/>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row>
    <row r="1102" spans="1:47" x14ac:dyDescent="0.25">
      <c r="A1102" s="8"/>
      <c r="B1102" s="8"/>
      <c r="C1102" s="8"/>
      <c r="D1102" s="8"/>
      <c r="E1102" s="8"/>
      <c r="F1102" s="8"/>
      <c r="G1102" s="8"/>
      <c r="H1102" s="8"/>
      <c r="I1102" s="8"/>
      <c r="J1102" s="200"/>
      <c r="K1102" s="8"/>
      <c r="L1102" s="204"/>
      <c r="M1102" s="8"/>
      <c r="N1102" s="200"/>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row>
    <row r="1103" spans="1:47" x14ac:dyDescent="0.25">
      <c r="A1103" s="8"/>
      <c r="B1103" s="8"/>
      <c r="C1103" s="8"/>
      <c r="D1103" s="8"/>
      <c r="E1103" s="8"/>
      <c r="F1103" s="8"/>
      <c r="G1103" s="8"/>
      <c r="H1103" s="8"/>
      <c r="I1103" s="8"/>
      <c r="J1103" s="200"/>
      <c r="K1103" s="8"/>
      <c r="L1103" s="204"/>
      <c r="M1103" s="8"/>
      <c r="N1103" s="200"/>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row>
    <row r="1104" spans="1:47" x14ac:dyDescent="0.25">
      <c r="A1104" s="8"/>
      <c r="B1104" s="8"/>
      <c r="C1104" s="8"/>
      <c r="D1104" s="8"/>
      <c r="E1104" s="8"/>
      <c r="F1104" s="8"/>
      <c r="G1104" s="8"/>
      <c r="H1104" s="8"/>
      <c r="I1104" s="8"/>
      <c r="J1104" s="200"/>
      <c r="K1104" s="8"/>
      <c r="L1104" s="204"/>
      <c r="M1104" s="8"/>
      <c r="N1104" s="200"/>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row>
    <row r="1105" spans="1:47" x14ac:dyDescent="0.25">
      <c r="A1105" s="8"/>
      <c r="B1105" s="8"/>
      <c r="C1105" s="8"/>
      <c r="D1105" s="8"/>
      <c r="E1105" s="8"/>
      <c r="F1105" s="8"/>
      <c r="G1105" s="8"/>
      <c r="H1105" s="8"/>
      <c r="I1105" s="8"/>
      <c r="J1105" s="200"/>
      <c r="K1105" s="8"/>
      <c r="L1105" s="204"/>
      <c r="M1105" s="8"/>
      <c r="N1105" s="200"/>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row>
    <row r="1106" spans="1:47" x14ac:dyDescent="0.25">
      <c r="A1106" s="8"/>
      <c r="B1106" s="8"/>
      <c r="C1106" s="8"/>
      <c r="D1106" s="8"/>
      <c r="E1106" s="8"/>
      <c r="F1106" s="8"/>
      <c r="G1106" s="8"/>
      <c r="H1106" s="8"/>
      <c r="I1106" s="8"/>
      <c r="J1106" s="200"/>
      <c r="K1106" s="8"/>
      <c r="L1106" s="204"/>
      <c r="M1106" s="8"/>
      <c r="N1106" s="200"/>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row>
    <row r="1107" spans="1:47" x14ac:dyDescent="0.25">
      <c r="A1107" s="8"/>
      <c r="B1107" s="8"/>
      <c r="C1107" s="8"/>
      <c r="D1107" s="8"/>
      <c r="E1107" s="8"/>
      <c r="F1107" s="8"/>
      <c r="G1107" s="8"/>
      <c r="H1107" s="8"/>
      <c r="I1107" s="8"/>
      <c r="J1107" s="200"/>
      <c r="K1107" s="8"/>
      <c r="L1107" s="204"/>
      <c r="M1107" s="8"/>
      <c r="N1107" s="200"/>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row>
    <row r="1108" spans="1:47" x14ac:dyDescent="0.25">
      <c r="A1108" s="8"/>
      <c r="B1108" s="8"/>
      <c r="C1108" s="8"/>
      <c r="D1108" s="8"/>
      <c r="E1108" s="8"/>
      <c r="F1108" s="8"/>
      <c r="G1108" s="8"/>
      <c r="H1108" s="8"/>
      <c r="I1108" s="8"/>
      <c r="J1108" s="200"/>
      <c r="K1108" s="8"/>
      <c r="L1108" s="204"/>
      <c r="M1108" s="8"/>
      <c r="N1108" s="200"/>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row>
    <row r="1109" spans="1:47" x14ac:dyDescent="0.25">
      <c r="A1109" s="8"/>
      <c r="B1109" s="8"/>
      <c r="C1109" s="8"/>
      <c r="D1109" s="8"/>
      <c r="E1109" s="8"/>
      <c r="F1109" s="8"/>
      <c r="G1109" s="8"/>
      <c r="H1109" s="8"/>
      <c r="I1109" s="8"/>
      <c r="J1109" s="200"/>
      <c r="K1109" s="8"/>
      <c r="L1109" s="204"/>
      <c r="M1109" s="8"/>
      <c r="N1109" s="200"/>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row>
    <row r="1110" spans="1:47" x14ac:dyDescent="0.25">
      <c r="A1110" s="8"/>
      <c r="B1110" s="8"/>
      <c r="C1110" s="8"/>
      <c r="D1110" s="8"/>
      <c r="E1110" s="8"/>
      <c r="F1110" s="8"/>
      <c r="G1110" s="8"/>
      <c r="H1110" s="8"/>
      <c r="I1110" s="8"/>
      <c r="J1110" s="200"/>
      <c r="K1110" s="8"/>
      <c r="L1110" s="204"/>
      <c r="M1110" s="8"/>
      <c r="N1110" s="200"/>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row>
    <row r="1111" spans="1:47" x14ac:dyDescent="0.25">
      <c r="A1111" s="8"/>
      <c r="B1111" s="8"/>
      <c r="C1111" s="8"/>
      <c r="D1111" s="8"/>
      <c r="E1111" s="8"/>
      <c r="F1111" s="8"/>
      <c r="G1111" s="8"/>
      <c r="H1111" s="8"/>
      <c r="I1111" s="8"/>
      <c r="J1111" s="200"/>
      <c r="K1111" s="8"/>
      <c r="L1111" s="204"/>
      <c r="M1111" s="8"/>
      <c r="N1111" s="200"/>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row>
    <row r="1112" spans="1:47" x14ac:dyDescent="0.25">
      <c r="A1112" s="8"/>
      <c r="B1112" s="8"/>
      <c r="C1112" s="8"/>
      <c r="D1112" s="8"/>
      <c r="E1112" s="8"/>
      <c r="F1112" s="8"/>
      <c r="G1112" s="8"/>
      <c r="H1112" s="8"/>
      <c r="I1112" s="8"/>
      <c r="J1112" s="200"/>
      <c r="K1112" s="8"/>
      <c r="L1112" s="204"/>
      <c r="M1112" s="8"/>
      <c r="N1112" s="200"/>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row>
    <row r="1113" spans="1:47" x14ac:dyDescent="0.25">
      <c r="A1113" s="8"/>
      <c r="B1113" s="8"/>
      <c r="C1113" s="8"/>
      <c r="D1113" s="8"/>
      <c r="E1113" s="8"/>
      <c r="F1113" s="8"/>
      <c r="G1113" s="8"/>
      <c r="H1113" s="8"/>
      <c r="I1113" s="8"/>
      <c r="J1113" s="200"/>
      <c r="K1113" s="8"/>
      <c r="L1113" s="204"/>
      <c r="M1113" s="8"/>
      <c r="N1113" s="200"/>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row>
    <row r="1114" spans="1:47" x14ac:dyDescent="0.25">
      <c r="A1114" s="8"/>
      <c r="B1114" s="8"/>
      <c r="C1114" s="8"/>
      <c r="D1114" s="8"/>
      <c r="E1114" s="8"/>
      <c r="F1114" s="8"/>
      <c r="G1114" s="8"/>
      <c r="H1114" s="8"/>
      <c r="I1114" s="8"/>
      <c r="J1114" s="200"/>
      <c r="K1114" s="8"/>
      <c r="L1114" s="204"/>
      <c r="M1114" s="8"/>
      <c r="N1114" s="200"/>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row>
    <row r="1115" spans="1:47" x14ac:dyDescent="0.25">
      <c r="A1115" s="8"/>
      <c r="B1115" s="8"/>
      <c r="C1115" s="8"/>
      <c r="D1115" s="8"/>
      <c r="E1115" s="8"/>
      <c r="F1115" s="8"/>
      <c r="G1115" s="8"/>
      <c r="H1115" s="8"/>
      <c r="I1115" s="8"/>
      <c r="J1115" s="200"/>
      <c r="K1115" s="8"/>
      <c r="L1115" s="204"/>
      <c r="M1115" s="8"/>
      <c r="N1115" s="200"/>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row>
    <row r="1116" spans="1:47" x14ac:dyDescent="0.25">
      <c r="A1116" s="8"/>
      <c r="B1116" s="8"/>
      <c r="C1116" s="8"/>
      <c r="D1116" s="8"/>
      <c r="E1116" s="8"/>
      <c r="F1116" s="8"/>
      <c r="G1116" s="8"/>
      <c r="H1116" s="8"/>
      <c r="I1116" s="8"/>
      <c r="J1116" s="200"/>
      <c r="K1116" s="8"/>
      <c r="L1116" s="204"/>
      <c r="M1116" s="8"/>
      <c r="N1116" s="200"/>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row>
    <row r="1117" spans="1:47" x14ac:dyDescent="0.25">
      <c r="A1117" s="8"/>
      <c r="B1117" s="8"/>
      <c r="C1117" s="8"/>
      <c r="D1117" s="8"/>
      <c r="E1117" s="8"/>
      <c r="F1117" s="8"/>
      <c r="G1117" s="8"/>
      <c r="H1117" s="8"/>
      <c r="I1117" s="8"/>
      <c r="J1117" s="200"/>
      <c r="K1117" s="8"/>
      <c r="L1117" s="204"/>
      <c r="M1117" s="8"/>
      <c r="N1117" s="200"/>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row>
    <row r="1118" spans="1:47" x14ac:dyDescent="0.25">
      <c r="A1118" s="8"/>
      <c r="B1118" s="8"/>
      <c r="C1118" s="8"/>
      <c r="D1118" s="8"/>
      <c r="E1118" s="8"/>
      <c r="F1118" s="8"/>
      <c r="G1118" s="8"/>
      <c r="H1118" s="8"/>
      <c r="I1118" s="8"/>
      <c r="J1118" s="200"/>
      <c r="K1118" s="8"/>
      <c r="L1118" s="204"/>
      <c r="M1118" s="8"/>
      <c r="N1118" s="200"/>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row>
    <row r="1119" spans="1:47" x14ac:dyDescent="0.25">
      <c r="A1119" s="8"/>
      <c r="B1119" s="8"/>
      <c r="C1119" s="8"/>
      <c r="D1119" s="8"/>
      <c r="E1119" s="8"/>
      <c r="F1119" s="8"/>
      <c r="G1119" s="8"/>
      <c r="H1119" s="8"/>
      <c r="I1119" s="8"/>
      <c r="J1119" s="200"/>
      <c r="K1119" s="8"/>
      <c r="L1119" s="204"/>
      <c r="M1119" s="8"/>
      <c r="N1119" s="200"/>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row>
    <row r="1120" spans="1:47" x14ac:dyDescent="0.25">
      <c r="A1120" s="8"/>
      <c r="B1120" s="8"/>
      <c r="C1120" s="8"/>
      <c r="D1120" s="8"/>
      <c r="E1120" s="8"/>
      <c r="F1120" s="8"/>
      <c r="G1120" s="8"/>
      <c r="H1120" s="8"/>
      <c r="I1120" s="8"/>
      <c r="J1120" s="200"/>
      <c r="K1120" s="8"/>
      <c r="L1120" s="204"/>
      <c r="M1120" s="8"/>
      <c r="N1120" s="200"/>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row>
    <row r="1121" spans="1:47" x14ac:dyDescent="0.25">
      <c r="A1121" s="8"/>
      <c r="B1121" s="8"/>
      <c r="C1121" s="8"/>
      <c r="D1121" s="8"/>
      <c r="E1121" s="8"/>
      <c r="F1121" s="8"/>
      <c r="G1121" s="8"/>
      <c r="H1121" s="8"/>
      <c r="I1121" s="8"/>
      <c r="J1121" s="200"/>
      <c r="K1121" s="8"/>
      <c r="L1121" s="204"/>
      <c r="M1121" s="8"/>
      <c r="N1121" s="200"/>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row>
    <row r="1122" spans="1:47" x14ac:dyDescent="0.25">
      <c r="A1122" s="8"/>
      <c r="B1122" s="8"/>
      <c r="C1122" s="8"/>
      <c r="D1122" s="8"/>
      <c r="E1122" s="8"/>
      <c r="F1122" s="8"/>
      <c r="G1122" s="8"/>
      <c r="H1122" s="8"/>
      <c r="I1122" s="8"/>
      <c r="J1122" s="200"/>
      <c r="K1122" s="8"/>
      <c r="L1122" s="204"/>
      <c r="M1122" s="8"/>
      <c r="N1122" s="200"/>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row>
    <row r="1123" spans="1:47" x14ac:dyDescent="0.25">
      <c r="A1123" s="8"/>
      <c r="B1123" s="8"/>
      <c r="C1123" s="8"/>
      <c r="D1123" s="8"/>
      <c r="E1123" s="8"/>
      <c r="F1123" s="8"/>
      <c r="G1123" s="8"/>
      <c r="H1123" s="8"/>
      <c r="I1123" s="8"/>
      <c r="J1123" s="200"/>
      <c r="K1123" s="8"/>
      <c r="L1123" s="204"/>
      <c r="M1123" s="8"/>
      <c r="N1123" s="200"/>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row>
    <row r="1124" spans="1:47" x14ac:dyDescent="0.25">
      <c r="A1124" s="8"/>
      <c r="B1124" s="8"/>
      <c r="C1124" s="8"/>
      <c r="D1124" s="8"/>
      <c r="E1124" s="8"/>
      <c r="F1124" s="8"/>
      <c r="G1124" s="8"/>
      <c r="H1124" s="8"/>
      <c r="I1124" s="8"/>
      <c r="J1124" s="200"/>
      <c r="K1124" s="8"/>
      <c r="L1124" s="204"/>
      <c r="M1124" s="8"/>
      <c r="N1124" s="200"/>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row>
    <row r="1125" spans="1:47" x14ac:dyDescent="0.25">
      <c r="A1125" s="8"/>
      <c r="B1125" s="8"/>
      <c r="C1125" s="8"/>
      <c r="D1125" s="8"/>
      <c r="E1125" s="8"/>
      <c r="F1125" s="8"/>
      <c r="G1125" s="8"/>
      <c r="H1125" s="8"/>
      <c r="I1125" s="8"/>
      <c r="J1125" s="200"/>
      <c r="K1125" s="8"/>
      <c r="L1125" s="204"/>
      <c r="M1125" s="8"/>
      <c r="N1125" s="200"/>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row>
    <row r="1126" spans="1:47" x14ac:dyDescent="0.25">
      <c r="A1126" s="8"/>
      <c r="B1126" s="8"/>
      <c r="C1126" s="8"/>
      <c r="D1126" s="8"/>
      <c r="E1126" s="8"/>
      <c r="F1126" s="8"/>
      <c r="G1126" s="8"/>
      <c r="H1126" s="8"/>
      <c r="I1126" s="8"/>
      <c r="J1126" s="200"/>
      <c r="K1126" s="8"/>
      <c r="L1126" s="204"/>
      <c r="M1126" s="8"/>
      <c r="N1126" s="200"/>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row>
    <row r="1127" spans="1:47" x14ac:dyDescent="0.25">
      <c r="A1127" s="8"/>
      <c r="B1127" s="8"/>
      <c r="C1127" s="8"/>
      <c r="D1127" s="8"/>
      <c r="E1127" s="8"/>
      <c r="F1127" s="8"/>
      <c r="G1127" s="8"/>
      <c r="H1127" s="8"/>
      <c r="I1127" s="8"/>
      <c r="J1127" s="200"/>
      <c r="K1127" s="8"/>
      <c r="L1127" s="204"/>
      <c r="M1127" s="8"/>
      <c r="N1127" s="200"/>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row>
    <row r="1128" spans="1:47" x14ac:dyDescent="0.25">
      <c r="A1128" s="8"/>
      <c r="B1128" s="8"/>
      <c r="C1128" s="8"/>
      <c r="D1128" s="8"/>
      <c r="E1128" s="8"/>
      <c r="F1128" s="8"/>
      <c r="G1128" s="8"/>
      <c r="H1128" s="8"/>
      <c r="I1128" s="8"/>
      <c r="J1128" s="200"/>
      <c r="K1128" s="8"/>
      <c r="L1128" s="204"/>
      <c r="M1128" s="8"/>
      <c r="N1128" s="200"/>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row>
    <row r="1129" spans="1:47" x14ac:dyDescent="0.25">
      <c r="A1129" s="8"/>
      <c r="B1129" s="8"/>
      <c r="C1129" s="8"/>
      <c r="D1129" s="8"/>
      <c r="E1129" s="8"/>
      <c r="F1129" s="8"/>
      <c r="G1129" s="8"/>
      <c r="H1129" s="8"/>
      <c r="I1129" s="8"/>
      <c r="J1129" s="200"/>
      <c r="K1129" s="8"/>
      <c r="L1129" s="204"/>
      <c r="M1129" s="8"/>
      <c r="N1129" s="200"/>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row>
    <row r="1130" spans="1:47" x14ac:dyDescent="0.25">
      <c r="A1130" s="8"/>
      <c r="B1130" s="8"/>
      <c r="C1130" s="8"/>
      <c r="D1130" s="8"/>
      <c r="E1130" s="8"/>
      <c r="F1130" s="8"/>
      <c r="G1130" s="8"/>
      <c r="H1130" s="8"/>
      <c r="I1130" s="8"/>
      <c r="J1130" s="200"/>
      <c r="K1130" s="8"/>
      <c r="L1130" s="204"/>
      <c r="M1130" s="8"/>
      <c r="N1130" s="200"/>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row>
    <row r="1131" spans="1:47" x14ac:dyDescent="0.25">
      <c r="A1131" s="8"/>
      <c r="B1131" s="8"/>
      <c r="C1131" s="8"/>
      <c r="D1131" s="8"/>
      <c r="E1131" s="8"/>
      <c r="F1131" s="8"/>
      <c r="G1131" s="8"/>
      <c r="H1131" s="8"/>
      <c r="I1131" s="8"/>
      <c r="J1131" s="200"/>
      <c r="K1131" s="8"/>
      <c r="L1131" s="204"/>
      <c r="M1131" s="8"/>
      <c r="N1131" s="200"/>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row>
    <row r="1132" spans="1:47" x14ac:dyDescent="0.25">
      <c r="A1132" s="8"/>
      <c r="B1132" s="8"/>
      <c r="C1132" s="8"/>
      <c r="D1132" s="8"/>
      <c r="E1132" s="8"/>
      <c r="F1132" s="8"/>
      <c r="G1132" s="8"/>
      <c r="H1132" s="8"/>
      <c r="I1132" s="8"/>
      <c r="J1132" s="200"/>
      <c r="K1132" s="8"/>
      <c r="L1132" s="204"/>
      <c r="M1132" s="8"/>
      <c r="N1132" s="200"/>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row>
    <row r="1133" spans="1:47" x14ac:dyDescent="0.25">
      <c r="A1133" s="8"/>
      <c r="B1133" s="8"/>
      <c r="C1133" s="8"/>
      <c r="D1133" s="8"/>
      <c r="E1133" s="8"/>
      <c r="F1133" s="8"/>
      <c r="G1133" s="8"/>
      <c r="H1133" s="8"/>
      <c r="I1133" s="8"/>
      <c r="J1133" s="200"/>
      <c r="K1133" s="8"/>
      <c r="L1133" s="204"/>
      <c r="M1133" s="8"/>
      <c r="N1133" s="200"/>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row>
    <row r="1134" spans="1:47" x14ac:dyDescent="0.25">
      <c r="A1134" s="8"/>
      <c r="B1134" s="8"/>
      <c r="C1134" s="8"/>
      <c r="D1134" s="8"/>
      <c r="E1134" s="8"/>
      <c r="F1134" s="8"/>
      <c r="G1134" s="8"/>
      <c r="H1134" s="8"/>
      <c r="I1134" s="8"/>
      <c r="J1134" s="200"/>
      <c r="K1134" s="8"/>
      <c r="L1134" s="204"/>
      <c r="M1134" s="8"/>
      <c r="N1134" s="200"/>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row>
    <row r="1135" spans="1:47" x14ac:dyDescent="0.25">
      <c r="A1135" s="8"/>
      <c r="B1135" s="8"/>
      <c r="C1135" s="8"/>
      <c r="D1135" s="8"/>
      <c r="E1135" s="8"/>
      <c r="F1135" s="8"/>
      <c r="G1135" s="8"/>
      <c r="H1135" s="8"/>
      <c r="I1135" s="8"/>
      <c r="J1135" s="200"/>
      <c r="K1135" s="8"/>
      <c r="L1135" s="204"/>
      <c r="M1135" s="8"/>
      <c r="N1135" s="200"/>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row>
    <row r="1136" spans="1:47" x14ac:dyDescent="0.25">
      <c r="A1136" s="8"/>
      <c r="B1136" s="8"/>
      <c r="C1136" s="8"/>
      <c r="D1136" s="8"/>
      <c r="E1136" s="8"/>
      <c r="F1136" s="8"/>
      <c r="G1136" s="8"/>
      <c r="H1136" s="8"/>
      <c r="I1136" s="8"/>
      <c r="J1136" s="200"/>
      <c r="K1136" s="8"/>
      <c r="L1136" s="204"/>
      <c r="M1136" s="8"/>
      <c r="N1136" s="200"/>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row>
    <row r="1137" spans="1:47" x14ac:dyDescent="0.25">
      <c r="A1137" s="8"/>
      <c r="B1137" s="8"/>
      <c r="C1137" s="8"/>
      <c r="D1137" s="8"/>
      <c r="E1137" s="8"/>
      <c r="F1137" s="8"/>
      <c r="G1137" s="8"/>
      <c r="H1137" s="8"/>
      <c r="I1137" s="8"/>
      <c r="J1137" s="200"/>
      <c r="K1137" s="8"/>
      <c r="L1137" s="204"/>
      <c r="M1137" s="8"/>
      <c r="N1137" s="200"/>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row>
    <row r="1138" spans="1:47" x14ac:dyDescent="0.25">
      <c r="A1138" s="8"/>
      <c r="B1138" s="8"/>
      <c r="C1138" s="8"/>
      <c r="D1138" s="8"/>
      <c r="E1138" s="8"/>
      <c r="F1138" s="8"/>
      <c r="G1138" s="8"/>
      <c r="H1138" s="8"/>
      <c r="I1138" s="8"/>
      <c r="J1138" s="200"/>
      <c r="K1138" s="8"/>
      <c r="L1138" s="204"/>
      <c r="M1138" s="8"/>
      <c r="N1138" s="200"/>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row>
    <row r="1139" spans="1:47" x14ac:dyDescent="0.25">
      <c r="A1139" s="8"/>
      <c r="B1139" s="8"/>
      <c r="C1139" s="8"/>
      <c r="D1139" s="8"/>
      <c r="E1139" s="8"/>
      <c r="F1139" s="8"/>
      <c r="G1139" s="8"/>
      <c r="H1139" s="8"/>
      <c r="I1139" s="8"/>
      <c r="J1139" s="200"/>
      <c r="K1139" s="8"/>
      <c r="L1139" s="204"/>
      <c r="M1139" s="8"/>
      <c r="N1139" s="200"/>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row>
    <row r="1140" spans="1:47" x14ac:dyDescent="0.25">
      <c r="A1140" s="8"/>
      <c r="B1140" s="8"/>
      <c r="C1140" s="8"/>
      <c r="D1140" s="8"/>
      <c r="E1140" s="8"/>
      <c r="F1140" s="8"/>
      <c r="G1140" s="8"/>
      <c r="H1140" s="8"/>
      <c r="I1140" s="8"/>
      <c r="J1140" s="200"/>
      <c r="K1140" s="8"/>
      <c r="L1140" s="204"/>
      <c r="M1140" s="8"/>
      <c r="N1140" s="200"/>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row>
    <row r="1141" spans="1:47" x14ac:dyDescent="0.25">
      <c r="A1141" s="8"/>
      <c r="B1141" s="8"/>
      <c r="C1141" s="8"/>
      <c r="D1141" s="8"/>
      <c r="E1141" s="8"/>
      <c r="F1141" s="8"/>
      <c r="G1141" s="8"/>
      <c r="H1141" s="8"/>
      <c r="I1141" s="8"/>
      <c r="J1141" s="200"/>
      <c r="K1141" s="8"/>
      <c r="L1141" s="204"/>
      <c r="M1141" s="8"/>
      <c r="N1141" s="200"/>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row>
    <row r="1142" spans="1:47" x14ac:dyDescent="0.25">
      <c r="A1142" s="8"/>
      <c r="B1142" s="8"/>
      <c r="C1142" s="8"/>
      <c r="D1142" s="8"/>
      <c r="E1142" s="8"/>
      <c r="F1142" s="8"/>
      <c r="G1142" s="8"/>
      <c r="H1142" s="8"/>
      <c r="I1142" s="8"/>
      <c r="J1142" s="200"/>
      <c r="K1142" s="8"/>
      <c r="L1142" s="204"/>
      <c r="M1142" s="8"/>
      <c r="N1142" s="200"/>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row>
    <row r="1143" spans="1:47" x14ac:dyDescent="0.25">
      <c r="A1143" s="8"/>
      <c r="B1143" s="8"/>
      <c r="C1143" s="8"/>
      <c r="D1143" s="8"/>
      <c r="E1143" s="8"/>
      <c r="F1143" s="8"/>
      <c r="G1143" s="8"/>
      <c r="H1143" s="8"/>
      <c r="I1143" s="8"/>
      <c r="J1143" s="200"/>
      <c r="K1143" s="8"/>
      <c r="L1143" s="204"/>
      <c r="M1143" s="8"/>
      <c r="N1143" s="200"/>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row>
    <row r="1144" spans="1:47" x14ac:dyDescent="0.25">
      <c r="A1144" s="8"/>
      <c r="B1144" s="8"/>
      <c r="C1144" s="8"/>
      <c r="D1144" s="8"/>
      <c r="E1144" s="8"/>
      <c r="F1144" s="8"/>
      <c r="G1144" s="8"/>
      <c r="H1144" s="8"/>
      <c r="I1144" s="8"/>
      <c r="J1144" s="200"/>
      <c r="K1144" s="8"/>
      <c r="L1144" s="204"/>
      <c r="M1144" s="8"/>
      <c r="N1144" s="200"/>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row>
    <row r="1145" spans="1:47" x14ac:dyDescent="0.25">
      <c r="A1145" s="8"/>
      <c r="B1145" s="8"/>
      <c r="C1145" s="8"/>
      <c r="D1145" s="8"/>
      <c r="E1145" s="8"/>
      <c r="F1145" s="8"/>
      <c r="G1145" s="8"/>
      <c r="H1145" s="8"/>
      <c r="I1145" s="8"/>
      <c r="J1145" s="200"/>
      <c r="K1145" s="8"/>
      <c r="L1145" s="204"/>
      <c r="M1145" s="8"/>
      <c r="N1145" s="200"/>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row>
    <row r="1146" spans="1:47" x14ac:dyDescent="0.25">
      <c r="A1146" s="8"/>
      <c r="B1146" s="8"/>
      <c r="C1146" s="8"/>
      <c r="D1146" s="8"/>
      <c r="E1146" s="8"/>
      <c r="F1146" s="8"/>
      <c r="G1146" s="8"/>
      <c r="H1146" s="8"/>
      <c r="I1146" s="8"/>
      <c r="J1146" s="200"/>
      <c r="K1146" s="8"/>
      <c r="L1146" s="204"/>
      <c r="M1146" s="8"/>
      <c r="N1146" s="200"/>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row>
    <row r="1147" spans="1:47" x14ac:dyDescent="0.25">
      <c r="A1147" s="8"/>
      <c r="B1147" s="8"/>
      <c r="C1147" s="8"/>
      <c r="D1147" s="8"/>
      <c r="E1147" s="8"/>
      <c r="F1147" s="8"/>
      <c r="G1147" s="8"/>
      <c r="H1147" s="8"/>
      <c r="I1147" s="8"/>
      <c r="J1147" s="200"/>
      <c r="K1147" s="8"/>
      <c r="L1147" s="204"/>
      <c r="M1147" s="8"/>
      <c r="N1147" s="200"/>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row>
    <row r="1148" spans="1:47" x14ac:dyDescent="0.25">
      <c r="A1148" s="8"/>
      <c r="B1148" s="8"/>
      <c r="C1148" s="8"/>
      <c r="D1148" s="8"/>
      <c r="E1148" s="8"/>
      <c r="F1148" s="8"/>
      <c r="G1148" s="8"/>
      <c r="H1148" s="8"/>
      <c r="I1148" s="8"/>
      <c r="J1148" s="200"/>
      <c r="K1148" s="8"/>
      <c r="L1148" s="204"/>
      <c r="M1148" s="8"/>
      <c r="N1148" s="200"/>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row>
    <row r="1149" spans="1:47" x14ac:dyDescent="0.25">
      <c r="A1149" s="8"/>
      <c r="B1149" s="8"/>
      <c r="C1149" s="8"/>
      <c r="D1149" s="8"/>
      <c r="E1149" s="8"/>
      <c r="F1149" s="8"/>
      <c r="G1149" s="8"/>
      <c r="H1149" s="8"/>
      <c r="I1149" s="8"/>
      <c r="J1149" s="200"/>
      <c r="K1149" s="8"/>
      <c r="L1149" s="204"/>
      <c r="M1149" s="8"/>
      <c r="N1149" s="200"/>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row>
    <row r="1150" spans="1:47" x14ac:dyDescent="0.25">
      <c r="A1150" s="8"/>
      <c r="B1150" s="8"/>
      <c r="C1150" s="8"/>
      <c r="D1150" s="8"/>
      <c r="E1150" s="8"/>
      <c r="F1150" s="8"/>
      <c r="G1150" s="8"/>
      <c r="H1150" s="8"/>
      <c r="I1150" s="8"/>
      <c r="J1150" s="200"/>
      <c r="K1150" s="8"/>
      <c r="L1150" s="204"/>
      <c r="M1150" s="8"/>
      <c r="N1150" s="200"/>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row>
    <row r="1151" spans="1:47" x14ac:dyDescent="0.25">
      <c r="A1151" s="8"/>
      <c r="B1151" s="8"/>
      <c r="C1151" s="8"/>
      <c r="D1151" s="8"/>
      <c r="E1151" s="8"/>
      <c r="F1151" s="8"/>
      <c r="G1151" s="8"/>
      <c r="H1151" s="8"/>
      <c r="I1151" s="8"/>
      <c r="J1151" s="200"/>
      <c r="K1151" s="8"/>
      <c r="L1151" s="204"/>
      <c r="M1151" s="8"/>
      <c r="N1151" s="200"/>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row>
    <row r="1152" spans="1:47" x14ac:dyDescent="0.25">
      <c r="A1152" s="8"/>
      <c r="B1152" s="8"/>
      <c r="C1152" s="8"/>
      <c r="D1152" s="8"/>
      <c r="E1152" s="8"/>
      <c r="F1152" s="8"/>
      <c r="G1152" s="8"/>
      <c r="H1152" s="8"/>
      <c r="I1152" s="8"/>
      <c r="J1152" s="200"/>
      <c r="K1152" s="8"/>
      <c r="L1152" s="204"/>
      <c r="M1152" s="8"/>
      <c r="N1152" s="200"/>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row>
    <row r="1153" spans="1:47" x14ac:dyDescent="0.25">
      <c r="A1153" s="8"/>
      <c r="B1153" s="8"/>
      <c r="C1153" s="8"/>
      <c r="D1153" s="8"/>
      <c r="E1153" s="8"/>
      <c r="F1153" s="8"/>
      <c r="G1153" s="8"/>
      <c r="H1153" s="8"/>
      <c r="I1153" s="8"/>
      <c r="J1153" s="200"/>
      <c r="K1153" s="8"/>
      <c r="L1153" s="204"/>
      <c r="M1153" s="8"/>
      <c r="N1153" s="200"/>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row>
    <row r="1154" spans="1:47" x14ac:dyDescent="0.25">
      <c r="A1154" s="8"/>
      <c r="B1154" s="8"/>
      <c r="C1154" s="8"/>
      <c r="D1154" s="8"/>
      <c r="E1154" s="8"/>
      <c r="F1154" s="8"/>
      <c r="G1154" s="8"/>
      <c r="H1154" s="8"/>
      <c r="I1154" s="8"/>
      <c r="J1154" s="200"/>
      <c r="K1154" s="8"/>
      <c r="L1154" s="204"/>
      <c r="M1154" s="8"/>
      <c r="N1154" s="200"/>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row>
    <row r="1155" spans="1:47" x14ac:dyDescent="0.25">
      <c r="A1155" s="8"/>
      <c r="B1155" s="8"/>
      <c r="C1155" s="8"/>
      <c r="D1155" s="8"/>
      <c r="E1155" s="8"/>
      <c r="F1155" s="8"/>
      <c r="G1155" s="8"/>
      <c r="H1155" s="8"/>
      <c r="I1155" s="8"/>
      <c r="J1155" s="200"/>
      <c r="K1155" s="8"/>
      <c r="L1155" s="204"/>
      <c r="M1155" s="8"/>
      <c r="N1155" s="200"/>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row>
    <row r="1156" spans="1:47" x14ac:dyDescent="0.25">
      <c r="A1156" s="8"/>
      <c r="B1156" s="8"/>
      <c r="C1156" s="8"/>
      <c r="D1156" s="8"/>
      <c r="E1156" s="8"/>
      <c r="F1156" s="8"/>
      <c r="G1156" s="8"/>
      <c r="H1156" s="8"/>
      <c r="I1156" s="8"/>
      <c r="J1156" s="200"/>
      <c r="K1156" s="8"/>
      <c r="L1156" s="204"/>
      <c r="M1156" s="8"/>
      <c r="N1156" s="200"/>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row>
    <row r="1157" spans="1:47" x14ac:dyDescent="0.25">
      <c r="A1157" s="8"/>
      <c r="B1157" s="8"/>
      <c r="C1157" s="8"/>
      <c r="D1157" s="8"/>
      <c r="E1157" s="8"/>
      <c r="F1157" s="8"/>
      <c r="G1157" s="8"/>
      <c r="H1157" s="8"/>
      <c r="I1157" s="8"/>
      <c r="J1157" s="200"/>
      <c r="K1157" s="8"/>
      <c r="L1157" s="204"/>
      <c r="M1157" s="8"/>
      <c r="N1157" s="200"/>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row>
    <row r="1158" spans="1:47" x14ac:dyDescent="0.25">
      <c r="A1158" s="8"/>
      <c r="B1158" s="8"/>
      <c r="C1158" s="8"/>
      <c r="D1158" s="8"/>
      <c r="E1158" s="8"/>
      <c r="F1158" s="8"/>
      <c r="G1158" s="8"/>
      <c r="H1158" s="8"/>
      <c r="I1158" s="8"/>
      <c r="J1158" s="200"/>
      <c r="K1158" s="8"/>
      <c r="L1158" s="204"/>
      <c r="M1158" s="8"/>
      <c r="N1158" s="200"/>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row>
    <row r="1159" spans="1:47" x14ac:dyDescent="0.25">
      <c r="A1159" s="8"/>
      <c r="B1159" s="8"/>
      <c r="C1159" s="8"/>
      <c r="D1159" s="8"/>
      <c r="E1159" s="8"/>
      <c r="F1159" s="8"/>
      <c r="G1159" s="8"/>
      <c r="H1159" s="8"/>
      <c r="I1159" s="8"/>
      <c r="J1159" s="200"/>
      <c r="K1159" s="8"/>
      <c r="L1159" s="204"/>
      <c r="M1159" s="8"/>
      <c r="N1159" s="200"/>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row>
    <row r="1160" spans="1:47" x14ac:dyDescent="0.25">
      <c r="A1160" s="8"/>
      <c r="B1160" s="8"/>
      <c r="C1160" s="8"/>
      <c r="D1160" s="8"/>
      <c r="E1160" s="8"/>
      <c r="F1160" s="8"/>
      <c r="G1160" s="8"/>
      <c r="H1160" s="8"/>
      <c r="I1160" s="8"/>
      <c r="J1160" s="200"/>
      <c r="K1160" s="8"/>
      <c r="L1160" s="204"/>
      <c r="M1160" s="8"/>
      <c r="N1160" s="200"/>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row>
    <row r="1161" spans="1:47" x14ac:dyDescent="0.25">
      <c r="A1161" s="8"/>
      <c r="B1161" s="8"/>
      <c r="C1161" s="8"/>
      <c r="D1161" s="8"/>
      <c r="E1161" s="8"/>
      <c r="F1161" s="8"/>
      <c r="G1161" s="8"/>
      <c r="H1161" s="8"/>
      <c r="I1161" s="8"/>
      <c r="J1161" s="200"/>
      <c r="K1161" s="8"/>
      <c r="L1161" s="204"/>
      <c r="M1161" s="8"/>
      <c r="N1161" s="200"/>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row>
    <row r="1162" spans="1:47" x14ac:dyDescent="0.25">
      <c r="A1162" s="8"/>
      <c r="B1162" s="8"/>
      <c r="C1162" s="8"/>
      <c r="D1162" s="8"/>
      <c r="E1162" s="8"/>
      <c r="F1162" s="8"/>
      <c r="G1162" s="8"/>
      <c r="H1162" s="8"/>
      <c r="I1162" s="8"/>
      <c r="J1162" s="200"/>
      <c r="K1162" s="8"/>
      <c r="L1162" s="204"/>
      <c r="M1162" s="8"/>
      <c r="N1162" s="200"/>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row>
    <row r="1163" spans="1:47" x14ac:dyDescent="0.25">
      <c r="A1163" s="8"/>
      <c r="B1163" s="8"/>
      <c r="C1163" s="8"/>
      <c r="D1163" s="8"/>
      <c r="E1163" s="8"/>
      <c r="F1163" s="8"/>
      <c r="G1163" s="8"/>
      <c r="H1163" s="8"/>
      <c r="I1163" s="8"/>
      <c r="J1163" s="200"/>
      <c r="K1163" s="8"/>
      <c r="L1163" s="204"/>
      <c r="M1163" s="8"/>
      <c r="N1163" s="200"/>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row>
    <row r="1164" spans="1:47" x14ac:dyDescent="0.25">
      <c r="A1164" s="8"/>
      <c r="B1164" s="8"/>
      <c r="C1164" s="8"/>
      <c r="D1164" s="8"/>
      <c r="E1164" s="8"/>
      <c r="F1164" s="8"/>
      <c r="G1164" s="8"/>
      <c r="H1164" s="8"/>
      <c r="I1164" s="8"/>
      <c r="J1164" s="200"/>
      <c r="K1164" s="8"/>
      <c r="L1164" s="204"/>
      <c r="M1164" s="8"/>
      <c r="N1164" s="200"/>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row>
    <row r="1165" spans="1:47" x14ac:dyDescent="0.25">
      <c r="A1165" s="8"/>
      <c r="B1165" s="8"/>
      <c r="C1165" s="8"/>
      <c r="D1165" s="8"/>
      <c r="E1165" s="8"/>
      <c r="F1165" s="8"/>
      <c r="G1165" s="8"/>
      <c r="H1165" s="8"/>
      <c r="I1165" s="8"/>
      <c r="J1165" s="200"/>
      <c r="K1165" s="8"/>
      <c r="L1165" s="204"/>
      <c r="M1165" s="8"/>
      <c r="N1165" s="200"/>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row>
    <row r="1166" spans="1:47" x14ac:dyDescent="0.25">
      <c r="A1166" s="8"/>
      <c r="B1166" s="8"/>
      <c r="C1166" s="8"/>
      <c r="D1166" s="8"/>
      <c r="E1166" s="8"/>
      <c r="F1166" s="8"/>
      <c r="G1166" s="8"/>
      <c r="H1166" s="8"/>
      <c r="I1166" s="8"/>
      <c r="J1166" s="200"/>
      <c r="K1166" s="8"/>
      <c r="L1166" s="204"/>
      <c r="M1166" s="8"/>
      <c r="N1166" s="200"/>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row>
  </sheetData>
  <mergeCells count="3424">
    <mergeCell ref="K5:N5"/>
    <mergeCell ref="O5:S5"/>
    <mergeCell ref="T5:Z5"/>
    <mergeCell ref="A7:A13"/>
    <mergeCell ref="B7:B13"/>
    <mergeCell ref="C7:C13"/>
    <mergeCell ref="O7:O13"/>
    <mergeCell ref="P7:P13"/>
    <mergeCell ref="Q7:Q13"/>
    <mergeCell ref="R7:R13"/>
    <mergeCell ref="A5:A6"/>
    <mergeCell ref="B5:B6"/>
    <mergeCell ref="C5:C6"/>
    <mergeCell ref="D5:D6"/>
    <mergeCell ref="E5:E6"/>
    <mergeCell ref="F5:J5"/>
    <mergeCell ref="A1:D4"/>
    <mergeCell ref="E1:Z1"/>
    <mergeCell ref="E2:Z2"/>
    <mergeCell ref="E3:F3"/>
    <mergeCell ref="G3:AJ3"/>
    <mergeCell ref="E4:F4"/>
    <mergeCell ref="G4:Z4"/>
    <mergeCell ref="A14:A152"/>
    <mergeCell ref="B14:B152"/>
    <mergeCell ref="C14:C20"/>
    <mergeCell ref="O14:O20"/>
    <mergeCell ref="P14:P20"/>
    <mergeCell ref="Q14:Q20"/>
    <mergeCell ref="L17:L20"/>
    <mergeCell ref="M17:M20"/>
    <mergeCell ref="N17:N20"/>
    <mergeCell ref="C21:C27"/>
    <mergeCell ref="Z7:Z13"/>
    <mergeCell ref="D10:D13"/>
    <mergeCell ref="E10:E13"/>
    <mergeCell ref="K10:K13"/>
    <mergeCell ref="L10:L13"/>
    <mergeCell ref="M10:M13"/>
    <mergeCell ref="N10:N13"/>
    <mergeCell ref="S7:S13"/>
    <mergeCell ref="T7:U13"/>
    <mergeCell ref="V7:V13"/>
    <mergeCell ref="W7:W13"/>
    <mergeCell ref="X7:X13"/>
    <mergeCell ref="Y7:Y13"/>
    <mergeCell ref="V21:V27"/>
    <mergeCell ref="W21:W27"/>
    <mergeCell ref="X21:X27"/>
    <mergeCell ref="Y21:Y27"/>
    <mergeCell ref="Z21:Z27"/>
    <mergeCell ref="O21:O27"/>
    <mergeCell ref="P21:P27"/>
    <mergeCell ref="Q21:Q27"/>
    <mergeCell ref="R21:R27"/>
    <mergeCell ref="X14:X20"/>
    <mergeCell ref="Y14:Y20"/>
    <mergeCell ref="Z14:Z20"/>
    <mergeCell ref="D17:D20"/>
    <mergeCell ref="E17:E20"/>
    <mergeCell ref="F17:F20"/>
    <mergeCell ref="G17:G20"/>
    <mergeCell ref="H17:H20"/>
    <mergeCell ref="J17:J20"/>
    <mergeCell ref="K17:K20"/>
    <mergeCell ref="R14:R20"/>
    <mergeCell ref="S14:S20"/>
    <mergeCell ref="T14:T20"/>
    <mergeCell ref="U14:U20"/>
    <mergeCell ref="V14:V20"/>
    <mergeCell ref="W14:W20"/>
    <mergeCell ref="K24:K27"/>
    <mergeCell ref="L24:L27"/>
    <mergeCell ref="M24:M27"/>
    <mergeCell ref="N24:N27"/>
    <mergeCell ref="C28:C34"/>
    <mergeCell ref="O28:O34"/>
    <mergeCell ref="J31:J34"/>
    <mergeCell ref="K31:K34"/>
    <mergeCell ref="L31:L34"/>
    <mergeCell ref="M31:M34"/>
    <mergeCell ref="D24:D27"/>
    <mergeCell ref="E24:E27"/>
    <mergeCell ref="F24:F27"/>
    <mergeCell ref="G24:G27"/>
    <mergeCell ref="H24:H27"/>
    <mergeCell ref="J24:J27"/>
    <mergeCell ref="U21:U27"/>
    <mergeCell ref="C35:C41"/>
    <mergeCell ref="O35:O41"/>
    <mergeCell ref="P35:P41"/>
    <mergeCell ref="Q35:Q41"/>
    <mergeCell ref="R35:R41"/>
    <mergeCell ref="M38:M41"/>
    <mergeCell ref="N38:N41"/>
    <mergeCell ref="N31:N34"/>
    <mergeCell ref="S21:S27"/>
    <mergeCell ref="T21:T27"/>
    <mergeCell ref="V28:V34"/>
    <mergeCell ref="W28:W34"/>
    <mergeCell ref="X28:X34"/>
    <mergeCell ref="Y28:Y34"/>
    <mergeCell ref="Z28:Z34"/>
    <mergeCell ref="D31:D34"/>
    <mergeCell ref="E31:E34"/>
    <mergeCell ref="F31:F34"/>
    <mergeCell ref="G31:G34"/>
    <mergeCell ref="H31:H34"/>
    <mergeCell ref="P28:P34"/>
    <mergeCell ref="Q28:Q34"/>
    <mergeCell ref="R28:R34"/>
    <mergeCell ref="S28:S34"/>
    <mergeCell ref="T28:T34"/>
    <mergeCell ref="U28:U34"/>
    <mergeCell ref="Y35:Y41"/>
    <mergeCell ref="Z35:Z41"/>
    <mergeCell ref="D38:D41"/>
    <mergeCell ref="E38:E41"/>
    <mergeCell ref="F38:F41"/>
    <mergeCell ref="G38:G41"/>
    <mergeCell ref="H38:H41"/>
    <mergeCell ref="J38:J41"/>
    <mergeCell ref="K38:K41"/>
    <mergeCell ref="L38:L41"/>
    <mergeCell ref="S35:S41"/>
    <mergeCell ref="T35:T41"/>
    <mergeCell ref="U35:U41"/>
    <mergeCell ref="V35:V41"/>
    <mergeCell ref="W35:W41"/>
    <mergeCell ref="X35:X41"/>
    <mergeCell ref="Z42:Z48"/>
    <mergeCell ref="D45:D48"/>
    <mergeCell ref="E45:E48"/>
    <mergeCell ref="F45:F48"/>
    <mergeCell ref="G45:G48"/>
    <mergeCell ref="H45:H48"/>
    <mergeCell ref="J45:J48"/>
    <mergeCell ref="K45:K48"/>
    <mergeCell ref="L45:L48"/>
    <mergeCell ref="M45:M48"/>
    <mergeCell ref="T42:T48"/>
    <mergeCell ref="U42:U48"/>
    <mergeCell ref="V42:V48"/>
    <mergeCell ref="W42:W48"/>
    <mergeCell ref="X42:X48"/>
    <mergeCell ref="Y42:Y48"/>
    <mergeCell ref="C42:C48"/>
    <mergeCell ref="O42:O48"/>
    <mergeCell ref="P42:P48"/>
    <mergeCell ref="Q42:Q48"/>
    <mergeCell ref="R42:R48"/>
    <mergeCell ref="S42:S48"/>
    <mergeCell ref="N45:N48"/>
    <mergeCell ref="Z49:Z55"/>
    <mergeCell ref="D52:D55"/>
    <mergeCell ref="E52:E55"/>
    <mergeCell ref="F52:F55"/>
    <mergeCell ref="G52:G55"/>
    <mergeCell ref="H52:H55"/>
    <mergeCell ref="J52:J55"/>
    <mergeCell ref="K52:K55"/>
    <mergeCell ref="L52:L55"/>
    <mergeCell ref="M52:M55"/>
    <mergeCell ref="T49:T55"/>
    <mergeCell ref="U49:U55"/>
    <mergeCell ref="V49:V55"/>
    <mergeCell ref="W49:W55"/>
    <mergeCell ref="X49:X55"/>
    <mergeCell ref="Y49:Y55"/>
    <mergeCell ref="C49:C55"/>
    <mergeCell ref="O49:O55"/>
    <mergeCell ref="P49:P55"/>
    <mergeCell ref="Q49:Q55"/>
    <mergeCell ref="R49:R55"/>
    <mergeCell ref="S49:S55"/>
    <mergeCell ref="N52:N55"/>
    <mergeCell ref="Z56:Z62"/>
    <mergeCell ref="D59:D62"/>
    <mergeCell ref="E59:E62"/>
    <mergeCell ref="F59:F62"/>
    <mergeCell ref="G59:G62"/>
    <mergeCell ref="H59:H62"/>
    <mergeCell ref="J59:J62"/>
    <mergeCell ref="K59:K62"/>
    <mergeCell ref="L59:L62"/>
    <mergeCell ref="M59:M62"/>
    <mergeCell ref="T56:T62"/>
    <mergeCell ref="U56:U62"/>
    <mergeCell ref="V56:V62"/>
    <mergeCell ref="W56:W62"/>
    <mergeCell ref="X56:X62"/>
    <mergeCell ref="Y56:Y62"/>
    <mergeCell ref="C56:C62"/>
    <mergeCell ref="O56:O62"/>
    <mergeCell ref="P56:P62"/>
    <mergeCell ref="Q56:Q62"/>
    <mergeCell ref="R56:R62"/>
    <mergeCell ref="S56:S62"/>
    <mergeCell ref="N59:N62"/>
    <mergeCell ref="Z63:Z69"/>
    <mergeCell ref="D66:D69"/>
    <mergeCell ref="E66:E69"/>
    <mergeCell ref="F66:F69"/>
    <mergeCell ref="G66:G69"/>
    <mergeCell ref="H66:H69"/>
    <mergeCell ref="J66:J69"/>
    <mergeCell ref="K66:K69"/>
    <mergeCell ref="L66:L69"/>
    <mergeCell ref="M66:M69"/>
    <mergeCell ref="T63:T69"/>
    <mergeCell ref="U63:U69"/>
    <mergeCell ref="V63:V69"/>
    <mergeCell ref="W63:W69"/>
    <mergeCell ref="X63:X69"/>
    <mergeCell ref="Y63:Y69"/>
    <mergeCell ref="C63:C69"/>
    <mergeCell ref="O63:O69"/>
    <mergeCell ref="P63:P69"/>
    <mergeCell ref="Q63:Q69"/>
    <mergeCell ref="R63:R69"/>
    <mergeCell ref="S63:S69"/>
    <mergeCell ref="N66:N69"/>
    <mergeCell ref="Z70:Z76"/>
    <mergeCell ref="D73:D76"/>
    <mergeCell ref="E73:E76"/>
    <mergeCell ref="F73:F76"/>
    <mergeCell ref="G73:G76"/>
    <mergeCell ref="H73:H76"/>
    <mergeCell ref="J73:J76"/>
    <mergeCell ref="K73:K76"/>
    <mergeCell ref="L73:L76"/>
    <mergeCell ref="M73:M76"/>
    <mergeCell ref="T70:T76"/>
    <mergeCell ref="U70:U76"/>
    <mergeCell ref="V70:V76"/>
    <mergeCell ref="W70:W76"/>
    <mergeCell ref="X70:X76"/>
    <mergeCell ref="Y70:Y76"/>
    <mergeCell ref="C70:C76"/>
    <mergeCell ref="O70:O76"/>
    <mergeCell ref="P70:P76"/>
    <mergeCell ref="Q70:Q76"/>
    <mergeCell ref="R70:R76"/>
    <mergeCell ref="S70:S76"/>
    <mergeCell ref="N73:N76"/>
    <mergeCell ref="Z77:Z83"/>
    <mergeCell ref="D80:D83"/>
    <mergeCell ref="E80:E83"/>
    <mergeCell ref="F80:F83"/>
    <mergeCell ref="G80:G83"/>
    <mergeCell ref="H80:H83"/>
    <mergeCell ref="J80:J83"/>
    <mergeCell ref="K80:K83"/>
    <mergeCell ref="L80:L83"/>
    <mergeCell ref="M80:M83"/>
    <mergeCell ref="T77:T83"/>
    <mergeCell ref="U77:U83"/>
    <mergeCell ref="V77:V83"/>
    <mergeCell ref="W77:W83"/>
    <mergeCell ref="X77:X83"/>
    <mergeCell ref="Y77:Y83"/>
    <mergeCell ref="C77:C83"/>
    <mergeCell ref="O77:O83"/>
    <mergeCell ref="P77:P83"/>
    <mergeCell ref="Q77:Q83"/>
    <mergeCell ref="R77:R83"/>
    <mergeCell ref="S77:S83"/>
    <mergeCell ref="N80:N83"/>
    <mergeCell ref="Z84:Z90"/>
    <mergeCell ref="D87:D90"/>
    <mergeCell ref="E87:E90"/>
    <mergeCell ref="F87:F90"/>
    <mergeCell ref="G87:G90"/>
    <mergeCell ref="H87:H90"/>
    <mergeCell ref="J87:J90"/>
    <mergeCell ref="K87:K90"/>
    <mergeCell ref="L87:L90"/>
    <mergeCell ref="M87:M90"/>
    <mergeCell ref="T84:T90"/>
    <mergeCell ref="U84:U90"/>
    <mergeCell ref="V84:V90"/>
    <mergeCell ref="W84:W90"/>
    <mergeCell ref="X84:X90"/>
    <mergeCell ref="Y84:Y90"/>
    <mergeCell ref="C84:C90"/>
    <mergeCell ref="O84:O90"/>
    <mergeCell ref="P84:P90"/>
    <mergeCell ref="Q84:Q90"/>
    <mergeCell ref="R84:R90"/>
    <mergeCell ref="S84:S90"/>
    <mergeCell ref="N87:N90"/>
    <mergeCell ref="Z91:Z97"/>
    <mergeCell ref="D94:D97"/>
    <mergeCell ref="E94:E97"/>
    <mergeCell ref="F94:F97"/>
    <mergeCell ref="G94:G97"/>
    <mergeCell ref="H94:H97"/>
    <mergeCell ref="J94:J97"/>
    <mergeCell ref="K94:K97"/>
    <mergeCell ref="L94:L97"/>
    <mergeCell ref="M94:M97"/>
    <mergeCell ref="T91:T97"/>
    <mergeCell ref="U91:U97"/>
    <mergeCell ref="V91:V97"/>
    <mergeCell ref="W91:W97"/>
    <mergeCell ref="X91:X97"/>
    <mergeCell ref="Y91:Y97"/>
    <mergeCell ref="C91:C97"/>
    <mergeCell ref="O91:O97"/>
    <mergeCell ref="P91:P97"/>
    <mergeCell ref="Q91:Q97"/>
    <mergeCell ref="R91:R97"/>
    <mergeCell ref="S91:S97"/>
    <mergeCell ref="N94:N97"/>
    <mergeCell ref="Z98:Z104"/>
    <mergeCell ref="D101:D104"/>
    <mergeCell ref="E101:E104"/>
    <mergeCell ref="F101:F104"/>
    <mergeCell ref="G101:G104"/>
    <mergeCell ref="H101:H104"/>
    <mergeCell ref="J101:J104"/>
    <mergeCell ref="K101:K104"/>
    <mergeCell ref="L101:L104"/>
    <mergeCell ref="M101:M104"/>
    <mergeCell ref="T98:T104"/>
    <mergeCell ref="U98:U104"/>
    <mergeCell ref="V98:V104"/>
    <mergeCell ref="W98:W104"/>
    <mergeCell ref="X98:X104"/>
    <mergeCell ref="Y98:Y104"/>
    <mergeCell ref="C98:C104"/>
    <mergeCell ref="O98:O104"/>
    <mergeCell ref="P98:P104"/>
    <mergeCell ref="Q98:Q104"/>
    <mergeCell ref="R98:R104"/>
    <mergeCell ref="S98:S104"/>
    <mergeCell ref="N101:N104"/>
    <mergeCell ref="Z105:Z111"/>
    <mergeCell ref="D108:D111"/>
    <mergeCell ref="E108:E111"/>
    <mergeCell ref="F108:F111"/>
    <mergeCell ref="G108:G111"/>
    <mergeCell ref="H108:H111"/>
    <mergeCell ref="J108:J111"/>
    <mergeCell ref="K108:K111"/>
    <mergeCell ref="L108:L111"/>
    <mergeCell ref="M108:M111"/>
    <mergeCell ref="T105:T111"/>
    <mergeCell ref="U105:U111"/>
    <mergeCell ref="V105:V111"/>
    <mergeCell ref="W105:W111"/>
    <mergeCell ref="X105:X111"/>
    <mergeCell ref="Y105:Y111"/>
    <mergeCell ref="C105:C111"/>
    <mergeCell ref="O105:O111"/>
    <mergeCell ref="P105:P111"/>
    <mergeCell ref="Q105:Q111"/>
    <mergeCell ref="R105:R111"/>
    <mergeCell ref="S105:S111"/>
    <mergeCell ref="N108:N111"/>
    <mergeCell ref="Z112:Z118"/>
    <mergeCell ref="D115:D118"/>
    <mergeCell ref="E115:E118"/>
    <mergeCell ref="F115:F118"/>
    <mergeCell ref="G115:G118"/>
    <mergeCell ref="H115:H118"/>
    <mergeCell ref="J115:J118"/>
    <mergeCell ref="K115:K118"/>
    <mergeCell ref="L115:L118"/>
    <mergeCell ref="M115:M118"/>
    <mergeCell ref="T112:T118"/>
    <mergeCell ref="U112:U118"/>
    <mergeCell ref="V112:V118"/>
    <mergeCell ref="W112:W118"/>
    <mergeCell ref="X112:X118"/>
    <mergeCell ref="Y112:Y118"/>
    <mergeCell ref="C112:C118"/>
    <mergeCell ref="O112:O118"/>
    <mergeCell ref="P112:P118"/>
    <mergeCell ref="Q112:Q118"/>
    <mergeCell ref="R112:R118"/>
    <mergeCell ref="S112:S118"/>
    <mergeCell ref="N115:N118"/>
    <mergeCell ref="Z119:Z125"/>
    <mergeCell ref="D122:D125"/>
    <mergeCell ref="E122:E125"/>
    <mergeCell ref="F122:F125"/>
    <mergeCell ref="G122:G125"/>
    <mergeCell ref="H122:H125"/>
    <mergeCell ref="J122:J125"/>
    <mergeCell ref="K122:K125"/>
    <mergeCell ref="L122:L125"/>
    <mergeCell ref="M122:M125"/>
    <mergeCell ref="T119:T125"/>
    <mergeCell ref="U119:U125"/>
    <mergeCell ref="V119:V125"/>
    <mergeCell ref="W119:W125"/>
    <mergeCell ref="X119:X125"/>
    <mergeCell ref="Y119:Y125"/>
    <mergeCell ref="C119:C125"/>
    <mergeCell ref="O119:O125"/>
    <mergeCell ref="P119:P125"/>
    <mergeCell ref="Q119:Q125"/>
    <mergeCell ref="R119:R125"/>
    <mergeCell ref="S119:S125"/>
    <mergeCell ref="N122:N125"/>
    <mergeCell ref="Z126:Z132"/>
    <mergeCell ref="D129:D132"/>
    <mergeCell ref="E129:E132"/>
    <mergeCell ref="F129:F132"/>
    <mergeCell ref="G129:G132"/>
    <mergeCell ref="H129:H132"/>
    <mergeCell ref="J129:J132"/>
    <mergeCell ref="K129:K132"/>
    <mergeCell ref="L129:L132"/>
    <mergeCell ref="M129:M132"/>
    <mergeCell ref="T126:T132"/>
    <mergeCell ref="U126:U132"/>
    <mergeCell ref="V126:V132"/>
    <mergeCell ref="W126:W132"/>
    <mergeCell ref="X126:X132"/>
    <mergeCell ref="Y126:Y132"/>
    <mergeCell ref="C126:C132"/>
    <mergeCell ref="O126:O132"/>
    <mergeCell ref="P126:P132"/>
    <mergeCell ref="Q126:Q132"/>
    <mergeCell ref="R126:R132"/>
    <mergeCell ref="S126:S132"/>
    <mergeCell ref="N129:N132"/>
    <mergeCell ref="C140:C146"/>
    <mergeCell ref="O140:O146"/>
    <mergeCell ref="P140:P146"/>
    <mergeCell ref="Q140:Q146"/>
    <mergeCell ref="R140:R146"/>
    <mergeCell ref="S140:S146"/>
    <mergeCell ref="N143:N146"/>
    <mergeCell ref="Z133:Z139"/>
    <mergeCell ref="D136:D139"/>
    <mergeCell ref="E136:E139"/>
    <mergeCell ref="F136:F139"/>
    <mergeCell ref="G136:G139"/>
    <mergeCell ref="H136:H139"/>
    <mergeCell ref="J136:J139"/>
    <mergeCell ref="K136:K139"/>
    <mergeCell ref="L136:L139"/>
    <mergeCell ref="M136:M139"/>
    <mergeCell ref="T133:T139"/>
    <mergeCell ref="U133:U139"/>
    <mergeCell ref="V133:V139"/>
    <mergeCell ref="W133:W139"/>
    <mergeCell ref="X133:X139"/>
    <mergeCell ref="Y133:Y139"/>
    <mergeCell ref="C133:C139"/>
    <mergeCell ref="O133:O139"/>
    <mergeCell ref="P133:P139"/>
    <mergeCell ref="Q133:Q139"/>
    <mergeCell ref="R133:R139"/>
    <mergeCell ref="S133:S139"/>
    <mergeCell ref="N136:N139"/>
    <mergeCell ref="P147:P149"/>
    <mergeCell ref="Q147:Q149"/>
    <mergeCell ref="R147:R149"/>
    <mergeCell ref="S147:S149"/>
    <mergeCell ref="Z140:Z146"/>
    <mergeCell ref="D143:D146"/>
    <mergeCell ref="E143:E146"/>
    <mergeCell ref="F143:F146"/>
    <mergeCell ref="G143:G146"/>
    <mergeCell ref="H143:H146"/>
    <mergeCell ref="J143:J146"/>
    <mergeCell ref="K143:K146"/>
    <mergeCell ref="L143:L146"/>
    <mergeCell ref="M143:M146"/>
    <mergeCell ref="T140:T146"/>
    <mergeCell ref="U140:U146"/>
    <mergeCell ref="V140:V146"/>
    <mergeCell ref="W140:W146"/>
    <mergeCell ref="X140:X146"/>
    <mergeCell ref="Y140:Y146"/>
    <mergeCell ref="Z153:Z159"/>
    <mergeCell ref="D156:D159"/>
    <mergeCell ref="E156:E159"/>
    <mergeCell ref="J156:J159"/>
    <mergeCell ref="K156:K159"/>
    <mergeCell ref="L156:L159"/>
    <mergeCell ref="M156:M159"/>
    <mergeCell ref="N156:N159"/>
    <mergeCell ref="T153:T159"/>
    <mergeCell ref="U153:U159"/>
    <mergeCell ref="V153:V159"/>
    <mergeCell ref="W153:W159"/>
    <mergeCell ref="X153:X159"/>
    <mergeCell ref="Y153:Y159"/>
    <mergeCell ref="Z147:Z149"/>
    <mergeCell ref="C150:C152"/>
    <mergeCell ref="A153:A159"/>
    <mergeCell ref="B153:B159"/>
    <mergeCell ref="C153:C159"/>
    <mergeCell ref="O153:O159"/>
    <mergeCell ref="P153:P159"/>
    <mergeCell ref="Q153:Q159"/>
    <mergeCell ref="R153:R159"/>
    <mergeCell ref="S153:S159"/>
    <mergeCell ref="T147:T149"/>
    <mergeCell ref="U147:U149"/>
    <mergeCell ref="V147:V149"/>
    <mergeCell ref="W147:W149"/>
    <mergeCell ref="X147:X149"/>
    <mergeCell ref="Y147:Y149"/>
    <mergeCell ref="C147:C149"/>
    <mergeCell ref="O147:O149"/>
    <mergeCell ref="V167:V173"/>
    <mergeCell ref="W167:W173"/>
    <mergeCell ref="X167:X173"/>
    <mergeCell ref="Y167:Y173"/>
    <mergeCell ref="Z167:Z173"/>
    <mergeCell ref="O167:O173"/>
    <mergeCell ref="P167:P173"/>
    <mergeCell ref="Q167:Q173"/>
    <mergeCell ref="R167:R173"/>
    <mergeCell ref="S167:S173"/>
    <mergeCell ref="T167:T173"/>
    <mergeCell ref="X160:X166"/>
    <mergeCell ref="Y160:Y166"/>
    <mergeCell ref="Z160:Z166"/>
    <mergeCell ref="D163:D166"/>
    <mergeCell ref="E163:E166"/>
    <mergeCell ref="F163:F166"/>
    <mergeCell ref="G163:G166"/>
    <mergeCell ref="H163:H166"/>
    <mergeCell ref="J163:J166"/>
    <mergeCell ref="K163:K166"/>
    <mergeCell ref="R160:R166"/>
    <mergeCell ref="S160:S166"/>
    <mergeCell ref="T160:T166"/>
    <mergeCell ref="U160:U166"/>
    <mergeCell ref="V160:V166"/>
    <mergeCell ref="W160:W166"/>
    <mergeCell ref="O160:O166"/>
    <mergeCell ref="P160:P166"/>
    <mergeCell ref="Q160:Q166"/>
    <mergeCell ref="L163:L166"/>
    <mergeCell ref="M163:M166"/>
    <mergeCell ref="P174:P180"/>
    <mergeCell ref="Q174:Q180"/>
    <mergeCell ref="R174:R180"/>
    <mergeCell ref="S174:S180"/>
    <mergeCell ref="T174:T180"/>
    <mergeCell ref="U174:U180"/>
    <mergeCell ref="K170:K173"/>
    <mergeCell ref="L170:L173"/>
    <mergeCell ref="M170:M173"/>
    <mergeCell ref="N170:N173"/>
    <mergeCell ref="C174:C180"/>
    <mergeCell ref="O174:O180"/>
    <mergeCell ref="J177:J180"/>
    <mergeCell ref="K177:K180"/>
    <mergeCell ref="L177:L180"/>
    <mergeCell ref="M177:M180"/>
    <mergeCell ref="D170:D173"/>
    <mergeCell ref="E170:E173"/>
    <mergeCell ref="F170:F173"/>
    <mergeCell ref="G170:G173"/>
    <mergeCell ref="H170:H173"/>
    <mergeCell ref="J170:J173"/>
    <mergeCell ref="U167:U173"/>
    <mergeCell ref="C167:C173"/>
    <mergeCell ref="Y181:Y186"/>
    <mergeCell ref="Z181:Z186"/>
    <mergeCell ref="D184:D186"/>
    <mergeCell ref="L184:L186"/>
    <mergeCell ref="C187:C193"/>
    <mergeCell ref="O187:O193"/>
    <mergeCell ref="P187:P193"/>
    <mergeCell ref="Q187:Q193"/>
    <mergeCell ref="R187:R193"/>
    <mergeCell ref="S187:S193"/>
    <mergeCell ref="S181:S186"/>
    <mergeCell ref="T181:T186"/>
    <mergeCell ref="U181:U186"/>
    <mergeCell ref="V181:V186"/>
    <mergeCell ref="W181:W186"/>
    <mergeCell ref="X181:X186"/>
    <mergeCell ref="N177:N180"/>
    <mergeCell ref="C181:C186"/>
    <mergeCell ref="O181:O186"/>
    <mergeCell ref="P181:P186"/>
    <mergeCell ref="Q181:Q186"/>
    <mergeCell ref="R181:R186"/>
    <mergeCell ref="V174:V180"/>
    <mergeCell ref="W174:W180"/>
    <mergeCell ref="X174:X180"/>
    <mergeCell ref="Y174:Y180"/>
    <mergeCell ref="Z174:Z180"/>
    <mergeCell ref="D177:D180"/>
    <mergeCell ref="E177:E180"/>
    <mergeCell ref="F177:F180"/>
    <mergeCell ref="G177:G180"/>
    <mergeCell ref="H177:H180"/>
    <mergeCell ref="C194:C200"/>
    <mergeCell ref="O194:O200"/>
    <mergeCell ref="P194:P200"/>
    <mergeCell ref="Q194:Q200"/>
    <mergeCell ref="R194:R200"/>
    <mergeCell ref="M197:M200"/>
    <mergeCell ref="N197:N200"/>
    <mergeCell ref="Z187:Z193"/>
    <mergeCell ref="D190:D193"/>
    <mergeCell ref="E190:E193"/>
    <mergeCell ref="F190:F193"/>
    <mergeCell ref="G190:G193"/>
    <mergeCell ref="H190:H193"/>
    <mergeCell ref="J190:J193"/>
    <mergeCell ref="K190:K193"/>
    <mergeCell ref="L190:L193"/>
    <mergeCell ref="M190:M193"/>
    <mergeCell ref="T187:T193"/>
    <mergeCell ref="U187:U193"/>
    <mergeCell ref="V187:V193"/>
    <mergeCell ref="W187:W193"/>
    <mergeCell ref="X187:X193"/>
    <mergeCell ref="Y187:Y193"/>
    <mergeCell ref="Y194:Y200"/>
    <mergeCell ref="Z194:Z200"/>
    <mergeCell ref="D197:D200"/>
    <mergeCell ref="E197:E200"/>
    <mergeCell ref="F197:F200"/>
    <mergeCell ref="G197:G200"/>
    <mergeCell ref="H197:H200"/>
    <mergeCell ref="J197:J200"/>
    <mergeCell ref="K197:K200"/>
    <mergeCell ref="L197:L200"/>
    <mergeCell ref="S194:S200"/>
    <mergeCell ref="T194:T200"/>
    <mergeCell ref="U194:U200"/>
    <mergeCell ref="V194:V200"/>
    <mergeCell ref="W194:W200"/>
    <mergeCell ref="X194:X200"/>
    <mergeCell ref="N190:N193"/>
    <mergeCell ref="Z201:Z207"/>
    <mergeCell ref="D204:D207"/>
    <mergeCell ref="E204:E207"/>
    <mergeCell ref="F204:F207"/>
    <mergeCell ref="G204:G207"/>
    <mergeCell ref="H204:H207"/>
    <mergeCell ref="J204:J207"/>
    <mergeCell ref="K204:K207"/>
    <mergeCell ref="L204:L207"/>
    <mergeCell ref="M204:M207"/>
    <mergeCell ref="T201:T207"/>
    <mergeCell ref="U201:U207"/>
    <mergeCell ref="V201:V207"/>
    <mergeCell ref="W201:W207"/>
    <mergeCell ref="X201:X207"/>
    <mergeCell ref="Y201:Y207"/>
    <mergeCell ref="C201:C207"/>
    <mergeCell ref="O201:O207"/>
    <mergeCell ref="P201:P207"/>
    <mergeCell ref="Q201:Q207"/>
    <mergeCell ref="R201:R207"/>
    <mergeCell ref="S201:S207"/>
    <mergeCell ref="N204:N207"/>
    <mergeCell ref="Z208:Z214"/>
    <mergeCell ref="D211:D214"/>
    <mergeCell ref="C215:C221"/>
    <mergeCell ref="O215:O221"/>
    <mergeCell ref="P215:P221"/>
    <mergeCell ref="Q215:Q221"/>
    <mergeCell ref="R215:R221"/>
    <mergeCell ref="S215:S221"/>
    <mergeCell ref="T215:T221"/>
    <mergeCell ref="U215:U221"/>
    <mergeCell ref="T208:T214"/>
    <mergeCell ref="U208:U214"/>
    <mergeCell ref="V208:V214"/>
    <mergeCell ref="W208:W214"/>
    <mergeCell ref="X208:X214"/>
    <mergeCell ref="Y208:Y214"/>
    <mergeCell ref="C208:C214"/>
    <mergeCell ref="O208:O214"/>
    <mergeCell ref="P208:P214"/>
    <mergeCell ref="Q208:Q214"/>
    <mergeCell ref="R208:R214"/>
    <mergeCell ref="S208:S214"/>
    <mergeCell ref="J218:J221"/>
    <mergeCell ref="K218:K221"/>
    <mergeCell ref="L218:L221"/>
    <mergeCell ref="M218:M221"/>
    <mergeCell ref="N218:N221"/>
    <mergeCell ref="C222:C228"/>
    <mergeCell ref="D225:D228"/>
    <mergeCell ref="E225:E228"/>
    <mergeCell ref="K225:K228"/>
    <mergeCell ref="M225:M228"/>
    <mergeCell ref="V215:V221"/>
    <mergeCell ref="W215:W221"/>
    <mergeCell ref="X215:X221"/>
    <mergeCell ref="Y215:Y221"/>
    <mergeCell ref="Z215:Z221"/>
    <mergeCell ref="D218:D221"/>
    <mergeCell ref="E218:E221"/>
    <mergeCell ref="F218:F221"/>
    <mergeCell ref="G218:G221"/>
    <mergeCell ref="H218:H221"/>
    <mergeCell ref="Y229:Y235"/>
    <mergeCell ref="Z229:Z235"/>
    <mergeCell ref="D232:D235"/>
    <mergeCell ref="E232:E235"/>
    <mergeCell ref="K232:K235"/>
    <mergeCell ref="M232:M235"/>
    <mergeCell ref="N232:N235"/>
    <mergeCell ref="S229:S235"/>
    <mergeCell ref="T229:T235"/>
    <mergeCell ref="U229:U235"/>
    <mergeCell ref="V229:V235"/>
    <mergeCell ref="W229:W235"/>
    <mergeCell ref="X229:X235"/>
    <mergeCell ref="N225:N228"/>
    <mergeCell ref="C229:C235"/>
    <mergeCell ref="O229:O235"/>
    <mergeCell ref="P229:P235"/>
    <mergeCell ref="Q229:Q235"/>
    <mergeCell ref="R229:R235"/>
    <mergeCell ref="U222:U228"/>
    <mergeCell ref="V222:V228"/>
    <mergeCell ref="W222:W228"/>
    <mergeCell ref="X222:X228"/>
    <mergeCell ref="Y222:Y228"/>
    <mergeCell ref="Z222:Z228"/>
    <mergeCell ref="O222:O228"/>
    <mergeCell ref="P222:P228"/>
    <mergeCell ref="Q222:Q228"/>
    <mergeCell ref="R222:R228"/>
    <mergeCell ref="S222:S228"/>
    <mergeCell ref="T222:T228"/>
    <mergeCell ref="Z236:Z242"/>
    <mergeCell ref="D239:D242"/>
    <mergeCell ref="E239:E242"/>
    <mergeCell ref="K239:K242"/>
    <mergeCell ref="M239:M242"/>
    <mergeCell ref="N239:N242"/>
    <mergeCell ref="T236:T242"/>
    <mergeCell ref="U236:U242"/>
    <mergeCell ref="V236:V242"/>
    <mergeCell ref="W236:W242"/>
    <mergeCell ref="X236:X242"/>
    <mergeCell ref="Y236:Y242"/>
    <mergeCell ref="C236:C242"/>
    <mergeCell ref="O236:O242"/>
    <mergeCell ref="P236:P242"/>
    <mergeCell ref="Q236:Q242"/>
    <mergeCell ref="R236:R242"/>
    <mergeCell ref="S236:S242"/>
    <mergeCell ref="Z243:Z249"/>
    <mergeCell ref="D246:D249"/>
    <mergeCell ref="E246:E249"/>
    <mergeCell ref="K246:K249"/>
    <mergeCell ref="M246:M249"/>
    <mergeCell ref="N246:N249"/>
    <mergeCell ref="T243:T249"/>
    <mergeCell ref="U243:U249"/>
    <mergeCell ref="V243:V249"/>
    <mergeCell ref="W243:W249"/>
    <mergeCell ref="X243:X249"/>
    <mergeCell ref="Y243:Y249"/>
    <mergeCell ref="C243:C249"/>
    <mergeCell ref="O243:O249"/>
    <mergeCell ref="P243:P249"/>
    <mergeCell ref="Q243:Q249"/>
    <mergeCell ref="R243:R249"/>
    <mergeCell ref="S243:S249"/>
    <mergeCell ref="Z250:Z256"/>
    <mergeCell ref="D253:D256"/>
    <mergeCell ref="E253:E256"/>
    <mergeCell ref="K253:K256"/>
    <mergeCell ref="M253:M256"/>
    <mergeCell ref="N253:N256"/>
    <mergeCell ref="T250:T256"/>
    <mergeCell ref="U250:U256"/>
    <mergeCell ref="V250:V256"/>
    <mergeCell ref="W250:W256"/>
    <mergeCell ref="X250:X256"/>
    <mergeCell ref="Y250:Y256"/>
    <mergeCell ref="C250:C256"/>
    <mergeCell ref="O250:O256"/>
    <mergeCell ref="P250:P256"/>
    <mergeCell ref="Q250:Q256"/>
    <mergeCell ref="R250:R256"/>
    <mergeCell ref="S250:S256"/>
    <mergeCell ref="C264:C265"/>
    <mergeCell ref="C266:C272"/>
    <mergeCell ref="O266:O272"/>
    <mergeCell ref="P266:P272"/>
    <mergeCell ref="Q266:Q272"/>
    <mergeCell ref="R266:R272"/>
    <mergeCell ref="M269:M272"/>
    <mergeCell ref="N269:N272"/>
    <mergeCell ref="Z257:Z263"/>
    <mergeCell ref="D260:D263"/>
    <mergeCell ref="E260:E263"/>
    <mergeCell ref="K260:K263"/>
    <mergeCell ref="M260:M263"/>
    <mergeCell ref="N260:N263"/>
    <mergeCell ref="T257:T263"/>
    <mergeCell ref="U257:U263"/>
    <mergeCell ref="V257:V263"/>
    <mergeCell ref="W257:W263"/>
    <mergeCell ref="X257:X263"/>
    <mergeCell ref="Y257:Y263"/>
    <mergeCell ref="C257:C263"/>
    <mergeCell ref="O257:O263"/>
    <mergeCell ref="P257:P263"/>
    <mergeCell ref="Q257:Q263"/>
    <mergeCell ref="R257:R263"/>
    <mergeCell ref="S257:S263"/>
    <mergeCell ref="A276:A282"/>
    <mergeCell ref="B276:B282"/>
    <mergeCell ref="C276:C282"/>
    <mergeCell ref="O276:O282"/>
    <mergeCell ref="P276:P282"/>
    <mergeCell ref="L279:L282"/>
    <mergeCell ref="M279:M282"/>
    <mergeCell ref="N279:N282"/>
    <mergeCell ref="Y266:Y272"/>
    <mergeCell ref="Z266:Z272"/>
    <mergeCell ref="D269:D272"/>
    <mergeCell ref="E269:E272"/>
    <mergeCell ref="F269:F272"/>
    <mergeCell ref="G269:G272"/>
    <mergeCell ref="H269:H272"/>
    <mergeCell ref="J269:J272"/>
    <mergeCell ref="K269:K272"/>
    <mergeCell ref="L269:L272"/>
    <mergeCell ref="S266:S272"/>
    <mergeCell ref="T266:T272"/>
    <mergeCell ref="U266:U272"/>
    <mergeCell ref="V266:V272"/>
    <mergeCell ref="W266:W272"/>
    <mergeCell ref="X266:X272"/>
    <mergeCell ref="A160:A275"/>
    <mergeCell ref="B160:B275"/>
    <mergeCell ref="C160:C166"/>
    <mergeCell ref="N163:N166"/>
    <mergeCell ref="X276:X282"/>
    <mergeCell ref="Y276:Y282"/>
    <mergeCell ref="Z276:Z282"/>
    <mergeCell ref="D279:D282"/>
    <mergeCell ref="E279:E282"/>
    <mergeCell ref="F279:F282"/>
    <mergeCell ref="G279:G282"/>
    <mergeCell ref="H279:H282"/>
    <mergeCell ref="J279:J282"/>
    <mergeCell ref="K279:K282"/>
    <mergeCell ref="Q276:Q282"/>
    <mergeCell ref="R276:R282"/>
    <mergeCell ref="S276:S282"/>
    <mergeCell ref="T276:U282"/>
    <mergeCell ref="V276:V282"/>
    <mergeCell ref="W276:W282"/>
    <mergeCell ref="C273:C275"/>
    <mergeCell ref="T283:U289"/>
    <mergeCell ref="W283:W289"/>
    <mergeCell ref="X283:X289"/>
    <mergeCell ref="Y283:Y289"/>
    <mergeCell ref="Z283:Z289"/>
    <mergeCell ref="D286:D289"/>
    <mergeCell ref="E286:E289"/>
    <mergeCell ref="F286:F289"/>
    <mergeCell ref="G286:G289"/>
    <mergeCell ref="H286:H289"/>
    <mergeCell ref="C283:C289"/>
    <mergeCell ref="O283:O289"/>
    <mergeCell ref="P283:P289"/>
    <mergeCell ref="Q283:Q289"/>
    <mergeCell ref="R283:R289"/>
    <mergeCell ref="S283:S289"/>
    <mergeCell ref="J286:J289"/>
    <mergeCell ref="K286:K289"/>
    <mergeCell ref="M286:M289"/>
    <mergeCell ref="N286:N289"/>
    <mergeCell ref="T290:U296"/>
    <mergeCell ref="W290:W296"/>
    <mergeCell ref="X290:X296"/>
    <mergeCell ref="Y290:Y296"/>
    <mergeCell ref="Z290:Z296"/>
    <mergeCell ref="D293:D296"/>
    <mergeCell ref="E293:E296"/>
    <mergeCell ref="F293:F296"/>
    <mergeCell ref="G293:G296"/>
    <mergeCell ref="H293:H296"/>
    <mergeCell ref="C290:C296"/>
    <mergeCell ref="O290:O296"/>
    <mergeCell ref="P290:P296"/>
    <mergeCell ref="Q290:Q296"/>
    <mergeCell ref="R290:R296"/>
    <mergeCell ref="S290:S296"/>
    <mergeCell ref="J293:J296"/>
    <mergeCell ref="K293:K296"/>
    <mergeCell ref="M293:M296"/>
    <mergeCell ref="N293:N296"/>
    <mergeCell ref="K307:K310"/>
    <mergeCell ref="M307:M310"/>
    <mergeCell ref="N307:N310"/>
    <mergeCell ref="T297:U303"/>
    <mergeCell ref="W297:W303"/>
    <mergeCell ref="X297:X303"/>
    <mergeCell ref="Y297:Y303"/>
    <mergeCell ref="Z297:Z303"/>
    <mergeCell ref="D300:D303"/>
    <mergeCell ref="E300:E303"/>
    <mergeCell ref="F300:F303"/>
    <mergeCell ref="G300:G303"/>
    <mergeCell ref="H300:H303"/>
    <mergeCell ref="C297:C303"/>
    <mergeCell ref="O297:O303"/>
    <mergeCell ref="P297:P303"/>
    <mergeCell ref="Q297:Q303"/>
    <mergeCell ref="R297:R303"/>
    <mergeCell ref="S297:S303"/>
    <mergeCell ref="J300:J303"/>
    <mergeCell ref="K300:K303"/>
    <mergeCell ref="M300:M303"/>
    <mergeCell ref="N300:N303"/>
    <mergeCell ref="V313:V319"/>
    <mergeCell ref="W313:W319"/>
    <mergeCell ref="X313:X319"/>
    <mergeCell ref="Y313:Y319"/>
    <mergeCell ref="Z313:Z319"/>
    <mergeCell ref="C311:C312"/>
    <mergeCell ref="O311:Z312"/>
    <mergeCell ref="A313:A319"/>
    <mergeCell ref="B313:B319"/>
    <mergeCell ref="C313:C319"/>
    <mergeCell ref="O313:O319"/>
    <mergeCell ref="P313:P319"/>
    <mergeCell ref="Q313:Q319"/>
    <mergeCell ref="R313:R319"/>
    <mergeCell ref="S313:S319"/>
    <mergeCell ref="T304:U310"/>
    <mergeCell ref="W304:W310"/>
    <mergeCell ref="X304:X310"/>
    <mergeCell ref="Y304:Y310"/>
    <mergeCell ref="Z304:Z310"/>
    <mergeCell ref="D307:D310"/>
    <mergeCell ref="E307:E310"/>
    <mergeCell ref="F307:F310"/>
    <mergeCell ref="G307:G310"/>
    <mergeCell ref="H307:H310"/>
    <mergeCell ref="C304:C310"/>
    <mergeCell ref="O304:O310"/>
    <mergeCell ref="P304:P310"/>
    <mergeCell ref="Q304:Q310"/>
    <mergeCell ref="R304:R310"/>
    <mergeCell ref="S304:S310"/>
    <mergeCell ref="J307:J310"/>
    <mergeCell ref="K316:K319"/>
    <mergeCell ref="L316:L319"/>
    <mergeCell ref="M316:M319"/>
    <mergeCell ref="N316:N319"/>
    <mergeCell ref="A320:A326"/>
    <mergeCell ref="B320:B326"/>
    <mergeCell ref="C320:C326"/>
    <mergeCell ref="J323:J326"/>
    <mergeCell ref="K323:K326"/>
    <mergeCell ref="L323:L326"/>
    <mergeCell ref="D316:D319"/>
    <mergeCell ref="E316:E319"/>
    <mergeCell ref="F316:F319"/>
    <mergeCell ref="G316:G319"/>
    <mergeCell ref="H316:H319"/>
    <mergeCell ref="J316:J319"/>
    <mergeCell ref="T313:U319"/>
    <mergeCell ref="A327:A480"/>
    <mergeCell ref="B327:B480"/>
    <mergeCell ref="C327:C333"/>
    <mergeCell ref="O327:O333"/>
    <mergeCell ref="K330:K333"/>
    <mergeCell ref="L330:L333"/>
    <mergeCell ref="M330:M333"/>
    <mergeCell ref="N330:N333"/>
    <mergeCell ref="M323:M326"/>
    <mergeCell ref="N323:N326"/>
    <mergeCell ref="H337:H340"/>
    <mergeCell ref="J337:J340"/>
    <mergeCell ref="K337:K340"/>
    <mergeCell ref="L337:L340"/>
    <mergeCell ref="M337:M340"/>
    <mergeCell ref="N337:N340"/>
    <mergeCell ref="T334:U340"/>
    <mergeCell ref="O341:O347"/>
    <mergeCell ref="P341:P347"/>
    <mergeCell ref="V320:V326"/>
    <mergeCell ref="W320:W326"/>
    <mergeCell ref="X320:X326"/>
    <mergeCell ref="Y320:Y326"/>
    <mergeCell ref="Z320:Z326"/>
    <mergeCell ref="D323:D326"/>
    <mergeCell ref="E323:E326"/>
    <mergeCell ref="F323:F326"/>
    <mergeCell ref="G323:G326"/>
    <mergeCell ref="H323:H326"/>
    <mergeCell ref="O320:O326"/>
    <mergeCell ref="P320:P326"/>
    <mergeCell ref="Q320:Q326"/>
    <mergeCell ref="R320:R326"/>
    <mergeCell ref="S320:S326"/>
    <mergeCell ref="T320:U326"/>
    <mergeCell ref="W327:W333"/>
    <mergeCell ref="X327:X333"/>
    <mergeCell ref="Y327:Y333"/>
    <mergeCell ref="Z327:Z333"/>
    <mergeCell ref="D330:D333"/>
    <mergeCell ref="E330:E333"/>
    <mergeCell ref="F330:F333"/>
    <mergeCell ref="G330:G333"/>
    <mergeCell ref="H330:H333"/>
    <mergeCell ref="J330:J333"/>
    <mergeCell ref="P327:P333"/>
    <mergeCell ref="Q327:Q333"/>
    <mergeCell ref="R327:R333"/>
    <mergeCell ref="S327:S333"/>
    <mergeCell ref="T327:U333"/>
    <mergeCell ref="V327:V333"/>
    <mergeCell ref="V334:V340"/>
    <mergeCell ref="W334:W340"/>
    <mergeCell ref="X334:X340"/>
    <mergeCell ref="Y334:Y340"/>
    <mergeCell ref="Z334:Z340"/>
    <mergeCell ref="C334:C340"/>
    <mergeCell ref="O334:O340"/>
    <mergeCell ref="P334:P340"/>
    <mergeCell ref="Q334:Q340"/>
    <mergeCell ref="R334:R340"/>
    <mergeCell ref="S334:S340"/>
    <mergeCell ref="D337:D340"/>
    <mergeCell ref="E337:E340"/>
    <mergeCell ref="F337:F340"/>
    <mergeCell ref="G337:G340"/>
    <mergeCell ref="Z341:Z347"/>
    <mergeCell ref="D344:D347"/>
    <mergeCell ref="E344:E347"/>
    <mergeCell ref="F344:F347"/>
    <mergeCell ref="G344:G347"/>
    <mergeCell ref="H344:H347"/>
    <mergeCell ref="J344:J347"/>
    <mergeCell ref="K344:K347"/>
    <mergeCell ref="L344:L347"/>
    <mergeCell ref="M344:M347"/>
    <mergeCell ref="T341:T347"/>
    <mergeCell ref="U341:U347"/>
    <mergeCell ref="V341:V347"/>
    <mergeCell ref="W341:W347"/>
    <mergeCell ref="X341:X347"/>
    <mergeCell ref="Y341:Y347"/>
    <mergeCell ref="C341:C347"/>
    <mergeCell ref="Q341:Q347"/>
    <mergeCell ref="R341:R347"/>
    <mergeCell ref="S341:S347"/>
    <mergeCell ref="N344:N347"/>
    <mergeCell ref="Z348:Z354"/>
    <mergeCell ref="D351:D354"/>
    <mergeCell ref="E351:E354"/>
    <mergeCell ref="F351:F354"/>
    <mergeCell ref="G351:G354"/>
    <mergeCell ref="H351:H354"/>
    <mergeCell ref="J351:J354"/>
    <mergeCell ref="K351:K354"/>
    <mergeCell ref="L351:L354"/>
    <mergeCell ref="M351:M354"/>
    <mergeCell ref="T348:T354"/>
    <mergeCell ref="U348:U354"/>
    <mergeCell ref="V348:V354"/>
    <mergeCell ref="W348:W354"/>
    <mergeCell ref="X348:X354"/>
    <mergeCell ref="Y348:Y354"/>
    <mergeCell ref="C348:C354"/>
    <mergeCell ref="O348:O354"/>
    <mergeCell ref="P348:P354"/>
    <mergeCell ref="Q348:Q354"/>
    <mergeCell ref="R348:R354"/>
    <mergeCell ref="S348:S354"/>
    <mergeCell ref="N351:N354"/>
    <mergeCell ref="Z355:Z361"/>
    <mergeCell ref="D358:D361"/>
    <mergeCell ref="E358:E361"/>
    <mergeCell ref="F358:F361"/>
    <mergeCell ref="G358:G361"/>
    <mergeCell ref="H358:H361"/>
    <mergeCell ref="J358:J361"/>
    <mergeCell ref="K358:K361"/>
    <mergeCell ref="L358:L361"/>
    <mergeCell ref="M358:M361"/>
    <mergeCell ref="T355:T361"/>
    <mergeCell ref="U355:U361"/>
    <mergeCell ref="V355:V361"/>
    <mergeCell ref="W355:W361"/>
    <mergeCell ref="X355:X361"/>
    <mergeCell ref="Y355:Y361"/>
    <mergeCell ref="C355:C361"/>
    <mergeCell ref="O355:O361"/>
    <mergeCell ref="P355:P361"/>
    <mergeCell ref="Q355:Q361"/>
    <mergeCell ref="R355:R361"/>
    <mergeCell ref="S355:S361"/>
    <mergeCell ref="N358:N361"/>
    <mergeCell ref="Z362:Z368"/>
    <mergeCell ref="D365:D368"/>
    <mergeCell ref="E365:E368"/>
    <mergeCell ref="F365:F368"/>
    <mergeCell ref="G365:G368"/>
    <mergeCell ref="H365:H368"/>
    <mergeCell ref="J365:J368"/>
    <mergeCell ref="K365:K368"/>
    <mergeCell ref="L365:L368"/>
    <mergeCell ref="M365:M368"/>
    <mergeCell ref="T362:T368"/>
    <mergeCell ref="U362:U368"/>
    <mergeCell ref="V362:V368"/>
    <mergeCell ref="W362:W368"/>
    <mergeCell ref="X362:X368"/>
    <mergeCell ref="Y362:Y368"/>
    <mergeCell ref="C362:C368"/>
    <mergeCell ref="O362:O368"/>
    <mergeCell ref="P362:P368"/>
    <mergeCell ref="Q362:Q368"/>
    <mergeCell ref="R362:R368"/>
    <mergeCell ref="S362:S368"/>
    <mergeCell ref="N365:N368"/>
    <mergeCell ref="Z369:Z375"/>
    <mergeCell ref="D372:D375"/>
    <mergeCell ref="E372:E375"/>
    <mergeCell ref="F372:F375"/>
    <mergeCell ref="G372:G375"/>
    <mergeCell ref="H372:H375"/>
    <mergeCell ref="J372:J375"/>
    <mergeCell ref="K372:K375"/>
    <mergeCell ref="L372:L375"/>
    <mergeCell ref="M372:M375"/>
    <mergeCell ref="T369:T375"/>
    <mergeCell ref="U369:U375"/>
    <mergeCell ref="V369:V375"/>
    <mergeCell ref="W369:W375"/>
    <mergeCell ref="X369:X375"/>
    <mergeCell ref="Y369:Y375"/>
    <mergeCell ref="C369:C375"/>
    <mergeCell ref="O369:O375"/>
    <mergeCell ref="P369:P375"/>
    <mergeCell ref="Q369:Q375"/>
    <mergeCell ref="R369:R375"/>
    <mergeCell ref="S369:S375"/>
    <mergeCell ref="N372:N375"/>
    <mergeCell ref="Z376:Z382"/>
    <mergeCell ref="D379:D382"/>
    <mergeCell ref="E379:E382"/>
    <mergeCell ref="F379:F382"/>
    <mergeCell ref="G379:G382"/>
    <mergeCell ref="H379:H382"/>
    <mergeCell ref="J379:J382"/>
    <mergeCell ref="K379:K382"/>
    <mergeCell ref="L379:L382"/>
    <mergeCell ref="M379:M382"/>
    <mergeCell ref="T376:T382"/>
    <mergeCell ref="U376:U382"/>
    <mergeCell ref="V376:V382"/>
    <mergeCell ref="W376:W382"/>
    <mergeCell ref="X376:X382"/>
    <mergeCell ref="Y376:Y382"/>
    <mergeCell ref="C376:C382"/>
    <mergeCell ref="O376:O382"/>
    <mergeCell ref="P376:P382"/>
    <mergeCell ref="Q376:Q382"/>
    <mergeCell ref="R376:R382"/>
    <mergeCell ref="S376:S382"/>
    <mergeCell ref="N379:N382"/>
    <mergeCell ref="Z383:Z389"/>
    <mergeCell ref="D386:D389"/>
    <mergeCell ref="E386:E389"/>
    <mergeCell ref="F386:F389"/>
    <mergeCell ref="G386:G389"/>
    <mergeCell ref="H386:H389"/>
    <mergeCell ref="J386:J389"/>
    <mergeCell ref="K386:K389"/>
    <mergeCell ref="L386:L389"/>
    <mergeCell ref="M386:M389"/>
    <mergeCell ref="T383:T389"/>
    <mergeCell ref="U383:U389"/>
    <mergeCell ref="V383:V389"/>
    <mergeCell ref="W383:W389"/>
    <mergeCell ref="X383:X389"/>
    <mergeCell ref="Y383:Y389"/>
    <mergeCell ref="C383:C389"/>
    <mergeCell ref="O383:O389"/>
    <mergeCell ref="P383:P389"/>
    <mergeCell ref="Q383:Q389"/>
    <mergeCell ref="R383:R389"/>
    <mergeCell ref="S383:S389"/>
    <mergeCell ref="N386:N389"/>
    <mergeCell ref="Z390:Z396"/>
    <mergeCell ref="D393:D396"/>
    <mergeCell ref="E393:E396"/>
    <mergeCell ref="F393:F396"/>
    <mergeCell ref="G393:G396"/>
    <mergeCell ref="H393:H396"/>
    <mergeCell ref="J393:J396"/>
    <mergeCell ref="K393:K396"/>
    <mergeCell ref="L393:L396"/>
    <mergeCell ref="M393:M396"/>
    <mergeCell ref="T390:T396"/>
    <mergeCell ref="U390:U396"/>
    <mergeCell ref="V390:V396"/>
    <mergeCell ref="W390:W396"/>
    <mergeCell ref="X390:X396"/>
    <mergeCell ref="Y390:Y396"/>
    <mergeCell ref="C390:C396"/>
    <mergeCell ref="O390:O396"/>
    <mergeCell ref="P390:P396"/>
    <mergeCell ref="Q390:Q396"/>
    <mergeCell ref="R390:R396"/>
    <mergeCell ref="S390:S396"/>
    <mergeCell ref="N393:N396"/>
    <mergeCell ref="Z397:Z403"/>
    <mergeCell ref="D400:D403"/>
    <mergeCell ref="E400:E403"/>
    <mergeCell ref="F400:F403"/>
    <mergeCell ref="G400:G403"/>
    <mergeCell ref="H400:H403"/>
    <mergeCell ref="J400:J403"/>
    <mergeCell ref="K400:K403"/>
    <mergeCell ref="L400:L403"/>
    <mergeCell ref="M400:M403"/>
    <mergeCell ref="T397:T403"/>
    <mergeCell ref="U397:U403"/>
    <mergeCell ref="V397:V403"/>
    <mergeCell ref="W397:W403"/>
    <mergeCell ref="X397:X403"/>
    <mergeCell ref="Y397:Y403"/>
    <mergeCell ref="C397:C403"/>
    <mergeCell ref="O397:O403"/>
    <mergeCell ref="P397:P403"/>
    <mergeCell ref="Q397:Q403"/>
    <mergeCell ref="R397:R403"/>
    <mergeCell ref="S397:S403"/>
    <mergeCell ref="N400:N403"/>
    <mergeCell ref="Z404:Z410"/>
    <mergeCell ref="D407:D410"/>
    <mergeCell ref="E407:E410"/>
    <mergeCell ref="F407:F410"/>
    <mergeCell ref="G407:G410"/>
    <mergeCell ref="H407:H410"/>
    <mergeCell ref="J407:J410"/>
    <mergeCell ref="K407:K410"/>
    <mergeCell ref="L407:L410"/>
    <mergeCell ref="M407:M410"/>
    <mergeCell ref="T404:T410"/>
    <mergeCell ref="U404:U410"/>
    <mergeCell ref="V404:V410"/>
    <mergeCell ref="W404:W410"/>
    <mergeCell ref="X404:X410"/>
    <mergeCell ref="Y404:Y410"/>
    <mergeCell ref="C404:C410"/>
    <mergeCell ref="O404:O410"/>
    <mergeCell ref="P404:P410"/>
    <mergeCell ref="Q404:Q410"/>
    <mergeCell ref="R404:R410"/>
    <mergeCell ref="S404:S410"/>
    <mergeCell ref="N407:N410"/>
    <mergeCell ref="Z411:Z417"/>
    <mergeCell ref="D414:D417"/>
    <mergeCell ref="E414:E417"/>
    <mergeCell ref="F414:F417"/>
    <mergeCell ref="G414:G417"/>
    <mergeCell ref="H414:H417"/>
    <mergeCell ref="J414:J417"/>
    <mergeCell ref="K414:K417"/>
    <mergeCell ref="L414:L417"/>
    <mergeCell ref="M414:M417"/>
    <mergeCell ref="T411:T417"/>
    <mergeCell ref="U411:U417"/>
    <mergeCell ref="V411:V417"/>
    <mergeCell ref="W411:W417"/>
    <mergeCell ref="X411:X417"/>
    <mergeCell ref="Y411:Y417"/>
    <mergeCell ref="C411:C417"/>
    <mergeCell ref="O411:O417"/>
    <mergeCell ref="P411:P417"/>
    <mergeCell ref="Q411:Q417"/>
    <mergeCell ref="R411:R417"/>
    <mergeCell ref="S411:S417"/>
    <mergeCell ref="N414:N417"/>
    <mergeCell ref="Z418:Z424"/>
    <mergeCell ref="D421:D424"/>
    <mergeCell ref="E421:E424"/>
    <mergeCell ref="F421:F424"/>
    <mergeCell ref="G421:G424"/>
    <mergeCell ref="H421:H424"/>
    <mergeCell ref="J421:J424"/>
    <mergeCell ref="K421:K424"/>
    <mergeCell ref="L421:L424"/>
    <mergeCell ref="M421:M424"/>
    <mergeCell ref="T418:T424"/>
    <mergeCell ref="U418:U424"/>
    <mergeCell ref="V418:V424"/>
    <mergeCell ref="W418:W424"/>
    <mergeCell ref="X418:X424"/>
    <mergeCell ref="Y418:Y424"/>
    <mergeCell ref="C418:C424"/>
    <mergeCell ref="O418:O424"/>
    <mergeCell ref="P418:P424"/>
    <mergeCell ref="Q418:Q424"/>
    <mergeCell ref="R418:R424"/>
    <mergeCell ref="S418:S424"/>
    <mergeCell ref="N421:N424"/>
    <mergeCell ref="Z425:Z431"/>
    <mergeCell ref="D428:D431"/>
    <mergeCell ref="E428:E431"/>
    <mergeCell ref="F428:F431"/>
    <mergeCell ref="G428:G431"/>
    <mergeCell ref="H428:H431"/>
    <mergeCell ref="J428:J431"/>
    <mergeCell ref="K428:K431"/>
    <mergeCell ref="L428:L431"/>
    <mergeCell ref="M428:M431"/>
    <mergeCell ref="T425:T431"/>
    <mergeCell ref="U425:U431"/>
    <mergeCell ref="V425:V431"/>
    <mergeCell ref="W425:W431"/>
    <mergeCell ref="X425:X431"/>
    <mergeCell ref="Y425:Y431"/>
    <mergeCell ref="C425:C431"/>
    <mergeCell ref="O425:O431"/>
    <mergeCell ref="P425:P431"/>
    <mergeCell ref="Q425:Q431"/>
    <mergeCell ref="R425:R431"/>
    <mergeCell ref="S425:S431"/>
    <mergeCell ref="N428:N431"/>
    <mergeCell ref="Z432:Z438"/>
    <mergeCell ref="D435:D438"/>
    <mergeCell ref="E435:E438"/>
    <mergeCell ref="F435:F438"/>
    <mergeCell ref="G435:G438"/>
    <mergeCell ref="H435:H438"/>
    <mergeCell ref="J435:J438"/>
    <mergeCell ref="K435:K438"/>
    <mergeCell ref="L435:L438"/>
    <mergeCell ref="M435:M438"/>
    <mergeCell ref="T432:T438"/>
    <mergeCell ref="U432:U438"/>
    <mergeCell ref="V432:V438"/>
    <mergeCell ref="W432:W438"/>
    <mergeCell ref="X432:X438"/>
    <mergeCell ref="Y432:Y438"/>
    <mergeCell ref="C432:C438"/>
    <mergeCell ref="O432:O438"/>
    <mergeCell ref="P432:P438"/>
    <mergeCell ref="Q432:Q438"/>
    <mergeCell ref="R432:R438"/>
    <mergeCell ref="S432:S438"/>
    <mergeCell ref="N435:N438"/>
    <mergeCell ref="Z439:Z445"/>
    <mergeCell ref="D442:D445"/>
    <mergeCell ref="E442:E445"/>
    <mergeCell ref="F442:F445"/>
    <mergeCell ref="G442:G445"/>
    <mergeCell ref="H442:H445"/>
    <mergeCell ref="J442:J445"/>
    <mergeCell ref="K442:K445"/>
    <mergeCell ref="L442:L445"/>
    <mergeCell ref="M442:M445"/>
    <mergeCell ref="T439:T445"/>
    <mergeCell ref="U439:U445"/>
    <mergeCell ref="V439:V445"/>
    <mergeCell ref="W439:W445"/>
    <mergeCell ref="X439:X445"/>
    <mergeCell ref="Y439:Y445"/>
    <mergeCell ref="C439:C445"/>
    <mergeCell ref="O439:O445"/>
    <mergeCell ref="P439:P445"/>
    <mergeCell ref="Q439:Q445"/>
    <mergeCell ref="R439:R445"/>
    <mergeCell ref="S439:S445"/>
    <mergeCell ref="N442:N445"/>
    <mergeCell ref="Z446:Z452"/>
    <mergeCell ref="D449:D452"/>
    <mergeCell ref="E449:E452"/>
    <mergeCell ref="F449:F452"/>
    <mergeCell ref="G449:G452"/>
    <mergeCell ref="H449:H452"/>
    <mergeCell ref="J449:J452"/>
    <mergeCell ref="K449:K452"/>
    <mergeCell ref="L449:L452"/>
    <mergeCell ref="M449:M452"/>
    <mergeCell ref="T446:T452"/>
    <mergeCell ref="U446:U452"/>
    <mergeCell ref="V446:V452"/>
    <mergeCell ref="W446:W452"/>
    <mergeCell ref="X446:X452"/>
    <mergeCell ref="Y446:Y452"/>
    <mergeCell ref="C446:C452"/>
    <mergeCell ref="O446:O452"/>
    <mergeCell ref="P446:P452"/>
    <mergeCell ref="Q446:Q452"/>
    <mergeCell ref="R446:R452"/>
    <mergeCell ref="S446:S452"/>
    <mergeCell ref="N449:N452"/>
    <mergeCell ref="Z453:Z459"/>
    <mergeCell ref="D456:D459"/>
    <mergeCell ref="E456:E459"/>
    <mergeCell ref="F456:F459"/>
    <mergeCell ref="G456:G459"/>
    <mergeCell ref="H456:H459"/>
    <mergeCell ref="J456:J459"/>
    <mergeCell ref="K456:K459"/>
    <mergeCell ref="L456:L459"/>
    <mergeCell ref="M456:M459"/>
    <mergeCell ref="T453:T459"/>
    <mergeCell ref="U453:U459"/>
    <mergeCell ref="V453:V459"/>
    <mergeCell ref="W453:W459"/>
    <mergeCell ref="X453:X459"/>
    <mergeCell ref="Y453:Y459"/>
    <mergeCell ref="C453:C459"/>
    <mergeCell ref="O453:O459"/>
    <mergeCell ref="P453:P459"/>
    <mergeCell ref="Q453:Q459"/>
    <mergeCell ref="R453:R459"/>
    <mergeCell ref="S453:S459"/>
    <mergeCell ref="N456:N459"/>
    <mergeCell ref="Z460:Z466"/>
    <mergeCell ref="D463:D466"/>
    <mergeCell ref="E463:E466"/>
    <mergeCell ref="F463:F466"/>
    <mergeCell ref="G463:G466"/>
    <mergeCell ref="H463:H466"/>
    <mergeCell ref="J463:J466"/>
    <mergeCell ref="K463:K466"/>
    <mergeCell ref="L463:L466"/>
    <mergeCell ref="M463:M466"/>
    <mergeCell ref="T460:T466"/>
    <mergeCell ref="U460:U466"/>
    <mergeCell ref="V460:V466"/>
    <mergeCell ref="W460:W466"/>
    <mergeCell ref="X460:X466"/>
    <mergeCell ref="Y460:Y466"/>
    <mergeCell ref="C460:C466"/>
    <mergeCell ref="O460:O466"/>
    <mergeCell ref="P460:P466"/>
    <mergeCell ref="Q460:Q466"/>
    <mergeCell ref="R460:R466"/>
    <mergeCell ref="S460:S466"/>
    <mergeCell ref="N463:N466"/>
    <mergeCell ref="Z467:Z473"/>
    <mergeCell ref="D470:D473"/>
    <mergeCell ref="E470:E473"/>
    <mergeCell ref="F470:F473"/>
    <mergeCell ref="G470:G473"/>
    <mergeCell ref="H470:H473"/>
    <mergeCell ref="J470:J473"/>
    <mergeCell ref="K470:K473"/>
    <mergeCell ref="L470:L473"/>
    <mergeCell ref="M470:M473"/>
    <mergeCell ref="T467:T473"/>
    <mergeCell ref="U467:U473"/>
    <mergeCell ref="V467:V473"/>
    <mergeCell ref="W467:W473"/>
    <mergeCell ref="X467:X473"/>
    <mergeCell ref="Y467:Y473"/>
    <mergeCell ref="C467:C473"/>
    <mergeCell ref="O467:O473"/>
    <mergeCell ref="P467:P473"/>
    <mergeCell ref="Q467:Q473"/>
    <mergeCell ref="R467:R473"/>
    <mergeCell ref="S467:S473"/>
    <mergeCell ref="N470:N473"/>
    <mergeCell ref="H477:H480"/>
    <mergeCell ref="J477:J480"/>
    <mergeCell ref="K477:K480"/>
    <mergeCell ref="L477:L480"/>
    <mergeCell ref="M477:M480"/>
    <mergeCell ref="N477:N480"/>
    <mergeCell ref="T474:T480"/>
    <mergeCell ref="U474:U480"/>
    <mergeCell ref="W474:W480"/>
    <mergeCell ref="X474:X480"/>
    <mergeCell ref="Y474:Y480"/>
    <mergeCell ref="Z474:Z480"/>
    <mergeCell ref="C474:C480"/>
    <mergeCell ref="O474:O480"/>
    <mergeCell ref="P474:P480"/>
    <mergeCell ref="Q474:Q480"/>
    <mergeCell ref="R474:R480"/>
    <mergeCell ref="S474:S480"/>
    <mergeCell ref="D477:D480"/>
    <mergeCell ref="E477:E480"/>
    <mergeCell ref="F477:F480"/>
    <mergeCell ref="G477:G480"/>
    <mergeCell ref="H484:H487"/>
    <mergeCell ref="J484:J487"/>
    <mergeCell ref="K484:K487"/>
    <mergeCell ref="L484:L487"/>
    <mergeCell ref="M484:M487"/>
    <mergeCell ref="N484:N487"/>
    <mergeCell ref="T481:T487"/>
    <mergeCell ref="U481:U487"/>
    <mergeCell ref="W481:W487"/>
    <mergeCell ref="X481:X487"/>
    <mergeCell ref="Y481:Y487"/>
    <mergeCell ref="Z481:Z487"/>
    <mergeCell ref="C481:C487"/>
    <mergeCell ref="O481:O487"/>
    <mergeCell ref="P481:P487"/>
    <mergeCell ref="Q481:Q487"/>
    <mergeCell ref="R481:R487"/>
    <mergeCell ref="S481:S487"/>
    <mergeCell ref="D484:D487"/>
    <mergeCell ref="E484:E487"/>
    <mergeCell ref="F484:F487"/>
    <mergeCell ref="G484:G487"/>
    <mergeCell ref="H491:H494"/>
    <mergeCell ref="J491:J494"/>
    <mergeCell ref="K491:K494"/>
    <mergeCell ref="L491:L494"/>
    <mergeCell ref="M491:M494"/>
    <mergeCell ref="N491:N494"/>
    <mergeCell ref="T488:T494"/>
    <mergeCell ref="U488:U494"/>
    <mergeCell ref="W488:W494"/>
    <mergeCell ref="X488:X494"/>
    <mergeCell ref="Y488:Y494"/>
    <mergeCell ref="Z488:Z494"/>
    <mergeCell ref="C488:C494"/>
    <mergeCell ref="O488:O494"/>
    <mergeCell ref="P488:P494"/>
    <mergeCell ref="Q488:Q494"/>
    <mergeCell ref="R488:R494"/>
    <mergeCell ref="S488:S494"/>
    <mergeCell ref="D491:D494"/>
    <mergeCell ref="E491:E494"/>
    <mergeCell ref="F491:F494"/>
    <mergeCell ref="G491:G494"/>
    <mergeCell ref="H498:H501"/>
    <mergeCell ref="J498:J501"/>
    <mergeCell ref="K498:K501"/>
    <mergeCell ref="L498:L501"/>
    <mergeCell ref="M498:M501"/>
    <mergeCell ref="N498:N501"/>
    <mergeCell ref="T495:T501"/>
    <mergeCell ref="U495:U501"/>
    <mergeCell ref="W495:W501"/>
    <mergeCell ref="X495:X501"/>
    <mergeCell ref="Y495:Y501"/>
    <mergeCell ref="Z495:Z501"/>
    <mergeCell ref="C495:C501"/>
    <mergeCell ref="O495:O501"/>
    <mergeCell ref="P495:P501"/>
    <mergeCell ref="Q495:Q501"/>
    <mergeCell ref="R495:R501"/>
    <mergeCell ref="S495:S501"/>
    <mergeCell ref="D498:D501"/>
    <mergeCell ref="E498:E501"/>
    <mergeCell ref="F498:F501"/>
    <mergeCell ref="G498:G501"/>
    <mergeCell ref="H505:H508"/>
    <mergeCell ref="J505:J508"/>
    <mergeCell ref="K505:K508"/>
    <mergeCell ref="L505:L508"/>
    <mergeCell ref="M505:M508"/>
    <mergeCell ref="N505:N508"/>
    <mergeCell ref="T502:T508"/>
    <mergeCell ref="U502:U508"/>
    <mergeCell ref="W502:W508"/>
    <mergeCell ref="X502:X508"/>
    <mergeCell ref="Y502:Y508"/>
    <mergeCell ref="Z502:Z508"/>
    <mergeCell ref="C502:C508"/>
    <mergeCell ref="O502:O508"/>
    <mergeCell ref="P502:P508"/>
    <mergeCell ref="Q502:Q508"/>
    <mergeCell ref="R502:R508"/>
    <mergeCell ref="S502:S508"/>
    <mergeCell ref="D505:D508"/>
    <mergeCell ref="E505:E508"/>
    <mergeCell ref="F505:F508"/>
    <mergeCell ref="G505:G508"/>
    <mergeCell ref="H512:H515"/>
    <mergeCell ref="J512:J515"/>
    <mergeCell ref="K512:K515"/>
    <mergeCell ref="L512:L515"/>
    <mergeCell ref="M512:M515"/>
    <mergeCell ref="N512:N515"/>
    <mergeCell ref="T509:T515"/>
    <mergeCell ref="U509:U515"/>
    <mergeCell ref="W509:W515"/>
    <mergeCell ref="X509:X515"/>
    <mergeCell ref="Y509:Y515"/>
    <mergeCell ref="Z509:Z515"/>
    <mergeCell ref="C509:C515"/>
    <mergeCell ref="O509:O515"/>
    <mergeCell ref="P509:P515"/>
    <mergeCell ref="Q509:Q515"/>
    <mergeCell ref="R509:R515"/>
    <mergeCell ref="S509:S515"/>
    <mergeCell ref="D512:D515"/>
    <mergeCell ref="E512:E515"/>
    <mergeCell ref="F512:F515"/>
    <mergeCell ref="G512:G515"/>
    <mergeCell ref="H519:H522"/>
    <mergeCell ref="J519:J522"/>
    <mergeCell ref="K519:K522"/>
    <mergeCell ref="L519:L522"/>
    <mergeCell ref="M519:M522"/>
    <mergeCell ref="N519:N522"/>
    <mergeCell ref="T516:T522"/>
    <mergeCell ref="U516:U522"/>
    <mergeCell ref="W516:W522"/>
    <mergeCell ref="X516:X522"/>
    <mergeCell ref="Y516:Y522"/>
    <mergeCell ref="Z516:Z522"/>
    <mergeCell ref="C516:C522"/>
    <mergeCell ref="O516:O522"/>
    <mergeCell ref="P516:P522"/>
    <mergeCell ref="Q516:Q522"/>
    <mergeCell ref="R516:R522"/>
    <mergeCell ref="S516:S522"/>
    <mergeCell ref="D519:D522"/>
    <mergeCell ref="E519:E522"/>
    <mergeCell ref="F519:F522"/>
    <mergeCell ref="G519:G522"/>
    <mergeCell ref="H526:H529"/>
    <mergeCell ref="J526:J529"/>
    <mergeCell ref="K526:K529"/>
    <mergeCell ref="L526:L529"/>
    <mergeCell ref="M526:M529"/>
    <mergeCell ref="N526:N529"/>
    <mergeCell ref="T523:T529"/>
    <mergeCell ref="U523:U529"/>
    <mergeCell ref="W523:W529"/>
    <mergeCell ref="X523:X529"/>
    <mergeCell ref="Y523:Y529"/>
    <mergeCell ref="Z523:Z529"/>
    <mergeCell ref="C523:C529"/>
    <mergeCell ref="O523:O529"/>
    <mergeCell ref="P523:P529"/>
    <mergeCell ref="Q523:Q529"/>
    <mergeCell ref="R523:R529"/>
    <mergeCell ref="S523:S529"/>
    <mergeCell ref="D526:D529"/>
    <mergeCell ref="E526:E529"/>
    <mergeCell ref="F526:F529"/>
    <mergeCell ref="G526:G529"/>
    <mergeCell ref="H533:H536"/>
    <mergeCell ref="J533:J536"/>
    <mergeCell ref="K533:K536"/>
    <mergeCell ref="L533:L536"/>
    <mergeCell ref="M533:M536"/>
    <mergeCell ref="N533:N536"/>
    <mergeCell ref="T530:T536"/>
    <mergeCell ref="U530:U536"/>
    <mergeCell ref="W530:W536"/>
    <mergeCell ref="X530:X536"/>
    <mergeCell ref="Y530:Y536"/>
    <mergeCell ref="Z530:Z536"/>
    <mergeCell ref="C530:C536"/>
    <mergeCell ref="O530:O536"/>
    <mergeCell ref="P530:P536"/>
    <mergeCell ref="Q530:Q536"/>
    <mergeCell ref="R530:R536"/>
    <mergeCell ref="S530:S536"/>
    <mergeCell ref="D533:D536"/>
    <mergeCell ref="E533:E536"/>
    <mergeCell ref="F533:F536"/>
    <mergeCell ref="G533:G536"/>
    <mergeCell ref="H540:H543"/>
    <mergeCell ref="J540:J543"/>
    <mergeCell ref="K540:K543"/>
    <mergeCell ref="L540:L543"/>
    <mergeCell ref="M540:M543"/>
    <mergeCell ref="N540:N543"/>
    <mergeCell ref="T537:T543"/>
    <mergeCell ref="U537:U543"/>
    <mergeCell ref="W537:W543"/>
    <mergeCell ref="X537:X543"/>
    <mergeCell ref="Y537:Y543"/>
    <mergeCell ref="Z537:Z543"/>
    <mergeCell ref="C537:C543"/>
    <mergeCell ref="O537:O543"/>
    <mergeCell ref="P537:P543"/>
    <mergeCell ref="Q537:Q543"/>
    <mergeCell ref="R537:R543"/>
    <mergeCell ref="S537:S543"/>
    <mergeCell ref="D540:D543"/>
    <mergeCell ref="E540:E543"/>
    <mergeCell ref="F540:F543"/>
    <mergeCell ref="G540:G543"/>
    <mergeCell ref="H547:H550"/>
    <mergeCell ref="J547:J550"/>
    <mergeCell ref="K547:K550"/>
    <mergeCell ref="L547:L550"/>
    <mergeCell ref="M547:M550"/>
    <mergeCell ref="N547:N550"/>
    <mergeCell ref="T544:T550"/>
    <mergeCell ref="U544:U550"/>
    <mergeCell ref="W544:W550"/>
    <mergeCell ref="X544:X550"/>
    <mergeCell ref="Y544:Y550"/>
    <mergeCell ref="Z544:Z550"/>
    <mergeCell ref="C544:C550"/>
    <mergeCell ref="O544:O550"/>
    <mergeCell ref="P544:P550"/>
    <mergeCell ref="Q544:Q550"/>
    <mergeCell ref="R544:R550"/>
    <mergeCell ref="S544:S550"/>
    <mergeCell ref="D547:D550"/>
    <mergeCell ref="E547:E550"/>
    <mergeCell ref="F547:F550"/>
    <mergeCell ref="G547:G550"/>
    <mergeCell ref="H554:H557"/>
    <mergeCell ref="J554:J557"/>
    <mergeCell ref="K554:K557"/>
    <mergeCell ref="L554:L557"/>
    <mergeCell ref="M554:M557"/>
    <mergeCell ref="N554:N557"/>
    <mergeCell ref="T551:T557"/>
    <mergeCell ref="U551:U557"/>
    <mergeCell ref="W551:W557"/>
    <mergeCell ref="X551:X557"/>
    <mergeCell ref="Y551:Y557"/>
    <mergeCell ref="Z551:Z557"/>
    <mergeCell ref="C551:C557"/>
    <mergeCell ref="O551:O557"/>
    <mergeCell ref="P551:P557"/>
    <mergeCell ref="Q551:Q557"/>
    <mergeCell ref="R551:R557"/>
    <mergeCell ref="S551:S557"/>
    <mergeCell ref="D554:D557"/>
    <mergeCell ref="E554:E557"/>
    <mergeCell ref="F554:F557"/>
    <mergeCell ref="G554:G557"/>
    <mergeCell ref="H561:H564"/>
    <mergeCell ref="J561:J564"/>
    <mergeCell ref="K561:K564"/>
    <mergeCell ref="L561:L564"/>
    <mergeCell ref="M561:M564"/>
    <mergeCell ref="N561:N564"/>
    <mergeCell ref="T558:T564"/>
    <mergeCell ref="U558:U564"/>
    <mergeCell ref="W558:W564"/>
    <mergeCell ref="X558:X564"/>
    <mergeCell ref="Y558:Y564"/>
    <mergeCell ref="Z558:Z564"/>
    <mergeCell ref="C558:C564"/>
    <mergeCell ref="O558:O564"/>
    <mergeCell ref="P558:P564"/>
    <mergeCell ref="Q558:Q564"/>
    <mergeCell ref="R558:R564"/>
    <mergeCell ref="S558:S564"/>
    <mergeCell ref="D561:D564"/>
    <mergeCell ref="E561:E564"/>
    <mergeCell ref="F561:F564"/>
    <mergeCell ref="G561:G564"/>
    <mergeCell ref="U565:U571"/>
    <mergeCell ref="W565:W571"/>
    <mergeCell ref="X565:X571"/>
    <mergeCell ref="Y565:Y571"/>
    <mergeCell ref="Z565:Z571"/>
    <mergeCell ref="C565:C571"/>
    <mergeCell ref="O565:O571"/>
    <mergeCell ref="P565:P571"/>
    <mergeCell ref="Q565:Q571"/>
    <mergeCell ref="R565:R571"/>
    <mergeCell ref="S565:S571"/>
    <mergeCell ref="D568:D571"/>
    <mergeCell ref="E568:E571"/>
    <mergeCell ref="F568:F571"/>
    <mergeCell ref="G568:G571"/>
    <mergeCell ref="U572:U578"/>
    <mergeCell ref="W572:W578"/>
    <mergeCell ref="X572:X578"/>
    <mergeCell ref="Y572:Y578"/>
    <mergeCell ref="Z572:Z578"/>
    <mergeCell ref="D575:D578"/>
    <mergeCell ref="E575:E578"/>
    <mergeCell ref="F575:F578"/>
    <mergeCell ref="G575:G578"/>
    <mergeCell ref="H575:H578"/>
    <mergeCell ref="O572:O578"/>
    <mergeCell ref="P572:P578"/>
    <mergeCell ref="Q572:Q578"/>
    <mergeCell ref="R572:R578"/>
    <mergeCell ref="S572:S578"/>
    <mergeCell ref="T572:T578"/>
    <mergeCell ref="H568:H571"/>
    <mergeCell ref="J568:J571"/>
    <mergeCell ref="K568:K571"/>
    <mergeCell ref="M568:M571"/>
    <mergeCell ref="N568:N571"/>
    <mergeCell ref="H582:H585"/>
    <mergeCell ref="J582:J585"/>
    <mergeCell ref="K582:K585"/>
    <mergeCell ref="M582:M585"/>
    <mergeCell ref="N582:N585"/>
    <mergeCell ref="C586:C592"/>
    <mergeCell ref="J589:J592"/>
    <mergeCell ref="K589:K592"/>
    <mergeCell ref="L589:L592"/>
    <mergeCell ref="M589:M592"/>
    <mergeCell ref="T579:T585"/>
    <mergeCell ref="C572:C578"/>
    <mergeCell ref="J575:J578"/>
    <mergeCell ref="K575:K578"/>
    <mergeCell ref="M575:M578"/>
    <mergeCell ref="N575:N578"/>
    <mergeCell ref="T565:T571"/>
    <mergeCell ref="U579:U585"/>
    <mergeCell ref="W579:W585"/>
    <mergeCell ref="X579:X585"/>
    <mergeCell ref="Y579:Y585"/>
    <mergeCell ref="Z579:Z585"/>
    <mergeCell ref="C579:C585"/>
    <mergeCell ref="O579:O585"/>
    <mergeCell ref="P579:P585"/>
    <mergeCell ref="Q579:Q585"/>
    <mergeCell ref="R579:R585"/>
    <mergeCell ref="S579:S585"/>
    <mergeCell ref="D582:D585"/>
    <mergeCell ref="E582:E585"/>
    <mergeCell ref="F582:F585"/>
    <mergeCell ref="G582:G585"/>
    <mergeCell ref="C593:C597"/>
    <mergeCell ref="D596:D597"/>
    <mergeCell ref="X586:X592"/>
    <mergeCell ref="Y586:Y592"/>
    <mergeCell ref="Z586:Z592"/>
    <mergeCell ref="D589:D592"/>
    <mergeCell ref="E589:E592"/>
    <mergeCell ref="F589:F592"/>
    <mergeCell ref="G589:G592"/>
    <mergeCell ref="H589:H592"/>
    <mergeCell ref="O586:O592"/>
    <mergeCell ref="P586:P592"/>
    <mergeCell ref="Q586:Q592"/>
    <mergeCell ref="R586:R592"/>
    <mergeCell ref="S586:S592"/>
    <mergeCell ref="T586:T592"/>
    <mergeCell ref="W598:W604"/>
    <mergeCell ref="X598:X604"/>
    <mergeCell ref="Y598:Y604"/>
    <mergeCell ref="Z598:Z604"/>
    <mergeCell ref="D601:D604"/>
    <mergeCell ref="E601:E604"/>
    <mergeCell ref="F601:F604"/>
    <mergeCell ref="G601:G604"/>
    <mergeCell ref="H601:H604"/>
    <mergeCell ref="N589:N592"/>
    <mergeCell ref="C612:C618"/>
    <mergeCell ref="O612:O618"/>
    <mergeCell ref="P612:P618"/>
    <mergeCell ref="Q612:Q618"/>
    <mergeCell ref="R612:R618"/>
    <mergeCell ref="M615:M618"/>
    <mergeCell ref="N615:N618"/>
    <mergeCell ref="T605:V611"/>
    <mergeCell ref="W605:W611"/>
    <mergeCell ref="Y612:Y618"/>
    <mergeCell ref="Z612:Z618"/>
    <mergeCell ref="K615:K618"/>
    <mergeCell ref="L615:L618"/>
    <mergeCell ref="S612:S618"/>
    <mergeCell ref="T612:T618"/>
    <mergeCell ref="U612:U618"/>
    <mergeCell ref="V612:V618"/>
    <mergeCell ref="W612:W618"/>
    <mergeCell ref="X612:X618"/>
    <mergeCell ref="N608:N611"/>
    <mergeCell ref="X605:X611"/>
    <mergeCell ref="Y605:Y611"/>
    <mergeCell ref="A598:A744"/>
    <mergeCell ref="B598:B744"/>
    <mergeCell ref="C598:C604"/>
    <mergeCell ref="K601:K604"/>
    <mergeCell ref="L601:L604"/>
    <mergeCell ref="M601:M604"/>
    <mergeCell ref="N601:N604"/>
    <mergeCell ref="U586:U592"/>
    <mergeCell ref="W586:W592"/>
    <mergeCell ref="C605:C611"/>
    <mergeCell ref="O605:O611"/>
    <mergeCell ref="P605:P611"/>
    <mergeCell ref="Q605:Q611"/>
    <mergeCell ref="R605:R611"/>
    <mergeCell ref="S605:S611"/>
    <mergeCell ref="J608:J611"/>
    <mergeCell ref="K608:K611"/>
    <mergeCell ref="L608:L611"/>
    <mergeCell ref="M608:M611"/>
    <mergeCell ref="J601:J604"/>
    <mergeCell ref="O598:O604"/>
    <mergeCell ref="P598:P604"/>
    <mergeCell ref="Q598:Q604"/>
    <mergeCell ref="R598:R604"/>
    <mergeCell ref="S598:S604"/>
    <mergeCell ref="T598:V604"/>
    <mergeCell ref="D615:D618"/>
    <mergeCell ref="E615:E618"/>
    <mergeCell ref="F615:F618"/>
    <mergeCell ref="G615:G618"/>
    <mergeCell ref="H615:H618"/>
    <mergeCell ref="J615:J618"/>
    <mergeCell ref="Z605:Z611"/>
    <mergeCell ref="D608:D611"/>
    <mergeCell ref="E608:E611"/>
    <mergeCell ref="F608:F611"/>
    <mergeCell ref="G608:G611"/>
    <mergeCell ref="H608:H611"/>
    <mergeCell ref="Z619:Z625"/>
    <mergeCell ref="D622:D625"/>
    <mergeCell ref="E622:E625"/>
    <mergeCell ref="F622:F625"/>
    <mergeCell ref="G622:G625"/>
    <mergeCell ref="H622:H625"/>
    <mergeCell ref="J622:J625"/>
    <mergeCell ref="K622:K625"/>
    <mergeCell ref="L622:L625"/>
    <mergeCell ref="M622:M625"/>
    <mergeCell ref="T619:T625"/>
    <mergeCell ref="U619:U625"/>
    <mergeCell ref="V619:V625"/>
    <mergeCell ref="W619:W625"/>
    <mergeCell ref="X619:X625"/>
    <mergeCell ref="Y619:Y625"/>
    <mergeCell ref="C619:C625"/>
    <mergeCell ref="O619:O625"/>
    <mergeCell ref="P619:P625"/>
    <mergeCell ref="Q619:Q625"/>
    <mergeCell ref="R619:R625"/>
    <mergeCell ref="S619:S625"/>
    <mergeCell ref="N622:N625"/>
    <mergeCell ref="Z626:Z632"/>
    <mergeCell ref="D629:D632"/>
    <mergeCell ref="E629:E632"/>
    <mergeCell ref="F629:F632"/>
    <mergeCell ref="G629:G632"/>
    <mergeCell ref="H629:H632"/>
    <mergeCell ref="J629:J632"/>
    <mergeCell ref="K629:K632"/>
    <mergeCell ref="L629:L632"/>
    <mergeCell ref="M629:M632"/>
    <mergeCell ref="T626:T632"/>
    <mergeCell ref="U626:U632"/>
    <mergeCell ref="V626:V632"/>
    <mergeCell ref="W626:W632"/>
    <mergeCell ref="X626:X632"/>
    <mergeCell ref="Y626:Y632"/>
    <mergeCell ref="C626:C632"/>
    <mergeCell ref="O626:O632"/>
    <mergeCell ref="P626:P632"/>
    <mergeCell ref="Q626:Q632"/>
    <mergeCell ref="R626:R632"/>
    <mergeCell ref="S626:S632"/>
    <mergeCell ref="N629:N632"/>
    <mergeCell ref="Z633:Z639"/>
    <mergeCell ref="D636:D639"/>
    <mergeCell ref="E636:E639"/>
    <mergeCell ref="F636:F639"/>
    <mergeCell ref="G636:G639"/>
    <mergeCell ref="H636:H639"/>
    <mergeCell ref="J636:J639"/>
    <mergeCell ref="K636:K639"/>
    <mergeCell ref="L636:L639"/>
    <mergeCell ref="M636:M639"/>
    <mergeCell ref="T633:T639"/>
    <mergeCell ref="U633:U639"/>
    <mergeCell ref="V633:V639"/>
    <mergeCell ref="W633:W639"/>
    <mergeCell ref="X633:X639"/>
    <mergeCell ref="Y633:Y639"/>
    <mergeCell ref="C633:C639"/>
    <mergeCell ref="O633:O639"/>
    <mergeCell ref="P633:P639"/>
    <mergeCell ref="Q633:Q639"/>
    <mergeCell ref="R633:R639"/>
    <mergeCell ref="S633:S639"/>
    <mergeCell ref="N636:N639"/>
    <mergeCell ref="Z640:Z646"/>
    <mergeCell ref="D643:D646"/>
    <mergeCell ref="E643:E646"/>
    <mergeCell ref="F643:F646"/>
    <mergeCell ref="G643:G646"/>
    <mergeCell ref="H643:H646"/>
    <mergeCell ref="J643:J646"/>
    <mergeCell ref="K643:K646"/>
    <mergeCell ref="L643:L646"/>
    <mergeCell ref="M643:M646"/>
    <mergeCell ref="T640:T646"/>
    <mergeCell ref="U640:U646"/>
    <mergeCell ref="V640:V646"/>
    <mergeCell ref="W640:W646"/>
    <mergeCell ref="X640:X646"/>
    <mergeCell ref="Y640:Y646"/>
    <mergeCell ref="C640:C646"/>
    <mergeCell ref="O640:O646"/>
    <mergeCell ref="P640:P646"/>
    <mergeCell ref="Q640:Q646"/>
    <mergeCell ref="R640:R646"/>
    <mergeCell ref="S640:S646"/>
    <mergeCell ref="N643:N646"/>
    <mergeCell ref="Z647:Z653"/>
    <mergeCell ref="D650:D653"/>
    <mergeCell ref="E650:E653"/>
    <mergeCell ref="F650:F653"/>
    <mergeCell ref="G650:G653"/>
    <mergeCell ref="H650:H653"/>
    <mergeCell ref="J650:J653"/>
    <mergeCell ref="K650:K653"/>
    <mergeCell ref="L650:L652"/>
    <mergeCell ref="M650:M653"/>
    <mergeCell ref="T647:T653"/>
    <mergeCell ref="U647:U653"/>
    <mergeCell ref="V647:V653"/>
    <mergeCell ref="W647:W653"/>
    <mergeCell ref="X647:X653"/>
    <mergeCell ref="Y647:Y653"/>
    <mergeCell ref="C647:C653"/>
    <mergeCell ref="O647:O653"/>
    <mergeCell ref="P647:P653"/>
    <mergeCell ref="Q647:Q653"/>
    <mergeCell ref="R647:R653"/>
    <mergeCell ref="S647:S653"/>
    <mergeCell ref="N650:N653"/>
    <mergeCell ref="Z654:Z660"/>
    <mergeCell ref="D657:D660"/>
    <mergeCell ref="E657:E660"/>
    <mergeCell ref="F657:F660"/>
    <mergeCell ref="G657:G660"/>
    <mergeCell ref="H657:H660"/>
    <mergeCell ref="J657:J660"/>
    <mergeCell ref="K657:K660"/>
    <mergeCell ref="L657:L660"/>
    <mergeCell ref="M657:M660"/>
    <mergeCell ref="T654:T660"/>
    <mergeCell ref="U654:U660"/>
    <mergeCell ref="V654:V660"/>
    <mergeCell ref="W654:W660"/>
    <mergeCell ref="X654:X660"/>
    <mergeCell ref="Y654:Y660"/>
    <mergeCell ref="C654:C660"/>
    <mergeCell ref="O654:O660"/>
    <mergeCell ref="P654:P660"/>
    <mergeCell ref="Q654:Q660"/>
    <mergeCell ref="R654:R660"/>
    <mergeCell ref="S654:S660"/>
    <mergeCell ref="N657:N660"/>
    <mergeCell ref="Z661:Z667"/>
    <mergeCell ref="D664:D667"/>
    <mergeCell ref="E664:E667"/>
    <mergeCell ref="F664:F667"/>
    <mergeCell ref="G664:G667"/>
    <mergeCell ref="H664:H667"/>
    <mergeCell ref="J664:J667"/>
    <mergeCell ref="K664:K667"/>
    <mergeCell ref="L664:L667"/>
    <mergeCell ref="M664:M667"/>
    <mergeCell ref="T661:T667"/>
    <mergeCell ref="U661:U667"/>
    <mergeCell ref="V661:V667"/>
    <mergeCell ref="W661:W667"/>
    <mergeCell ref="X661:X667"/>
    <mergeCell ref="Y661:Y667"/>
    <mergeCell ref="C661:C667"/>
    <mergeCell ref="O661:O667"/>
    <mergeCell ref="P661:P667"/>
    <mergeCell ref="Q661:Q667"/>
    <mergeCell ref="R661:R667"/>
    <mergeCell ref="S661:S667"/>
    <mergeCell ref="N664:N667"/>
    <mergeCell ref="Z668:Z674"/>
    <mergeCell ref="D671:D674"/>
    <mergeCell ref="E671:E674"/>
    <mergeCell ref="F671:F674"/>
    <mergeCell ref="G671:G674"/>
    <mergeCell ref="H671:H674"/>
    <mergeCell ref="J671:J674"/>
    <mergeCell ref="K671:K674"/>
    <mergeCell ref="L671:L674"/>
    <mergeCell ref="M671:M674"/>
    <mergeCell ref="T668:T674"/>
    <mergeCell ref="U668:U674"/>
    <mergeCell ref="V668:V674"/>
    <mergeCell ref="W668:W674"/>
    <mergeCell ref="X668:X674"/>
    <mergeCell ref="Y668:Y674"/>
    <mergeCell ref="C668:C674"/>
    <mergeCell ref="O668:O674"/>
    <mergeCell ref="P668:P674"/>
    <mergeCell ref="Q668:Q674"/>
    <mergeCell ref="R668:R674"/>
    <mergeCell ref="S668:S674"/>
    <mergeCell ref="N671:N674"/>
    <mergeCell ref="Z675:Z681"/>
    <mergeCell ref="D678:D681"/>
    <mergeCell ref="E678:E681"/>
    <mergeCell ref="F678:F681"/>
    <mergeCell ref="G678:G681"/>
    <mergeCell ref="H678:H681"/>
    <mergeCell ref="J678:J681"/>
    <mergeCell ref="K678:K681"/>
    <mergeCell ref="L678:L681"/>
    <mergeCell ref="M678:M681"/>
    <mergeCell ref="T675:T681"/>
    <mergeCell ref="U675:U681"/>
    <mergeCell ref="V675:V681"/>
    <mergeCell ref="W675:W681"/>
    <mergeCell ref="X675:X681"/>
    <mergeCell ref="Y675:Y681"/>
    <mergeCell ref="C675:C681"/>
    <mergeCell ref="O675:O681"/>
    <mergeCell ref="P675:P681"/>
    <mergeCell ref="Q675:Q681"/>
    <mergeCell ref="R675:R681"/>
    <mergeCell ref="S675:S681"/>
    <mergeCell ref="N678:N681"/>
    <mergeCell ref="Z682:Z688"/>
    <mergeCell ref="D685:D688"/>
    <mergeCell ref="E685:E688"/>
    <mergeCell ref="F685:F688"/>
    <mergeCell ref="G685:G688"/>
    <mergeCell ref="H685:H688"/>
    <mergeCell ref="J685:J688"/>
    <mergeCell ref="K685:K688"/>
    <mergeCell ref="L685:L688"/>
    <mergeCell ref="M685:M688"/>
    <mergeCell ref="T682:T688"/>
    <mergeCell ref="U682:U688"/>
    <mergeCell ref="V682:V688"/>
    <mergeCell ref="W682:W688"/>
    <mergeCell ref="X682:X688"/>
    <mergeCell ref="Y682:Y688"/>
    <mergeCell ref="C682:C688"/>
    <mergeCell ref="O682:O688"/>
    <mergeCell ref="P682:P688"/>
    <mergeCell ref="Q682:Q688"/>
    <mergeCell ref="R682:R688"/>
    <mergeCell ref="S682:S688"/>
    <mergeCell ref="N685:N688"/>
    <mergeCell ref="Z689:Z695"/>
    <mergeCell ref="D692:D695"/>
    <mergeCell ref="E692:E695"/>
    <mergeCell ref="F692:F695"/>
    <mergeCell ref="G692:G695"/>
    <mergeCell ref="H692:H695"/>
    <mergeCell ref="J692:J695"/>
    <mergeCell ref="K692:K695"/>
    <mergeCell ref="L692:L695"/>
    <mergeCell ref="M692:M695"/>
    <mergeCell ref="T689:T695"/>
    <mergeCell ref="U689:U695"/>
    <mergeCell ref="V689:V695"/>
    <mergeCell ref="W689:W695"/>
    <mergeCell ref="X689:X695"/>
    <mergeCell ref="Y689:Y695"/>
    <mergeCell ref="C689:C695"/>
    <mergeCell ref="O689:O695"/>
    <mergeCell ref="P689:P695"/>
    <mergeCell ref="Q689:Q695"/>
    <mergeCell ref="R689:R695"/>
    <mergeCell ref="S689:S695"/>
    <mergeCell ref="N692:N695"/>
    <mergeCell ref="Z696:Z702"/>
    <mergeCell ref="D699:D702"/>
    <mergeCell ref="E699:E702"/>
    <mergeCell ref="F699:F702"/>
    <mergeCell ref="G699:G702"/>
    <mergeCell ref="H699:H702"/>
    <mergeCell ref="J699:J702"/>
    <mergeCell ref="K699:K702"/>
    <mergeCell ref="L699:L702"/>
    <mergeCell ref="M699:M702"/>
    <mergeCell ref="T696:T702"/>
    <mergeCell ref="U696:U702"/>
    <mergeCell ref="V696:V702"/>
    <mergeCell ref="W696:W702"/>
    <mergeCell ref="X696:X702"/>
    <mergeCell ref="Y696:Y702"/>
    <mergeCell ref="C696:C702"/>
    <mergeCell ref="O696:O702"/>
    <mergeCell ref="P696:P702"/>
    <mergeCell ref="Q696:Q702"/>
    <mergeCell ref="R696:R702"/>
    <mergeCell ref="S696:S702"/>
    <mergeCell ref="N699:N702"/>
    <mergeCell ref="Z703:Z709"/>
    <mergeCell ref="D706:D709"/>
    <mergeCell ref="E706:E709"/>
    <mergeCell ref="F706:F709"/>
    <mergeCell ref="G706:G709"/>
    <mergeCell ref="H706:H709"/>
    <mergeCell ref="J706:J709"/>
    <mergeCell ref="K706:K709"/>
    <mergeCell ref="L706:L709"/>
    <mergeCell ref="M706:M709"/>
    <mergeCell ref="T703:T709"/>
    <mergeCell ref="U703:U709"/>
    <mergeCell ref="V703:V709"/>
    <mergeCell ref="W703:W709"/>
    <mergeCell ref="X703:X709"/>
    <mergeCell ref="Y703:Y709"/>
    <mergeCell ref="C703:C709"/>
    <mergeCell ref="O703:O709"/>
    <mergeCell ref="P703:P709"/>
    <mergeCell ref="Q703:Q709"/>
    <mergeCell ref="R703:R709"/>
    <mergeCell ref="S703:S709"/>
    <mergeCell ref="N706:N709"/>
    <mergeCell ref="Z710:Z716"/>
    <mergeCell ref="D713:D716"/>
    <mergeCell ref="E713:E716"/>
    <mergeCell ref="F713:F716"/>
    <mergeCell ref="G713:G716"/>
    <mergeCell ref="H713:H716"/>
    <mergeCell ref="J713:J716"/>
    <mergeCell ref="K713:K716"/>
    <mergeCell ref="L713:L716"/>
    <mergeCell ref="M713:M716"/>
    <mergeCell ref="T710:T716"/>
    <mergeCell ref="U710:U716"/>
    <mergeCell ref="V710:V716"/>
    <mergeCell ref="W710:W716"/>
    <mergeCell ref="X710:X716"/>
    <mergeCell ref="Y710:Y716"/>
    <mergeCell ref="C710:C716"/>
    <mergeCell ref="O710:O716"/>
    <mergeCell ref="P710:P716"/>
    <mergeCell ref="Q710:Q716"/>
    <mergeCell ref="R710:R716"/>
    <mergeCell ref="S710:S716"/>
    <mergeCell ref="N713:N716"/>
    <mergeCell ref="Z717:Z723"/>
    <mergeCell ref="D720:D723"/>
    <mergeCell ref="E720:E723"/>
    <mergeCell ref="F720:F723"/>
    <mergeCell ref="G720:G723"/>
    <mergeCell ref="H720:H723"/>
    <mergeCell ref="J720:J723"/>
    <mergeCell ref="K720:K723"/>
    <mergeCell ref="L720:L723"/>
    <mergeCell ref="M720:M723"/>
    <mergeCell ref="T717:T723"/>
    <mergeCell ref="U717:U723"/>
    <mergeCell ref="V717:V723"/>
    <mergeCell ref="W717:W723"/>
    <mergeCell ref="X717:X723"/>
    <mergeCell ref="Y717:Y723"/>
    <mergeCell ref="C717:C723"/>
    <mergeCell ref="O717:O723"/>
    <mergeCell ref="P717:P723"/>
    <mergeCell ref="Q717:Q723"/>
    <mergeCell ref="R717:R723"/>
    <mergeCell ref="S717:S723"/>
    <mergeCell ref="N720:N723"/>
    <mergeCell ref="Z724:Z730"/>
    <mergeCell ref="D727:D730"/>
    <mergeCell ref="E727:E730"/>
    <mergeCell ref="F727:F730"/>
    <mergeCell ref="G727:G730"/>
    <mergeCell ref="H727:H730"/>
    <mergeCell ref="J727:J730"/>
    <mergeCell ref="K727:K730"/>
    <mergeCell ref="L727:L730"/>
    <mergeCell ref="M727:M730"/>
    <mergeCell ref="T724:T730"/>
    <mergeCell ref="U724:U730"/>
    <mergeCell ref="V724:V730"/>
    <mergeCell ref="W724:W730"/>
    <mergeCell ref="X724:X730"/>
    <mergeCell ref="Y724:Y730"/>
    <mergeCell ref="C724:C730"/>
    <mergeCell ref="O724:O730"/>
    <mergeCell ref="P724:P730"/>
    <mergeCell ref="Q724:Q730"/>
    <mergeCell ref="R724:R730"/>
    <mergeCell ref="S724:S730"/>
    <mergeCell ref="N727:N730"/>
    <mergeCell ref="Z731:Z737"/>
    <mergeCell ref="D734:D737"/>
    <mergeCell ref="E734:E737"/>
    <mergeCell ref="F734:F737"/>
    <mergeCell ref="G734:G737"/>
    <mergeCell ref="H734:H737"/>
    <mergeCell ref="J734:J737"/>
    <mergeCell ref="K734:K737"/>
    <mergeCell ref="L734:L737"/>
    <mergeCell ref="M734:M737"/>
    <mergeCell ref="T731:T737"/>
    <mergeCell ref="U731:U737"/>
    <mergeCell ref="V731:V737"/>
    <mergeCell ref="W731:W737"/>
    <mergeCell ref="X731:X737"/>
    <mergeCell ref="Y731:Y737"/>
    <mergeCell ref="C731:C737"/>
    <mergeCell ref="O731:O737"/>
    <mergeCell ref="P731:P737"/>
    <mergeCell ref="Q731:Q737"/>
    <mergeCell ref="R731:R737"/>
    <mergeCell ref="S731:S737"/>
    <mergeCell ref="N734:N737"/>
    <mergeCell ref="Z738:Z744"/>
    <mergeCell ref="D741:D744"/>
    <mergeCell ref="E741:E744"/>
    <mergeCell ref="F741:F744"/>
    <mergeCell ref="G741:G744"/>
    <mergeCell ref="H741:H744"/>
    <mergeCell ref="J741:J744"/>
    <mergeCell ref="K741:K744"/>
    <mergeCell ref="L741:L744"/>
    <mergeCell ref="M741:M744"/>
    <mergeCell ref="T738:T744"/>
    <mergeCell ref="U738:U744"/>
    <mergeCell ref="V738:V744"/>
    <mergeCell ref="W738:W744"/>
    <mergeCell ref="X738:X744"/>
    <mergeCell ref="Y738:Y744"/>
    <mergeCell ref="C738:C744"/>
    <mergeCell ref="O738:O744"/>
    <mergeCell ref="P738:P744"/>
    <mergeCell ref="Q738:Q744"/>
    <mergeCell ref="R738:R744"/>
    <mergeCell ref="S738:S744"/>
    <mergeCell ref="N741:N744"/>
    <mergeCell ref="A752:A758"/>
    <mergeCell ref="B752:B758"/>
    <mergeCell ref="C752:C758"/>
    <mergeCell ref="O752:O758"/>
    <mergeCell ref="P752:P758"/>
    <mergeCell ref="Q752:Q758"/>
    <mergeCell ref="M755:M758"/>
    <mergeCell ref="N755:N758"/>
    <mergeCell ref="Y745:Y751"/>
    <mergeCell ref="Z745:Z751"/>
    <mergeCell ref="D748:D751"/>
    <mergeCell ref="E748:E751"/>
    <mergeCell ref="F748:F751"/>
    <mergeCell ref="G748:G751"/>
    <mergeCell ref="H748:H751"/>
    <mergeCell ref="J748:J751"/>
    <mergeCell ref="K748:K751"/>
    <mergeCell ref="L748:L751"/>
    <mergeCell ref="R745:R751"/>
    <mergeCell ref="S745:S751"/>
    <mergeCell ref="T745:U751"/>
    <mergeCell ref="V745:V751"/>
    <mergeCell ref="W745:W751"/>
    <mergeCell ref="X745:X751"/>
    <mergeCell ref="A745:A751"/>
    <mergeCell ref="B745:B751"/>
    <mergeCell ref="C745:C751"/>
    <mergeCell ref="O745:O751"/>
    <mergeCell ref="P745:P751"/>
    <mergeCell ref="Q745:Q751"/>
    <mergeCell ref="M748:M751"/>
    <mergeCell ref="N748:N751"/>
    <mergeCell ref="C759:C765"/>
    <mergeCell ref="O759:O765"/>
    <mergeCell ref="P759:P765"/>
    <mergeCell ref="Q759:Q765"/>
    <mergeCell ref="C766:C772"/>
    <mergeCell ref="O766:O772"/>
    <mergeCell ref="P766:P772"/>
    <mergeCell ref="Q766:Q772"/>
    <mergeCell ref="Y752:Y758"/>
    <mergeCell ref="Z752:Z758"/>
    <mergeCell ref="D755:D758"/>
    <mergeCell ref="E755:E758"/>
    <mergeCell ref="F755:F758"/>
    <mergeCell ref="G755:G758"/>
    <mergeCell ref="H755:H758"/>
    <mergeCell ref="J755:J758"/>
    <mergeCell ref="K755:K758"/>
    <mergeCell ref="L755:L758"/>
    <mergeCell ref="R752:R758"/>
    <mergeCell ref="S752:S758"/>
    <mergeCell ref="T752:U758"/>
    <mergeCell ref="V752:V758"/>
    <mergeCell ref="W752:W758"/>
    <mergeCell ref="X752:X758"/>
    <mergeCell ref="Z766:Z772"/>
    <mergeCell ref="D769:D772"/>
    <mergeCell ref="E769:E772"/>
    <mergeCell ref="F769:F772"/>
    <mergeCell ref="G769:G772"/>
    <mergeCell ref="H769:H772"/>
    <mergeCell ref="J769:J772"/>
    <mergeCell ref="K769:K772"/>
    <mergeCell ref="M769:M772"/>
    <mergeCell ref="N769:N772"/>
    <mergeCell ref="R766:R772"/>
    <mergeCell ref="S766:S772"/>
    <mergeCell ref="T766:U772"/>
    <mergeCell ref="W766:W772"/>
    <mergeCell ref="X766:X772"/>
    <mergeCell ref="Y766:Y772"/>
    <mergeCell ref="Z759:Z765"/>
    <mergeCell ref="D762:D765"/>
    <mergeCell ref="E762:E765"/>
    <mergeCell ref="F762:F765"/>
    <mergeCell ref="G762:G765"/>
    <mergeCell ref="H762:H765"/>
    <mergeCell ref="J762:J765"/>
    <mergeCell ref="K762:K765"/>
    <mergeCell ref="M762:M765"/>
    <mergeCell ref="N762:N765"/>
    <mergeCell ref="R759:R765"/>
    <mergeCell ref="S759:S765"/>
    <mergeCell ref="T759:U765"/>
    <mergeCell ref="W759:W765"/>
    <mergeCell ref="X759:X765"/>
    <mergeCell ref="Y759:Y765"/>
    <mergeCell ref="T773:U779"/>
    <mergeCell ref="W773:W779"/>
    <mergeCell ref="X773:X779"/>
    <mergeCell ref="Y773:Y779"/>
    <mergeCell ref="Z773:Z779"/>
    <mergeCell ref="D776:D779"/>
    <mergeCell ref="E776:E779"/>
    <mergeCell ref="F776:F779"/>
    <mergeCell ref="G776:G779"/>
    <mergeCell ref="H776:H779"/>
    <mergeCell ref="C773:C779"/>
    <mergeCell ref="O773:O779"/>
    <mergeCell ref="P773:P779"/>
    <mergeCell ref="Q773:Q779"/>
    <mergeCell ref="R773:R779"/>
    <mergeCell ref="S773:S779"/>
    <mergeCell ref="J776:J779"/>
    <mergeCell ref="K776:K779"/>
    <mergeCell ref="M776:M779"/>
    <mergeCell ref="N776:N779"/>
    <mergeCell ref="T780:U786"/>
    <mergeCell ref="W780:W786"/>
    <mergeCell ref="X780:X786"/>
    <mergeCell ref="Y780:Y786"/>
    <mergeCell ref="Z780:Z786"/>
    <mergeCell ref="D783:D786"/>
    <mergeCell ref="E783:E786"/>
    <mergeCell ref="F783:F786"/>
    <mergeCell ref="G783:G786"/>
    <mergeCell ref="H783:H786"/>
    <mergeCell ref="C780:C786"/>
    <mergeCell ref="O780:O786"/>
    <mergeCell ref="P780:P786"/>
    <mergeCell ref="Q780:Q786"/>
    <mergeCell ref="R780:R786"/>
    <mergeCell ref="S780:S786"/>
    <mergeCell ref="J783:J786"/>
    <mergeCell ref="K783:K786"/>
    <mergeCell ref="M783:M786"/>
    <mergeCell ref="N783:N786"/>
    <mergeCell ref="T787:U793"/>
    <mergeCell ref="W787:W793"/>
    <mergeCell ref="X787:X793"/>
    <mergeCell ref="Y787:Y793"/>
    <mergeCell ref="Z787:Z793"/>
    <mergeCell ref="D790:D793"/>
    <mergeCell ref="E790:E793"/>
    <mergeCell ref="F790:F793"/>
    <mergeCell ref="G790:G793"/>
    <mergeCell ref="H790:H793"/>
    <mergeCell ref="C787:C793"/>
    <mergeCell ref="O787:O793"/>
    <mergeCell ref="P787:P793"/>
    <mergeCell ref="Q787:Q793"/>
    <mergeCell ref="R787:R793"/>
    <mergeCell ref="S787:S793"/>
    <mergeCell ref="J790:J793"/>
    <mergeCell ref="K790:K793"/>
    <mergeCell ref="M790:M793"/>
    <mergeCell ref="N790:N793"/>
    <mergeCell ref="T794:U800"/>
    <mergeCell ref="W794:W800"/>
    <mergeCell ref="X794:X800"/>
    <mergeCell ref="Y794:Y800"/>
    <mergeCell ref="Z794:Z800"/>
    <mergeCell ref="D797:D800"/>
    <mergeCell ref="E797:E800"/>
    <mergeCell ref="F797:F800"/>
    <mergeCell ref="G797:G800"/>
    <mergeCell ref="H797:H800"/>
    <mergeCell ref="C794:C800"/>
    <mergeCell ref="O794:O800"/>
    <mergeCell ref="P794:P800"/>
    <mergeCell ref="Q794:Q800"/>
    <mergeCell ref="R794:R800"/>
    <mergeCell ref="S794:S800"/>
    <mergeCell ref="J797:J800"/>
    <mergeCell ref="K797:K800"/>
    <mergeCell ref="M797:M800"/>
    <mergeCell ref="N797:N800"/>
    <mergeCell ref="T801:U807"/>
    <mergeCell ref="W801:W807"/>
    <mergeCell ref="X801:X807"/>
    <mergeCell ref="Y801:Y807"/>
    <mergeCell ref="Z801:Z807"/>
    <mergeCell ref="D804:D807"/>
    <mergeCell ref="E804:E807"/>
    <mergeCell ref="F804:F807"/>
    <mergeCell ref="G804:G807"/>
    <mergeCell ref="H804:H807"/>
    <mergeCell ref="C801:C807"/>
    <mergeCell ref="O801:O807"/>
    <mergeCell ref="P801:P807"/>
    <mergeCell ref="Q801:Q807"/>
    <mergeCell ref="R801:R807"/>
    <mergeCell ref="S801:S807"/>
    <mergeCell ref="J804:J807"/>
    <mergeCell ref="K804:K807"/>
    <mergeCell ref="M804:M807"/>
    <mergeCell ref="N804:N807"/>
    <mergeCell ref="T808:U814"/>
    <mergeCell ref="W808:W814"/>
    <mergeCell ref="X808:X814"/>
    <mergeCell ref="Y808:Y814"/>
    <mergeCell ref="Z808:Z814"/>
    <mergeCell ref="D811:D814"/>
    <mergeCell ref="E811:E814"/>
    <mergeCell ref="F811:F814"/>
    <mergeCell ref="G811:G814"/>
    <mergeCell ref="H811:H814"/>
    <mergeCell ref="C808:C814"/>
    <mergeCell ref="O808:O814"/>
    <mergeCell ref="P808:P814"/>
    <mergeCell ref="Q808:Q814"/>
    <mergeCell ref="R808:R814"/>
    <mergeCell ref="S808:S814"/>
    <mergeCell ref="J811:J814"/>
    <mergeCell ref="K811:K814"/>
    <mergeCell ref="M811:M814"/>
    <mergeCell ref="N811:N814"/>
    <mergeCell ref="T815:U821"/>
    <mergeCell ref="W815:W821"/>
    <mergeCell ref="X815:X821"/>
    <mergeCell ref="Y815:Y821"/>
    <mergeCell ref="Z815:Z821"/>
    <mergeCell ref="D818:D821"/>
    <mergeCell ref="E818:E821"/>
    <mergeCell ref="F818:F821"/>
    <mergeCell ref="G818:G821"/>
    <mergeCell ref="H818:H821"/>
    <mergeCell ref="C815:C821"/>
    <mergeCell ref="O815:O821"/>
    <mergeCell ref="P815:P821"/>
    <mergeCell ref="Q815:Q821"/>
    <mergeCell ref="R815:R821"/>
    <mergeCell ref="S815:S821"/>
    <mergeCell ref="J818:J821"/>
    <mergeCell ref="K818:K821"/>
    <mergeCell ref="M818:M821"/>
    <mergeCell ref="N818:N821"/>
    <mergeCell ref="T822:U828"/>
    <mergeCell ref="W822:W828"/>
    <mergeCell ref="X822:X828"/>
    <mergeCell ref="Y822:Y828"/>
    <mergeCell ref="Z822:Z828"/>
    <mergeCell ref="D825:D828"/>
    <mergeCell ref="E825:E828"/>
    <mergeCell ref="F825:F828"/>
    <mergeCell ref="G825:G828"/>
    <mergeCell ref="H825:H828"/>
    <mergeCell ref="C822:C828"/>
    <mergeCell ref="O822:O828"/>
    <mergeCell ref="P822:P828"/>
    <mergeCell ref="Q822:Q828"/>
    <mergeCell ref="R822:R828"/>
    <mergeCell ref="S822:S828"/>
    <mergeCell ref="J825:J828"/>
    <mergeCell ref="K825:K828"/>
    <mergeCell ref="M825:M828"/>
    <mergeCell ref="N825:N828"/>
    <mergeCell ref="T829:U835"/>
    <mergeCell ref="W829:W835"/>
    <mergeCell ref="X829:X835"/>
    <mergeCell ref="Y829:Y835"/>
    <mergeCell ref="Z829:Z835"/>
    <mergeCell ref="D832:D835"/>
    <mergeCell ref="E832:E835"/>
    <mergeCell ref="F832:F835"/>
    <mergeCell ref="G832:G835"/>
    <mergeCell ref="H832:H835"/>
    <mergeCell ref="C829:C835"/>
    <mergeCell ref="O829:O835"/>
    <mergeCell ref="P829:P835"/>
    <mergeCell ref="Q829:Q835"/>
    <mergeCell ref="R829:R835"/>
    <mergeCell ref="S829:S835"/>
    <mergeCell ref="J832:J835"/>
    <mergeCell ref="K832:K835"/>
    <mergeCell ref="M832:M835"/>
    <mergeCell ref="N832:N835"/>
    <mergeCell ref="T836:U842"/>
    <mergeCell ref="W836:W842"/>
    <mergeCell ref="X836:X842"/>
    <mergeCell ref="Y836:Y842"/>
    <mergeCell ref="Z836:Z842"/>
    <mergeCell ref="D839:D842"/>
    <mergeCell ref="E839:E842"/>
    <mergeCell ref="F839:F842"/>
    <mergeCell ref="G839:G842"/>
    <mergeCell ref="H839:H842"/>
    <mergeCell ref="C836:C842"/>
    <mergeCell ref="O836:O842"/>
    <mergeCell ref="P836:P842"/>
    <mergeCell ref="Q836:Q842"/>
    <mergeCell ref="R836:R842"/>
    <mergeCell ref="S836:S842"/>
    <mergeCell ref="J839:J842"/>
    <mergeCell ref="K839:K842"/>
    <mergeCell ref="M839:M842"/>
    <mergeCell ref="N839:N842"/>
    <mergeCell ref="T843:U849"/>
    <mergeCell ref="W843:W849"/>
    <mergeCell ref="X843:X849"/>
    <mergeCell ref="Y843:Y849"/>
    <mergeCell ref="Z843:Z849"/>
    <mergeCell ref="D846:D849"/>
    <mergeCell ref="E846:E849"/>
    <mergeCell ref="F846:F849"/>
    <mergeCell ref="G846:G849"/>
    <mergeCell ref="H846:H849"/>
    <mergeCell ref="C843:C849"/>
    <mergeCell ref="O843:O849"/>
    <mergeCell ref="P843:P849"/>
    <mergeCell ref="Q843:Q849"/>
    <mergeCell ref="R843:R849"/>
    <mergeCell ref="S843:S849"/>
    <mergeCell ref="J846:J849"/>
    <mergeCell ref="K846:K849"/>
    <mergeCell ref="M846:M849"/>
    <mergeCell ref="N846:N849"/>
    <mergeCell ref="T850:U856"/>
    <mergeCell ref="W850:W856"/>
    <mergeCell ref="X850:X856"/>
    <mergeCell ref="Y850:Y856"/>
    <mergeCell ref="Z850:Z856"/>
    <mergeCell ref="D853:D856"/>
    <mergeCell ref="E853:E856"/>
    <mergeCell ref="F853:F856"/>
    <mergeCell ref="G853:G856"/>
    <mergeCell ref="H853:H856"/>
    <mergeCell ref="C850:C856"/>
    <mergeCell ref="O850:O856"/>
    <mergeCell ref="P850:P856"/>
    <mergeCell ref="Q850:Q856"/>
    <mergeCell ref="R850:R856"/>
    <mergeCell ref="S850:S856"/>
    <mergeCell ref="J853:J856"/>
    <mergeCell ref="K853:K856"/>
    <mergeCell ref="M853:M856"/>
    <mergeCell ref="N853:N856"/>
    <mergeCell ref="T857:U863"/>
    <mergeCell ref="W857:W863"/>
    <mergeCell ref="X857:X863"/>
    <mergeCell ref="Y857:Y863"/>
    <mergeCell ref="Z857:Z863"/>
    <mergeCell ref="D860:D863"/>
    <mergeCell ref="E860:E863"/>
    <mergeCell ref="F860:F863"/>
    <mergeCell ref="G860:G863"/>
    <mergeCell ref="H860:H863"/>
    <mergeCell ref="C857:C863"/>
    <mergeCell ref="O857:O863"/>
    <mergeCell ref="P857:P863"/>
    <mergeCell ref="Q857:Q863"/>
    <mergeCell ref="R857:R863"/>
    <mergeCell ref="S857:S863"/>
    <mergeCell ref="J860:J863"/>
    <mergeCell ref="K860:K863"/>
    <mergeCell ref="M860:M863"/>
    <mergeCell ref="N860:N863"/>
    <mergeCell ref="T864:U870"/>
    <mergeCell ref="W864:W870"/>
    <mergeCell ref="X864:X870"/>
    <mergeCell ref="Y864:Y870"/>
    <mergeCell ref="Z864:Z870"/>
    <mergeCell ref="D867:D870"/>
    <mergeCell ref="E867:E870"/>
    <mergeCell ref="F867:F870"/>
    <mergeCell ref="G867:G870"/>
    <mergeCell ref="H867:H870"/>
    <mergeCell ref="C864:C870"/>
    <mergeCell ref="O864:O870"/>
    <mergeCell ref="P864:P870"/>
    <mergeCell ref="Q864:Q870"/>
    <mergeCell ref="R864:R870"/>
    <mergeCell ref="S864:S870"/>
    <mergeCell ref="J867:J870"/>
    <mergeCell ref="K867:K870"/>
    <mergeCell ref="M867:M870"/>
    <mergeCell ref="N867:N870"/>
    <mergeCell ref="T871:U877"/>
    <mergeCell ref="W871:W877"/>
    <mergeCell ref="X871:X877"/>
    <mergeCell ref="Y871:Y877"/>
    <mergeCell ref="Z871:Z877"/>
    <mergeCell ref="D874:D877"/>
    <mergeCell ref="E874:E877"/>
    <mergeCell ref="F874:F877"/>
    <mergeCell ref="G874:G877"/>
    <mergeCell ref="H874:H877"/>
    <mergeCell ref="C871:C877"/>
    <mergeCell ref="O871:O877"/>
    <mergeCell ref="P871:P877"/>
    <mergeCell ref="Q871:Q877"/>
    <mergeCell ref="R871:R877"/>
    <mergeCell ref="S871:S877"/>
    <mergeCell ref="J874:J877"/>
    <mergeCell ref="K874:K877"/>
    <mergeCell ref="M874:M877"/>
    <mergeCell ref="N874:N877"/>
    <mergeCell ref="T878:U884"/>
    <mergeCell ref="W878:W884"/>
    <mergeCell ref="X878:X884"/>
    <mergeCell ref="Y878:Y884"/>
    <mergeCell ref="Z878:Z884"/>
    <mergeCell ref="D881:D884"/>
    <mergeCell ref="E881:E884"/>
    <mergeCell ref="F881:F884"/>
    <mergeCell ref="G881:G884"/>
    <mergeCell ref="H881:H884"/>
    <mergeCell ref="C878:C884"/>
    <mergeCell ref="O878:O884"/>
    <mergeCell ref="P878:P884"/>
    <mergeCell ref="Q878:Q884"/>
    <mergeCell ref="R878:R884"/>
    <mergeCell ref="S878:S884"/>
    <mergeCell ref="J881:J884"/>
    <mergeCell ref="K881:K884"/>
    <mergeCell ref="M881:M884"/>
    <mergeCell ref="N881:N884"/>
    <mergeCell ref="A892:A1034"/>
    <mergeCell ref="B892:B1034"/>
    <mergeCell ref="C892:C898"/>
    <mergeCell ref="O892:O898"/>
    <mergeCell ref="P892:P898"/>
    <mergeCell ref="Q892:Q898"/>
    <mergeCell ref="L895:L898"/>
    <mergeCell ref="M895:M898"/>
    <mergeCell ref="N895:N898"/>
    <mergeCell ref="C899:C905"/>
    <mergeCell ref="T885:U891"/>
    <mergeCell ref="W885:W891"/>
    <mergeCell ref="X885:X891"/>
    <mergeCell ref="Y885:Y891"/>
    <mergeCell ref="Z885:Z891"/>
    <mergeCell ref="D888:D891"/>
    <mergeCell ref="E888:E891"/>
    <mergeCell ref="F888:F891"/>
    <mergeCell ref="G888:G891"/>
    <mergeCell ref="H888:H891"/>
    <mergeCell ref="C885:C891"/>
    <mergeCell ref="O885:O891"/>
    <mergeCell ref="P885:P891"/>
    <mergeCell ref="Q885:Q891"/>
    <mergeCell ref="R885:R891"/>
    <mergeCell ref="S885:S891"/>
    <mergeCell ref="J888:J891"/>
    <mergeCell ref="K888:K891"/>
    <mergeCell ref="M888:M891"/>
    <mergeCell ref="N888:N891"/>
    <mergeCell ref="A759:A891"/>
    <mergeCell ref="B759:B891"/>
    <mergeCell ref="W899:W905"/>
    <mergeCell ref="X899:X905"/>
    <mergeCell ref="Y899:Y905"/>
    <mergeCell ref="Z899:Z905"/>
    <mergeCell ref="AC899:AC905"/>
    <mergeCell ref="O899:O905"/>
    <mergeCell ref="P899:P905"/>
    <mergeCell ref="Q899:Q905"/>
    <mergeCell ref="R899:R905"/>
    <mergeCell ref="S899:S905"/>
    <mergeCell ref="T899:U905"/>
    <mergeCell ref="Y892:Y898"/>
    <mergeCell ref="Z892:Z898"/>
    <mergeCell ref="AC892:AC898"/>
    <mergeCell ref="D895:D898"/>
    <mergeCell ref="E895:E898"/>
    <mergeCell ref="G895:G898"/>
    <mergeCell ref="H895:H898"/>
    <mergeCell ref="I895:I898"/>
    <mergeCell ref="J895:J898"/>
    <mergeCell ref="K895:K898"/>
    <mergeCell ref="R892:R898"/>
    <mergeCell ref="S892:S898"/>
    <mergeCell ref="T892:U898"/>
    <mergeCell ref="V892:V898"/>
    <mergeCell ref="W892:W898"/>
    <mergeCell ref="X892:X898"/>
    <mergeCell ref="K902:K905"/>
    <mergeCell ref="L902:L905"/>
    <mergeCell ref="M902:M905"/>
    <mergeCell ref="N902:N905"/>
    <mergeCell ref="C906:C912"/>
    <mergeCell ref="O906:O912"/>
    <mergeCell ref="J909:J912"/>
    <mergeCell ref="K909:K912"/>
    <mergeCell ref="L909:L912"/>
    <mergeCell ref="M909:M912"/>
    <mergeCell ref="D902:D905"/>
    <mergeCell ref="E902:E905"/>
    <mergeCell ref="G902:G905"/>
    <mergeCell ref="H902:H905"/>
    <mergeCell ref="I902:I905"/>
    <mergeCell ref="J902:J905"/>
    <mergeCell ref="V899:V905"/>
    <mergeCell ref="C913:C919"/>
    <mergeCell ref="O913:O919"/>
    <mergeCell ref="P913:P919"/>
    <mergeCell ref="Q913:Q919"/>
    <mergeCell ref="R913:R919"/>
    <mergeCell ref="M916:M919"/>
    <mergeCell ref="N916:N919"/>
    <mergeCell ref="N909:N912"/>
    <mergeCell ref="W906:W912"/>
    <mergeCell ref="X906:X912"/>
    <mergeCell ref="Y906:Y912"/>
    <mergeCell ref="Z906:Z912"/>
    <mergeCell ref="AC906:AC912"/>
    <mergeCell ref="D909:D912"/>
    <mergeCell ref="E909:E912"/>
    <mergeCell ref="G909:G912"/>
    <mergeCell ref="H909:H912"/>
    <mergeCell ref="I909:I912"/>
    <mergeCell ref="P906:P912"/>
    <mergeCell ref="Q906:Q912"/>
    <mergeCell ref="R906:R912"/>
    <mergeCell ref="S906:S912"/>
    <mergeCell ref="T906:U912"/>
    <mergeCell ref="V906:V912"/>
    <mergeCell ref="Z913:Z919"/>
    <mergeCell ref="AC913:AC919"/>
    <mergeCell ref="D916:D919"/>
    <mergeCell ref="E916:E919"/>
    <mergeCell ref="G916:G919"/>
    <mergeCell ref="H916:H919"/>
    <mergeCell ref="I916:I919"/>
    <mergeCell ref="J916:J919"/>
    <mergeCell ref="K916:K919"/>
    <mergeCell ref="L916:L919"/>
    <mergeCell ref="S913:S919"/>
    <mergeCell ref="T913:U919"/>
    <mergeCell ref="V913:V919"/>
    <mergeCell ref="W913:W919"/>
    <mergeCell ref="X913:X919"/>
    <mergeCell ref="Y913:Y919"/>
    <mergeCell ref="AC920:AC926"/>
    <mergeCell ref="D923:D926"/>
    <mergeCell ref="E923:E926"/>
    <mergeCell ref="G923:G926"/>
    <mergeCell ref="H923:H926"/>
    <mergeCell ref="I923:I926"/>
    <mergeCell ref="J923:J926"/>
    <mergeCell ref="K923:K926"/>
    <mergeCell ref="L923:L926"/>
    <mergeCell ref="M923:M926"/>
    <mergeCell ref="T920:U926"/>
    <mergeCell ref="V920:V926"/>
    <mergeCell ref="W920:W926"/>
    <mergeCell ref="X920:X926"/>
    <mergeCell ref="Y920:Y926"/>
    <mergeCell ref="Z920:Z926"/>
    <mergeCell ref="C920:C926"/>
    <mergeCell ref="O920:O926"/>
    <mergeCell ref="P920:P926"/>
    <mergeCell ref="Q920:Q926"/>
    <mergeCell ref="R920:R926"/>
    <mergeCell ref="S920:S926"/>
    <mergeCell ref="N923:N926"/>
    <mergeCell ref="AC927:AC933"/>
    <mergeCell ref="D930:D933"/>
    <mergeCell ref="E930:E933"/>
    <mergeCell ref="G930:G933"/>
    <mergeCell ref="H930:H933"/>
    <mergeCell ref="I930:I933"/>
    <mergeCell ref="J930:J933"/>
    <mergeCell ref="K930:K933"/>
    <mergeCell ref="L930:L933"/>
    <mergeCell ref="M930:M933"/>
    <mergeCell ref="T927:U933"/>
    <mergeCell ref="V927:V933"/>
    <mergeCell ref="W927:W933"/>
    <mergeCell ref="X927:X933"/>
    <mergeCell ref="Y927:Y933"/>
    <mergeCell ref="Z927:Z933"/>
    <mergeCell ref="C927:C933"/>
    <mergeCell ref="O927:O933"/>
    <mergeCell ref="P927:P933"/>
    <mergeCell ref="Q927:Q933"/>
    <mergeCell ref="R927:R933"/>
    <mergeCell ref="S927:S933"/>
    <mergeCell ref="N930:N933"/>
    <mergeCell ref="AC934:AC940"/>
    <mergeCell ref="D937:D940"/>
    <mergeCell ref="E937:E940"/>
    <mergeCell ref="G937:G940"/>
    <mergeCell ref="H937:H940"/>
    <mergeCell ref="I937:I940"/>
    <mergeCell ref="J937:J940"/>
    <mergeCell ref="K937:K940"/>
    <mergeCell ref="L937:L940"/>
    <mergeCell ref="M937:M940"/>
    <mergeCell ref="T934:U940"/>
    <mergeCell ref="V934:V940"/>
    <mergeCell ref="W934:W940"/>
    <mergeCell ref="X934:X940"/>
    <mergeCell ref="Y934:Y940"/>
    <mergeCell ref="Z934:Z940"/>
    <mergeCell ref="C934:C940"/>
    <mergeCell ref="O934:O940"/>
    <mergeCell ref="P934:P940"/>
    <mergeCell ref="Q934:Q940"/>
    <mergeCell ref="R934:R940"/>
    <mergeCell ref="S934:S940"/>
    <mergeCell ref="N937:N940"/>
    <mergeCell ref="AC941:AC947"/>
    <mergeCell ref="D944:D947"/>
    <mergeCell ref="E944:E947"/>
    <mergeCell ref="G944:G947"/>
    <mergeCell ref="H944:H947"/>
    <mergeCell ref="I944:I947"/>
    <mergeCell ref="J944:J947"/>
    <mergeCell ref="K944:K947"/>
    <mergeCell ref="L944:L947"/>
    <mergeCell ref="M944:M947"/>
    <mergeCell ref="T941:U947"/>
    <mergeCell ref="V941:V947"/>
    <mergeCell ref="W941:W947"/>
    <mergeCell ref="X941:X947"/>
    <mergeCell ref="Y941:Y947"/>
    <mergeCell ref="Z941:Z947"/>
    <mergeCell ref="C941:C947"/>
    <mergeCell ref="O941:O947"/>
    <mergeCell ref="P941:P947"/>
    <mergeCell ref="Q941:Q947"/>
    <mergeCell ref="R941:R947"/>
    <mergeCell ref="S941:S947"/>
    <mergeCell ref="N944:N947"/>
    <mergeCell ref="AC948:AC954"/>
    <mergeCell ref="D951:D954"/>
    <mergeCell ref="E951:E954"/>
    <mergeCell ref="G951:G954"/>
    <mergeCell ref="H951:H954"/>
    <mergeCell ref="I951:I954"/>
    <mergeCell ref="J951:J954"/>
    <mergeCell ref="K951:K954"/>
    <mergeCell ref="L951:L954"/>
    <mergeCell ref="M951:M954"/>
    <mergeCell ref="T948:U954"/>
    <mergeCell ref="V948:V954"/>
    <mergeCell ref="W948:W954"/>
    <mergeCell ref="X948:X954"/>
    <mergeCell ref="Y948:Y954"/>
    <mergeCell ref="Z948:Z954"/>
    <mergeCell ref="C948:C954"/>
    <mergeCell ref="O948:O954"/>
    <mergeCell ref="P948:P954"/>
    <mergeCell ref="Q948:Q954"/>
    <mergeCell ref="R948:R954"/>
    <mergeCell ref="S948:S954"/>
    <mergeCell ref="N951:N954"/>
    <mergeCell ref="AC955:AC961"/>
    <mergeCell ref="D958:D961"/>
    <mergeCell ref="E958:E961"/>
    <mergeCell ref="G958:G961"/>
    <mergeCell ref="H958:H961"/>
    <mergeCell ref="I958:I961"/>
    <mergeCell ref="J958:J961"/>
    <mergeCell ref="K958:K961"/>
    <mergeCell ref="L958:L961"/>
    <mergeCell ref="M958:M961"/>
    <mergeCell ref="T955:U961"/>
    <mergeCell ref="V955:V961"/>
    <mergeCell ref="W955:W961"/>
    <mergeCell ref="X955:X961"/>
    <mergeCell ref="Y955:Y961"/>
    <mergeCell ref="Z955:Z961"/>
    <mergeCell ref="C955:C961"/>
    <mergeCell ref="O955:O961"/>
    <mergeCell ref="P955:P961"/>
    <mergeCell ref="Q955:Q961"/>
    <mergeCell ref="R955:R961"/>
    <mergeCell ref="S955:S961"/>
    <mergeCell ref="N958:N961"/>
    <mergeCell ref="AC962:AC968"/>
    <mergeCell ref="D965:D968"/>
    <mergeCell ref="E965:E968"/>
    <mergeCell ref="G965:G968"/>
    <mergeCell ref="H965:H968"/>
    <mergeCell ref="I965:I968"/>
    <mergeCell ref="J965:J968"/>
    <mergeCell ref="K965:K968"/>
    <mergeCell ref="L965:L968"/>
    <mergeCell ref="M965:M968"/>
    <mergeCell ref="T962:U968"/>
    <mergeCell ref="V962:V968"/>
    <mergeCell ref="W962:W968"/>
    <mergeCell ref="X962:X968"/>
    <mergeCell ref="Y962:Y968"/>
    <mergeCell ref="Z962:Z968"/>
    <mergeCell ref="C962:C968"/>
    <mergeCell ref="O962:O968"/>
    <mergeCell ref="P962:P968"/>
    <mergeCell ref="Q962:Q968"/>
    <mergeCell ref="R962:R968"/>
    <mergeCell ref="S962:S968"/>
    <mergeCell ref="N965:N968"/>
    <mergeCell ref="AC969:AC975"/>
    <mergeCell ref="D972:D975"/>
    <mergeCell ref="E972:E975"/>
    <mergeCell ref="G972:G975"/>
    <mergeCell ref="H972:H975"/>
    <mergeCell ref="I972:I975"/>
    <mergeCell ref="J972:J975"/>
    <mergeCell ref="K972:K975"/>
    <mergeCell ref="L972:L975"/>
    <mergeCell ref="M972:M975"/>
    <mergeCell ref="T969:U975"/>
    <mergeCell ref="V969:V975"/>
    <mergeCell ref="W969:W975"/>
    <mergeCell ref="X969:X975"/>
    <mergeCell ref="Y969:Y975"/>
    <mergeCell ref="Z969:Z975"/>
    <mergeCell ref="C969:C975"/>
    <mergeCell ref="O969:O975"/>
    <mergeCell ref="P969:P975"/>
    <mergeCell ref="Q969:Q975"/>
    <mergeCell ref="R969:R975"/>
    <mergeCell ref="S969:S975"/>
    <mergeCell ref="N972:N975"/>
    <mergeCell ref="AC976:AC982"/>
    <mergeCell ref="D979:D982"/>
    <mergeCell ref="E979:E982"/>
    <mergeCell ref="G979:G982"/>
    <mergeCell ref="H979:H982"/>
    <mergeCell ref="I979:I982"/>
    <mergeCell ref="J979:J982"/>
    <mergeCell ref="K979:K982"/>
    <mergeCell ref="L979:L982"/>
    <mergeCell ref="M979:M982"/>
    <mergeCell ref="T976:U982"/>
    <mergeCell ref="V976:V982"/>
    <mergeCell ref="W976:W982"/>
    <mergeCell ref="X976:X982"/>
    <mergeCell ref="Y976:Y982"/>
    <mergeCell ref="Z976:Z982"/>
    <mergeCell ref="C976:C982"/>
    <mergeCell ref="O976:O982"/>
    <mergeCell ref="P976:P982"/>
    <mergeCell ref="Q976:Q982"/>
    <mergeCell ref="R976:R982"/>
    <mergeCell ref="S976:S982"/>
    <mergeCell ref="N979:N982"/>
    <mergeCell ref="AC983:AC989"/>
    <mergeCell ref="D986:D989"/>
    <mergeCell ref="E986:E989"/>
    <mergeCell ref="G986:G989"/>
    <mergeCell ref="H986:H989"/>
    <mergeCell ref="I986:I989"/>
    <mergeCell ref="J986:J989"/>
    <mergeCell ref="K986:K989"/>
    <mergeCell ref="L986:L989"/>
    <mergeCell ref="M986:M989"/>
    <mergeCell ref="T983:U989"/>
    <mergeCell ref="V983:V989"/>
    <mergeCell ref="W983:W989"/>
    <mergeCell ref="X983:X989"/>
    <mergeCell ref="Y983:Y989"/>
    <mergeCell ref="Z983:Z989"/>
    <mergeCell ref="C983:C989"/>
    <mergeCell ref="O983:O989"/>
    <mergeCell ref="P983:P989"/>
    <mergeCell ref="Q983:Q989"/>
    <mergeCell ref="R983:R989"/>
    <mergeCell ref="S983:S989"/>
    <mergeCell ref="N986:N989"/>
    <mergeCell ref="AC990:AC996"/>
    <mergeCell ref="D993:D996"/>
    <mergeCell ref="E993:E996"/>
    <mergeCell ref="G993:G996"/>
    <mergeCell ref="H993:H996"/>
    <mergeCell ref="I993:I996"/>
    <mergeCell ref="J993:J996"/>
    <mergeCell ref="K993:K996"/>
    <mergeCell ref="L993:L996"/>
    <mergeCell ref="M993:M996"/>
    <mergeCell ref="T990:U996"/>
    <mergeCell ref="V990:V996"/>
    <mergeCell ref="W990:W996"/>
    <mergeCell ref="X990:X996"/>
    <mergeCell ref="Y990:Y996"/>
    <mergeCell ref="Z990:Z996"/>
    <mergeCell ref="C990:C996"/>
    <mergeCell ref="O990:O996"/>
    <mergeCell ref="P990:P996"/>
    <mergeCell ref="Q990:Q996"/>
    <mergeCell ref="R990:R996"/>
    <mergeCell ref="S990:S996"/>
    <mergeCell ref="N993:N996"/>
    <mergeCell ref="AC997:AC1003"/>
    <mergeCell ref="D1000:D1003"/>
    <mergeCell ref="E1000:E1003"/>
    <mergeCell ref="G1000:G1003"/>
    <mergeCell ref="H1000:H1003"/>
    <mergeCell ref="I1000:I1003"/>
    <mergeCell ref="J1000:J1003"/>
    <mergeCell ref="K1000:K1003"/>
    <mergeCell ref="L1000:L1003"/>
    <mergeCell ref="M1000:M1003"/>
    <mergeCell ref="T997:U1003"/>
    <mergeCell ref="V997:V1003"/>
    <mergeCell ref="W997:W1003"/>
    <mergeCell ref="X997:X1003"/>
    <mergeCell ref="Y997:Y1003"/>
    <mergeCell ref="Z997:Z1003"/>
    <mergeCell ref="C997:C1003"/>
    <mergeCell ref="O997:O1003"/>
    <mergeCell ref="P997:P1003"/>
    <mergeCell ref="Q997:Q1003"/>
    <mergeCell ref="R997:R1003"/>
    <mergeCell ref="S997:S1003"/>
    <mergeCell ref="N1000:N1003"/>
    <mergeCell ref="AC1004:AC1010"/>
    <mergeCell ref="D1007:D1010"/>
    <mergeCell ref="E1007:E1010"/>
    <mergeCell ref="G1007:G1010"/>
    <mergeCell ref="H1007:H1010"/>
    <mergeCell ref="I1007:I1010"/>
    <mergeCell ref="J1007:J1010"/>
    <mergeCell ref="K1007:K1010"/>
    <mergeCell ref="L1007:L1010"/>
    <mergeCell ref="M1007:M1010"/>
    <mergeCell ref="T1004:U1010"/>
    <mergeCell ref="V1004:V1010"/>
    <mergeCell ref="W1004:W1010"/>
    <mergeCell ref="X1004:X1010"/>
    <mergeCell ref="Y1004:Y1010"/>
    <mergeCell ref="Z1004:Z1010"/>
    <mergeCell ref="C1004:C1010"/>
    <mergeCell ref="O1004:O1010"/>
    <mergeCell ref="P1004:P1010"/>
    <mergeCell ref="Q1004:Q1010"/>
    <mergeCell ref="R1004:R1010"/>
    <mergeCell ref="S1004:S1010"/>
    <mergeCell ref="N1007:N1010"/>
    <mergeCell ref="C1018:C1024"/>
    <mergeCell ref="O1018:O1024"/>
    <mergeCell ref="P1018:P1024"/>
    <mergeCell ref="Q1018:Q1024"/>
    <mergeCell ref="R1018:R1024"/>
    <mergeCell ref="S1018:S1024"/>
    <mergeCell ref="N1021:N1024"/>
    <mergeCell ref="AC1011:AC1017"/>
    <mergeCell ref="D1014:D1017"/>
    <mergeCell ref="E1014:E1017"/>
    <mergeCell ref="G1014:G1017"/>
    <mergeCell ref="H1014:H1017"/>
    <mergeCell ref="I1014:I1017"/>
    <mergeCell ref="J1014:J1017"/>
    <mergeCell ref="K1014:K1017"/>
    <mergeCell ref="L1014:L1017"/>
    <mergeCell ref="M1014:M1017"/>
    <mergeCell ref="T1011:U1017"/>
    <mergeCell ref="V1011:V1017"/>
    <mergeCell ref="W1011:W1017"/>
    <mergeCell ref="X1011:X1017"/>
    <mergeCell ref="Y1011:Y1017"/>
    <mergeCell ref="Z1011:Z1017"/>
    <mergeCell ref="C1011:C1017"/>
    <mergeCell ref="O1011:O1017"/>
    <mergeCell ref="P1011:P1017"/>
    <mergeCell ref="Q1011:Q1017"/>
    <mergeCell ref="R1011:R1017"/>
    <mergeCell ref="S1011:S1017"/>
    <mergeCell ref="N1014:N1017"/>
    <mergeCell ref="N1028:N1031"/>
    <mergeCell ref="AC1018:AC1024"/>
    <mergeCell ref="D1021:D1024"/>
    <mergeCell ref="E1021:E1024"/>
    <mergeCell ref="G1021:G1024"/>
    <mergeCell ref="H1021:H1024"/>
    <mergeCell ref="I1021:I1024"/>
    <mergeCell ref="J1021:J1024"/>
    <mergeCell ref="K1021:K1024"/>
    <mergeCell ref="L1021:L1024"/>
    <mergeCell ref="M1021:M1024"/>
    <mergeCell ref="T1018:U1024"/>
    <mergeCell ref="V1018:V1024"/>
    <mergeCell ref="W1018:W1024"/>
    <mergeCell ref="X1018:X1024"/>
    <mergeCell ref="Y1018:Y1024"/>
    <mergeCell ref="Z1018:Z1024"/>
    <mergeCell ref="C1032:C1034"/>
    <mergeCell ref="A1035:A1041"/>
    <mergeCell ref="B1035:B1041"/>
    <mergeCell ref="C1035:C1041"/>
    <mergeCell ref="O1035:O1041"/>
    <mergeCell ref="P1035:P1041"/>
    <mergeCell ref="J1038:J1041"/>
    <mergeCell ref="K1038:K1041"/>
    <mergeCell ref="L1038:L1041"/>
    <mergeCell ref="M1038:M1041"/>
    <mergeCell ref="AC1025:AC1031"/>
    <mergeCell ref="D1028:D1031"/>
    <mergeCell ref="E1028:E1031"/>
    <mergeCell ref="G1028:G1031"/>
    <mergeCell ref="H1028:H1031"/>
    <mergeCell ref="I1028:I1031"/>
    <mergeCell ref="J1028:J1031"/>
    <mergeCell ref="K1028:K1031"/>
    <mergeCell ref="L1028:L1031"/>
    <mergeCell ref="M1028:M1031"/>
    <mergeCell ref="T1025:U1031"/>
    <mergeCell ref="V1025:V1031"/>
    <mergeCell ref="W1025:W1031"/>
    <mergeCell ref="X1025:X1031"/>
    <mergeCell ref="Y1025:Y1031"/>
    <mergeCell ref="Z1025:Z1031"/>
    <mergeCell ref="C1025:C1031"/>
    <mergeCell ref="O1025:O1031"/>
    <mergeCell ref="P1025:P1031"/>
    <mergeCell ref="Q1025:Q1031"/>
    <mergeCell ref="R1025:R1031"/>
    <mergeCell ref="S1025:S1031"/>
    <mergeCell ref="A1042:A1048"/>
    <mergeCell ref="B1042:B1048"/>
    <mergeCell ref="C1042:C1048"/>
    <mergeCell ref="O1042:O1048"/>
    <mergeCell ref="P1042:P1048"/>
    <mergeCell ref="K1045:K1048"/>
    <mergeCell ref="L1045:L1048"/>
    <mergeCell ref="M1045:M1048"/>
    <mergeCell ref="N1045:N1048"/>
    <mergeCell ref="W1035:W1041"/>
    <mergeCell ref="X1035:X1041"/>
    <mergeCell ref="Y1035:Y1041"/>
    <mergeCell ref="Z1035:Z1041"/>
    <mergeCell ref="D1038:D1041"/>
    <mergeCell ref="E1038:E1041"/>
    <mergeCell ref="F1038:F1041"/>
    <mergeCell ref="G1038:G1041"/>
    <mergeCell ref="H1038:H1041"/>
    <mergeCell ref="I1038:I1041"/>
    <mergeCell ref="Q1035:Q1041"/>
    <mergeCell ref="R1035:R1041"/>
    <mergeCell ref="S1035:S1041"/>
    <mergeCell ref="T1035:T1041"/>
    <mergeCell ref="U1035:U1041"/>
    <mergeCell ref="V1035:V1041"/>
    <mergeCell ref="W1042:W1048"/>
    <mergeCell ref="X1042:X1048"/>
    <mergeCell ref="Y1042:Y1048"/>
    <mergeCell ref="Z1042:Z1048"/>
    <mergeCell ref="D1045:D1048"/>
    <mergeCell ref="E1045:E1048"/>
    <mergeCell ref="F1045:F1048"/>
    <mergeCell ref="G1045:G1048"/>
    <mergeCell ref="H1045:H1048"/>
    <mergeCell ref="J1045:J1048"/>
    <mergeCell ref="Q1042:Q1048"/>
    <mergeCell ref="R1042:R1048"/>
    <mergeCell ref="S1042:S1048"/>
    <mergeCell ref="T1042:T1048"/>
    <mergeCell ref="U1042:U1048"/>
    <mergeCell ref="V1042:V1048"/>
    <mergeCell ref="N1038:N1041"/>
    <mergeCell ref="X1049:X1055"/>
    <mergeCell ref="Y1049:Y1055"/>
    <mergeCell ref="Z1049:Z1055"/>
    <mergeCell ref="D1052:D1055"/>
    <mergeCell ref="E1052:E1055"/>
    <mergeCell ref="F1052:F1055"/>
    <mergeCell ref="G1052:G1055"/>
    <mergeCell ref="H1052:H1055"/>
    <mergeCell ref="J1052:J1055"/>
    <mergeCell ref="K1052:K1055"/>
    <mergeCell ref="R1049:R1055"/>
    <mergeCell ref="S1049:S1055"/>
    <mergeCell ref="T1049:T1055"/>
    <mergeCell ref="U1049:U1055"/>
    <mergeCell ref="V1049:V1055"/>
    <mergeCell ref="W1049:W1055"/>
    <mergeCell ref="A1049:A1055"/>
    <mergeCell ref="B1049:B1055"/>
    <mergeCell ref="C1049:C1055"/>
    <mergeCell ref="O1049:O1055"/>
    <mergeCell ref="P1049:P1055"/>
    <mergeCell ref="Q1049:Q1055"/>
    <mergeCell ref="L1052:L1055"/>
    <mergeCell ref="M1052:M1055"/>
    <mergeCell ref="N1052:N1055"/>
    <mergeCell ref="X1056:X1062"/>
    <mergeCell ref="Y1056:Y1062"/>
    <mergeCell ref="Z1056:Z1062"/>
    <mergeCell ref="D1059:D1062"/>
    <mergeCell ref="E1059:E1062"/>
    <mergeCell ref="F1059:F1062"/>
    <mergeCell ref="G1059:G1062"/>
    <mergeCell ref="H1059:H1062"/>
    <mergeCell ref="J1059:J1062"/>
    <mergeCell ref="K1059:K1062"/>
    <mergeCell ref="R1056:R1062"/>
    <mergeCell ref="S1056:S1062"/>
    <mergeCell ref="T1056:T1062"/>
    <mergeCell ref="U1056:U1062"/>
    <mergeCell ref="V1056:V1062"/>
    <mergeCell ref="W1056:W1062"/>
    <mergeCell ref="A1056:A1062"/>
    <mergeCell ref="B1056:B1062"/>
    <mergeCell ref="C1056:C1062"/>
    <mergeCell ref="O1056:O1062"/>
    <mergeCell ref="P1056:P1062"/>
    <mergeCell ref="Q1056:Q1062"/>
    <mergeCell ref="L1059:L1062"/>
    <mergeCell ref="C1070:C1076"/>
    <mergeCell ref="O1070:O1076"/>
    <mergeCell ref="P1070:P1076"/>
    <mergeCell ref="Q1070:Q1076"/>
    <mergeCell ref="L1073:L1076"/>
    <mergeCell ref="M1059:M1062"/>
    <mergeCell ref="N1059:N1062"/>
    <mergeCell ref="X1063:X1069"/>
    <mergeCell ref="Y1063:Y1069"/>
    <mergeCell ref="Z1063:Z1069"/>
    <mergeCell ref="D1066:D1069"/>
    <mergeCell ref="E1066:E1069"/>
    <mergeCell ref="F1066:F1069"/>
    <mergeCell ref="G1066:G1069"/>
    <mergeCell ref="H1066:H1069"/>
    <mergeCell ref="J1066:J1069"/>
    <mergeCell ref="K1066:K1069"/>
    <mergeCell ref="R1063:R1069"/>
    <mergeCell ref="S1063:S1069"/>
    <mergeCell ref="T1063:T1069"/>
    <mergeCell ref="U1063:U1069"/>
    <mergeCell ref="V1063:V1069"/>
    <mergeCell ref="W1063:W1069"/>
    <mergeCell ref="N1087:N1090"/>
    <mergeCell ref="A1077:A1083"/>
    <mergeCell ref="B1077:B1083"/>
    <mergeCell ref="C1077:C1083"/>
    <mergeCell ref="O1077:O1083"/>
    <mergeCell ref="A1063:A1069"/>
    <mergeCell ref="B1063:B1069"/>
    <mergeCell ref="C1063:C1069"/>
    <mergeCell ref="O1063:O1069"/>
    <mergeCell ref="P1063:P1069"/>
    <mergeCell ref="Q1063:Q1069"/>
    <mergeCell ref="L1066:L1069"/>
    <mergeCell ref="M1066:M1069"/>
    <mergeCell ref="N1066:N1069"/>
    <mergeCell ref="X1070:X1076"/>
    <mergeCell ref="Y1070:Y1076"/>
    <mergeCell ref="Z1070:Z1076"/>
    <mergeCell ref="D1073:D1076"/>
    <mergeCell ref="E1073:E1076"/>
    <mergeCell ref="F1073:F1076"/>
    <mergeCell ref="G1073:G1076"/>
    <mergeCell ref="H1073:H1076"/>
    <mergeCell ref="J1073:J1076"/>
    <mergeCell ref="K1073:K1076"/>
    <mergeCell ref="R1070:R1076"/>
    <mergeCell ref="S1070:S1076"/>
    <mergeCell ref="T1070:T1076"/>
    <mergeCell ref="U1070:U1076"/>
    <mergeCell ref="V1070:V1076"/>
    <mergeCell ref="W1070:W1076"/>
    <mergeCell ref="A1070:A1076"/>
    <mergeCell ref="B1070:B1076"/>
    <mergeCell ref="M1073:M1076"/>
    <mergeCell ref="N1073:N1076"/>
    <mergeCell ref="X1077:X1083"/>
    <mergeCell ref="Y1077:Y1083"/>
    <mergeCell ref="Z1077:Z1083"/>
    <mergeCell ref="D1080:D1083"/>
    <mergeCell ref="E1080:E1083"/>
    <mergeCell ref="F1080:F1083"/>
    <mergeCell ref="G1080:G1083"/>
    <mergeCell ref="H1080:H1083"/>
    <mergeCell ref="J1080:J1083"/>
    <mergeCell ref="K1080:K1083"/>
    <mergeCell ref="R1077:R1083"/>
    <mergeCell ref="S1077:S1083"/>
    <mergeCell ref="T1077:T1083"/>
    <mergeCell ref="U1077:U1083"/>
    <mergeCell ref="V1077:V1083"/>
    <mergeCell ref="W1077:W1083"/>
    <mergeCell ref="P1077:P1083"/>
    <mergeCell ref="Q1077:Q1083"/>
    <mergeCell ref="L1080:L1083"/>
    <mergeCell ref="M1080:M1083"/>
    <mergeCell ref="N1080:N1083"/>
    <mergeCell ref="A1091:C1093"/>
    <mergeCell ref="W1093:Z1093"/>
    <mergeCell ref="U1095:Z1095"/>
    <mergeCell ref="X1084:X1090"/>
    <mergeCell ref="Y1084:Y1090"/>
    <mergeCell ref="Z1084:Z1090"/>
    <mergeCell ref="D1087:D1090"/>
    <mergeCell ref="E1087:E1090"/>
    <mergeCell ref="F1087:F1090"/>
    <mergeCell ref="G1087:G1090"/>
    <mergeCell ref="H1087:H1090"/>
    <mergeCell ref="J1087:J1090"/>
    <mergeCell ref="K1087:K1090"/>
    <mergeCell ref="R1084:R1090"/>
    <mergeCell ref="S1084:S1090"/>
    <mergeCell ref="T1084:T1090"/>
    <mergeCell ref="U1084:U1090"/>
    <mergeCell ref="V1084:V1090"/>
    <mergeCell ref="W1084:W1090"/>
    <mergeCell ref="A1084:A1090"/>
    <mergeCell ref="B1084:B1090"/>
    <mergeCell ref="C1084:C1090"/>
    <mergeCell ref="O1084:O1090"/>
    <mergeCell ref="P1084:P1090"/>
    <mergeCell ref="Q1084:Q1090"/>
    <mergeCell ref="L1087:L1090"/>
    <mergeCell ref="M1087:M1090"/>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ErrorMessage="1">
          <x14:formula1>
            <xm:f>#REF!</xm:f>
          </x14:formula1>
          <xm:sqref>O899 JK899 TG899 ADC899 AMY899 AWU899 BGQ899 BQM899 CAI899 CKE899 CUA899 DDW899 DNS899 DXO899 EHK899 ERG899 FBC899 FKY899 FUU899 GEQ899 GOM899 GYI899 HIE899 HSA899 IBW899 ILS899 IVO899 JFK899 JPG899 JZC899 KIY899 KSU899 LCQ899 LMM899 LWI899 MGE899 MQA899 MZW899 NJS899 NTO899 ODK899 ONG899 OXC899 PGY899 PQU899 QAQ899 QKM899 QUI899 REE899 ROA899 RXW899 SHS899 SRO899 TBK899 TLG899 TVC899 UEY899 UOU899 UYQ899 VIM899 VSI899 WCE899 WMA899 WVW899 O66435 JK66435 TG66435 ADC66435 AMY66435 AWU66435 BGQ66435 BQM66435 CAI66435 CKE66435 CUA66435 DDW66435 DNS66435 DXO66435 EHK66435 ERG66435 FBC66435 FKY66435 FUU66435 GEQ66435 GOM66435 GYI66435 HIE66435 HSA66435 IBW66435 ILS66435 IVO66435 JFK66435 JPG66435 JZC66435 KIY66435 KSU66435 LCQ66435 LMM66435 LWI66435 MGE66435 MQA66435 MZW66435 NJS66435 NTO66435 ODK66435 ONG66435 OXC66435 PGY66435 PQU66435 QAQ66435 QKM66435 QUI66435 REE66435 ROA66435 RXW66435 SHS66435 SRO66435 TBK66435 TLG66435 TVC66435 UEY66435 UOU66435 UYQ66435 VIM66435 VSI66435 WCE66435 WMA66435 WVW66435 O131971 JK131971 TG131971 ADC131971 AMY131971 AWU131971 BGQ131971 BQM131971 CAI131971 CKE131971 CUA131971 DDW131971 DNS131971 DXO131971 EHK131971 ERG131971 FBC131971 FKY131971 FUU131971 GEQ131971 GOM131971 GYI131971 HIE131971 HSA131971 IBW131971 ILS131971 IVO131971 JFK131971 JPG131971 JZC131971 KIY131971 KSU131971 LCQ131971 LMM131971 LWI131971 MGE131971 MQA131971 MZW131971 NJS131971 NTO131971 ODK131971 ONG131971 OXC131971 PGY131971 PQU131971 QAQ131971 QKM131971 QUI131971 REE131971 ROA131971 RXW131971 SHS131971 SRO131971 TBK131971 TLG131971 TVC131971 UEY131971 UOU131971 UYQ131971 VIM131971 VSI131971 WCE131971 WMA131971 WVW131971 O197507 JK197507 TG197507 ADC197507 AMY197507 AWU197507 BGQ197507 BQM197507 CAI197507 CKE197507 CUA197507 DDW197507 DNS197507 DXO197507 EHK197507 ERG197507 FBC197507 FKY197507 FUU197507 GEQ197507 GOM197507 GYI197507 HIE197507 HSA197507 IBW197507 ILS197507 IVO197507 JFK197507 JPG197507 JZC197507 KIY197507 KSU197507 LCQ197507 LMM197507 LWI197507 MGE197507 MQA197507 MZW197507 NJS197507 NTO197507 ODK197507 ONG197507 OXC197507 PGY197507 PQU197507 QAQ197507 QKM197507 QUI197507 REE197507 ROA197507 RXW197507 SHS197507 SRO197507 TBK197507 TLG197507 TVC197507 UEY197507 UOU197507 UYQ197507 VIM197507 VSI197507 WCE197507 WMA197507 WVW197507 O263043 JK263043 TG263043 ADC263043 AMY263043 AWU263043 BGQ263043 BQM263043 CAI263043 CKE263043 CUA263043 DDW263043 DNS263043 DXO263043 EHK263043 ERG263043 FBC263043 FKY263043 FUU263043 GEQ263043 GOM263043 GYI263043 HIE263043 HSA263043 IBW263043 ILS263043 IVO263043 JFK263043 JPG263043 JZC263043 KIY263043 KSU263043 LCQ263043 LMM263043 LWI263043 MGE263043 MQA263043 MZW263043 NJS263043 NTO263043 ODK263043 ONG263043 OXC263043 PGY263043 PQU263043 QAQ263043 QKM263043 QUI263043 REE263043 ROA263043 RXW263043 SHS263043 SRO263043 TBK263043 TLG263043 TVC263043 UEY263043 UOU263043 UYQ263043 VIM263043 VSI263043 WCE263043 WMA263043 WVW263043 O328579 JK328579 TG328579 ADC328579 AMY328579 AWU328579 BGQ328579 BQM328579 CAI328579 CKE328579 CUA328579 DDW328579 DNS328579 DXO328579 EHK328579 ERG328579 FBC328579 FKY328579 FUU328579 GEQ328579 GOM328579 GYI328579 HIE328579 HSA328579 IBW328579 ILS328579 IVO328579 JFK328579 JPG328579 JZC328579 KIY328579 KSU328579 LCQ328579 LMM328579 LWI328579 MGE328579 MQA328579 MZW328579 NJS328579 NTO328579 ODK328579 ONG328579 OXC328579 PGY328579 PQU328579 QAQ328579 QKM328579 QUI328579 REE328579 ROA328579 RXW328579 SHS328579 SRO328579 TBK328579 TLG328579 TVC328579 UEY328579 UOU328579 UYQ328579 VIM328579 VSI328579 WCE328579 WMA328579 WVW328579 O394115 JK394115 TG394115 ADC394115 AMY394115 AWU394115 BGQ394115 BQM394115 CAI394115 CKE394115 CUA394115 DDW394115 DNS394115 DXO394115 EHK394115 ERG394115 FBC394115 FKY394115 FUU394115 GEQ394115 GOM394115 GYI394115 HIE394115 HSA394115 IBW394115 ILS394115 IVO394115 JFK394115 JPG394115 JZC394115 KIY394115 KSU394115 LCQ394115 LMM394115 LWI394115 MGE394115 MQA394115 MZW394115 NJS394115 NTO394115 ODK394115 ONG394115 OXC394115 PGY394115 PQU394115 QAQ394115 QKM394115 QUI394115 REE394115 ROA394115 RXW394115 SHS394115 SRO394115 TBK394115 TLG394115 TVC394115 UEY394115 UOU394115 UYQ394115 VIM394115 VSI394115 WCE394115 WMA394115 WVW394115 O459651 JK459651 TG459651 ADC459651 AMY459651 AWU459651 BGQ459651 BQM459651 CAI459651 CKE459651 CUA459651 DDW459651 DNS459651 DXO459651 EHK459651 ERG459651 FBC459651 FKY459651 FUU459651 GEQ459651 GOM459651 GYI459651 HIE459651 HSA459651 IBW459651 ILS459651 IVO459651 JFK459651 JPG459651 JZC459651 KIY459651 KSU459651 LCQ459651 LMM459651 LWI459651 MGE459651 MQA459651 MZW459651 NJS459651 NTO459651 ODK459651 ONG459651 OXC459651 PGY459651 PQU459651 QAQ459651 QKM459651 QUI459651 REE459651 ROA459651 RXW459651 SHS459651 SRO459651 TBK459651 TLG459651 TVC459651 UEY459651 UOU459651 UYQ459651 VIM459651 VSI459651 WCE459651 WMA459651 WVW459651 O525187 JK525187 TG525187 ADC525187 AMY525187 AWU525187 BGQ525187 BQM525187 CAI525187 CKE525187 CUA525187 DDW525187 DNS525187 DXO525187 EHK525187 ERG525187 FBC525187 FKY525187 FUU525187 GEQ525187 GOM525187 GYI525187 HIE525187 HSA525187 IBW525187 ILS525187 IVO525187 JFK525187 JPG525187 JZC525187 KIY525187 KSU525187 LCQ525187 LMM525187 LWI525187 MGE525187 MQA525187 MZW525187 NJS525187 NTO525187 ODK525187 ONG525187 OXC525187 PGY525187 PQU525187 QAQ525187 QKM525187 QUI525187 REE525187 ROA525187 RXW525187 SHS525187 SRO525187 TBK525187 TLG525187 TVC525187 UEY525187 UOU525187 UYQ525187 VIM525187 VSI525187 WCE525187 WMA525187 WVW525187 O590723 JK590723 TG590723 ADC590723 AMY590723 AWU590723 BGQ590723 BQM590723 CAI590723 CKE590723 CUA590723 DDW590723 DNS590723 DXO590723 EHK590723 ERG590723 FBC590723 FKY590723 FUU590723 GEQ590723 GOM590723 GYI590723 HIE590723 HSA590723 IBW590723 ILS590723 IVO590723 JFK590723 JPG590723 JZC590723 KIY590723 KSU590723 LCQ590723 LMM590723 LWI590723 MGE590723 MQA590723 MZW590723 NJS590723 NTO590723 ODK590723 ONG590723 OXC590723 PGY590723 PQU590723 QAQ590723 QKM590723 QUI590723 REE590723 ROA590723 RXW590723 SHS590723 SRO590723 TBK590723 TLG590723 TVC590723 UEY590723 UOU590723 UYQ590723 VIM590723 VSI590723 WCE590723 WMA590723 WVW590723 O656259 JK656259 TG656259 ADC656259 AMY656259 AWU656259 BGQ656259 BQM656259 CAI656259 CKE656259 CUA656259 DDW656259 DNS656259 DXO656259 EHK656259 ERG656259 FBC656259 FKY656259 FUU656259 GEQ656259 GOM656259 GYI656259 HIE656259 HSA656259 IBW656259 ILS656259 IVO656259 JFK656259 JPG656259 JZC656259 KIY656259 KSU656259 LCQ656259 LMM656259 LWI656259 MGE656259 MQA656259 MZW656259 NJS656259 NTO656259 ODK656259 ONG656259 OXC656259 PGY656259 PQU656259 QAQ656259 QKM656259 QUI656259 REE656259 ROA656259 RXW656259 SHS656259 SRO656259 TBK656259 TLG656259 TVC656259 UEY656259 UOU656259 UYQ656259 VIM656259 VSI656259 WCE656259 WMA656259 WVW656259 O721795 JK721795 TG721795 ADC721795 AMY721795 AWU721795 BGQ721795 BQM721795 CAI721795 CKE721795 CUA721795 DDW721795 DNS721795 DXO721795 EHK721795 ERG721795 FBC721795 FKY721795 FUU721795 GEQ721795 GOM721795 GYI721795 HIE721795 HSA721795 IBW721795 ILS721795 IVO721795 JFK721795 JPG721795 JZC721795 KIY721795 KSU721795 LCQ721795 LMM721795 LWI721795 MGE721795 MQA721795 MZW721795 NJS721795 NTO721795 ODK721795 ONG721795 OXC721795 PGY721795 PQU721795 QAQ721795 QKM721795 QUI721795 REE721795 ROA721795 RXW721795 SHS721795 SRO721795 TBK721795 TLG721795 TVC721795 UEY721795 UOU721795 UYQ721795 VIM721795 VSI721795 WCE721795 WMA721795 WVW721795 O787331 JK787331 TG787331 ADC787331 AMY787331 AWU787331 BGQ787331 BQM787331 CAI787331 CKE787331 CUA787331 DDW787331 DNS787331 DXO787331 EHK787331 ERG787331 FBC787331 FKY787331 FUU787331 GEQ787331 GOM787331 GYI787331 HIE787331 HSA787331 IBW787331 ILS787331 IVO787331 JFK787331 JPG787331 JZC787331 KIY787331 KSU787331 LCQ787331 LMM787331 LWI787331 MGE787331 MQA787331 MZW787331 NJS787331 NTO787331 ODK787331 ONG787331 OXC787331 PGY787331 PQU787331 QAQ787331 QKM787331 QUI787331 REE787331 ROA787331 RXW787331 SHS787331 SRO787331 TBK787331 TLG787331 TVC787331 UEY787331 UOU787331 UYQ787331 VIM787331 VSI787331 WCE787331 WMA787331 WVW787331 O852867 JK852867 TG852867 ADC852867 AMY852867 AWU852867 BGQ852867 BQM852867 CAI852867 CKE852867 CUA852867 DDW852867 DNS852867 DXO852867 EHK852867 ERG852867 FBC852867 FKY852867 FUU852867 GEQ852867 GOM852867 GYI852867 HIE852867 HSA852867 IBW852867 ILS852867 IVO852867 JFK852867 JPG852867 JZC852867 KIY852867 KSU852867 LCQ852867 LMM852867 LWI852867 MGE852867 MQA852867 MZW852867 NJS852867 NTO852867 ODK852867 ONG852867 OXC852867 PGY852867 PQU852867 QAQ852867 QKM852867 QUI852867 REE852867 ROA852867 RXW852867 SHS852867 SRO852867 TBK852867 TLG852867 TVC852867 UEY852867 UOU852867 UYQ852867 VIM852867 VSI852867 WCE852867 WMA852867 WVW852867 O918403 JK918403 TG918403 ADC918403 AMY918403 AWU918403 BGQ918403 BQM918403 CAI918403 CKE918403 CUA918403 DDW918403 DNS918403 DXO918403 EHK918403 ERG918403 FBC918403 FKY918403 FUU918403 GEQ918403 GOM918403 GYI918403 HIE918403 HSA918403 IBW918403 ILS918403 IVO918403 JFK918403 JPG918403 JZC918403 KIY918403 KSU918403 LCQ918403 LMM918403 LWI918403 MGE918403 MQA918403 MZW918403 NJS918403 NTO918403 ODK918403 ONG918403 OXC918403 PGY918403 PQU918403 QAQ918403 QKM918403 QUI918403 REE918403 ROA918403 RXW918403 SHS918403 SRO918403 TBK918403 TLG918403 TVC918403 UEY918403 UOU918403 UYQ918403 VIM918403 VSI918403 WCE918403 WMA918403 WVW918403 O983939 JK983939 TG983939 ADC983939 AMY983939 AWU983939 BGQ983939 BQM983939 CAI983939 CKE983939 CUA983939 DDW983939 DNS983939 DXO983939 EHK983939 ERG983939 FBC983939 FKY983939 FUU983939 GEQ983939 GOM983939 GYI983939 HIE983939 HSA983939 IBW983939 ILS983939 IVO983939 JFK983939 JPG983939 JZC983939 KIY983939 KSU983939 LCQ983939 LMM983939 LWI983939 MGE983939 MQA983939 MZW983939 NJS983939 NTO983939 ODK983939 ONG983939 OXC983939 PGY983939 PQU983939 QAQ983939 QKM983939 QUI983939 REE983939 ROA983939 RXW983939 SHS983939 SRO983939 TBK983939 TLG983939 TVC983939 UEY983939 UOU983939 UYQ983939 VIM983939 VSI983939 WCE983939 WMA983939 WVW983939 O906 JK906 TG906 ADC906 AMY906 AWU906 BGQ906 BQM906 CAI906 CKE906 CUA906 DDW906 DNS906 DXO906 EHK906 ERG906 FBC906 FKY906 FUU906 GEQ906 GOM906 GYI906 HIE906 HSA906 IBW906 ILS906 IVO906 JFK906 JPG906 JZC906 KIY906 KSU906 LCQ906 LMM906 LWI906 MGE906 MQA906 MZW906 NJS906 NTO906 ODK906 ONG906 OXC906 PGY906 PQU906 QAQ906 QKM906 QUI906 REE906 ROA906 RXW906 SHS906 SRO906 TBK906 TLG906 TVC906 UEY906 UOU906 UYQ906 VIM906 VSI906 WCE906 WMA906 WVW906 O66442 JK66442 TG66442 ADC66442 AMY66442 AWU66442 BGQ66442 BQM66442 CAI66442 CKE66442 CUA66442 DDW66442 DNS66442 DXO66442 EHK66442 ERG66442 FBC66442 FKY66442 FUU66442 GEQ66442 GOM66442 GYI66442 HIE66442 HSA66442 IBW66442 ILS66442 IVO66442 JFK66442 JPG66442 JZC66442 KIY66442 KSU66442 LCQ66442 LMM66442 LWI66442 MGE66442 MQA66442 MZW66442 NJS66442 NTO66442 ODK66442 ONG66442 OXC66442 PGY66442 PQU66442 QAQ66442 QKM66442 QUI66442 REE66442 ROA66442 RXW66442 SHS66442 SRO66442 TBK66442 TLG66442 TVC66442 UEY66442 UOU66442 UYQ66442 VIM66442 VSI66442 WCE66442 WMA66442 WVW66442 O131978 JK131978 TG131978 ADC131978 AMY131978 AWU131978 BGQ131978 BQM131978 CAI131978 CKE131978 CUA131978 DDW131978 DNS131978 DXO131978 EHK131978 ERG131978 FBC131978 FKY131978 FUU131978 GEQ131978 GOM131978 GYI131978 HIE131978 HSA131978 IBW131978 ILS131978 IVO131978 JFK131978 JPG131978 JZC131978 KIY131978 KSU131978 LCQ131978 LMM131978 LWI131978 MGE131978 MQA131978 MZW131978 NJS131978 NTO131978 ODK131978 ONG131978 OXC131978 PGY131978 PQU131978 QAQ131978 QKM131978 QUI131978 REE131978 ROA131978 RXW131978 SHS131978 SRO131978 TBK131978 TLG131978 TVC131978 UEY131978 UOU131978 UYQ131978 VIM131978 VSI131978 WCE131978 WMA131978 WVW131978 O197514 JK197514 TG197514 ADC197514 AMY197514 AWU197514 BGQ197514 BQM197514 CAI197514 CKE197514 CUA197514 DDW197514 DNS197514 DXO197514 EHK197514 ERG197514 FBC197514 FKY197514 FUU197514 GEQ197514 GOM197514 GYI197514 HIE197514 HSA197514 IBW197514 ILS197514 IVO197514 JFK197514 JPG197514 JZC197514 KIY197514 KSU197514 LCQ197514 LMM197514 LWI197514 MGE197514 MQA197514 MZW197514 NJS197514 NTO197514 ODK197514 ONG197514 OXC197514 PGY197514 PQU197514 QAQ197514 QKM197514 QUI197514 REE197514 ROA197514 RXW197514 SHS197514 SRO197514 TBK197514 TLG197514 TVC197514 UEY197514 UOU197514 UYQ197514 VIM197514 VSI197514 WCE197514 WMA197514 WVW197514 O263050 JK263050 TG263050 ADC263050 AMY263050 AWU263050 BGQ263050 BQM263050 CAI263050 CKE263050 CUA263050 DDW263050 DNS263050 DXO263050 EHK263050 ERG263050 FBC263050 FKY263050 FUU263050 GEQ263050 GOM263050 GYI263050 HIE263050 HSA263050 IBW263050 ILS263050 IVO263050 JFK263050 JPG263050 JZC263050 KIY263050 KSU263050 LCQ263050 LMM263050 LWI263050 MGE263050 MQA263050 MZW263050 NJS263050 NTO263050 ODK263050 ONG263050 OXC263050 PGY263050 PQU263050 QAQ263050 QKM263050 QUI263050 REE263050 ROA263050 RXW263050 SHS263050 SRO263050 TBK263050 TLG263050 TVC263050 UEY263050 UOU263050 UYQ263050 VIM263050 VSI263050 WCE263050 WMA263050 WVW263050 O328586 JK328586 TG328586 ADC328586 AMY328586 AWU328586 BGQ328586 BQM328586 CAI328586 CKE328586 CUA328586 DDW328586 DNS328586 DXO328586 EHK328586 ERG328586 FBC328586 FKY328586 FUU328586 GEQ328586 GOM328586 GYI328586 HIE328586 HSA328586 IBW328586 ILS328586 IVO328586 JFK328586 JPG328586 JZC328586 KIY328586 KSU328586 LCQ328586 LMM328586 LWI328586 MGE328586 MQA328586 MZW328586 NJS328586 NTO328586 ODK328586 ONG328586 OXC328586 PGY328586 PQU328586 QAQ328586 QKM328586 QUI328586 REE328586 ROA328586 RXW328586 SHS328586 SRO328586 TBK328586 TLG328586 TVC328586 UEY328586 UOU328586 UYQ328586 VIM328586 VSI328586 WCE328586 WMA328586 WVW328586 O394122 JK394122 TG394122 ADC394122 AMY394122 AWU394122 BGQ394122 BQM394122 CAI394122 CKE394122 CUA394122 DDW394122 DNS394122 DXO394122 EHK394122 ERG394122 FBC394122 FKY394122 FUU394122 GEQ394122 GOM394122 GYI394122 HIE394122 HSA394122 IBW394122 ILS394122 IVO394122 JFK394122 JPG394122 JZC394122 KIY394122 KSU394122 LCQ394122 LMM394122 LWI394122 MGE394122 MQA394122 MZW394122 NJS394122 NTO394122 ODK394122 ONG394122 OXC394122 PGY394122 PQU394122 QAQ394122 QKM394122 QUI394122 REE394122 ROA394122 RXW394122 SHS394122 SRO394122 TBK394122 TLG394122 TVC394122 UEY394122 UOU394122 UYQ394122 VIM394122 VSI394122 WCE394122 WMA394122 WVW394122 O459658 JK459658 TG459658 ADC459658 AMY459658 AWU459658 BGQ459658 BQM459658 CAI459658 CKE459658 CUA459658 DDW459658 DNS459658 DXO459658 EHK459658 ERG459658 FBC459658 FKY459658 FUU459658 GEQ459658 GOM459658 GYI459658 HIE459658 HSA459658 IBW459658 ILS459658 IVO459658 JFK459658 JPG459658 JZC459658 KIY459658 KSU459658 LCQ459658 LMM459658 LWI459658 MGE459658 MQA459658 MZW459658 NJS459658 NTO459658 ODK459658 ONG459658 OXC459658 PGY459658 PQU459658 QAQ459658 QKM459658 QUI459658 REE459658 ROA459658 RXW459658 SHS459658 SRO459658 TBK459658 TLG459658 TVC459658 UEY459658 UOU459658 UYQ459658 VIM459658 VSI459658 WCE459658 WMA459658 WVW459658 O525194 JK525194 TG525194 ADC525194 AMY525194 AWU525194 BGQ525194 BQM525194 CAI525194 CKE525194 CUA525194 DDW525194 DNS525194 DXO525194 EHK525194 ERG525194 FBC525194 FKY525194 FUU525194 GEQ525194 GOM525194 GYI525194 HIE525194 HSA525194 IBW525194 ILS525194 IVO525194 JFK525194 JPG525194 JZC525194 KIY525194 KSU525194 LCQ525194 LMM525194 LWI525194 MGE525194 MQA525194 MZW525194 NJS525194 NTO525194 ODK525194 ONG525194 OXC525194 PGY525194 PQU525194 QAQ525194 QKM525194 QUI525194 REE525194 ROA525194 RXW525194 SHS525194 SRO525194 TBK525194 TLG525194 TVC525194 UEY525194 UOU525194 UYQ525194 VIM525194 VSI525194 WCE525194 WMA525194 WVW525194 O590730 JK590730 TG590730 ADC590730 AMY590730 AWU590730 BGQ590730 BQM590730 CAI590730 CKE590730 CUA590730 DDW590730 DNS590730 DXO590730 EHK590730 ERG590730 FBC590730 FKY590730 FUU590730 GEQ590730 GOM590730 GYI590730 HIE590730 HSA590730 IBW590730 ILS590730 IVO590730 JFK590730 JPG590730 JZC590730 KIY590730 KSU590730 LCQ590730 LMM590730 LWI590730 MGE590730 MQA590730 MZW590730 NJS590730 NTO590730 ODK590730 ONG590730 OXC590730 PGY590730 PQU590730 QAQ590730 QKM590730 QUI590730 REE590730 ROA590730 RXW590730 SHS590730 SRO590730 TBK590730 TLG590730 TVC590730 UEY590730 UOU590730 UYQ590730 VIM590730 VSI590730 WCE590730 WMA590730 WVW590730 O656266 JK656266 TG656266 ADC656266 AMY656266 AWU656266 BGQ656266 BQM656266 CAI656266 CKE656266 CUA656266 DDW656266 DNS656266 DXO656266 EHK656266 ERG656266 FBC656266 FKY656266 FUU656266 GEQ656266 GOM656266 GYI656266 HIE656266 HSA656266 IBW656266 ILS656266 IVO656266 JFK656266 JPG656266 JZC656266 KIY656266 KSU656266 LCQ656266 LMM656266 LWI656266 MGE656266 MQA656266 MZW656266 NJS656266 NTO656266 ODK656266 ONG656266 OXC656266 PGY656266 PQU656266 QAQ656266 QKM656266 QUI656266 REE656266 ROA656266 RXW656266 SHS656266 SRO656266 TBK656266 TLG656266 TVC656266 UEY656266 UOU656266 UYQ656266 VIM656266 VSI656266 WCE656266 WMA656266 WVW656266 O721802 JK721802 TG721802 ADC721802 AMY721802 AWU721802 BGQ721802 BQM721802 CAI721802 CKE721802 CUA721802 DDW721802 DNS721802 DXO721802 EHK721802 ERG721802 FBC721802 FKY721802 FUU721802 GEQ721802 GOM721802 GYI721802 HIE721802 HSA721802 IBW721802 ILS721802 IVO721802 JFK721802 JPG721802 JZC721802 KIY721802 KSU721802 LCQ721802 LMM721802 LWI721802 MGE721802 MQA721802 MZW721802 NJS721802 NTO721802 ODK721802 ONG721802 OXC721802 PGY721802 PQU721802 QAQ721802 QKM721802 QUI721802 REE721802 ROA721802 RXW721802 SHS721802 SRO721802 TBK721802 TLG721802 TVC721802 UEY721802 UOU721802 UYQ721802 VIM721802 VSI721802 WCE721802 WMA721802 WVW721802 O787338 JK787338 TG787338 ADC787338 AMY787338 AWU787338 BGQ787338 BQM787338 CAI787338 CKE787338 CUA787338 DDW787338 DNS787338 DXO787338 EHK787338 ERG787338 FBC787338 FKY787338 FUU787338 GEQ787338 GOM787338 GYI787338 HIE787338 HSA787338 IBW787338 ILS787338 IVO787338 JFK787338 JPG787338 JZC787338 KIY787338 KSU787338 LCQ787338 LMM787338 LWI787338 MGE787338 MQA787338 MZW787338 NJS787338 NTO787338 ODK787338 ONG787338 OXC787338 PGY787338 PQU787338 QAQ787338 QKM787338 QUI787338 REE787338 ROA787338 RXW787338 SHS787338 SRO787338 TBK787338 TLG787338 TVC787338 UEY787338 UOU787338 UYQ787338 VIM787338 VSI787338 WCE787338 WMA787338 WVW787338 O852874 JK852874 TG852874 ADC852874 AMY852874 AWU852874 BGQ852874 BQM852874 CAI852874 CKE852874 CUA852874 DDW852874 DNS852874 DXO852874 EHK852874 ERG852874 FBC852874 FKY852874 FUU852874 GEQ852874 GOM852874 GYI852874 HIE852874 HSA852874 IBW852874 ILS852874 IVO852874 JFK852874 JPG852874 JZC852874 KIY852874 KSU852874 LCQ852874 LMM852874 LWI852874 MGE852874 MQA852874 MZW852874 NJS852874 NTO852874 ODK852874 ONG852874 OXC852874 PGY852874 PQU852874 QAQ852874 QKM852874 QUI852874 REE852874 ROA852874 RXW852874 SHS852874 SRO852874 TBK852874 TLG852874 TVC852874 UEY852874 UOU852874 UYQ852874 VIM852874 VSI852874 WCE852874 WMA852874 WVW852874 O918410 JK918410 TG918410 ADC918410 AMY918410 AWU918410 BGQ918410 BQM918410 CAI918410 CKE918410 CUA918410 DDW918410 DNS918410 DXO918410 EHK918410 ERG918410 FBC918410 FKY918410 FUU918410 GEQ918410 GOM918410 GYI918410 HIE918410 HSA918410 IBW918410 ILS918410 IVO918410 JFK918410 JPG918410 JZC918410 KIY918410 KSU918410 LCQ918410 LMM918410 LWI918410 MGE918410 MQA918410 MZW918410 NJS918410 NTO918410 ODK918410 ONG918410 OXC918410 PGY918410 PQU918410 QAQ918410 QKM918410 QUI918410 REE918410 ROA918410 RXW918410 SHS918410 SRO918410 TBK918410 TLG918410 TVC918410 UEY918410 UOU918410 UYQ918410 VIM918410 VSI918410 WCE918410 WMA918410 WVW918410 O983946 JK983946 TG983946 ADC983946 AMY983946 AWU983946 BGQ983946 BQM983946 CAI983946 CKE983946 CUA983946 DDW983946 DNS983946 DXO983946 EHK983946 ERG983946 FBC983946 FKY983946 FUU983946 GEQ983946 GOM983946 GYI983946 HIE983946 HSA983946 IBW983946 ILS983946 IVO983946 JFK983946 JPG983946 JZC983946 KIY983946 KSU983946 LCQ983946 LMM983946 LWI983946 MGE983946 MQA983946 MZW983946 NJS983946 NTO983946 ODK983946 ONG983946 OXC983946 PGY983946 PQU983946 QAQ983946 QKM983946 QUI983946 REE983946 ROA983946 RXW983946 SHS983946 SRO983946 TBK983946 TLG983946 TVC983946 UEY983946 UOU983946 UYQ983946 VIM983946 VSI983946 WCE983946 WMA983946 WVW983946 O913 JK913 TG913 ADC913 AMY913 AWU913 BGQ913 BQM913 CAI913 CKE913 CUA913 DDW913 DNS913 DXO913 EHK913 ERG913 FBC913 FKY913 FUU913 GEQ913 GOM913 GYI913 HIE913 HSA913 IBW913 ILS913 IVO913 JFK913 JPG913 JZC913 KIY913 KSU913 LCQ913 LMM913 LWI913 MGE913 MQA913 MZW913 NJS913 NTO913 ODK913 ONG913 OXC913 PGY913 PQU913 QAQ913 QKM913 QUI913 REE913 ROA913 RXW913 SHS913 SRO913 TBK913 TLG913 TVC913 UEY913 UOU913 UYQ913 VIM913 VSI913 WCE913 WMA913 WVW913 O66449 JK66449 TG66449 ADC66449 AMY66449 AWU66449 BGQ66449 BQM66449 CAI66449 CKE66449 CUA66449 DDW66449 DNS66449 DXO66449 EHK66449 ERG66449 FBC66449 FKY66449 FUU66449 GEQ66449 GOM66449 GYI66449 HIE66449 HSA66449 IBW66449 ILS66449 IVO66449 JFK66449 JPG66449 JZC66449 KIY66449 KSU66449 LCQ66449 LMM66449 LWI66449 MGE66449 MQA66449 MZW66449 NJS66449 NTO66449 ODK66449 ONG66449 OXC66449 PGY66449 PQU66449 QAQ66449 QKM66449 QUI66449 REE66449 ROA66449 RXW66449 SHS66449 SRO66449 TBK66449 TLG66449 TVC66449 UEY66449 UOU66449 UYQ66449 VIM66449 VSI66449 WCE66449 WMA66449 WVW66449 O131985 JK131985 TG131985 ADC131985 AMY131985 AWU131985 BGQ131985 BQM131985 CAI131985 CKE131985 CUA131985 DDW131985 DNS131985 DXO131985 EHK131985 ERG131985 FBC131985 FKY131985 FUU131985 GEQ131985 GOM131985 GYI131985 HIE131985 HSA131985 IBW131985 ILS131985 IVO131985 JFK131985 JPG131985 JZC131985 KIY131985 KSU131985 LCQ131985 LMM131985 LWI131985 MGE131985 MQA131985 MZW131985 NJS131985 NTO131985 ODK131985 ONG131985 OXC131985 PGY131985 PQU131985 QAQ131985 QKM131985 QUI131985 REE131985 ROA131985 RXW131985 SHS131985 SRO131985 TBK131985 TLG131985 TVC131985 UEY131985 UOU131985 UYQ131985 VIM131985 VSI131985 WCE131985 WMA131985 WVW131985 O197521 JK197521 TG197521 ADC197521 AMY197521 AWU197521 BGQ197521 BQM197521 CAI197521 CKE197521 CUA197521 DDW197521 DNS197521 DXO197521 EHK197521 ERG197521 FBC197521 FKY197521 FUU197521 GEQ197521 GOM197521 GYI197521 HIE197521 HSA197521 IBW197521 ILS197521 IVO197521 JFK197521 JPG197521 JZC197521 KIY197521 KSU197521 LCQ197521 LMM197521 LWI197521 MGE197521 MQA197521 MZW197521 NJS197521 NTO197521 ODK197521 ONG197521 OXC197521 PGY197521 PQU197521 QAQ197521 QKM197521 QUI197521 REE197521 ROA197521 RXW197521 SHS197521 SRO197521 TBK197521 TLG197521 TVC197521 UEY197521 UOU197521 UYQ197521 VIM197521 VSI197521 WCE197521 WMA197521 WVW197521 O263057 JK263057 TG263057 ADC263057 AMY263057 AWU263057 BGQ263057 BQM263057 CAI263057 CKE263057 CUA263057 DDW263057 DNS263057 DXO263057 EHK263057 ERG263057 FBC263057 FKY263057 FUU263057 GEQ263057 GOM263057 GYI263057 HIE263057 HSA263057 IBW263057 ILS263057 IVO263057 JFK263057 JPG263057 JZC263057 KIY263057 KSU263057 LCQ263057 LMM263057 LWI263057 MGE263057 MQA263057 MZW263057 NJS263057 NTO263057 ODK263057 ONG263057 OXC263057 PGY263057 PQU263057 QAQ263057 QKM263057 QUI263057 REE263057 ROA263057 RXW263057 SHS263057 SRO263057 TBK263057 TLG263057 TVC263057 UEY263057 UOU263057 UYQ263057 VIM263057 VSI263057 WCE263057 WMA263057 WVW263057 O328593 JK328593 TG328593 ADC328593 AMY328593 AWU328593 BGQ328593 BQM328593 CAI328593 CKE328593 CUA328593 DDW328593 DNS328593 DXO328593 EHK328593 ERG328593 FBC328593 FKY328593 FUU328593 GEQ328593 GOM328593 GYI328593 HIE328593 HSA328593 IBW328593 ILS328593 IVO328593 JFK328593 JPG328593 JZC328593 KIY328593 KSU328593 LCQ328593 LMM328593 LWI328593 MGE328593 MQA328593 MZW328593 NJS328593 NTO328593 ODK328593 ONG328593 OXC328593 PGY328593 PQU328593 QAQ328593 QKM328593 QUI328593 REE328593 ROA328593 RXW328593 SHS328593 SRO328593 TBK328593 TLG328593 TVC328593 UEY328593 UOU328593 UYQ328593 VIM328593 VSI328593 WCE328593 WMA328593 WVW328593 O394129 JK394129 TG394129 ADC394129 AMY394129 AWU394129 BGQ394129 BQM394129 CAI394129 CKE394129 CUA394129 DDW394129 DNS394129 DXO394129 EHK394129 ERG394129 FBC394129 FKY394129 FUU394129 GEQ394129 GOM394129 GYI394129 HIE394129 HSA394129 IBW394129 ILS394129 IVO394129 JFK394129 JPG394129 JZC394129 KIY394129 KSU394129 LCQ394129 LMM394129 LWI394129 MGE394129 MQA394129 MZW394129 NJS394129 NTO394129 ODK394129 ONG394129 OXC394129 PGY394129 PQU394129 QAQ394129 QKM394129 QUI394129 REE394129 ROA394129 RXW394129 SHS394129 SRO394129 TBK394129 TLG394129 TVC394129 UEY394129 UOU394129 UYQ394129 VIM394129 VSI394129 WCE394129 WMA394129 WVW394129 O459665 JK459665 TG459665 ADC459665 AMY459665 AWU459665 BGQ459665 BQM459665 CAI459665 CKE459665 CUA459665 DDW459665 DNS459665 DXO459665 EHK459665 ERG459665 FBC459665 FKY459665 FUU459665 GEQ459665 GOM459665 GYI459665 HIE459665 HSA459665 IBW459665 ILS459665 IVO459665 JFK459665 JPG459665 JZC459665 KIY459665 KSU459665 LCQ459665 LMM459665 LWI459665 MGE459665 MQA459665 MZW459665 NJS459665 NTO459665 ODK459665 ONG459665 OXC459665 PGY459665 PQU459665 QAQ459665 QKM459665 QUI459665 REE459665 ROA459665 RXW459665 SHS459665 SRO459665 TBK459665 TLG459665 TVC459665 UEY459665 UOU459665 UYQ459665 VIM459665 VSI459665 WCE459665 WMA459665 WVW459665 O525201 JK525201 TG525201 ADC525201 AMY525201 AWU525201 BGQ525201 BQM525201 CAI525201 CKE525201 CUA525201 DDW525201 DNS525201 DXO525201 EHK525201 ERG525201 FBC525201 FKY525201 FUU525201 GEQ525201 GOM525201 GYI525201 HIE525201 HSA525201 IBW525201 ILS525201 IVO525201 JFK525201 JPG525201 JZC525201 KIY525201 KSU525201 LCQ525201 LMM525201 LWI525201 MGE525201 MQA525201 MZW525201 NJS525201 NTO525201 ODK525201 ONG525201 OXC525201 PGY525201 PQU525201 QAQ525201 QKM525201 QUI525201 REE525201 ROA525201 RXW525201 SHS525201 SRO525201 TBK525201 TLG525201 TVC525201 UEY525201 UOU525201 UYQ525201 VIM525201 VSI525201 WCE525201 WMA525201 WVW525201 O590737 JK590737 TG590737 ADC590737 AMY590737 AWU590737 BGQ590737 BQM590737 CAI590737 CKE590737 CUA590737 DDW590737 DNS590737 DXO590737 EHK590737 ERG590737 FBC590737 FKY590737 FUU590737 GEQ590737 GOM590737 GYI590737 HIE590737 HSA590737 IBW590737 ILS590737 IVO590737 JFK590737 JPG590737 JZC590737 KIY590737 KSU590737 LCQ590737 LMM590737 LWI590737 MGE590737 MQA590737 MZW590737 NJS590737 NTO590737 ODK590737 ONG590737 OXC590737 PGY590737 PQU590737 QAQ590737 QKM590737 QUI590737 REE590737 ROA590737 RXW590737 SHS590737 SRO590737 TBK590737 TLG590737 TVC590737 UEY590737 UOU590737 UYQ590737 VIM590737 VSI590737 WCE590737 WMA590737 WVW590737 O656273 JK656273 TG656273 ADC656273 AMY656273 AWU656273 BGQ656273 BQM656273 CAI656273 CKE656273 CUA656273 DDW656273 DNS656273 DXO656273 EHK656273 ERG656273 FBC656273 FKY656273 FUU656273 GEQ656273 GOM656273 GYI656273 HIE656273 HSA656273 IBW656273 ILS656273 IVO656273 JFK656273 JPG656273 JZC656273 KIY656273 KSU656273 LCQ656273 LMM656273 LWI656273 MGE656273 MQA656273 MZW656273 NJS656273 NTO656273 ODK656273 ONG656273 OXC656273 PGY656273 PQU656273 QAQ656273 QKM656273 QUI656273 REE656273 ROA656273 RXW656273 SHS656273 SRO656273 TBK656273 TLG656273 TVC656273 UEY656273 UOU656273 UYQ656273 VIM656273 VSI656273 WCE656273 WMA656273 WVW656273 O721809 JK721809 TG721809 ADC721809 AMY721809 AWU721809 BGQ721809 BQM721809 CAI721809 CKE721809 CUA721809 DDW721809 DNS721809 DXO721809 EHK721809 ERG721809 FBC721809 FKY721809 FUU721809 GEQ721809 GOM721809 GYI721809 HIE721809 HSA721809 IBW721809 ILS721809 IVO721809 JFK721809 JPG721809 JZC721809 KIY721809 KSU721809 LCQ721809 LMM721809 LWI721809 MGE721809 MQA721809 MZW721809 NJS721809 NTO721809 ODK721809 ONG721809 OXC721809 PGY721809 PQU721809 QAQ721809 QKM721809 QUI721809 REE721809 ROA721809 RXW721809 SHS721809 SRO721809 TBK721809 TLG721809 TVC721809 UEY721809 UOU721809 UYQ721809 VIM721809 VSI721809 WCE721809 WMA721809 WVW721809 O787345 JK787345 TG787345 ADC787345 AMY787345 AWU787345 BGQ787345 BQM787345 CAI787345 CKE787345 CUA787345 DDW787345 DNS787345 DXO787345 EHK787345 ERG787345 FBC787345 FKY787345 FUU787345 GEQ787345 GOM787345 GYI787345 HIE787345 HSA787345 IBW787345 ILS787345 IVO787345 JFK787345 JPG787345 JZC787345 KIY787345 KSU787345 LCQ787345 LMM787345 LWI787345 MGE787345 MQA787345 MZW787345 NJS787345 NTO787345 ODK787345 ONG787345 OXC787345 PGY787345 PQU787345 QAQ787345 QKM787345 QUI787345 REE787345 ROA787345 RXW787345 SHS787345 SRO787345 TBK787345 TLG787345 TVC787345 UEY787345 UOU787345 UYQ787345 VIM787345 VSI787345 WCE787345 WMA787345 WVW787345 O852881 JK852881 TG852881 ADC852881 AMY852881 AWU852881 BGQ852881 BQM852881 CAI852881 CKE852881 CUA852881 DDW852881 DNS852881 DXO852881 EHK852881 ERG852881 FBC852881 FKY852881 FUU852881 GEQ852881 GOM852881 GYI852881 HIE852881 HSA852881 IBW852881 ILS852881 IVO852881 JFK852881 JPG852881 JZC852881 KIY852881 KSU852881 LCQ852881 LMM852881 LWI852881 MGE852881 MQA852881 MZW852881 NJS852881 NTO852881 ODK852881 ONG852881 OXC852881 PGY852881 PQU852881 QAQ852881 QKM852881 QUI852881 REE852881 ROA852881 RXW852881 SHS852881 SRO852881 TBK852881 TLG852881 TVC852881 UEY852881 UOU852881 UYQ852881 VIM852881 VSI852881 WCE852881 WMA852881 WVW852881 O918417 JK918417 TG918417 ADC918417 AMY918417 AWU918417 BGQ918417 BQM918417 CAI918417 CKE918417 CUA918417 DDW918417 DNS918417 DXO918417 EHK918417 ERG918417 FBC918417 FKY918417 FUU918417 GEQ918417 GOM918417 GYI918417 HIE918417 HSA918417 IBW918417 ILS918417 IVO918417 JFK918417 JPG918417 JZC918417 KIY918417 KSU918417 LCQ918417 LMM918417 LWI918417 MGE918417 MQA918417 MZW918417 NJS918417 NTO918417 ODK918417 ONG918417 OXC918417 PGY918417 PQU918417 QAQ918417 QKM918417 QUI918417 REE918417 ROA918417 RXW918417 SHS918417 SRO918417 TBK918417 TLG918417 TVC918417 UEY918417 UOU918417 UYQ918417 VIM918417 VSI918417 WCE918417 WMA918417 WVW918417 O983953 JK983953 TG983953 ADC983953 AMY983953 AWU983953 BGQ983953 BQM983953 CAI983953 CKE983953 CUA983953 DDW983953 DNS983953 DXO983953 EHK983953 ERG983953 FBC983953 FKY983953 FUU983953 GEQ983953 GOM983953 GYI983953 HIE983953 HSA983953 IBW983953 ILS983953 IVO983953 JFK983953 JPG983953 JZC983953 KIY983953 KSU983953 LCQ983953 LMM983953 LWI983953 MGE983953 MQA983953 MZW983953 NJS983953 NTO983953 ODK983953 ONG983953 OXC983953 PGY983953 PQU983953 QAQ983953 QKM983953 QUI983953 REE983953 ROA983953 RXW983953 SHS983953 SRO983953 TBK983953 TLG983953 TVC983953 UEY983953 UOU983953 UYQ983953 VIM983953 VSI983953 WCE983953 WMA983953 WVW983953 O920 JK920 TG920 ADC920 AMY920 AWU920 BGQ920 BQM920 CAI920 CKE920 CUA920 DDW920 DNS920 DXO920 EHK920 ERG920 FBC920 FKY920 FUU920 GEQ920 GOM920 GYI920 HIE920 HSA920 IBW920 ILS920 IVO920 JFK920 JPG920 JZC920 KIY920 KSU920 LCQ920 LMM920 LWI920 MGE920 MQA920 MZW920 NJS920 NTO920 ODK920 ONG920 OXC920 PGY920 PQU920 QAQ920 QKM920 QUI920 REE920 ROA920 RXW920 SHS920 SRO920 TBK920 TLG920 TVC920 UEY920 UOU920 UYQ920 VIM920 VSI920 WCE920 WMA920 WVW920 O66456 JK66456 TG66456 ADC66456 AMY66456 AWU66456 BGQ66456 BQM66456 CAI66456 CKE66456 CUA66456 DDW66456 DNS66456 DXO66456 EHK66456 ERG66456 FBC66456 FKY66456 FUU66456 GEQ66456 GOM66456 GYI66456 HIE66456 HSA66456 IBW66456 ILS66456 IVO66456 JFK66456 JPG66456 JZC66456 KIY66456 KSU66456 LCQ66456 LMM66456 LWI66456 MGE66456 MQA66456 MZW66456 NJS66456 NTO66456 ODK66456 ONG66456 OXC66456 PGY66456 PQU66456 QAQ66456 QKM66456 QUI66456 REE66456 ROA66456 RXW66456 SHS66456 SRO66456 TBK66456 TLG66456 TVC66456 UEY66456 UOU66456 UYQ66456 VIM66456 VSI66456 WCE66456 WMA66456 WVW66456 O131992 JK131992 TG131992 ADC131992 AMY131992 AWU131992 BGQ131992 BQM131992 CAI131992 CKE131992 CUA131992 DDW131992 DNS131992 DXO131992 EHK131992 ERG131992 FBC131992 FKY131992 FUU131992 GEQ131992 GOM131992 GYI131992 HIE131992 HSA131992 IBW131992 ILS131992 IVO131992 JFK131992 JPG131992 JZC131992 KIY131992 KSU131992 LCQ131992 LMM131992 LWI131992 MGE131992 MQA131992 MZW131992 NJS131992 NTO131992 ODK131992 ONG131992 OXC131992 PGY131992 PQU131992 QAQ131992 QKM131992 QUI131992 REE131992 ROA131992 RXW131992 SHS131992 SRO131992 TBK131992 TLG131992 TVC131992 UEY131992 UOU131992 UYQ131992 VIM131992 VSI131992 WCE131992 WMA131992 WVW131992 O197528 JK197528 TG197528 ADC197528 AMY197528 AWU197528 BGQ197528 BQM197528 CAI197528 CKE197528 CUA197528 DDW197528 DNS197528 DXO197528 EHK197528 ERG197528 FBC197528 FKY197528 FUU197528 GEQ197528 GOM197528 GYI197528 HIE197528 HSA197528 IBW197528 ILS197528 IVO197528 JFK197528 JPG197528 JZC197528 KIY197528 KSU197528 LCQ197528 LMM197528 LWI197528 MGE197528 MQA197528 MZW197528 NJS197528 NTO197528 ODK197528 ONG197528 OXC197528 PGY197528 PQU197528 QAQ197528 QKM197528 QUI197528 REE197528 ROA197528 RXW197528 SHS197528 SRO197528 TBK197528 TLG197528 TVC197528 UEY197528 UOU197528 UYQ197528 VIM197528 VSI197528 WCE197528 WMA197528 WVW197528 O263064 JK263064 TG263064 ADC263064 AMY263064 AWU263064 BGQ263064 BQM263064 CAI263064 CKE263064 CUA263064 DDW263064 DNS263064 DXO263064 EHK263064 ERG263064 FBC263064 FKY263064 FUU263064 GEQ263064 GOM263064 GYI263064 HIE263064 HSA263064 IBW263064 ILS263064 IVO263064 JFK263064 JPG263064 JZC263064 KIY263064 KSU263064 LCQ263064 LMM263064 LWI263064 MGE263064 MQA263064 MZW263064 NJS263064 NTO263064 ODK263064 ONG263064 OXC263064 PGY263064 PQU263064 QAQ263064 QKM263064 QUI263064 REE263064 ROA263064 RXW263064 SHS263064 SRO263064 TBK263064 TLG263064 TVC263064 UEY263064 UOU263064 UYQ263064 VIM263064 VSI263064 WCE263064 WMA263064 WVW263064 O328600 JK328600 TG328600 ADC328600 AMY328600 AWU328600 BGQ328600 BQM328600 CAI328600 CKE328600 CUA328600 DDW328600 DNS328600 DXO328600 EHK328600 ERG328600 FBC328600 FKY328600 FUU328600 GEQ328600 GOM328600 GYI328600 HIE328600 HSA328600 IBW328600 ILS328600 IVO328600 JFK328600 JPG328600 JZC328600 KIY328600 KSU328600 LCQ328600 LMM328600 LWI328600 MGE328600 MQA328600 MZW328600 NJS328600 NTO328600 ODK328600 ONG328600 OXC328600 PGY328600 PQU328600 QAQ328600 QKM328600 QUI328600 REE328600 ROA328600 RXW328600 SHS328600 SRO328600 TBK328600 TLG328600 TVC328600 UEY328600 UOU328600 UYQ328600 VIM328600 VSI328600 WCE328600 WMA328600 WVW328600 O394136 JK394136 TG394136 ADC394136 AMY394136 AWU394136 BGQ394136 BQM394136 CAI394136 CKE394136 CUA394136 DDW394136 DNS394136 DXO394136 EHK394136 ERG394136 FBC394136 FKY394136 FUU394136 GEQ394136 GOM394136 GYI394136 HIE394136 HSA394136 IBW394136 ILS394136 IVO394136 JFK394136 JPG394136 JZC394136 KIY394136 KSU394136 LCQ394136 LMM394136 LWI394136 MGE394136 MQA394136 MZW394136 NJS394136 NTO394136 ODK394136 ONG394136 OXC394136 PGY394136 PQU394136 QAQ394136 QKM394136 QUI394136 REE394136 ROA394136 RXW394136 SHS394136 SRO394136 TBK394136 TLG394136 TVC394136 UEY394136 UOU394136 UYQ394136 VIM394136 VSI394136 WCE394136 WMA394136 WVW394136 O459672 JK459672 TG459672 ADC459672 AMY459672 AWU459672 BGQ459672 BQM459672 CAI459672 CKE459672 CUA459672 DDW459672 DNS459672 DXO459672 EHK459672 ERG459672 FBC459672 FKY459672 FUU459672 GEQ459672 GOM459672 GYI459672 HIE459672 HSA459672 IBW459672 ILS459672 IVO459672 JFK459672 JPG459672 JZC459672 KIY459672 KSU459672 LCQ459672 LMM459672 LWI459672 MGE459672 MQA459672 MZW459672 NJS459672 NTO459672 ODK459672 ONG459672 OXC459672 PGY459672 PQU459672 QAQ459672 QKM459672 QUI459672 REE459672 ROA459672 RXW459672 SHS459672 SRO459672 TBK459672 TLG459672 TVC459672 UEY459672 UOU459672 UYQ459672 VIM459672 VSI459672 WCE459672 WMA459672 WVW459672 O525208 JK525208 TG525208 ADC525208 AMY525208 AWU525208 BGQ525208 BQM525208 CAI525208 CKE525208 CUA525208 DDW525208 DNS525208 DXO525208 EHK525208 ERG525208 FBC525208 FKY525208 FUU525208 GEQ525208 GOM525208 GYI525208 HIE525208 HSA525208 IBW525208 ILS525208 IVO525208 JFK525208 JPG525208 JZC525208 KIY525208 KSU525208 LCQ525208 LMM525208 LWI525208 MGE525208 MQA525208 MZW525208 NJS525208 NTO525208 ODK525208 ONG525208 OXC525208 PGY525208 PQU525208 QAQ525208 QKM525208 QUI525208 REE525208 ROA525208 RXW525208 SHS525208 SRO525208 TBK525208 TLG525208 TVC525208 UEY525208 UOU525208 UYQ525208 VIM525208 VSI525208 WCE525208 WMA525208 WVW525208 O590744 JK590744 TG590744 ADC590744 AMY590744 AWU590744 BGQ590744 BQM590744 CAI590744 CKE590744 CUA590744 DDW590744 DNS590744 DXO590744 EHK590744 ERG590744 FBC590744 FKY590744 FUU590744 GEQ590744 GOM590744 GYI590744 HIE590744 HSA590744 IBW590744 ILS590744 IVO590744 JFK590744 JPG590744 JZC590744 KIY590744 KSU590744 LCQ590744 LMM590744 LWI590744 MGE590744 MQA590744 MZW590744 NJS590744 NTO590744 ODK590744 ONG590744 OXC590744 PGY590744 PQU590744 QAQ590744 QKM590744 QUI590744 REE590744 ROA590744 RXW590744 SHS590744 SRO590744 TBK590744 TLG590744 TVC590744 UEY590744 UOU590744 UYQ590744 VIM590744 VSI590744 WCE590744 WMA590744 WVW590744 O656280 JK656280 TG656280 ADC656280 AMY656280 AWU656280 BGQ656280 BQM656280 CAI656280 CKE656280 CUA656280 DDW656280 DNS656280 DXO656280 EHK656280 ERG656280 FBC656280 FKY656280 FUU656280 GEQ656280 GOM656280 GYI656280 HIE656280 HSA656280 IBW656280 ILS656280 IVO656280 JFK656280 JPG656280 JZC656280 KIY656280 KSU656280 LCQ656280 LMM656280 LWI656280 MGE656280 MQA656280 MZW656280 NJS656280 NTO656280 ODK656280 ONG656280 OXC656280 PGY656280 PQU656280 QAQ656280 QKM656280 QUI656280 REE656280 ROA656280 RXW656280 SHS656280 SRO656280 TBK656280 TLG656280 TVC656280 UEY656280 UOU656280 UYQ656280 VIM656280 VSI656280 WCE656280 WMA656280 WVW656280 O721816 JK721816 TG721816 ADC721816 AMY721816 AWU721816 BGQ721816 BQM721816 CAI721816 CKE721816 CUA721816 DDW721816 DNS721816 DXO721816 EHK721816 ERG721816 FBC721816 FKY721816 FUU721816 GEQ721816 GOM721816 GYI721816 HIE721816 HSA721816 IBW721816 ILS721816 IVO721816 JFK721816 JPG721816 JZC721816 KIY721816 KSU721816 LCQ721816 LMM721816 LWI721816 MGE721816 MQA721816 MZW721816 NJS721816 NTO721816 ODK721816 ONG721816 OXC721816 PGY721816 PQU721816 QAQ721816 QKM721816 QUI721816 REE721816 ROA721816 RXW721816 SHS721816 SRO721816 TBK721816 TLG721816 TVC721816 UEY721816 UOU721816 UYQ721816 VIM721816 VSI721816 WCE721816 WMA721816 WVW721816 O787352 JK787352 TG787352 ADC787352 AMY787352 AWU787352 BGQ787352 BQM787352 CAI787352 CKE787352 CUA787352 DDW787352 DNS787352 DXO787352 EHK787352 ERG787352 FBC787352 FKY787352 FUU787352 GEQ787352 GOM787352 GYI787352 HIE787352 HSA787352 IBW787352 ILS787352 IVO787352 JFK787352 JPG787352 JZC787352 KIY787352 KSU787352 LCQ787352 LMM787352 LWI787352 MGE787352 MQA787352 MZW787352 NJS787352 NTO787352 ODK787352 ONG787352 OXC787352 PGY787352 PQU787352 QAQ787352 QKM787352 QUI787352 REE787352 ROA787352 RXW787352 SHS787352 SRO787352 TBK787352 TLG787352 TVC787352 UEY787352 UOU787352 UYQ787352 VIM787352 VSI787352 WCE787352 WMA787352 WVW787352 O852888 JK852888 TG852888 ADC852888 AMY852888 AWU852888 BGQ852888 BQM852888 CAI852888 CKE852888 CUA852888 DDW852888 DNS852888 DXO852888 EHK852888 ERG852888 FBC852888 FKY852888 FUU852888 GEQ852888 GOM852888 GYI852888 HIE852888 HSA852888 IBW852888 ILS852888 IVO852888 JFK852888 JPG852888 JZC852888 KIY852888 KSU852888 LCQ852888 LMM852888 LWI852888 MGE852888 MQA852888 MZW852888 NJS852888 NTO852888 ODK852888 ONG852888 OXC852888 PGY852888 PQU852888 QAQ852888 QKM852888 QUI852888 REE852888 ROA852888 RXW852888 SHS852888 SRO852888 TBK852888 TLG852888 TVC852888 UEY852888 UOU852888 UYQ852888 VIM852888 VSI852888 WCE852888 WMA852888 WVW852888 O918424 JK918424 TG918424 ADC918424 AMY918424 AWU918424 BGQ918424 BQM918424 CAI918424 CKE918424 CUA918424 DDW918424 DNS918424 DXO918424 EHK918424 ERG918424 FBC918424 FKY918424 FUU918424 GEQ918424 GOM918424 GYI918424 HIE918424 HSA918424 IBW918424 ILS918424 IVO918424 JFK918424 JPG918424 JZC918424 KIY918424 KSU918424 LCQ918424 LMM918424 LWI918424 MGE918424 MQA918424 MZW918424 NJS918424 NTO918424 ODK918424 ONG918424 OXC918424 PGY918424 PQU918424 QAQ918424 QKM918424 QUI918424 REE918424 ROA918424 RXW918424 SHS918424 SRO918424 TBK918424 TLG918424 TVC918424 UEY918424 UOU918424 UYQ918424 VIM918424 VSI918424 WCE918424 WMA918424 WVW918424 O983960 JK983960 TG983960 ADC983960 AMY983960 AWU983960 BGQ983960 BQM983960 CAI983960 CKE983960 CUA983960 DDW983960 DNS983960 DXO983960 EHK983960 ERG983960 FBC983960 FKY983960 FUU983960 GEQ983960 GOM983960 GYI983960 HIE983960 HSA983960 IBW983960 ILS983960 IVO983960 JFK983960 JPG983960 JZC983960 KIY983960 KSU983960 LCQ983960 LMM983960 LWI983960 MGE983960 MQA983960 MZW983960 NJS983960 NTO983960 ODK983960 ONG983960 OXC983960 PGY983960 PQU983960 QAQ983960 QKM983960 QUI983960 REE983960 ROA983960 RXW983960 SHS983960 SRO983960 TBK983960 TLG983960 TVC983960 UEY983960 UOU983960 UYQ983960 VIM983960 VSI983960 WCE983960 WMA983960 WVW983960 O927 JK927 TG927 ADC927 AMY927 AWU927 BGQ927 BQM927 CAI927 CKE927 CUA927 DDW927 DNS927 DXO927 EHK927 ERG927 FBC927 FKY927 FUU927 GEQ927 GOM927 GYI927 HIE927 HSA927 IBW927 ILS927 IVO927 JFK927 JPG927 JZC927 KIY927 KSU927 LCQ927 LMM927 LWI927 MGE927 MQA927 MZW927 NJS927 NTO927 ODK927 ONG927 OXC927 PGY927 PQU927 QAQ927 QKM927 QUI927 REE927 ROA927 RXW927 SHS927 SRO927 TBK927 TLG927 TVC927 UEY927 UOU927 UYQ927 VIM927 VSI927 WCE927 WMA927 WVW927 O66463 JK66463 TG66463 ADC66463 AMY66463 AWU66463 BGQ66463 BQM66463 CAI66463 CKE66463 CUA66463 DDW66463 DNS66463 DXO66463 EHK66463 ERG66463 FBC66463 FKY66463 FUU66463 GEQ66463 GOM66463 GYI66463 HIE66463 HSA66463 IBW66463 ILS66463 IVO66463 JFK66463 JPG66463 JZC66463 KIY66463 KSU66463 LCQ66463 LMM66463 LWI66463 MGE66463 MQA66463 MZW66463 NJS66463 NTO66463 ODK66463 ONG66463 OXC66463 PGY66463 PQU66463 QAQ66463 QKM66463 QUI66463 REE66463 ROA66463 RXW66463 SHS66463 SRO66463 TBK66463 TLG66463 TVC66463 UEY66463 UOU66463 UYQ66463 VIM66463 VSI66463 WCE66463 WMA66463 WVW66463 O131999 JK131999 TG131999 ADC131999 AMY131999 AWU131999 BGQ131999 BQM131999 CAI131999 CKE131999 CUA131999 DDW131999 DNS131999 DXO131999 EHK131999 ERG131999 FBC131999 FKY131999 FUU131999 GEQ131999 GOM131999 GYI131999 HIE131999 HSA131999 IBW131999 ILS131999 IVO131999 JFK131999 JPG131999 JZC131999 KIY131999 KSU131999 LCQ131999 LMM131999 LWI131999 MGE131999 MQA131999 MZW131999 NJS131999 NTO131999 ODK131999 ONG131999 OXC131999 PGY131999 PQU131999 QAQ131999 QKM131999 QUI131999 REE131999 ROA131999 RXW131999 SHS131999 SRO131999 TBK131999 TLG131999 TVC131999 UEY131999 UOU131999 UYQ131999 VIM131999 VSI131999 WCE131999 WMA131999 WVW131999 O197535 JK197535 TG197535 ADC197535 AMY197535 AWU197535 BGQ197535 BQM197535 CAI197535 CKE197535 CUA197535 DDW197535 DNS197535 DXO197535 EHK197535 ERG197535 FBC197535 FKY197535 FUU197535 GEQ197535 GOM197535 GYI197535 HIE197535 HSA197535 IBW197535 ILS197535 IVO197535 JFK197535 JPG197535 JZC197535 KIY197535 KSU197535 LCQ197535 LMM197535 LWI197535 MGE197535 MQA197535 MZW197535 NJS197535 NTO197535 ODK197535 ONG197535 OXC197535 PGY197535 PQU197535 QAQ197535 QKM197535 QUI197535 REE197535 ROA197535 RXW197535 SHS197535 SRO197535 TBK197535 TLG197535 TVC197535 UEY197535 UOU197535 UYQ197535 VIM197535 VSI197535 WCE197535 WMA197535 WVW197535 O263071 JK263071 TG263071 ADC263071 AMY263071 AWU263071 BGQ263071 BQM263071 CAI263071 CKE263071 CUA263071 DDW263071 DNS263071 DXO263071 EHK263071 ERG263071 FBC263071 FKY263071 FUU263071 GEQ263071 GOM263071 GYI263071 HIE263071 HSA263071 IBW263071 ILS263071 IVO263071 JFK263071 JPG263071 JZC263071 KIY263071 KSU263071 LCQ263071 LMM263071 LWI263071 MGE263071 MQA263071 MZW263071 NJS263071 NTO263071 ODK263071 ONG263071 OXC263071 PGY263071 PQU263071 QAQ263071 QKM263071 QUI263071 REE263071 ROA263071 RXW263071 SHS263071 SRO263071 TBK263071 TLG263071 TVC263071 UEY263071 UOU263071 UYQ263071 VIM263071 VSI263071 WCE263071 WMA263071 WVW263071 O328607 JK328607 TG328607 ADC328607 AMY328607 AWU328607 BGQ328607 BQM328607 CAI328607 CKE328607 CUA328607 DDW328607 DNS328607 DXO328607 EHK328607 ERG328607 FBC328607 FKY328607 FUU328607 GEQ328607 GOM328607 GYI328607 HIE328607 HSA328607 IBW328607 ILS328607 IVO328607 JFK328607 JPG328607 JZC328607 KIY328607 KSU328607 LCQ328607 LMM328607 LWI328607 MGE328607 MQA328607 MZW328607 NJS328607 NTO328607 ODK328607 ONG328607 OXC328607 PGY328607 PQU328607 QAQ328607 QKM328607 QUI328607 REE328607 ROA328607 RXW328607 SHS328607 SRO328607 TBK328607 TLG328607 TVC328607 UEY328607 UOU328607 UYQ328607 VIM328607 VSI328607 WCE328607 WMA328607 WVW328607 O394143 JK394143 TG394143 ADC394143 AMY394143 AWU394143 BGQ394143 BQM394143 CAI394143 CKE394143 CUA394143 DDW394143 DNS394143 DXO394143 EHK394143 ERG394143 FBC394143 FKY394143 FUU394143 GEQ394143 GOM394143 GYI394143 HIE394143 HSA394143 IBW394143 ILS394143 IVO394143 JFK394143 JPG394143 JZC394143 KIY394143 KSU394143 LCQ394143 LMM394143 LWI394143 MGE394143 MQA394143 MZW394143 NJS394143 NTO394143 ODK394143 ONG394143 OXC394143 PGY394143 PQU394143 QAQ394143 QKM394143 QUI394143 REE394143 ROA394143 RXW394143 SHS394143 SRO394143 TBK394143 TLG394143 TVC394143 UEY394143 UOU394143 UYQ394143 VIM394143 VSI394143 WCE394143 WMA394143 WVW394143 O459679 JK459679 TG459679 ADC459679 AMY459679 AWU459679 BGQ459679 BQM459679 CAI459679 CKE459679 CUA459679 DDW459679 DNS459679 DXO459679 EHK459679 ERG459679 FBC459679 FKY459679 FUU459679 GEQ459679 GOM459679 GYI459679 HIE459679 HSA459679 IBW459679 ILS459679 IVO459679 JFK459679 JPG459679 JZC459679 KIY459679 KSU459679 LCQ459679 LMM459679 LWI459679 MGE459679 MQA459679 MZW459679 NJS459679 NTO459679 ODK459679 ONG459679 OXC459679 PGY459679 PQU459679 QAQ459679 QKM459679 QUI459679 REE459679 ROA459679 RXW459679 SHS459679 SRO459679 TBK459679 TLG459679 TVC459679 UEY459679 UOU459679 UYQ459679 VIM459679 VSI459679 WCE459679 WMA459679 WVW459679 O525215 JK525215 TG525215 ADC525215 AMY525215 AWU525215 BGQ525215 BQM525215 CAI525215 CKE525215 CUA525215 DDW525215 DNS525215 DXO525215 EHK525215 ERG525215 FBC525215 FKY525215 FUU525215 GEQ525215 GOM525215 GYI525215 HIE525215 HSA525215 IBW525215 ILS525215 IVO525215 JFK525215 JPG525215 JZC525215 KIY525215 KSU525215 LCQ525215 LMM525215 LWI525215 MGE525215 MQA525215 MZW525215 NJS525215 NTO525215 ODK525215 ONG525215 OXC525215 PGY525215 PQU525215 QAQ525215 QKM525215 QUI525215 REE525215 ROA525215 RXW525215 SHS525215 SRO525215 TBK525215 TLG525215 TVC525215 UEY525215 UOU525215 UYQ525215 VIM525215 VSI525215 WCE525215 WMA525215 WVW525215 O590751 JK590751 TG590751 ADC590751 AMY590751 AWU590751 BGQ590751 BQM590751 CAI590751 CKE590751 CUA590751 DDW590751 DNS590751 DXO590751 EHK590751 ERG590751 FBC590751 FKY590751 FUU590751 GEQ590751 GOM590751 GYI590751 HIE590751 HSA590751 IBW590751 ILS590751 IVO590751 JFK590751 JPG590751 JZC590751 KIY590751 KSU590751 LCQ590751 LMM590751 LWI590751 MGE590751 MQA590751 MZW590751 NJS590751 NTO590751 ODK590751 ONG590751 OXC590751 PGY590751 PQU590751 QAQ590751 QKM590751 QUI590751 REE590751 ROA590751 RXW590751 SHS590751 SRO590751 TBK590751 TLG590751 TVC590751 UEY590751 UOU590751 UYQ590751 VIM590751 VSI590751 WCE590751 WMA590751 WVW590751 O656287 JK656287 TG656287 ADC656287 AMY656287 AWU656287 BGQ656287 BQM656287 CAI656287 CKE656287 CUA656287 DDW656287 DNS656287 DXO656287 EHK656287 ERG656287 FBC656287 FKY656287 FUU656287 GEQ656287 GOM656287 GYI656287 HIE656287 HSA656287 IBW656287 ILS656287 IVO656287 JFK656287 JPG656287 JZC656287 KIY656287 KSU656287 LCQ656287 LMM656287 LWI656287 MGE656287 MQA656287 MZW656287 NJS656287 NTO656287 ODK656287 ONG656287 OXC656287 PGY656287 PQU656287 QAQ656287 QKM656287 QUI656287 REE656287 ROA656287 RXW656287 SHS656287 SRO656287 TBK656287 TLG656287 TVC656287 UEY656287 UOU656287 UYQ656287 VIM656287 VSI656287 WCE656287 WMA656287 WVW656287 O721823 JK721823 TG721823 ADC721823 AMY721823 AWU721823 BGQ721823 BQM721823 CAI721823 CKE721823 CUA721823 DDW721823 DNS721823 DXO721823 EHK721823 ERG721823 FBC721823 FKY721823 FUU721823 GEQ721823 GOM721823 GYI721823 HIE721823 HSA721823 IBW721823 ILS721823 IVO721823 JFK721823 JPG721823 JZC721823 KIY721823 KSU721823 LCQ721823 LMM721823 LWI721823 MGE721823 MQA721823 MZW721823 NJS721823 NTO721823 ODK721823 ONG721823 OXC721823 PGY721823 PQU721823 QAQ721823 QKM721823 QUI721823 REE721823 ROA721823 RXW721823 SHS721823 SRO721823 TBK721823 TLG721823 TVC721823 UEY721823 UOU721823 UYQ721823 VIM721823 VSI721823 WCE721823 WMA721823 WVW721823 O787359 JK787359 TG787359 ADC787359 AMY787359 AWU787359 BGQ787359 BQM787359 CAI787359 CKE787359 CUA787359 DDW787359 DNS787359 DXO787359 EHK787359 ERG787359 FBC787359 FKY787359 FUU787359 GEQ787359 GOM787359 GYI787359 HIE787359 HSA787359 IBW787359 ILS787359 IVO787359 JFK787359 JPG787359 JZC787359 KIY787359 KSU787359 LCQ787359 LMM787359 LWI787359 MGE787359 MQA787359 MZW787359 NJS787359 NTO787359 ODK787359 ONG787359 OXC787359 PGY787359 PQU787359 QAQ787359 QKM787359 QUI787359 REE787359 ROA787359 RXW787359 SHS787359 SRO787359 TBK787359 TLG787359 TVC787359 UEY787359 UOU787359 UYQ787359 VIM787359 VSI787359 WCE787359 WMA787359 WVW787359 O852895 JK852895 TG852895 ADC852895 AMY852895 AWU852895 BGQ852895 BQM852895 CAI852895 CKE852895 CUA852895 DDW852895 DNS852895 DXO852895 EHK852895 ERG852895 FBC852895 FKY852895 FUU852895 GEQ852895 GOM852895 GYI852895 HIE852895 HSA852895 IBW852895 ILS852895 IVO852895 JFK852895 JPG852895 JZC852895 KIY852895 KSU852895 LCQ852895 LMM852895 LWI852895 MGE852895 MQA852895 MZW852895 NJS852895 NTO852895 ODK852895 ONG852895 OXC852895 PGY852895 PQU852895 QAQ852895 QKM852895 QUI852895 REE852895 ROA852895 RXW852895 SHS852895 SRO852895 TBK852895 TLG852895 TVC852895 UEY852895 UOU852895 UYQ852895 VIM852895 VSI852895 WCE852895 WMA852895 WVW852895 O918431 JK918431 TG918431 ADC918431 AMY918431 AWU918431 BGQ918431 BQM918431 CAI918431 CKE918431 CUA918431 DDW918431 DNS918431 DXO918431 EHK918431 ERG918431 FBC918431 FKY918431 FUU918431 GEQ918431 GOM918431 GYI918431 HIE918431 HSA918431 IBW918431 ILS918431 IVO918431 JFK918431 JPG918431 JZC918431 KIY918431 KSU918431 LCQ918431 LMM918431 LWI918431 MGE918431 MQA918431 MZW918431 NJS918431 NTO918431 ODK918431 ONG918431 OXC918431 PGY918431 PQU918431 QAQ918431 QKM918431 QUI918431 REE918431 ROA918431 RXW918431 SHS918431 SRO918431 TBK918431 TLG918431 TVC918431 UEY918431 UOU918431 UYQ918431 VIM918431 VSI918431 WCE918431 WMA918431 WVW918431 O983967 JK983967 TG983967 ADC983967 AMY983967 AWU983967 BGQ983967 BQM983967 CAI983967 CKE983967 CUA983967 DDW983967 DNS983967 DXO983967 EHK983967 ERG983967 FBC983967 FKY983967 FUU983967 GEQ983967 GOM983967 GYI983967 HIE983967 HSA983967 IBW983967 ILS983967 IVO983967 JFK983967 JPG983967 JZC983967 KIY983967 KSU983967 LCQ983967 LMM983967 LWI983967 MGE983967 MQA983967 MZW983967 NJS983967 NTO983967 ODK983967 ONG983967 OXC983967 PGY983967 PQU983967 QAQ983967 QKM983967 QUI983967 REE983967 ROA983967 RXW983967 SHS983967 SRO983967 TBK983967 TLG983967 TVC983967 UEY983967 UOU983967 UYQ983967 VIM983967 VSI983967 WCE983967 WMA983967 WVW983967 O934 JK934 TG934 ADC934 AMY934 AWU934 BGQ934 BQM934 CAI934 CKE934 CUA934 DDW934 DNS934 DXO934 EHK934 ERG934 FBC934 FKY934 FUU934 GEQ934 GOM934 GYI934 HIE934 HSA934 IBW934 ILS934 IVO934 JFK934 JPG934 JZC934 KIY934 KSU934 LCQ934 LMM934 LWI934 MGE934 MQA934 MZW934 NJS934 NTO934 ODK934 ONG934 OXC934 PGY934 PQU934 QAQ934 QKM934 QUI934 REE934 ROA934 RXW934 SHS934 SRO934 TBK934 TLG934 TVC934 UEY934 UOU934 UYQ934 VIM934 VSI934 WCE934 WMA934 WVW934 O66470 JK66470 TG66470 ADC66470 AMY66470 AWU66470 BGQ66470 BQM66470 CAI66470 CKE66470 CUA66470 DDW66470 DNS66470 DXO66470 EHK66470 ERG66470 FBC66470 FKY66470 FUU66470 GEQ66470 GOM66470 GYI66470 HIE66470 HSA66470 IBW66470 ILS66470 IVO66470 JFK66470 JPG66470 JZC66470 KIY66470 KSU66470 LCQ66470 LMM66470 LWI66470 MGE66470 MQA66470 MZW66470 NJS66470 NTO66470 ODK66470 ONG66470 OXC66470 PGY66470 PQU66470 QAQ66470 QKM66470 QUI66470 REE66470 ROA66470 RXW66470 SHS66470 SRO66470 TBK66470 TLG66470 TVC66470 UEY66470 UOU66470 UYQ66470 VIM66470 VSI66470 WCE66470 WMA66470 WVW66470 O132006 JK132006 TG132006 ADC132006 AMY132006 AWU132006 BGQ132006 BQM132006 CAI132006 CKE132006 CUA132006 DDW132006 DNS132006 DXO132006 EHK132006 ERG132006 FBC132006 FKY132006 FUU132006 GEQ132006 GOM132006 GYI132006 HIE132006 HSA132006 IBW132006 ILS132006 IVO132006 JFK132006 JPG132006 JZC132006 KIY132006 KSU132006 LCQ132006 LMM132006 LWI132006 MGE132006 MQA132006 MZW132006 NJS132006 NTO132006 ODK132006 ONG132006 OXC132006 PGY132006 PQU132006 QAQ132006 QKM132006 QUI132006 REE132006 ROA132006 RXW132006 SHS132006 SRO132006 TBK132006 TLG132006 TVC132006 UEY132006 UOU132006 UYQ132006 VIM132006 VSI132006 WCE132006 WMA132006 WVW132006 O197542 JK197542 TG197542 ADC197542 AMY197542 AWU197542 BGQ197542 BQM197542 CAI197542 CKE197542 CUA197542 DDW197542 DNS197542 DXO197542 EHK197542 ERG197542 FBC197542 FKY197542 FUU197542 GEQ197542 GOM197542 GYI197542 HIE197542 HSA197542 IBW197542 ILS197542 IVO197542 JFK197542 JPG197542 JZC197542 KIY197542 KSU197542 LCQ197542 LMM197542 LWI197542 MGE197542 MQA197542 MZW197542 NJS197542 NTO197542 ODK197542 ONG197542 OXC197542 PGY197542 PQU197542 QAQ197542 QKM197542 QUI197542 REE197542 ROA197542 RXW197542 SHS197542 SRO197542 TBK197542 TLG197542 TVC197542 UEY197542 UOU197542 UYQ197542 VIM197542 VSI197542 WCE197542 WMA197542 WVW197542 O263078 JK263078 TG263078 ADC263078 AMY263078 AWU263078 BGQ263078 BQM263078 CAI263078 CKE263078 CUA263078 DDW263078 DNS263078 DXO263078 EHK263078 ERG263078 FBC263078 FKY263078 FUU263078 GEQ263078 GOM263078 GYI263078 HIE263078 HSA263078 IBW263078 ILS263078 IVO263078 JFK263078 JPG263078 JZC263078 KIY263078 KSU263078 LCQ263078 LMM263078 LWI263078 MGE263078 MQA263078 MZW263078 NJS263078 NTO263078 ODK263078 ONG263078 OXC263078 PGY263078 PQU263078 QAQ263078 QKM263078 QUI263078 REE263078 ROA263078 RXW263078 SHS263078 SRO263078 TBK263078 TLG263078 TVC263078 UEY263078 UOU263078 UYQ263078 VIM263078 VSI263078 WCE263078 WMA263078 WVW263078 O328614 JK328614 TG328614 ADC328614 AMY328614 AWU328614 BGQ328614 BQM328614 CAI328614 CKE328614 CUA328614 DDW328614 DNS328614 DXO328614 EHK328614 ERG328614 FBC328614 FKY328614 FUU328614 GEQ328614 GOM328614 GYI328614 HIE328614 HSA328614 IBW328614 ILS328614 IVO328614 JFK328614 JPG328614 JZC328614 KIY328614 KSU328614 LCQ328614 LMM328614 LWI328614 MGE328614 MQA328614 MZW328614 NJS328614 NTO328614 ODK328614 ONG328614 OXC328614 PGY328614 PQU328614 QAQ328614 QKM328614 QUI328614 REE328614 ROA328614 RXW328614 SHS328614 SRO328614 TBK328614 TLG328614 TVC328614 UEY328614 UOU328614 UYQ328614 VIM328614 VSI328614 WCE328614 WMA328614 WVW328614 O394150 JK394150 TG394150 ADC394150 AMY394150 AWU394150 BGQ394150 BQM394150 CAI394150 CKE394150 CUA394150 DDW394150 DNS394150 DXO394150 EHK394150 ERG394150 FBC394150 FKY394150 FUU394150 GEQ394150 GOM394150 GYI394150 HIE394150 HSA394150 IBW394150 ILS394150 IVO394150 JFK394150 JPG394150 JZC394150 KIY394150 KSU394150 LCQ394150 LMM394150 LWI394150 MGE394150 MQA394150 MZW394150 NJS394150 NTO394150 ODK394150 ONG394150 OXC394150 PGY394150 PQU394150 QAQ394150 QKM394150 QUI394150 REE394150 ROA394150 RXW394150 SHS394150 SRO394150 TBK394150 TLG394150 TVC394150 UEY394150 UOU394150 UYQ394150 VIM394150 VSI394150 WCE394150 WMA394150 WVW394150 O459686 JK459686 TG459686 ADC459686 AMY459686 AWU459686 BGQ459686 BQM459686 CAI459686 CKE459686 CUA459686 DDW459686 DNS459686 DXO459686 EHK459686 ERG459686 FBC459686 FKY459686 FUU459686 GEQ459686 GOM459686 GYI459686 HIE459686 HSA459686 IBW459686 ILS459686 IVO459686 JFK459686 JPG459686 JZC459686 KIY459686 KSU459686 LCQ459686 LMM459686 LWI459686 MGE459686 MQA459686 MZW459686 NJS459686 NTO459686 ODK459686 ONG459686 OXC459686 PGY459686 PQU459686 QAQ459686 QKM459686 QUI459686 REE459686 ROA459686 RXW459686 SHS459686 SRO459686 TBK459686 TLG459686 TVC459686 UEY459686 UOU459686 UYQ459686 VIM459686 VSI459686 WCE459686 WMA459686 WVW459686 O525222 JK525222 TG525222 ADC525222 AMY525222 AWU525222 BGQ525222 BQM525222 CAI525222 CKE525222 CUA525222 DDW525222 DNS525222 DXO525222 EHK525222 ERG525222 FBC525222 FKY525222 FUU525222 GEQ525222 GOM525222 GYI525222 HIE525222 HSA525222 IBW525222 ILS525222 IVO525222 JFK525222 JPG525222 JZC525222 KIY525222 KSU525222 LCQ525222 LMM525222 LWI525222 MGE525222 MQA525222 MZW525222 NJS525222 NTO525222 ODK525222 ONG525222 OXC525222 PGY525222 PQU525222 QAQ525222 QKM525222 QUI525222 REE525222 ROA525222 RXW525222 SHS525222 SRO525222 TBK525222 TLG525222 TVC525222 UEY525222 UOU525222 UYQ525222 VIM525222 VSI525222 WCE525222 WMA525222 WVW525222 O590758 JK590758 TG590758 ADC590758 AMY590758 AWU590758 BGQ590758 BQM590758 CAI590758 CKE590758 CUA590758 DDW590758 DNS590758 DXO590758 EHK590758 ERG590758 FBC590758 FKY590758 FUU590758 GEQ590758 GOM590758 GYI590758 HIE590758 HSA590758 IBW590758 ILS590758 IVO590758 JFK590758 JPG590758 JZC590758 KIY590758 KSU590758 LCQ590758 LMM590758 LWI590758 MGE590758 MQA590758 MZW590758 NJS590758 NTO590758 ODK590758 ONG590758 OXC590758 PGY590758 PQU590758 QAQ590758 QKM590758 QUI590758 REE590758 ROA590758 RXW590758 SHS590758 SRO590758 TBK590758 TLG590758 TVC590758 UEY590758 UOU590758 UYQ590758 VIM590758 VSI590758 WCE590758 WMA590758 WVW590758 O656294 JK656294 TG656294 ADC656294 AMY656294 AWU656294 BGQ656294 BQM656294 CAI656294 CKE656294 CUA656294 DDW656294 DNS656294 DXO656294 EHK656294 ERG656294 FBC656294 FKY656294 FUU656294 GEQ656294 GOM656294 GYI656294 HIE656294 HSA656294 IBW656294 ILS656294 IVO656294 JFK656294 JPG656294 JZC656294 KIY656294 KSU656294 LCQ656294 LMM656294 LWI656294 MGE656294 MQA656294 MZW656294 NJS656294 NTO656294 ODK656294 ONG656294 OXC656294 PGY656294 PQU656294 QAQ656294 QKM656294 QUI656294 REE656294 ROA656294 RXW656294 SHS656294 SRO656294 TBK656294 TLG656294 TVC656294 UEY656294 UOU656294 UYQ656294 VIM656294 VSI656294 WCE656294 WMA656294 WVW656294 O721830 JK721830 TG721830 ADC721830 AMY721830 AWU721830 BGQ721830 BQM721830 CAI721830 CKE721830 CUA721830 DDW721830 DNS721830 DXO721830 EHK721830 ERG721830 FBC721830 FKY721830 FUU721830 GEQ721830 GOM721830 GYI721830 HIE721830 HSA721830 IBW721830 ILS721830 IVO721830 JFK721830 JPG721830 JZC721830 KIY721830 KSU721830 LCQ721830 LMM721830 LWI721830 MGE721830 MQA721830 MZW721830 NJS721830 NTO721830 ODK721830 ONG721830 OXC721830 PGY721830 PQU721830 QAQ721830 QKM721830 QUI721830 REE721830 ROA721830 RXW721830 SHS721830 SRO721830 TBK721830 TLG721830 TVC721830 UEY721830 UOU721830 UYQ721830 VIM721830 VSI721830 WCE721830 WMA721830 WVW721830 O787366 JK787366 TG787366 ADC787366 AMY787366 AWU787366 BGQ787366 BQM787366 CAI787366 CKE787366 CUA787366 DDW787366 DNS787366 DXO787366 EHK787366 ERG787366 FBC787366 FKY787366 FUU787366 GEQ787366 GOM787366 GYI787366 HIE787366 HSA787366 IBW787366 ILS787366 IVO787366 JFK787366 JPG787366 JZC787366 KIY787366 KSU787366 LCQ787366 LMM787366 LWI787366 MGE787366 MQA787366 MZW787366 NJS787366 NTO787366 ODK787366 ONG787366 OXC787366 PGY787366 PQU787366 QAQ787366 QKM787366 QUI787366 REE787366 ROA787366 RXW787366 SHS787366 SRO787366 TBK787366 TLG787366 TVC787366 UEY787366 UOU787366 UYQ787366 VIM787366 VSI787366 WCE787366 WMA787366 WVW787366 O852902 JK852902 TG852902 ADC852902 AMY852902 AWU852902 BGQ852902 BQM852902 CAI852902 CKE852902 CUA852902 DDW852902 DNS852902 DXO852902 EHK852902 ERG852902 FBC852902 FKY852902 FUU852902 GEQ852902 GOM852902 GYI852902 HIE852902 HSA852902 IBW852902 ILS852902 IVO852902 JFK852902 JPG852902 JZC852902 KIY852902 KSU852902 LCQ852902 LMM852902 LWI852902 MGE852902 MQA852902 MZW852902 NJS852902 NTO852902 ODK852902 ONG852902 OXC852902 PGY852902 PQU852902 QAQ852902 QKM852902 QUI852902 REE852902 ROA852902 RXW852902 SHS852902 SRO852902 TBK852902 TLG852902 TVC852902 UEY852902 UOU852902 UYQ852902 VIM852902 VSI852902 WCE852902 WMA852902 WVW852902 O918438 JK918438 TG918438 ADC918438 AMY918438 AWU918438 BGQ918438 BQM918438 CAI918438 CKE918438 CUA918438 DDW918438 DNS918438 DXO918438 EHK918438 ERG918438 FBC918438 FKY918438 FUU918438 GEQ918438 GOM918438 GYI918438 HIE918438 HSA918438 IBW918438 ILS918438 IVO918438 JFK918438 JPG918438 JZC918438 KIY918438 KSU918438 LCQ918438 LMM918438 LWI918438 MGE918438 MQA918438 MZW918438 NJS918438 NTO918438 ODK918438 ONG918438 OXC918438 PGY918438 PQU918438 QAQ918438 QKM918438 QUI918438 REE918438 ROA918438 RXW918438 SHS918438 SRO918438 TBK918438 TLG918438 TVC918438 UEY918438 UOU918438 UYQ918438 VIM918438 VSI918438 WCE918438 WMA918438 WVW918438 O983974 JK983974 TG983974 ADC983974 AMY983974 AWU983974 BGQ983974 BQM983974 CAI983974 CKE983974 CUA983974 DDW983974 DNS983974 DXO983974 EHK983974 ERG983974 FBC983974 FKY983974 FUU983974 GEQ983974 GOM983974 GYI983974 HIE983974 HSA983974 IBW983974 ILS983974 IVO983974 JFK983974 JPG983974 JZC983974 KIY983974 KSU983974 LCQ983974 LMM983974 LWI983974 MGE983974 MQA983974 MZW983974 NJS983974 NTO983974 ODK983974 ONG983974 OXC983974 PGY983974 PQU983974 QAQ983974 QKM983974 QUI983974 REE983974 ROA983974 RXW983974 SHS983974 SRO983974 TBK983974 TLG983974 TVC983974 UEY983974 UOU983974 UYQ983974 VIM983974 VSI983974 WCE983974 WMA983974 WVW983974 O941 JK941 TG941 ADC941 AMY941 AWU941 BGQ941 BQM941 CAI941 CKE941 CUA941 DDW941 DNS941 DXO941 EHK941 ERG941 FBC941 FKY941 FUU941 GEQ941 GOM941 GYI941 HIE941 HSA941 IBW941 ILS941 IVO941 JFK941 JPG941 JZC941 KIY941 KSU941 LCQ941 LMM941 LWI941 MGE941 MQA941 MZW941 NJS941 NTO941 ODK941 ONG941 OXC941 PGY941 PQU941 QAQ941 QKM941 QUI941 REE941 ROA941 RXW941 SHS941 SRO941 TBK941 TLG941 TVC941 UEY941 UOU941 UYQ941 VIM941 VSI941 WCE941 WMA941 WVW941 O66477 JK66477 TG66477 ADC66477 AMY66477 AWU66477 BGQ66477 BQM66477 CAI66477 CKE66477 CUA66477 DDW66477 DNS66477 DXO66477 EHK66477 ERG66477 FBC66477 FKY66477 FUU66477 GEQ66477 GOM66477 GYI66477 HIE66477 HSA66477 IBW66477 ILS66477 IVO66477 JFK66477 JPG66477 JZC66477 KIY66477 KSU66477 LCQ66477 LMM66477 LWI66477 MGE66477 MQA66477 MZW66477 NJS66477 NTO66477 ODK66477 ONG66477 OXC66477 PGY66477 PQU66477 QAQ66477 QKM66477 QUI66477 REE66477 ROA66477 RXW66477 SHS66477 SRO66477 TBK66477 TLG66477 TVC66477 UEY66477 UOU66477 UYQ66477 VIM66477 VSI66477 WCE66477 WMA66477 WVW66477 O132013 JK132013 TG132013 ADC132013 AMY132013 AWU132013 BGQ132013 BQM132013 CAI132013 CKE132013 CUA132013 DDW132013 DNS132013 DXO132013 EHK132013 ERG132013 FBC132013 FKY132013 FUU132013 GEQ132013 GOM132013 GYI132013 HIE132013 HSA132013 IBW132013 ILS132013 IVO132013 JFK132013 JPG132013 JZC132013 KIY132013 KSU132013 LCQ132013 LMM132013 LWI132013 MGE132013 MQA132013 MZW132013 NJS132013 NTO132013 ODK132013 ONG132013 OXC132013 PGY132013 PQU132013 QAQ132013 QKM132013 QUI132013 REE132013 ROA132013 RXW132013 SHS132013 SRO132013 TBK132013 TLG132013 TVC132013 UEY132013 UOU132013 UYQ132013 VIM132013 VSI132013 WCE132013 WMA132013 WVW132013 O197549 JK197549 TG197549 ADC197549 AMY197549 AWU197549 BGQ197549 BQM197549 CAI197549 CKE197549 CUA197549 DDW197549 DNS197549 DXO197549 EHK197549 ERG197549 FBC197549 FKY197549 FUU197549 GEQ197549 GOM197549 GYI197549 HIE197549 HSA197549 IBW197549 ILS197549 IVO197549 JFK197549 JPG197549 JZC197549 KIY197549 KSU197549 LCQ197549 LMM197549 LWI197549 MGE197549 MQA197549 MZW197549 NJS197549 NTO197549 ODK197549 ONG197549 OXC197549 PGY197549 PQU197549 QAQ197549 QKM197549 QUI197549 REE197549 ROA197549 RXW197549 SHS197549 SRO197549 TBK197549 TLG197549 TVC197549 UEY197549 UOU197549 UYQ197549 VIM197549 VSI197549 WCE197549 WMA197549 WVW197549 O263085 JK263085 TG263085 ADC263085 AMY263085 AWU263085 BGQ263085 BQM263085 CAI263085 CKE263085 CUA263085 DDW263085 DNS263085 DXO263085 EHK263085 ERG263085 FBC263085 FKY263085 FUU263085 GEQ263085 GOM263085 GYI263085 HIE263085 HSA263085 IBW263085 ILS263085 IVO263085 JFK263085 JPG263085 JZC263085 KIY263085 KSU263085 LCQ263085 LMM263085 LWI263085 MGE263085 MQA263085 MZW263085 NJS263085 NTO263085 ODK263085 ONG263085 OXC263085 PGY263085 PQU263085 QAQ263085 QKM263085 QUI263085 REE263085 ROA263085 RXW263085 SHS263085 SRO263085 TBK263085 TLG263085 TVC263085 UEY263085 UOU263085 UYQ263085 VIM263085 VSI263085 WCE263085 WMA263085 WVW263085 O328621 JK328621 TG328621 ADC328621 AMY328621 AWU328621 BGQ328621 BQM328621 CAI328621 CKE328621 CUA328621 DDW328621 DNS328621 DXO328621 EHK328621 ERG328621 FBC328621 FKY328621 FUU328621 GEQ328621 GOM328621 GYI328621 HIE328621 HSA328621 IBW328621 ILS328621 IVO328621 JFK328621 JPG328621 JZC328621 KIY328621 KSU328621 LCQ328621 LMM328621 LWI328621 MGE328621 MQA328621 MZW328621 NJS328621 NTO328621 ODK328621 ONG328621 OXC328621 PGY328621 PQU328621 QAQ328621 QKM328621 QUI328621 REE328621 ROA328621 RXW328621 SHS328621 SRO328621 TBK328621 TLG328621 TVC328621 UEY328621 UOU328621 UYQ328621 VIM328621 VSI328621 WCE328621 WMA328621 WVW328621 O394157 JK394157 TG394157 ADC394157 AMY394157 AWU394157 BGQ394157 BQM394157 CAI394157 CKE394157 CUA394157 DDW394157 DNS394157 DXO394157 EHK394157 ERG394157 FBC394157 FKY394157 FUU394157 GEQ394157 GOM394157 GYI394157 HIE394157 HSA394157 IBW394157 ILS394157 IVO394157 JFK394157 JPG394157 JZC394157 KIY394157 KSU394157 LCQ394157 LMM394157 LWI394157 MGE394157 MQA394157 MZW394157 NJS394157 NTO394157 ODK394157 ONG394157 OXC394157 PGY394157 PQU394157 QAQ394157 QKM394157 QUI394157 REE394157 ROA394157 RXW394157 SHS394157 SRO394157 TBK394157 TLG394157 TVC394157 UEY394157 UOU394157 UYQ394157 VIM394157 VSI394157 WCE394157 WMA394157 WVW394157 O459693 JK459693 TG459693 ADC459693 AMY459693 AWU459693 BGQ459693 BQM459693 CAI459693 CKE459693 CUA459693 DDW459693 DNS459693 DXO459693 EHK459693 ERG459693 FBC459693 FKY459693 FUU459693 GEQ459693 GOM459693 GYI459693 HIE459693 HSA459693 IBW459693 ILS459693 IVO459693 JFK459693 JPG459693 JZC459693 KIY459693 KSU459693 LCQ459693 LMM459693 LWI459693 MGE459693 MQA459693 MZW459693 NJS459693 NTO459693 ODK459693 ONG459693 OXC459693 PGY459693 PQU459693 QAQ459693 QKM459693 QUI459693 REE459693 ROA459693 RXW459693 SHS459693 SRO459693 TBK459693 TLG459693 TVC459693 UEY459693 UOU459693 UYQ459693 VIM459693 VSI459693 WCE459693 WMA459693 WVW459693 O525229 JK525229 TG525229 ADC525229 AMY525229 AWU525229 BGQ525229 BQM525229 CAI525229 CKE525229 CUA525229 DDW525229 DNS525229 DXO525229 EHK525229 ERG525229 FBC525229 FKY525229 FUU525229 GEQ525229 GOM525229 GYI525229 HIE525229 HSA525229 IBW525229 ILS525229 IVO525229 JFK525229 JPG525229 JZC525229 KIY525229 KSU525229 LCQ525229 LMM525229 LWI525229 MGE525229 MQA525229 MZW525229 NJS525229 NTO525229 ODK525229 ONG525229 OXC525229 PGY525229 PQU525229 QAQ525229 QKM525229 QUI525229 REE525229 ROA525229 RXW525229 SHS525229 SRO525229 TBK525229 TLG525229 TVC525229 UEY525229 UOU525229 UYQ525229 VIM525229 VSI525229 WCE525229 WMA525229 WVW525229 O590765 JK590765 TG590765 ADC590765 AMY590765 AWU590765 BGQ590765 BQM590765 CAI590765 CKE590765 CUA590765 DDW590765 DNS590765 DXO590765 EHK590765 ERG590765 FBC590765 FKY590765 FUU590765 GEQ590765 GOM590765 GYI590765 HIE590765 HSA590765 IBW590765 ILS590765 IVO590765 JFK590765 JPG590765 JZC590765 KIY590765 KSU590765 LCQ590765 LMM590765 LWI590765 MGE590765 MQA590765 MZW590765 NJS590765 NTO590765 ODK590765 ONG590765 OXC590765 PGY590765 PQU590765 QAQ590765 QKM590765 QUI590765 REE590765 ROA590765 RXW590765 SHS590765 SRO590765 TBK590765 TLG590765 TVC590765 UEY590765 UOU590765 UYQ590765 VIM590765 VSI590765 WCE590765 WMA590765 WVW590765 O656301 JK656301 TG656301 ADC656301 AMY656301 AWU656301 BGQ656301 BQM656301 CAI656301 CKE656301 CUA656301 DDW656301 DNS656301 DXO656301 EHK656301 ERG656301 FBC656301 FKY656301 FUU656301 GEQ656301 GOM656301 GYI656301 HIE656301 HSA656301 IBW656301 ILS656301 IVO656301 JFK656301 JPG656301 JZC656301 KIY656301 KSU656301 LCQ656301 LMM656301 LWI656301 MGE656301 MQA656301 MZW656301 NJS656301 NTO656301 ODK656301 ONG656301 OXC656301 PGY656301 PQU656301 QAQ656301 QKM656301 QUI656301 REE656301 ROA656301 RXW656301 SHS656301 SRO656301 TBK656301 TLG656301 TVC656301 UEY656301 UOU656301 UYQ656301 VIM656301 VSI656301 WCE656301 WMA656301 WVW656301 O721837 JK721837 TG721837 ADC721837 AMY721837 AWU721837 BGQ721837 BQM721837 CAI721837 CKE721837 CUA721837 DDW721837 DNS721837 DXO721837 EHK721837 ERG721837 FBC721837 FKY721837 FUU721837 GEQ721837 GOM721837 GYI721837 HIE721837 HSA721837 IBW721837 ILS721837 IVO721837 JFK721837 JPG721837 JZC721837 KIY721837 KSU721837 LCQ721837 LMM721837 LWI721837 MGE721837 MQA721837 MZW721837 NJS721837 NTO721837 ODK721837 ONG721837 OXC721837 PGY721837 PQU721837 QAQ721837 QKM721837 QUI721837 REE721837 ROA721837 RXW721837 SHS721837 SRO721837 TBK721837 TLG721837 TVC721837 UEY721837 UOU721837 UYQ721837 VIM721837 VSI721837 WCE721837 WMA721837 WVW721837 O787373 JK787373 TG787373 ADC787373 AMY787373 AWU787373 BGQ787373 BQM787373 CAI787373 CKE787373 CUA787373 DDW787373 DNS787373 DXO787373 EHK787373 ERG787373 FBC787373 FKY787373 FUU787373 GEQ787373 GOM787373 GYI787373 HIE787373 HSA787373 IBW787373 ILS787373 IVO787373 JFK787373 JPG787373 JZC787373 KIY787373 KSU787373 LCQ787373 LMM787373 LWI787373 MGE787373 MQA787373 MZW787373 NJS787373 NTO787373 ODK787373 ONG787373 OXC787373 PGY787373 PQU787373 QAQ787373 QKM787373 QUI787373 REE787373 ROA787373 RXW787373 SHS787373 SRO787373 TBK787373 TLG787373 TVC787373 UEY787373 UOU787373 UYQ787373 VIM787373 VSI787373 WCE787373 WMA787373 WVW787373 O852909 JK852909 TG852909 ADC852909 AMY852909 AWU852909 BGQ852909 BQM852909 CAI852909 CKE852909 CUA852909 DDW852909 DNS852909 DXO852909 EHK852909 ERG852909 FBC852909 FKY852909 FUU852909 GEQ852909 GOM852909 GYI852909 HIE852909 HSA852909 IBW852909 ILS852909 IVO852909 JFK852909 JPG852909 JZC852909 KIY852909 KSU852909 LCQ852909 LMM852909 LWI852909 MGE852909 MQA852909 MZW852909 NJS852909 NTO852909 ODK852909 ONG852909 OXC852909 PGY852909 PQU852909 QAQ852909 QKM852909 QUI852909 REE852909 ROA852909 RXW852909 SHS852909 SRO852909 TBK852909 TLG852909 TVC852909 UEY852909 UOU852909 UYQ852909 VIM852909 VSI852909 WCE852909 WMA852909 WVW852909 O918445 JK918445 TG918445 ADC918445 AMY918445 AWU918445 BGQ918445 BQM918445 CAI918445 CKE918445 CUA918445 DDW918445 DNS918445 DXO918445 EHK918445 ERG918445 FBC918445 FKY918445 FUU918445 GEQ918445 GOM918445 GYI918445 HIE918445 HSA918445 IBW918445 ILS918445 IVO918445 JFK918445 JPG918445 JZC918445 KIY918445 KSU918445 LCQ918445 LMM918445 LWI918445 MGE918445 MQA918445 MZW918445 NJS918445 NTO918445 ODK918445 ONG918445 OXC918445 PGY918445 PQU918445 QAQ918445 QKM918445 QUI918445 REE918445 ROA918445 RXW918445 SHS918445 SRO918445 TBK918445 TLG918445 TVC918445 UEY918445 UOU918445 UYQ918445 VIM918445 VSI918445 WCE918445 WMA918445 WVW918445 O983981 JK983981 TG983981 ADC983981 AMY983981 AWU983981 BGQ983981 BQM983981 CAI983981 CKE983981 CUA983981 DDW983981 DNS983981 DXO983981 EHK983981 ERG983981 FBC983981 FKY983981 FUU983981 GEQ983981 GOM983981 GYI983981 HIE983981 HSA983981 IBW983981 ILS983981 IVO983981 JFK983981 JPG983981 JZC983981 KIY983981 KSU983981 LCQ983981 LMM983981 LWI983981 MGE983981 MQA983981 MZW983981 NJS983981 NTO983981 ODK983981 ONG983981 OXC983981 PGY983981 PQU983981 QAQ983981 QKM983981 QUI983981 REE983981 ROA983981 RXW983981 SHS983981 SRO983981 TBK983981 TLG983981 TVC983981 UEY983981 UOU983981 UYQ983981 VIM983981 VSI983981 WCE983981 WMA983981 WVW983981 O948 JK948 TG948 ADC948 AMY948 AWU948 BGQ948 BQM948 CAI948 CKE948 CUA948 DDW948 DNS948 DXO948 EHK948 ERG948 FBC948 FKY948 FUU948 GEQ948 GOM948 GYI948 HIE948 HSA948 IBW948 ILS948 IVO948 JFK948 JPG948 JZC948 KIY948 KSU948 LCQ948 LMM948 LWI948 MGE948 MQA948 MZW948 NJS948 NTO948 ODK948 ONG948 OXC948 PGY948 PQU948 QAQ948 QKM948 QUI948 REE948 ROA948 RXW948 SHS948 SRO948 TBK948 TLG948 TVC948 UEY948 UOU948 UYQ948 VIM948 VSI948 WCE948 WMA948 WVW948 O66484 JK66484 TG66484 ADC66484 AMY66484 AWU66484 BGQ66484 BQM66484 CAI66484 CKE66484 CUA66484 DDW66484 DNS66484 DXO66484 EHK66484 ERG66484 FBC66484 FKY66484 FUU66484 GEQ66484 GOM66484 GYI66484 HIE66484 HSA66484 IBW66484 ILS66484 IVO66484 JFK66484 JPG66484 JZC66484 KIY66484 KSU66484 LCQ66484 LMM66484 LWI66484 MGE66484 MQA66484 MZW66484 NJS66484 NTO66484 ODK66484 ONG66484 OXC66484 PGY66484 PQU66484 QAQ66484 QKM66484 QUI66484 REE66484 ROA66484 RXW66484 SHS66484 SRO66484 TBK66484 TLG66484 TVC66484 UEY66484 UOU66484 UYQ66484 VIM66484 VSI66484 WCE66484 WMA66484 WVW66484 O132020 JK132020 TG132020 ADC132020 AMY132020 AWU132020 BGQ132020 BQM132020 CAI132020 CKE132020 CUA132020 DDW132020 DNS132020 DXO132020 EHK132020 ERG132020 FBC132020 FKY132020 FUU132020 GEQ132020 GOM132020 GYI132020 HIE132020 HSA132020 IBW132020 ILS132020 IVO132020 JFK132020 JPG132020 JZC132020 KIY132020 KSU132020 LCQ132020 LMM132020 LWI132020 MGE132020 MQA132020 MZW132020 NJS132020 NTO132020 ODK132020 ONG132020 OXC132020 PGY132020 PQU132020 QAQ132020 QKM132020 QUI132020 REE132020 ROA132020 RXW132020 SHS132020 SRO132020 TBK132020 TLG132020 TVC132020 UEY132020 UOU132020 UYQ132020 VIM132020 VSI132020 WCE132020 WMA132020 WVW132020 O197556 JK197556 TG197556 ADC197556 AMY197556 AWU197556 BGQ197556 BQM197556 CAI197556 CKE197556 CUA197556 DDW197556 DNS197556 DXO197556 EHK197556 ERG197556 FBC197556 FKY197556 FUU197556 GEQ197556 GOM197556 GYI197556 HIE197556 HSA197556 IBW197556 ILS197556 IVO197556 JFK197556 JPG197556 JZC197556 KIY197556 KSU197556 LCQ197556 LMM197556 LWI197556 MGE197556 MQA197556 MZW197556 NJS197556 NTO197556 ODK197556 ONG197556 OXC197556 PGY197556 PQU197556 QAQ197556 QKM197556 QUI197556 REE197556 ROA197556 RXW197556 SHS197556 SRO197556 TBK197556 TLG197556 TVC197556 UEY197556 UOU197556 UYQ197556 VIM197556 VSI197556 WCE197556 WMA197556 WVW197556 O263092 JK263092 TG263092 ADC263092 AMY263092 AWU263092 BGQ263092 BQM263092 CAI263092 CKE263092 CUA263092 DDW263092 DNS263092 DXO263092 EHK263092 ERG263092 FBC263092 FKY263092 FUU263092 GEQ263092 GOM263092 GYI263092 HIE263092 HSA263092 IBW263092 ILS263092 IVO263092 JFK263092 JPG263092 JZC263092 KIY263092 KSU263092 LCQ263092 LMM263092 LWI263092 MGE263092 MQA263092 MZW263092 NJS263092 NTO263092 ODK263092 ONG263092 OXC263092 PGY263092 PQU263092 QAQ263092 QKM263092 QUI263092 REE263092 ROA263092 RXW263092 SHS263092 SRO263092 TBK263092 TLG263092 TVC263092 UEY263092 UOU263092 UYQ263092 VIM263092 VSI263092 WCE263092 WMA263092 WVW263092 O328628 JK328628 TG328628 ADC328628 AMY328628 AWU328628 BGQ328628 BQM328628 CAI328628 CKE328628 CUA328628 DDW328628 DNS328628 DXO328628 EHK328628 ERG328628 FBC328628 FKY328628 FUU328628 GEQ328628 GOM328628 GYI328628 HIE328628 HSA328628 IBW328628 ILS328628 IVO328628 JFK328628 JPG328628 JZC328628 KIY328628 KSU328628 LCQ328628 LMM328628 LWI328628 MGE328628 MQA328628 MZW328628 NJS328628 NTO328628 ODK328628 ONG328628 OXC328628 PGY328628 PQU328628 QAQ328628 QKM328628 QUI328628 REE328628 ROA328628 RXW328628 SHS328628 SRO328628 TBK328628 TLG328628 TVC328628 UEY328628 UOU328628 UYQ328628 VIM328628 VSI328628 WCE328628 WMA328628 WVW328628 O394164 JK394164 TG394164 ADC394164 AMY394164 AWU394164 BGQ394164 BQM394164 CAI394164 CKE394164 CUA394164 DDW394164 DNS394164 DXO394164 EHK394164 ERG394164 FBC394164 FKY394164 FUU394164 GEQ394164 GOM394164 GYI394164 HIE394164 HSA394164 IBW394164 ILS394164 IVO394164 JFK394164 JPG394164 JZC394164 KIY394164 KSU394164 LCQ394164 LMM394164 LWI394164 MGE394164 MQA394164 MZW394164 NJS394164 NTO394164 ODK394164 ONG394164 OXC394164 PGY394164 PQU394164 QAQ394164 QKM394164 QUI394164 REE394164 ROA394164 RXW394164 SHS394164 SRO394164 TBK394164 TLG394164 TVC394164 UEY394164 UOU394164 UYQ394164 VIM394164 VSI394164 WCE394164 WMA394164 WVW394164 O459700 JK459700 TG459700 ADC459700 AMY459700 AWU459700 BGQ459700 BQM459700 CAI459700 CKE459700 CUA459700 DDW459700 DNS459700 DXO459700 EHK459700 ERG459700 FBC459700 FKY459700 FUU459700 GEQ459700 GOM459700 GYI459700 HIE459700 HSA459700 IBW459700 ILS459700 IVO459700 JFK459700 JPG459700 JZC459700 KIY459700 KSU459700 LCQ459700 LMM459700 LWI459700 MGE459700 MQA459700 MZW459700 NJS459700 NTO459700 ODK459700 ONG459700 OXC459700 PGY459700 PQU459700 QAQ459700 QKM459700 QUI459700 REE459700 ROA459700 RXW459700 SHS459700 SRO459700 TBK459700 TLG459700 TVC459700 UEY459700 UOU459700 UYQ459700 VIM459700 VSI459700 WCE459700 WMA459700 WVW459700 O525236 JK525236 TG525236 ADC525236 AMY525236 AWU525236 BGQ525236 BQM525236 CAI525236 CKE525236 CUA525236 DDW525236 DNS525236 DXO525236 EHK525236 ERG525236 FBC525236 FKY525236 FUU525236 GEQ525236 GOM525236 GYI525236 HIE525236 HSA525236 IBW525236 ILS525236 IVO525236 JFK525236 JPG525236 JZC525236 KIY525236 KSU525236 LCQ525236 LMM525236 LWI525236 MGE525236 MQA525236 MZW525236 NJS525236 NTO525236 ODK525236 ONG525236 OXC525236 PGY525236 PQU525236 QAQ525236 QKM525236 QUI525236 REE525236 ROA525236 RXW525236 SHS525236 SRO525236 TBK525236 TLG525236 TVC525236 UEY525236 UOU525236 UYQ525236 VIM525236 VSI525236 WCE525236 WMA525236 WVW525236 O590772 JK590772 TG590772 ADC590772 AMY590772 AWU590772 BGQ590772 BQM590772 CAI590772 CKE590772 CUA590772 DDW590772 DNS590772 DXO590772 EHK590772 ERG590772 FBC590772 FKY590772 FUU590772 GEQ590772 GOM590772 GYI590772 HIE590772 HSA590772 IBW590772 ILS590772 IVO590772 JFK590772 JPG590772 JZC590772 KIY590772 KSU590772 LCQ590772 LMM590772 LWI590772 MGE590772 MQA590772 MZW590772 NJS590772 NTO590772 ODK590772 ONG590772 OXC590772 PGY590772 PQU590772 QAQ590772 QKM590772 QUI590772 REE590772 ROA590772 RXW590772 SHS590772 SRO590772 TBK590772 TLG590772 TVC590772 UEY590772 UOU590772 UYQ590772 VIM590772 VSI590772 WCE590772 WMA590772 WVW590772 O656308 JK656308 TG656308 ADC656308 AMY656308 AWU656308 BGQ656308 BQM656308 CAI656308 CKE656308 CUA656308 DDW656308 DNS656308 DXO656308 EHK656308 ERG656308 FBC656308 FKY656308 FUU656308 GEQ656308 GOM656308 GYI656308 HIE656308 HSA656308 IBW656308 ILS656308 IVO656308 JFK656308 JPG656308 JZC656308 KIY656308 KSU656308 LCQ656308 LMM656308 LWI656308 MGE656308 MQA656308 MZW656308 NJS656308 NTO656308 ODK656308 ONG656308 OXC656308 PGY656308 PQU656308 QAQ656308 QKM656308 QUI656308 REE656308 ROA656308 RXW656308 SHS656308 SRO656308 TBK656308 TLG656308 TVC656308 UEY656308 UOU656308 UYQ656308 VIM656308 VSI656308 WCE656308 WMA656308 WVW656308 O721844 JK721844 TG721844 ADC721844 AMY721844 AWU721844 BGQ721844 BQM721844 CAI721844 CKE721844 CUA721844 DDW721844 DNS721844 DXO721844 EHK721844 ERG721844 FBC721844 FKY721844 FUU721844 GEQ721844 GOM721844 GYI721844 HIE721844 HSA721844 IBW721844 ILS721844 IVO721844 JFK721844 JPG721844 JZC721844 KIY721844 KSU721844 LCQ721844 LMM721844 LWI721844 MGE721844 MQA721844 MZW721844 NJS721844 NTO721844 ODK721844 ONG721844 OXC721844 PGY721844 PQU721844 QAQ721844 QKM721844 QUI721844 REE721844 ROA721844 RXW721844 SHS721844 SRO721844 TBK721844 TLG721844 TVC721844 UEY721844 UOU721844 UYQ721844 VIM721844 VSI721844 WCE721844 WMA721844 WVW721844 O787380 JK787380 TG787380 ADC787380 AMY787380 AWU787380 BGQ787380 BQM787380 CAI787380 CKE787380 CUA787380 DDW787380 DNS787380 DXO787380 EHK787380 ERG787380 FBC787380 FKY787380 FUU787380 GEQ787380 GOM787380 GYI787380 HIE787380 HSA787380 IBW787380 ILS787380 IVO787380 JFK787380 JPG787380 JZC787380 KIY787380 KSU787380 LCQ787380 LMM787380 LWI787380 MGE787380 MQA787380 MZW787380 NJS787380 NTO787380 ODK787380 ONG787380 OXC787380 PGY787380 PQU787380 QAQ787380 QKM787380 QUI787380 REE787380 ROA787380 RXW787380 SHS787380 SRO787380 TBK787380 TLG787380 TVC787380 UEY787380 UOU787380 UYQ787380 VIM787380 VSI787380 WCE787380 WMA787380 WVW787380 O852916 JK852916 TG852916 ADC852916 AMY852916 AWU852916 BGQ852916 BQM852916 CAI852916 CKE852916 CUA852916 DDW852916 DNS852916 DXO852916 EHK852916 ERG852916 FBC852916 FKY852916 FUU852916 GEQ852916 GOM852916 GYI852916 HIE852916 HSA852916 IBW852916 ILS852916 IVO852916 JFK852916 JPG852916 JZC852916 KIY852916 KSU852916 LCQ852916 LMM852916 LWI852916 MGE852916 MQA852916 MZW852916 NJS852916 NTO852916 ODK852916 ONG852916 OXC852916 PGY852916 PQU852916 QAQ852916 QKM852916 QUI852916 REE852916 ROA852916 RXW852916 SHS852916 SRO852916 TBK852916 TLG852916 TVC852916 UEY852916 UOU852916 UYQ852916 VIM852916 VSI852916 WCE852916 WMA852916 WVW852916 O918452 JK918452 TG918452 ADC918452 AMY918452 AWU918452 BGQ918452 BQM918452 CAI918452 CKE918452 CUA918452 DDW918452 DNS918452 DXO918452 EHK918452 ERG918452 FBC918452 FKY918452 FUU918452 GEQ918452 GOM918452 GYI918452 HIE918452 HSA918452 IBW918452 ILS918452 IVO918452 JFK918452 JPG918452 JZC918452 KIY918452 KSU918452 LCQ918452 LMM918452 LWI918452 MGE918452 MQA918452 MZW918452 NJS918452 NTO918452 ODK918452 ONG918452 OXC918452 PGY918452 PQU918452 QAQ918452 QKM918452 QUI918452 REE918452 ROA918452 RXW918452 SHS918452 SRO918452 TBK918452 TLG918452 TVC918452 UEY918452 UOU918452 UYQ918452 VIM918452 VSI918452 WCE918452 WMA918452 WVW918452 O983988 JK983988 TG983988 ADC983988 AMY983988 AWU983988 BGQ983988 BQM983988 CAI983988 CKE983988 CUA983988 DDW983988 DNS983988 DXO983988 EHK983988 ERG983988 FBC983988 FKY983988 FUU983988 GEQ983988 GOM983988 GYI983988 HIE983988 HSA983988 IBW983988 ILS983988 IVO983988 JFK983988 JPG983988 JZC983988 KIY983988 KSU983988 LCQ983988 LMM983988 LWI983988 MGE983988 MQA983988 MZW983988 NJS983988 NTO983988 ODK983988 ONG983988 OXC983988 PGY983988 PQU983988 QAQ983988 QKM983988 QUI983988 REE983988 ROA983988 RXW983988 SHS983988 SRO983988 TBK983988 TLG983988 TVC983988 UEY983988 UOU983988 UYQ983988 VIM983988 VSI983988 WCE983988 WMA983988 WVW983988 O955 JK955 TG955 ADC955 AMY955 AWU955 BGQ955 BQM955 CAI955 CKE955 CUA955 DDW955 DNS955 DXO955 EHK955 ERG955 FBC955 FKY955 FUU955 GEQ955 GOM955 GYI955 HIE955 HSA955 IBW955 ILS955 IVO955 JFK955 JPG955 JZC955 KIY955 KSU955 LCQ955 LMM955 LWI955 MGE955 MQA955 MZW955 NJS955 NTO955 ODK955 ONG955 OXC955 PGY955 PQU955 QAQ955 QKM955 QUI955 REE955 ROA955 RXW955 SHS955 SRO955 TBK955 TLG955 TVC955 UEY955 UOU955 UYQ955 VIM955 VSI955 WCE955 WMA955 WVW955 O66491 JK66491 TG66491 ADC66491 AMY66491 AWU66491 BGQ66491 BQM66491 CAI66491 CKE66491 CUA66491 DDW66491 DNS66491 DXO66491 EHK66491 ERG66491 FBC66491 FKY66491 FUU66491 GEQ66491 GOM66491 GYI66491 HIE66491 HSA66491 IBW66491 ILS66491 IVO66491 JFK66491 JPG66491 JZC66491 KIY66491 KSU66491 LCQ66491 LMM66491 LWI66491 MGE66491 MQA66491 MZW66491 NJS66491 NTO66491 ODK66491 ONG66491 OXC66491 PGY66491 PQU66491 QAQ66491 QKM66491 QUI66491 REE66491 ROA66491 RXW66491 SHS66491 SRO66491 TBK66491 TLG66491 TVC66491 UEY66491 UOU66491 UYQ66491 VIM66491 VSI66491 WCE66491 WMA66491 WVW66491 O132027 JK132027 TG132027 ADC132027 AMY132027 AWU132027 BGQ132027 BQM132027 CAI132027 CKE132027 CUA132027 DDW132027 DNS132027 DXO132027 EHK132027 ERG132027 FBC132027 FKY132027 FUU132027 GEQ132027 GOM132027 GYI132027 HIE132027 HSA132027 IBW132027 ILS132027 IVO132027 JFK132027 JPG132027 JZC132027 KIY132027 KSU132027 LCQ132027 LMM132027 LWI132027 MGE132027 MQA132027 MZW132027 NJS132027 NTO132027 ODK132027 ONG132027 OXC132027 PGY132027 PQU132027 QAQ132027 QKM132027 QUI132027 REE132027 ROA132027 RXW132027 SHS132027 SRO132027 TBK132027 TLG132027 TVC132027 UEY132027 UOU132027 UYQ132027 VIM132027 VSI132027 WCE132027 WMA132027 WVW132027 O197563 JK197563 TG197563 ADC197563 AMY197563 AWU197563 BGQ197563 BQM197563 CAI197563 CKE197563 CUA197563 DDW197563 DNS197563 DXO197563 EHK197563 ERG197563 FBC197563 FKY197563 FUU197563 GEQ197563 GOM197563 GYI197563 HIE197563 HSA197563 IBW197563 ILS197563 IVO197563 JFK197563 JPG197563 JZC197563 KIY197563 KSU197563 LCQ197563 LMM197563 LWI197563 MGE197563 MQA197563 MZW197563 NJS197563 NTO197563 ODK197563 ONG197563 OXC197563 PGY197563 PQU197563 QAQ197563 QKM197563 QUI197563 REE197563 ROA197563 RXW197563 SHS197563 SRO197563 TBK197563 TLG197563 TVC197563 UEY197563 UOU197563 UYQ197563 VIM197563 VSI197563 WCE197563 WMA197563 WVW197563 O263099 JK263099 TG263099 ADC263099 AMY263099 AWU263099 BGQ263099 BQM263099 CAI263099 CKE263099 CUA263099 DDW263099 DNS263099 DXO263099 EHK263099 ERG263099 FBC263099 FKY263099 FUU263099 GEQ263099 GOM263099 GYI263099 HIE263099 HSA263099 IBW263099 ILS263099 IVO263099 JFK263099 JPG263099 JZC263099 KIY263099 KSU263099 LCQ263099 LMM263099 LWI263099 MGE263099 MQA263099 MZW263099 NJS263099 NTO263099 ODK263099 ONG263099 OXC263099 PGY263099 PQU263099 QAQ263099 QKM263099 QUI263099 REE263099 ROA263099 RXW263099 SHS263099 SRO263099 TBK263099 TLG263099 TVC263099 UEY263099 UOU263099 UYQ263099 VIM263099 VSI263099 WCE263099 WMA263099 WVW263099 O328635 JK328635 TG328635 ADC328635 AMY328635 AWU328635 BGQ328635 BQM328635 CAI328635 CKE328635 CUA328635 DDW328635 DNS328635 DXO328635 EHK328635 ERG328635 FBC328635 FKY328635 FUU328635 GEQ328635 GOM328635 GYI328635 HIE328635 HSA328635 IBW328635 ILS328635 IVO328635 JFK328635 JPG328635 JZC328635 KIY328635 KSU328635 LCQ328635 LMM328635 LWI328635 MGE328635 MQA328635 MZW328635 NJS328635 NTO328635 ODK328635 ONG328635 OXC328635 PGY328635 PQU328635 QAQ328635 QKM328635 QUI328635 REE328635 ROA328635 RXW328635 SHS328635 SRO328635 TBK328635 TLG328635 TVC328635 UEY328635 UOU328635 UYQ328635 VIM328635 VSI328635 WCE328635 WMA328635 WVW328635 O394171 JK394171 TG394171 ADC394171 AMY394171 AWU394171 BGQ394171 BQM394171 CAI394171 CKE394171 CUA394171 DDW394171 DNS394171 DXO394171 EHK394171 ERG394171 FBC394171 FKY394171 FUU394171 GEQ394171 GOM394171 GYI394171 HIE394171 HSA394171 IBW394171 ILS394171 IVO394171 JFK394171 JPG394171 JZC394171 KIY394171 KSU394171 LCQ394171 LMM394171 LWI394171 MGE394171 MQA394171 MZW394171 NJS394171 NTO394171 ODK394171 ONG394171 OXC394171 PGY394171 PQU394171 QAQ394171 QKM394171 QUI394171 REE394171 ROA394171 RXW394171 SHS394171 SRO394171 TBK394171 TLG394171 TVC394171 UEY394171 UOU394171 UYQ394171 VIM394171 VSI394171 WCE394171 WMA394171 WVW394171 O459707 JK459707 TG459707 ADC459707 AMY459707 AWU459707 BGQ459707 BQM459707 CAI459707 CKE459707 CUA459707 DDW459707 DNS459707 DXO459707 EHK459707 ERG459707 FBC459707 FKY459707 FUU459707 GEQ459707 GOM459707 GYI459707 HIE459707 HSA459707 IBW459707 ILS459707 IVO459707 JFK459707 JPG459707 JZC459707 KIY459707 KSU459707 LCQ459707 LMM459707 LWI459707 MGE459707 MQA459707 MZW459707 NJS459707 NTO459707 ODK459707 ONG459707 OXC459707 PGY459707 PQU459707 QAQ459707 QKM459707 QUI459707 REE459707 ROA459707 RXW459707 SHS459707 SRO459707 TBK459707 TLG459707 TVC459707 UEY459707 UOU459707 UYQ459707 VIM459707 VSI459707 WCE459707 WMA459707 WVW459707 O525243 JK525243 TG525243 ADC525243 AMY525243 AWU525243 BGQ525243 BQM525243 CAI525243 CKE525243 CUA525243 DDW525243 DNS525243 DXO525243 EHK525243 ERG525243 FBC525243 FKY525243 FUU525243 GEQ525243 GOM525243 GYI525243 HIE525243 HSA525243 IBW525243 ILS525243 IVO525243 JFK525243 JPG525243 JZC525243 KIY525243 KSU525243 LCQ525243 LMM525243 LWI525243 MGE525243 MQA525243 MZW525243 NJS525243 NTO525243 ODK525243 ONG525243 OXC525243 PGY525243 PQU525243 QAQ525243 QKM525243 QUI525243 REE525243 ROA525243 RXW525243 SHS525243 SRO525243 TBK525243 TLG525243 TVC525243 UEY525243 UOU525243 UYQ525243 VIM525243 VSI525243 WCE525243 WMA525243 WVW525243 O590779 JK590779 TG590779 ADC590779 AMY590779 AWU590779 BGQ590779 BQM590779 CAI590779 CKE590779 CUA590779 DDW590779 DNS590779 DXO590779 EHK590779 ERG590779 FBC590779 FKY590779 FUU590779 GEQ590779 GOM590779 GYI590779 HIE590779 HSA590779 IBW590779 ILS590779 IVO590779 JFK590779 JPG590779 JZC590779 KIY590779 KSU590779 LCQ590779 LMM590779 LWI590779 MGE590779 MQA590779 MZW590779 NJS590779 NTO590779 ODK590779 ONG590779 OXC590779 PGY590779 PQU590779 QAQ590779 QKM590779 QUI590779 REE590779 ROA590779 RXW590779 SHS590779 SRO590779 TBK590779 TLG590779 TVC590779 UEY590779 UOU590779 UYQ590779 VIM590779 VSI590779 WCE590779 WMA590779 WVW590779 O656315 JK656315 TG656315 ADC656315 AMY656315 AWU656315 BGQ656315 BQM656315 CAI656315 CKE656315 CUA656315 DDW656315 DNS656315 DXO656315 EHK656315 ERG656315 FBC656315 FKY656315 FUU656315 GEQ656315 GOM656315 GYI656315 HIE656315 HSA656315 IBW656315 ILS656315 IVO656315 JFK656315 JPG656315 JZC656315 KIY656315 KSU656315 LCQ656315 LMM656315 LWI656315 MGE656315 MQA656315 MZW656315 NJS656315 NTO656315 ODK656315 ONG656315 OXC656315 PGY656315 PQU656315 QAQ656315 QKM656315 QUI656315 REE656315 ROA656315 RXW656315 SHS656315 SRO656315 TBK656315 TLG656315 TVC656315 UEY656315 UOU656315 UYQ656315 VIM656315 VSI656315 WCE656315 WMA656315 WVW656315 O721851 JK721851 TG721851 ADC721851 AMY721851 AWU721851 BGQ721851 BQM721851 CAI721851 CKE721851 CUA721851 DDW721851 DNS721851 DXO721851 EHK721851 ERG721851 FBC721851 FKY721851 FUU721851 GEQ721851 GOM721851 GYI721851 HIE721851 HSA721851 IBW721851 ILS721851 IVO721851 JFK721851 JPG721851 JZC721851 KIY721851 KSU721851 LCQ721851 LMM721851 LWI721851 MGE721851 MQA721851 MZW721851 NJS721851 NTO721851 ODK721851 ONG721851 OXC721851 PGY721851 PQU721851 QAQ721851 QKM721851 QUI721851 REE721851 ROA721851 RXW721851 SHS721851 SRO721851 TBK721851 TLG721851 TVC721851 UEY721851 UOU721851 UYQ721851 VIM721851 VSI721851 WCE721851 WMA721851 WVW721851 O787387 JK787387 TG787387 ADC787387 AMY787387 AWU787387 BGQ787387 BQM787387 CAI787387 CKE787387 CUA787387 DDW787387 DNS787387 DXO787387 EHK787387 ERG787387 FBC787387 FKY787387 FUU787387 GEQ787387 GOM787387 GYI787387 HIE787387 HSA787387 IBW787387 ILS787387 IVO787387 JFK787387 JPG787387 JZC787387 KIY787387 KSU787387 LCQ787387 LMM787387 LWI787387 MGE787387 MQA787387 MZW787387 NJS787387 NTO787387 ODK787387 ONG787387 OXC787387 PGY787387 PQU787387 QAQ787387 QKM787387 QUI787387 REE787387 ROA787387 RXW787387 SHS787387 SRO787387 TBK787387 TLG787387 TVC787387 UEY787387 UOU787387 UYQ787387 VIM787387 VSI787387 WCE787387 WMA787387 WVW787387 O852923 JK852923 TG852923 ADC852923 AMY852923 AWU852923 BGQ852923 BQM852923 CAI852923 CKE852923 CUA852923 DDW852923 DNS852923 DXO852923 EHK852923 ERG852923 FBC852923 FKY852923 FUU852923 GEQ852923 GOM852923 GYI852923 HIE852923 HSA852923 IBW852923 ILS852923 IVO852923 JFK852923 JPG852923 JZC852923 KIY852923 KSU852923 LCQ852923 LMM852923 LWI852923 MGE852923 MQA852923 MZW852923 NJS852923 NTO852923 ODK852923 ONG852923 OXC852923 PGY852923 PQU852923 QAQ852923 QKM852923 QUI852923 REE852923 ROA852923 RXW852923 SHS852923 SRO852923 TBK852923 TLG852923 TVC852923 UEY852923 UOU852923 UYQ852923 VIM852923 VSI852923 WCE852923 WMA852923 WVW852923 O918459 JK918459 TG918459 ADC918459 AMY918459 AWU918459 BGQ918459 BQM918459 CAI918459 CKE918459 CUA918459 DDW918459 DNS918459 DXO918459 EHK918459 ERG918459 FBC918459 FKY918459 FUU918459 GEQ918459 GOM918459 GYI918459 HIE918459 HSA918459 IBW918459 ILS918459 IVO918459 JFK918459 JPG918459 JZC918459 KIY918459 KSU918459 LCQ918459 LMM918459 LWI918459 MGE918459 MQA918459 MZW918459 NJS918459 NTO918459 ODK918459 ONG918459 OXC918459 PGY918459 PQU918459 QAQ918459 QKM918459 QUI918459 REE918459 ROA918459 RXW918459 SHS918459 SRO918459 TBK918459 TLG918459 TVC918459 UEY918459 UOU918459 UYQ918459 VIM918459 VSI918459 WCE918459 WMA918459 WVW918459 O983995 JK983995 TG983995 ADC983995 AMY983995 AWU983995 BGQ983995 BQM983995 CAI983995 CKE983995 CUA983995 DDW983995 DNS983995 DXO983995 EHK983995 ERG983995 FBC983995 FKY983995 FUU983995 GEQ983995 GOM983995 GYI983995 HIE983995 HSA983995 IBW983995 ILS983995 IVO983995 JFK983995 JPG983995 JZC983995 KIY983995 KSU983995 LCQ983995 LMM983995 LWI983995 MGE983995 MQA983995 MZW983995 NJS983995 NTO983995 ODK983995 ONG983995 OXC983995 PGY983995 PQU983995 QAQ983995 QKM983995 QUI983995 REE983995 ROA983995 RXW983995 SHS983995 SRO983995 TBK983995 TLG983995 TVC983995 UEY983995 UOU983995 UYQ983995 VIM983995 VSI983995 WCE983995 WMA983995 WVW983995 O962 JK962 TG962 ADC962 AMY962 AWU962 BGQ962 BQM962 CAI962 CKE962 CUA962 DDW962 DNS962 DXO962 EHK962 ERG962 FBC962 FKY962 FUU962 GEQ962 GOM962 GYI962 HIE962 HSA962 IBW962 ILS962 IVO962 JFK962 JPG962 JZC962 KIY962 KSU962 LCQ962 LMM962 LWI962 MGE962 MQA962 MZW962 NJS962 NTO962 ODK962 ONG962 OXC962 PGY962 PQU962 QAQ962 QKM962 QUI962 REE962 ROA962 RXW962 SHS962 SRO962 TBK962 TLG962 TVC962 UEY962 UOU962 UYQ962 VIM962 VSI962 WCE962 WMA962 WVW962 O66498 JK66498 TG66498 ADC66498 AMY66498 AWU66498 BGQ66498 BQM66498 CAI66498 CKE66498 CUA66498 DDW66498 DNS66498 DXO66498 EHK66498 ERG66498 FBC66498 FKY66498 FUU66498 GEQ66498 GOM66498 GYI66498 HIE66498 HSA66498 IBW66498 ILS66498 IVO66498 JFK66498 JPG66498 JZC66498 KIY66498 KSU66498 LCQ66498 LMM66498 LWI66498 MGE66498 MQA66498 MZW66498 NJS66498 NTO66498 ODK66498 ONG66498 OXC66498 PGY66498 PQU66498 QAQ66498 QKM66498 QUI66498 REE66498 ROA66498 RXW66498 SHS66498 SRO66498 TBK66498 TLG66498 TVC66498 UEY66498 UOU66498 UYQ66498 VIM66498 VSI66498 WCE66498 WMA66498 WVW66498 O132034 JK132034 TG132034 ADC132034 AMY132034 AWU132034 BGQ132034 BQM132034 CAI132034 CKE132034 CUA132034 DDW132034 DNS132034 DXO132034 EHK132034 ERG132034 FBC132034 FKY132034 FUU132034 GEQ132034 GOM132034 GYI132034 HIE132034 HSA132034 IBW132034 ILS132034 IVO132034 JFK132034 JPG132034 JZC132034 KIY132034 KSU132034 LCQ132034 LMM132034 LWI132034 MGE132034 MQA132034 MZW132034 NJS132034 NTO132034 ODK132034 ONG132034 OXC132034 PGY132034 PQU132034 QAQ132034 QKM132034 QUI132034 REE132034 ROA132034 RXW132034 SHS132034 SRO132034 TBK132034 TLG132034 TVC132034 UEY132034 UOU132034 UYQ132034 VIM132034 VSI132034 WCE132034 WMA132034 WVW132034 O197570 JK197570 TG197570 ADC197570 AMY197570 AWU197570 BGQ197570 BQM197570 CAI197570 CKE197570 CUA197570 DDW197570 DNS197570 DXO197570 EHK197570 ERG197570 FBC197570 FKY197570 FUU197570 GEQ197570 GOM197570 GYI197570 HIE197570 HSA197570 IBW197570 ILS197570 IVO197570 JFK197570 JPG197570 JZC197570 KIY197570 KSU197570 LCQ197570 LMM197570 LWI197570 MGE197570 MQA197570 MZW197570 NJS197570 NTO197570 ODK197570 ONG197570 OXC197570 PGY197570 PQU197570 QAQ197570 QKM197570 QUI197570 REE197570 ROA197570 RXW197570 SHS197570 SRO197570 TBK197570 TLG197570 TVC197570 UEY197570 UOU197570 UYQ197570 VIM197570 VSI197570 WCE197570 WMA197570 WVW197570 O263106 JK263106 TG263106 ADC263106 AMY263106 AWU263106 BGQ263106 BQM263106 CAI263106 CKE263106 CUA263106 DDW263106 DNS263106 DXO263106 EHK263106 ERG263106 FBC263106 FKY263106 FUU263106 GEQ263106 GOM263106 GYI263106 HIE263106 HSA263106 IBW263106 ILS263106 IVO263106 JFK263106 JPG263106 JZC263106 KIY263106 KSU263106 LCQ263106 LMM263106 LWI263106 MGE263106 MQA263106 MZW263106 NJS263106 NTO263106 ODK263106 ONG263106 OXC263106 PGY263106 PQU263106 QAQ263106 QKM263106 QUI263106 REE263106 ROA263106 RXW263106 SHS263106 SRO263106 TBK263106 TLG263106 TVC263106 UEY263106 UOU263106 UYQ263106 VIM263106 VSI263106 WCE263106 WMA263106 WVW263106 O328642 JK328642 TG328642 ADC328642 AMY328642 AWU328642 BGQ328642 BQM328642 CAI328642 CKE328642 CUA328642 DDW328642 DNS328642 DXO328642 EHK328642 ERG328642 FBC328642 FKY328642 FUU328642 GEQ328642 GOM328642 GYI328642 HIE328642 HSA328642 IBW328642 ILS328642 IVO328642 JFK328642 JPG328642 JZC328642 KIY328642 KSU328642 LCQ328642 LMM328642 LWI328642 MGE328642 MQA328642 MZW328642 NJS328642 NTO328642 ODK328642 ONG328642 OXC328642 PGY328642 PQU328642 QAQ328642 QKM328642 QUI328642 REE328642 ROA328642 RXW328642 SHS328642 SRO328642 TBK328642 TLG328642 TVC328642 UEY328642 UOU328642 UYQ328642 VIM328642 VSI328642 WCE328642 WMA328642 WVW328642 O394178 JK394178 TG394178 ADC394178 AMY394178 AWU394178 BGQ394178 BQM394178 CAI394178 CKE394178 CUA394178 DDW394178 DNS394178 DXO394178 EHK394178 ERG394178 FBC394178 FKY394178 FUU394178 GEQ394178 GOM394178 GYI394178 HIE394178 HSA394178 IBW394178 ILS394178 IVO394178 JFK394178 JPG394178 JZC394178 KIY394178 KSU394178 LCQ394178 LMM394178 LWI394178 MGE394178 MQA394178 MZW394178 NJS394178 NTO394178 ODK394178 ONG394178 OXC394178 PGY394178 PQU394178 QAQ394178 QKM394178 QUI394178 REE394178 ROA394178 RXW394178 SHS394178 SRO394178 TBK394178 TLG394178 TVC394178 UEY394178 UOU394178 UYQ394178 VIM394178 VSI394178 WCE394178 WMA394178 WVW394178 O459714 JK459714 TG459714 ADC459714 AMY459714 AWU459714 BGQ459714 BQM459714 CAI459714 CKE459714 CUA459714 DDW459714 DNS459714 DXO459714 EHK459714 ERG459714 FBC459714 FKY459714 FUU459714 GEQ459714 GOM459714 GYI459714 HIE459714 HSA459714 IBW459714 ILS459714 IVO459714 JFK459714 JPG459714 JZC459714 KIY459714 KSU459714 LCQ459714 LMM459714 LWI459714 MGE459714 MQA459714 MZW459714 NJS459714 NTO459714 ODK459714 ONG459714 OXC459714 PGY459714 PQU459714 QAQ459714 QKM459714 QUI459714 REE459714 ROA459714 RXW459714 SHS459714 SRO459714 TBK459714 TLG459714 TVC459714 UEY459714 UOU459714 UYQ459714 VIM459714 VSI459714 WCE459714 WMA459714 WVW459714 O525250 JK525250 TG525250 ADC525250 AMY525250 AWU525250 BGQ525250 BQM525250 CAI525250 CKE525250 CUA525250 DDW525250 DNS525250 DXO525250 EHK525250 ERG525250 FBC525250 FKY525250 FUU525250 GEQ525250 GOM525250 GYI525250 HIE525250 HSA525250 IBW525250 ILS525250 IVO525250 JFK525250 JPG525250 JZC525250 KIY525250 KSU525250 LCQ525250 LMM525250 LWI525250 MGE525250 MQA525250 MZW525250 NJS525250 NTO525250 ODK525250 ONG525250 OXC525250 PGY525250 PQU525250 QAQ525250 QKM525250 QUI525250 REE525250 ROA525250 RXW525250 SHS525250 SRO525250 TBK525250 TLG525250 TVC525250 UEY525250 UOU525250 UYQ525250 VIM525250 VSI525250 WCE525250 WMA525250 WVW525250 O590786 JK590786 TG590786 ADC590786 AMY590786 AWU590786 BGQ590786 BQM590786 CAI590786 CKE590786 CUA590786 DDW590786 DNS590786 DXO590786 EHK590786 ERG590786 FBC590786 FKY590786 FUU590786 GEQ590786 GOM590786 GYI590786 HIE590786 HSA590786 IBW590786 ILS590786 IVO590786 JFK590786 JPG590786 JZC590786 KIY590786 KSU590786 LCQ590786 LMM590786 LWI590786 MGE590786 MQA590786 MZW590786 NJS590786 NTO590786 ODK590786 ONG590786 OXC590786 PGY590786 PQU590786 QAQ590786 QKM590786 QUI590786 REE590786 ROA590786 RXW590786 SHS590786 SRO590786 TBK590786 TLG590786 TVC590786 UEY590786 UOU590786 UYQ590786 VIM590786 VSI590786 WCE590786 WMA590786 WVW590786 O656322 JK656322 TG656322 ADC656322 AMY656322 AWU656322 BGQ656322 BQM656322 CAI656322 CKE656322 CUA656322 DDW656322 DNS656322 DXO656322 EHK656322 ERG656322 FBC656322 FKY656322 FUU656322 GEQ656322 GOM656322 GYI656322 HIE656322 HSA656322 IBW656322 ILS656322 IVO656322 JFK656322 JPG656322 JZC656322 KIY656322 KSU656322 LCQ656322 LMM656322 LWI656322 MGE656322 MQA656322 MZW656322 NJS656322 NTO656322 ODK656322 ONG656322 OXC656322 PGY656322 PQU656322 QAQ656322 QKM656322 QUI656322 REE656322 ROA656322 RXW656322 SHS656322 SRO656322 TBK656322 TLG656322 TVC656322 UEY656322 UOU656322 UYQ656322 VIM656322 VSI656322 WCE656322 WMA656322 WVW656322 O721858 JK721858 TG721858 ADC721858 AMY721858 AWU721858 BGQ721858 BQM721858 CAI721858 CKE721858 CUA721858 DDW721858 DNS721858 DXO721858 EHK721858 ERG721858 FBC721858 FKY721858 FUU721858 GEQ721858 GOM721858 GYI721858 HIE721858 HSA721858 IBW721858 ILS721858 IVO721858 JFK721858 JPG721858 JZC721858 KIY721858 KSU721858 LCQ721858 LMM721858 LWI721858 MGE721858 MQA721858 MZW721858 NJS721858 NTO721858 ODK721858 ONG721858 OXC721858 PGY721858 PQU721858 QAQ721858 QKM721858 QUI721858 REE721858 ROA721858 RXW721858 SHS721858 SRO721858 TBK721858 TLG721858 TVC721858 UEY721858 UOU721858 UYQ721858 VIM721858 VSI721858 WCE721858 WMA721858 WVW721858 O787394 JK787394 TG787394 ADC787394 AMY787394 AWU787394 BGQ787394 BQM787394 CAI787394 CKE787394 CUA787394 DDW787394 DNS787394 DXO787394 EHK787394 ERG787394 FBC787394 FKY787394 FUU787394 GEQ787394 GOM787394 GYI787394 HIE787394 HSA787394 IBW787394 ILS787394 IVO787394 JFK787394 JPG787394 JZC787394 KIY787394 KSU787394 LCQ787394 LMM787394 LWI787394 MGE787394 MQA787394 MZW787394 NJS787394 NTO787394 ODK787394 ONG787394 OXC787394 PGY787394 PQU787394 QAQ787394 QKM787394 QUI787394 REE787394 ROA787394 RXW787394 SHS787394 SRO787394 TBK787394 TLG787394 TVC787394 UEY787394 UOU787394 UYQ787394 VIM787394 VSI787394 WCE787394 WMA787394 WVW787394 O852930 JK852930 TG852930 ADC852930 AMY852930 AWU852930 BGQ852930 BQM852930 CAI852930 CKE852930 CUA852930 DDW852930 DNS852930 DXO852930 EHK852930 ERG852930 FBC852930 FKY852930 FUU852930 GEQ852930 GOM852930 GYI852930 HIE852930 HSA852930 IBW852930 ILS852930 IVO852930 JFK852930 JPG852930 JZC852930 KIY852930 KSU852930 LCQ852930 LMM852930 LWI852930 MGE852930 MQA852930 MZW852930 NJS852930 NTO852930 ODK852930 ONG852930 OXC852930 PGY852930 PQU852930 QAQ852930 QKM852930 QUI852930 REE852930 ROA852930 RXW852930 SHS852930 SRO852930 TBK852930 TLG852930 TVC852930 UEY852930 UOU852930 UYQ852930 VIM852930 VSI852930 WCE852930 WMA852930 WVW852930 O918466 JK918466 TG918466 ADC918466 AMY918466 AWU918466 BGQ918466 BQM918466 CAI918466 CKE918466 CUA918466 DDW918466 DNS918466 DXO918466 EHK918466 ERG918466 FBC918466 FKY918466 FUU918466 GEQ918466 GOM918466 GYI918466 HIE918466 HSA918466 IBW918466 ILS918466 IVO918466 JFK918466 JPG918466 JZC918466 KIY918466 KSU918466 LCQ918466 LMM918466 LWI918466 MGE918466 MQA918466 MZW918466 NJS918466 NTO918466 ODK918466 ONG918466 OXC918466 PGY918466 PQU918466 QAQ918466 QKM918466 QUI918466 REE918466 ROA918466 RXW918466 SHS918466 SRO918466 TBK918466 TLG918466 TVC918466 UEY918466 UOU918466 UYQ918466 VIM918466 VSI918466 WCE918466 WMA918466 WVW918466 O984002 JK984002 TG984002 ADC984002 AMY984002 AWU984002 BGQ984002 BQM984002 CAI984002 CKE984002 CUA984002 DDW984002 DNS984002 DXO984002 EHK984002 ERG984002 FBC984002 FKY984002 FUU984002 GEQ984002 GOM984002 GYI984002 HIE984002 HSA984002 IBW984002 ILS984002 IVO984002 JFK984002 JPG984002 JZC984002 KIY984002 KSU984002 LCQ984002 LMM984002 LWI984002 MGE984002 MQA984002 MZW984002 NJS984002 NTO984002 ODK984002 ONG984002 OXC984002 PGY984002 PQU984002 QAQ984002 QKM984002 QUI984002 REE984002 ROA984002 RXW984002 SHS984002 SRO984002 TBK984002 TLG984002 TVC984002 UEY984002 UOU984002 UYQ984002 VIM984002 VSI984002 WCE984002 WMA984002 WVW984002 O969 JK969 TG969 ADC969 AMY969 AWU969 BGQ969 BQM969 CAI969 CKE969 CUA969 DDW969 DNS969 DXO969 EHK969 ERG969 FBC969 FKY969 FUU969 GEQ969 GOM969 GYI969 HIE969 HSA969 IBW969 ILS969 IVO969 JFK969 JPG969 JZC969 KIY969 KSU969 LCQ969 LMM969 LWI969 MGE969 MQA969 MZW969 NJS969 NTO969 ODK969 ONG969 OXC969 PGY969 PQU969 QAQ969 QKM969 QUI969 REE969 ROA969 RXW969 SHS969 SRO969 TBK969 TLG969 TVC969 UEY969 UOU969 UYQ969 VIM969 VSI969 WCE969 WMA969 WVW969 O66505 JK66505 TG66505 ADC66505 AMY66505 AWU66505 BGQ66505 BQM66505 CAI66505 CKE66505 CUA66505 DDW66505 DNS66505 DXO66505 EHK66505 ERG66505 FBC66505 FKY66505 FUU66505 GEQ66505 GOM66505 GYI66505 HIE66505 HSA66505 IBW66505 ILS66505 IVO66505 JFK66505 JPG66505 JZC66505 KIY66505 KSU66505 LCQ66505 LMM66505 LWI66505 MGE66505 MQA66505 MZW66505 NJS66505 NTO66505 ODK66505 ONG66505 OXC66505 PGY66505 PQU66505 QAQ66505 QKM66505 QUI66505 REE66505 ROA66505 RXW66505 SHS66505 SRO66505 TBK66505 TLG66505 TVC66505 UEY66505 UOU66505 UYQ66505 VIM66505 VSI66505 WCE66505 WMA66505 WVW66505 O132041 JK132041 TG132041 ADC132041 AMY132041 AWU132041 BGQ132041 BQM132041 CAI132041 CKE132041 CUA132041 DDW132041 DNS132041 DXO132041 EHK132041 ERG132041 FBC132041 FKY132041 FUU132041 GEQ132041 GOM132041 GYI132041 HIE132041 HSA132041 IBW132041 ILS132041 IVO132041 JFK132041 JPG132041 JZC132041 KIY132041 KSU132041 LCQ132041 LMM132041 LWI132041 MGE132041 MQA132041 MZW132041 NJS132041 NTO132041 ODK132041 ONG132041 OXC132041 PGY132041 PQU132041 QAQ132041 QKM132041 QUI132041 REE132041 ROA132041 RXW132041 SHS132041 SRO132041 TBK132041 TLG132041 TVC132041 UEY132041 UOU132041 UYQ132041 VIM132041 VSI132041 WCE132041 WMA132041 WVW132041 O197577 JK197577 TG197577 ADC197577 AMY197577 AWU197577 BGQ197577 BQM197577 CAI197577 CKE197577 CUA197577 DDW197577 DNS197577 DXO197577 EHK197577 ERG197577 FBC197577 FKY197577 FUU197577 GEQ197577 GOM197577 GYI197577 HIE197577 HSA197577 IBW197577 ILS197577 IVO197577 JFK197577 JPG197577 JZC197577 KIY197577 KSU197577 LCQ197577 LMM197577 LWI197577 MGE197577 MQA197577 MZW197577 NJS197577 NTO197577 ODK197577 ONG197577 OXC197577 PGY197577 PQU197577 QAQ197577 QKM197577 QUI197577 REE197577 ROA197577 RXW197577 SHS197577 SRO197577 TBK197577 TLG197577 TVC197577 UEY197577 UOU197577 UYQ197577 VIM197577 VSI197577 WCE197577 WMA197577 WVW197577 O263113 JK263113 TG263113 ADC263113 AMY263113 AWU263113 BGQ263113 BQM263113 CAI263113 CKE263113 CUA263113 DDW263113 DNS263113 DXO263113 EHK263113 ERG263113 FBC263113 FKY263113 FUU263113 GEQ263113 GOM263113 GYI263113 HIE263113 HSA263113 IBW263113 ILS263113 IVO263113 JFK263113 JPG263113 JZC263113 KIY263113 KSU263113 LCQ263113 LMM263113 LWI263113 MGE263113 MQA263113 MZW263113 NJS263113 NTO263113 ODK263113 ONG263113 OXC263113 PGY263113 PQU263113 QAQ263113 QKM263113 QUI263113 REE263113 ROA263113 RXW263113 SHS263113 SRO263113 TBK263113 TLG263113 TVC263113 UEY263113 UOU263113 UYQ263113 VIM263113 VSI263113 WCE263113 WMA263113 WVW263113 O328649 JK328649 TG328649 ADC328649 AMY328649 AWU328649 BGQ328649 BQM328649 CAI328649 CKE328649 CUA328649 DDW328649 DNS328649 DXO328649 EHK328649 ERG328649 FBC328649 FKY328649 FUU328649 GEQ328649 GOM328649 GYI328649 HIE328649 HSA328649 IBW328649 ILS328649 IVO328649 JFK328649 JPG328649 JZC328649 KIY328649 KSU328649 LCQ328649 LMM328649 LWI328649 MGE328649 MQA328649 MZW328649 NJS328649 NTO328649 ODK328649 ONG328649 OXC328649 PGY328649 PQU328649 QAQ328649 QKM328649 QUI328649 REE328649 ROA328649 RXW328649 SHS328649 SRO328649 TBK328649 TLG328649 TVC328649 UEY328649 UOU328649 UYQ328649 VIM328649 VSI328649 WCE328649 WMA328649 WVW328649 O394185 JK394185 TG394185 ADC394185 AMY394185 AWU394185 BGQ394185 BQM394185 CAI394185 CKE394185 CUA394185 DDW394185 DNS394185 DXO394185 EHK394185 ERG394185 FBC394185 FKY394185 FUU394185 GEQ394185 GOM394185 GYI394185 HIE394185 HSA394185 IBW394185 ILS394185 IVO394185 JFK394185 JPG394185 JZC394185 KIY394185 KSU394185 LCQ394185 LMM394185 LWI394185 MGE394185 MQA394185 MZW394185 NJS394185 NTO394185 ODK394185 ONG394185 OXC394185 PGY394185 PQU394185 QAQ394185 QKM394185 QUI394185 REE394185 ROA394185 RXW394185 SHS394185 SRO394185 TBK394185 TLG394185 TVC394185 UEY394185 UOU394185 UYQ394185 VIM394185 VSI394185 WCE394185 WMA394185 WVW394185 O459721 JK459721 TG459721 ADC459721 AMY459721 AWU459721 BGQ459721 BQM459721 CAI459721 CKE459721 CUA459721 DDW459721 DNS459721 DXO459721 EHK459721 ERG459721 FBC459721 FKY459721 FUU459721 GEQ459721 GOM459721 GYI459721 HIE459721 HSA459721 IBW459721 ILS459721 IVO459721 JFK459721 JPG459721 JZC459721 KIY459721 KSU459721 LCQ459721 LMM459721 LWI459721 MGE459721 MQA459721 MZW459721 NJS459721 NTO459721 ODK459721 ONG459721 OXC459721 PGY459721 PQU459721 QAQ459721 QKM459721 QUI459721 REE459721 ROA459721 RXW459721 SHS459721 SRO459721 TBK459721 TLG459721 TVC459721 UEY459721 UOU459721 UYQ459721 VIM459721 VSI459721 WCE459721 WMA459721 WVW459721 O525257 JK525257 TG525257 ADC525257 AMY525257 AWU525257 BGQ525257 BQM525257 CAI525257 CKE525257 CUA525257 DDW525257 DNS525257 DXO525257 EHK525257 ERG525257 FBC525257 FKY525257 FUU525257 GEQ525257 GOM525257 GYI525257 HIE525257 HSA525257 IBW525257 ILS525257 IVO525257 JFK525257 JPG525257 JZC525257 KIY525257 KSU525257 LCQ525257 LMM525257 LWI525257 MGE525257 MQA525257 MZW525257 NJS525257 NTO525257 ODK525257 ONG525257 OXC525257 PGY525257 PQU525257 QAQ525257 QKM525257 QUI525257 REE525257 ROA525257 RXW525257 SHS525257 SRO525257 TBK525257 TLG525257 TVC525257 UEY525257 UOU525257 UYQ525257 VIM525257 VSI525257 WCE525257 WMA525257 WVW525257 O590793 JK590793 TG590793 ADC590793 AMY590793 AWU590793 BGQ590793 BQM590793 CAI590793 CKE590793 CUA590793 DDW590793 DNS590793 DXO590793 EHK590793 ERG590793 FBC590793 FKY590793 FUU590793 GEQ590793 GOM590793 GYI590793 HIE590793 HSA590793 IBW590793 ILS590793 IVO590793 JFK590793 JPG590793 JZC590793 KIY590793 KSU590793 LCQ590793 LMM590793 LWI590793 MGE590793 MQA590793 MZW590793 NJS590793 NTO590793 ODK590793 ONG590793 OXC590793 PGY590793 PQU590793 QAQ590793 QKM590793 QUI590793 REE590793 ROA590793 RXW590793 SHS590793 SRO590793 TBK590793 TLG590793 TVC590793 UEY590793 UOU590793 UYQ590793 VIM590793 VSI590793 WCE590793 WMA590793 WVW590793 O656329 JK656329 TG656329 ADC656329 AMY656329 AWU656329 BGQ656329 BQM656329 CAI656329 CKE656329 CUA656329 DDW656329 DNS656329 DXO656329 EHK656329 ERG656329 FBC656329 FKY656329 FUU656329 GEQ656329 GOM656329 GYI656329 HIE656329 HSA656329 IBW656329 ILS656329 IVO656329 JFK656329 JPG656329 JZC656329 KIY656329 KSU656329 LCQ656329 LMM656329 LWI656329 MGE656329 MQA656329 MZW656329 NJS656329 NTO656329 ODK656329 ONG656329 OXC656329 PGY656329 PQU656329 QAQ656329 QKM656329 QUI656329 REE656329 ROA656329 RXW656329 SHS656329 SRO656329 TBK656329 TLG656329 TVC656329 UEY656329 UOU656329 UYQ656329 VIM656329 VSI656329 WCE656329 WMA656329 WVW656329 O721865 JK721865 TG721865 ADC721865 AMY721865 AWU721865 BGQ721865 BQM721865 CAI721865 CKE721865 CUA721865 DDW721865 DNS721865 DXO721865 EHK721865 ERG721865 FBC721865 FKY721865 FUU721865 GEQ721865 GOM721865 GYI721865 HIE721865 HSA721865 IBW721865 ILS721865 IVO721865 JFK721865 JPG721865 JZC721865 KIY721865 KSU721865 LCQ721865 LMM721865 LWI721865 MGE721865 MQA721865 MZW721865 NJS721865 NTO721865 ODK721865 ONG721865 OXC721865 PGY721865 PQU721865 QAQ721865 QKM721865 QUI721865 REE721865 ROA721865 RXW721865 SHS721865 SRO721865 TBK721865 TLG721865 TVC721865 UEY721865 UOU721865 UYQ721865 VIM721865 VSI721865 WCE721865 WMA721865 WVW721865 O787401 JK787401 TG787401 ADC787401 AMY787401 AWU787401 BGQ787401 BQM787401 CAI787401 CKE787401 CUA787401 DDW787401 DNS787401 DXO787401 EHK787401 ERG787401 FBC787401 FKY787401 FUU787401 GEQ787401 GOM787401 GYI787401 HIE787401 HSA787401 IBW787401 ILS787401 IVO787401 JFK787401 JPG787401 JZC787401 KIY787401 KSU787401 LCQ787401 LMM787401 LWI787401 MGE787401 MQA787401 MZW787401 NJS787401 NTO787401 ODK787401 ONG787401 OXC787401 PGY787401 PQU787401 QAQ787401 QKM787401 QUI787401 REE787401 ROA787401 RXW787401 SHS787401 SRO787401 TBK787401 TLG787401 TVC787401 UEY787401 UOU787401 UYQ787401 VIM787401 VSI787401 WCE787401 WMA787401 WVW787401 O852937 JK852937 TG852937 ADC852937 AMY852937 AWU852937 BGQ852937 BQM852937 CAI852937 CKE852937 CUA852937 DDW852937 DNS852937 DXO852937 EHK852937 ERG852937 FBC852937 FKY852937 FUU852937 GEQ852937 GOM852937 GYI852937 HIE852937 HSA852937 IBW852937 ILS852937 IVO852937 JFK852937 JPG852937 JZC852937 KIY852937 KSU852937 LCQ852937 LMM852937 LWI852937 MGE852937 MQA852937 MZW852937 NJS852937 NTO852937 ODK852937 ONG852937 OXC852937 PGY852937 PQU852937 QAQ852937 QKM852937 QUI852937 REE852937 ROA852937 RXW852937 SHS852937 SRO852937 TBK852937 TLG852937 TVC852937 UEY852937 UOU852937 UYQ852937 VIM852937 VSI852937 WCE852937 WMA852937 WVW852937 O918473 JK918473 TG918473 ADC918473 AMY918473 AWU918473 BGQ918473 BQM918473 CAI918473 CKE918473 CUA918473 DDW918473 DNS918473 DXO918473 EHK918473 ERG918473 FBC918473 FKY918473 FUU918473 GEQ918473 GOM918473 GYI918473 HIE918473 HSA918473 IBW918473 ILS918473 IVO918473 JFK918473 JPG918473 JZC918473 KIY918473 KSU918473 LCQ918473 LMM918473 LWI918473 MGE918473 MQA918473 MZW918473 NJS918473 NTO918473 ODK918473 ONG918473 OXC918473 PGY918473 PQU918473 QAQ918473 QKM918473 QUI918473 REE918473 ROA918473 RXW918473 SHS918473 SRO918473 TBK918473 TLG918473 TVC918473 UEY918473 UOU918473 UYQ918473 VIM918473 VSI918473 WCE918473 WMA918473 WVW918473 O984009 JK984009 TG984009 ADC984009 AMY984009 AWU984009 BGQ984009 BQM984009 CAI984009 CKE984009 CUA984009 DDW984009 DNS984009 DXO984009 EHK984009 ERG984009 FBC984009 FKY984009 FUU984009 GEQ984009 GOM984009 GYI984009 HIE984009 HSA984009 IBW984009 ILS984009 IVO984009 JFK984009 JPG984009 JZC984009 KIY984009 KSU984009 LCQ984009 LMM984009 LWI984009 MGE984009 MQA984009 MZW984009 NJS984009 NTO984009 ODK984009 ONG984009 OXC984009 PGY984009 PQU984009 QAQ984009 QKM984009 QUI984009 REE984009 ROA984009 RXW984009 SHS984009 SRO984009 TBK984009 TLG984009 TVC984009 UEY984009 UOU984009 UYQ984009 VIM984009 VSI984009 WCE984009 WMA984009 WVW984009 O976 JK976 TG976 ADC976 AMY976 AWU976 BGQ976 BQM976 CAI976 CKE976 CUA976 DDW976 DNS976 DXO976 EHK976 ERG976 FBC976 FKY976 FUU976 GEQ976 GOM976 GYI976 HIE976 HSA976 IBW976 ILS976 IVO976 JFK976 JPG976 JZC976 KIY976 KSU976 LCQ976 LMM976 LWI976 MGE976 MQA976 MZW976 NJS976 NTO976 ODK976 ONG976 OXC976 PGY976 PQU976 QAQ976 QKM976 QUI976 REE976 ROA976 RXW976 SHS976 SRO976 TBK976 TLG976 TVC976 UEY976 UOU976 UYQ976 VIM976 VSI976 WCE976 WMA976 WVW976 O66512 JK66512 TG66512 ADC66512 AMY66512 AWU66512 BGQ66512 BQM66512 CAI66512 CKE66512 CUA66512 DDW66512 DNS66512 DXO66512 EHK66512 ERG66512 FBC66512 FKY66512 FUU66512 GEQ66512 GOM66512 GYI66512 HIE66512 HSA66512 IBW66512 ILS66512 IVO66512 JFK66512 JPG66512 JZC66512 KIY66512 KSU66512 LCQ66512 LMM66512 LWI66512 MGE66512 MQA66512 MZW66512 NJS66512 NTO66512 ODK66512 ONG66512 OXC66512 PGY66512 PQU66512 QAQ66512 QKM66512 QUI66512 REE66512 ROA66512 RXW66512 SHS66512 SRO66512 TBK66512 TLG66512 TVC66512 UEY66512 UOU66512 UYQ66512 VIM66512 VSI66512 WCE66512 WMA66512 WVW66512 O132048 JK132048 TG132048 ADC132048 AMY132048 AWU132048 BGQ132048 BQM132048 CAI132048 CKE132048 CUA132048 DDW132048 DNS132048 DXO132048 EHK132048 ERG132048 FBC132048 FKY132048 FUU132048 GEQ132048 GOM132048 GYI132048 HIE132048 HSA132048 IBW132048 ILS132048 IVO132048 JFK132048 JPG132048 JZC132048 KIY132048 KSU132048 LCQ132048 LMM132048 LWI132048 MGE132048 MQA132048 MZW132048 NJS132048 NTO132048 ODK132048 ONG132048 OXC132048 PGY132048 PQU132048 QAQ132048 QKM132048 QUI132048 REE132048 ROA132048 RXW132048 SHS132048 SRO132048 TBK132048 TLG132048 TVC132048 UEY132048 UOU132048 UYQ132048 VIM132048 VSI132048 WCE132048 WMA132048 WVW132048 O197584 JK197584 TG197584 ADC197584 AMY197584 AWU197584 BGQ197584 BQM197584 CAI197584 CKE197584 CUA197584 DDW197584 DNS197584 DXO197584 EHK197584 ERG197584 FBC197584 FKY197584 FUU197584 GEQ197584 GOM197584 GYI197584 HIE197584 HSA197584 IBW197584 ILS197584 IVO197584 JFK197584 JPG197584 JZC197584 KIY197584 KSU197584 LCQ197584 LMM197584 LWI197584 MGE197584 MQA197584 MZW197584 NJS197584 NTO197584 ODK197584 ONG197584 OXC197584 PGY197584 PQU197584 QAQ197584 QKM197584 QUI197584 REE197584 ROA197584 RXW197584 SHS197584 SRO197584 TBK197584 TLG197584 TVC197584 UEY197584 UOU197584 UYQ197584 VIM197584 VSI197584 WCE197584 WMA197584 WVW197584 O263120 JK263120 TG263120 ADC263120 AMY263120 AWU263120 BGQ263120 BQM263120 CAI263120 CKE263120 CUA263120 DDW263120 DNS263120 DXO263120 EHK263120 ERG263120 FBC263120 FKY263120 FUU263120 GEQ263120 GOM263120 GYI263120 HIE263120 HSA263120 IBW263120 ILS263120 IVO263120 JFK263120 JPG263120 JZC263120 KIY263120 KSU263120 LCQ263120 LMM263120 LWI263120 MGE263120 MQA263120 MZW263120 NJS263120 NTO263120 ODK263120 ONG263120 OXC263120 PGY263120 PQU263120 QAQ263120 QKM263120 QUI263120 REE263120 ROA263120 RXW263120 SHS263120 SRO263120 TBK263120 TLG263120 TVC263120 UEY263120 UOU263120 UYQ263120 VIM263120 VSI263120 WCE263120 WMA263120 WVW263120 O328656 JK328656 TG328656 ADC328656 AMY328656 AWU328656 BGQ328656 BQM328656 CAI328656 CKE328656 CUA328656 DDW328656 DNS328656 DXO328656 EHK328656 ERG328656 FBC328656 FKY328656 FUU328656 GEQ328656 GOM328656 GYI328656 HIE328656 HSA328656 IBW328656 ILS328656 IVO328656 JFK328656 JPG328656 JZC328656 KIY328656 KSU328656 LCQ328656 LMM328656 LWI328656 MGE328656 MQA328656 MZW328656 NJS328656 NTO328656 ODK328656 ONG328656 OXC328656 PGY328656 PQU328656 QAQ328656 QKM328656 QUI328656 REE328656 ROA328656 RXW328656 SHS328656 SRO328656 TBK328656 TLG328656 TVC328656 UEY328656 UOU328656 UYQ328656 VIM328656 VSI328656 WCE328656 WMA328656 WVW328656 O394192 JK394192 TG394192 ADC394192 AMY394192 AWU394192 BGQ394192 BQM394192 CAI394192 CKE394192 CUA394192 DDW394192 DNS394192 DXO394192 EHK394192 ERG394192 FBC394192 FKY394192 FUU394192 GEQ394192 GOM394192 GYI394192 HIE394192 HSA394192 IBW394192 ILS394192 IVO394192 JFK394192 JPG394192 JZC394192 KIY394192 KSU394192 LCQ394192 LMM394192 LWI394192 MGE394192 MQA394192 MZW394192 NJS394192 NTO394192 ODK394192 ONG394192 OXC394192 PGY394192 PQU394192 QAQ394192 QKM394192 QUI394192 REE394192 ROA394192 RXW394192 SHS394192 SRO394192 TBK394192 TLG394192 TVC394192 UEY394192 UOU394192 UYQ394192 VIM394192 VSI394192 WCE394192 WMA394192 WVW394192 O459728 JK459728 TG459728 ADC459728 AMY459728 AWU459728 BGQ459728 BQM459728 CAI459728 CKE459728 CUA459728 DDW459728 DNS459728 DXO459728 EHK459728 ERG459728 FBC459728 FKY459728 FUU459728 GEQ459728 GOM459728 GYI459728 HIE459728 HSA459728 IBW459728 ILS459728 IVO459728 JFK459728 JPG459728 JZC459728 KIY459728 KSU459728 LCQ459728 LMM459728 LWI459728 MGE459728 MQA459728 MZW459728 NJS459728 NTO459728 ODK459728 ONG459728 OXC459728 PGY459728 PQU459728 QAQ459728 QKM459728 QUI459728 REE459728 ROA459728 RXW459728 SHS459728 SRO459728 TBK459728 TLG459728 TVC459728 UEY459728 UOU459728 UYQ459728 VIM459728 VSI459728 WCE459728 WMA459728 WVW459728 O525264 JK525264 TG525264 ADC525264 AMY525264 AWU525264 BGQ525264 BQM525264 CAI525264 CKE525264 CUA525264 DDW525264 DNS525264 DXO525264 EHK525264 ERG525264 FBC525264 FKY525264 FUU525264 GEQ525264 GOM525264 GYI525264 HIE525264 HSA525264 IBW525264 ILS525264 IVO525264 JFK525264 JPG525264 JZC525264 KIY525264 KSU525264 LCQ525264 LMM525264 LWI525264 MGE525264 MQA525264 MZW525264 NJS525264 NTO525264 ODK525264 ONG525264 OXC525264 PGY525264 PQU525264 QAQ525264 QKM525264 QUI525264 REE525264 ROA525264 RXW525264 SHS525264 SRO525264 TBK525264 TLG525264 TVC525264 UEY525264 UOU525264 UYQ525264 VIM525264 VSI525264 WCE525264 WMA525264 WVW525264 O590800 JK590800 TG590800 ADC590800 AMY590800 AWU590800 BGQ590800 BQM590800 CAI590800 CKE590800 CUA590800 DDW590800 DNS590800 DXO590800 EHK590800 ERG590800 FBC590800 FKY590800 FUU590800 GEQ590800 GOM590800 GYI590800 HIE590800 HSA590800 IBW590800 ILS590800 IVO590800 JFK590800 JPG590800 JZC590800 KIY590800 KSU590800 LCQ590800 LMM590800 LWI590800 MGE590800 MQA590800 MZW590800 NJS590800 NTO590800 ODK590800 ONG590800 OXC590800 PGY590800 PQU590800 QAQ590800 QKM590800 QUI590800 REE590800 ROA590800 RXW590800 SHS590800 SRO590800 TBK590800 TLG590800 TVC590800 UEY590800 UOU590800 UYQ590800 VIM590800 VSI590800 WCE590800 WMA590800 WVW590800 O656336 JK656336 TG656336 ADC656336 AMY656336 AWU656336 BGQ656336 BQM656336 CAI656336 CKE656336 CUA656336 DDW656336 DNS656336 DXO656336 EHK656336 ERG656336 FBC656336 FKY656336 FUU656336 GEQ656336 GOM656336 GYI656336 HIE656336 HSA656336 IBW656336 ILS656336 IVO656336 JFK656336 JPG656336 JZC656336 KIY656336 KSU656336 LCQ656336 LMM656336 LWI656336 MGE656336 MQA656336 MZW656336 NJS656336 NTO656336 ODK656336 ONG656336 OXC656336 PGY656336 PQU656336 QAQ656336 QKM656336 QUI656336 REE656336 ROA656336 RXW656336 SHS656336 SRO656336 TBK656336 TLG656336 TVC656336 UEY656336 UOU656336 UYQ656336 VIM656336 VSI656336 WCE656336 WMA656336 WVW656336 O721872 JK721872 TG721872 ADC721872 AMY721872 AWU721872 BGQ721872 BQM721872 CAI721872 CKE721872 CUA721872 DDW721872 DNS721872 DXO721872 EHK721872 ERG721872 FBC721872 FKY721872 FUU721872 GEQ721872 GOM721872 GYI721872 HIE721872 HSA721872 IBW721872 ILS721872 IVO721872 JFK721872 JPG721872 JZC721872 KIY721872 KSU721872 LCQ721872 LMM721872 LWI721872 MGE721872 MQA721872 MZW721872 NJS721872 NTO721872 ODK721872 ONG721872 OXC721872 PGY721872 PQU721872 QAQ721872 QKM721872 QUI721872 REE721872 ROA721872 RXW721872 SHS721872 SRO721872 TBK721872 TLG721872 TVC721872 UEY721872 UOU721872 UYQ721872 VIM721872 VSI721872 WCE721872 WMA721872 WVW721872 O787408 JK787408 TG787408 ADC787408 AMY787408 AWU787408 BGQ787408 BQM787408 CAI787408 CKE787408 CUA787408 DDW787408 DNS787408 DXO787408 EHK787408 ERG787408 FBC787408 FKY787408 FUU787408 GEQ787408 GOM787408 GYI787408 HIE787408 HSA787408 IBW787408 ILS787408 IVO787408 JFK787408 JPG787408 JZC787408 KIY787408 KSU787408 LCQ787408 LMM787408 LWI787408 MGE787408 MQA787408 MZW787408 NJS787408 NTO787408 ODK787408 ONG787408 OXC787408 PGY787408 PQU787408 QAQ787408 QKM787408 QUI787408 REE787408 ROA787408 RXW787408 SHS787408 SRO787408 TBK787408 TLG787408 TVC787408 UEY787408 UOU787408 UYQ787408 VIM787408 VSI787408 WCE787408 WMA787408 WVW787408 O852944 JK852944 TG852944 ADC852944 AMY852944 AWU852944 BGQ852944 BQM852944 CAI852944 CKE852944 CUA852944 DDW852944 DNS852944 DXO852944 EHK852944 ERG852944 FBC852944 FKY852944 FUU852944 GEQ852944 GOM852944 GYI852944 HIE852944 HSA852944 IBW852944 ILS852944 IVO852944 JFK852944 JPG852944 JZC852944 KIY852944 KSU852944 LCQ852944 LMM852944 LWI852944 MGE852944 MQA852944 MZW852944 NJS852944 NTO852944 ODK852944 ONG852944 OXC852944 PGY852944 PQU852944 QAQ852944 QKM852944 QUI852944 REE852944 ROA852944 RXW852944 SHS852944 SRO852944 TBK852944 TLG852944 TVC852944 UEY852944 UOU852944 UYQ852944 VIM852944 VSI852944 WCE852944 WMA852944 WVW852944 O918480 JK918480 TG918480 ADC918480 AMY918480 AWU918480 BGQ918480 BQM918480 CAI918480 CKE918480 CUA918480 DDW918480 DNS918480 DXO918480 EHK918480 ERG918480 FBC918480 FKY918480 FUU918480 GEQ918480 GOM918480 GYI918480 HIE918480 HSA918480 IBW918480 ILS918480 IVO918480 JFK918480 JPG918480 JZC918480 KIY918480 KSU918480 LCQ918480 LMM918480 LWI918480 MGE918480 MQA918480 MZW918480 NJS918480 NTO918480 ODK918480 ONG918480 OXC918480 PGY918480 PQU918480 QAQ918480 QKM918480 QUI918480 REE918480 ROA918480 RXW918480 SHS918480 SRO918480 TBK918480 TLG918480 TVC918480 UEY918480 UOU918480 UYQ918480 VIM918480 VSI918480 WCE918480 WMA918480 WVW918480 O984016 JK984016 TG984016 ADC984016 AMY984016 AWU984016 BGQ984016 BQM984016 CAI984016 CKE984016 CUA984016 DDW984016 DNS984016 DXO984016 EHK984016 ERG984016 FBC984016 FKY984016 FUU984016 GEQ984016 GOM984016 GYI984016 HIE984016 HSA984016 IBW984016 ILS984016 IVO984016 JFK984016 JPG984016 JZC984016 KIY984016 KSU984016 LCQ984016 LMM984016 LWI984016 MGE984016 MQA984016 MZW984016 NJS984016 NTO984016 ODK984016 ONG984016 OXC984016 PGY984016 PQU984016 QAQ984016 QKM984016 QUI984016 REE984016 ROA984016 RXW984016 SHS984016 SRO984016 TBK984016 TLG984016 TVC984016 UEY984016 UOU984016 UYQ984016 VIM984016 VSI984016 WCE984016 WMA984016 WVW984016 O983 JK983 TG983 ADC983 AMY983 AWU983 BGQ983 BQM983 CAI983 CKE983 CUA983 DDW983 DNS983 DXO983 EHK983 ERG983 FBC983 FKY983 FUU983 GEQ983 GOM983 GYI983 HIE983 HSA983 IBW983 ILS983 IVO983 JFK983 JPG983 JZC983 KIY983 KSU983 LCQ983 LMM983 LWI983 MGE983 MQA983 MZW983 NJS983 NTO983 ODK983 ONG983 OXC983 PGY983 PQU983 QAQ983 QKM983 QUI983 REE983 ROA983 RXW983 SHS983 SRO983 TBK983 TLG983 TVC983 UEY983 UOU983 UYQ983 VIM983 VSI983 WCE983 WMA983 WVW983 O66519 JK66519 TG66519 ADC66519 AMY66519 AWU66519 BGQ66519 BQM66519 CAI66519 CKE66519 CUA66519 DDW66519 DNS66519 DXO66519 EHK66519 ERG66519 FBC66519 FKY66519 FUU66519 GEQ66519 GOM66519 GYI66519 HIE66519 HSA66519 IBW66519 ILS66519 IVO66519 JFK66519 JPG66519 JZC66519 KIY66519 KSU66519 LCQ66519 LMM66519 LWI66519 MGE66519 MQA66519 MZW66519 NJS66519 NTO66519 ODK66519 ONG66519 OXC66519 PGY66519 PQU66519 QAQ66519 QKM66519 QUI66519 REE66519 ROA66519 RXW66519 SHS66519 SRO66519 TBK66519 TLG66519 TVC66519 UEY66519 UOU66519 UYQ66519 VIM66519 VSI66519 WCE66519 WMA66519 WVW66519 O132055 JK132055 TG132055 ADC132055 AMY132055 AWU132055 BGQ132055 BQM132055 CAI132055 CKE132055 CUA132055 DDW132055 DNS132055 DXO132055 EHK132055 ERG132055 FBC132055 FKY132055 FUU132055 GEQ132055 GOM132055 GYI132055 HIE132055 HSA132055 IBW132055 ILS132055 IVO132055 JFK132055 JPG132055 JZC132055 KIY132055 KSU132055 LCQ132055 LMM132055 LWI132055 MGE132055 MQA132055 MZW132055 NJS132055 NTO132055 ODK132055 ONG132055 OXC132055 PGY132055 PQU132055 QAQ132055 QKM132055 QUI132055 REE132055 ROA132055 RXW132055 SHS132055 SRO132055 TBK132055 TLG132055 TVC132055 UEY132055 UOU132055 UYQ132055 VIM132055 VSI132055 WCE132055 WMA132055 WVW132055 O197591 JK197591 TG197591 ADC197591 AMY197591 AWU197591 BGQ197591 BQM197591 CAI197591 CKE197591 CUA197591 DDW197591 DNS197591 DXO197591 EHK197591 ERG197591 FBC197591 FKY197591 FUU197591 GEQ197591 GOM197591 GYI197591 HIE197591 HSA197591 IBW197591 ILS197591 IVO197591 JFK197591 JPG197591 JZC197591 KIY197591 KSU197591 LCQ197591 LMM197591 LWI197591 MGE197591 MQA197591 MZW197591 NJS197591 NTO197591 ODK197591 ONG197591 OXC197591 PGY197591 PQU197591 QAQ197591 QKM197591 QUI197591 REE197591 ROA197591 RXW197591 SHS197591 SRO197591 TBK197591 TLG197591 TVC197591 UEY197591 UOU197591 UYQ197591 VIM197591 VSI197591 WCE197591 WMA197591 WVW197591 O263127 JK263127 TG263127 ADC263127 AMY263127 AWU263127 BGQ263127 BQM263127 CAI263127 CKE263127 CUA263127 DDW263127 DNS263127 DXO263127 EHK263127 ERG263127 FBC263127 FKY263127 FUU263127 GEQ263127 GOM263127 GYI263127 HIE263127 HSA263127 IBW263127 ILS263127 IVO263127 JFK263127 JPG263127 JZC263127 KIY263127 KSU263127 LCQ263127 LMM263127 LWI263127 MGE263127 MQA263127 MZW263127 NJS263127 NTO263127 ODK263127 ONG263127 OXC263127 PGY263127 PQU263127 QAQ263127 QKM263127 QUI263127 REE263127 ROA263127 RXW263127 SHS263127 SRO263127 TBK263127 TLG263127 TVC263127 UEY263127 UOU263127 UYQ263127 VIM263127 VSI263127 WCE263127 WMA263127 WVW263127 O328663 JK328663 TG328663 ADC328663 AMY328663 AWU328663 BGQ328663 BQM328663 CAI328663 CKE328663 CUA328663 DDW328663 DNS328663 DXO328663 EHK328663 ERG328663 FBC328663 FKY328663 FUU328663 GEQ328663 GOM328663 GYI328663 HIE328663 HSA328663 IBW328663 ILS328663 IVO328663 JFK328663 JPG328663 JZC328663 KIY328663 KSU328663 LCQ328663 LMM328663 LWI328663 MGE328663 MQA328663 MZW328663 NJS328663 NTO328663 ODK328663 ONG328663 OXC328663 PGY328663 PQU328663 QAQ328663 QKM328663 QUI328663 REE328663 ROA328663 RXW328663 SHS328663 SRO328663 TBK328663 TLG328663 TVC328663 UEY328663 UOU328663 UYQ328663 VIM328663 VSI328663 WCE328663 WMA328663 WVW328663 O394199 JK394199 TG394199 ADC394199 AMY394199 AWU394199 BGQ394199 BQM394199 CAI394199 CKE394199 CUA394199 DDW394199 DNS394199 DXO394199 EHK394199 ERG394199 FBC394199 FKY394199 FUU394199 GEQ394199 GOM394199 GYI394199 HIE394199 HSA394199 IBW394199 ILS394199 IVO394199 JFK394199 JPG394199 JZC394199 KIY394199 KSU394199 LCQ394199 LMM394199 LWI394199 MGE394199 MQA394199 MZW394199 NJS394199 NTO394199 ODK394199 ONG394199 OXC394199 PGY394199 PQU394199 QAQ394199 QKM394199 QUI394199 REE394199 ROA394199 RXW394199 SHS394199 SRO394199 TBK394199 TLG394199 TVC394199 UEY394199 UOU394199 UYQ394199 VIM394199 VSI394199 WCE394199 WMA394199 WVW394199 O459735 JK459735 TG459735 ADC459735 AMY459735 AWU459735 BGQ459735 BQM459735 CAI459735 CKE459735 CUA459735 DDW459735 DNS459735 DXO459735 EHK459735 ERG459735 FBC459735 FKY459735 FUU459735 GEQ459735 GOM459735 GYI459735 HIE459735 HSA459735 IBW459735 ILS459735 IVO459735 JFK459735 JPG459735 JZC459735 KIY459735 KSU459735 LCQ459735 LMM459735 LWI459735 MGE459735 MQA459735 MZW459735 NJS459735 NTO459735 ODK459735 ONG459735 OXC459735 PGY459735 PQU459735 QAQ459735 QKM459735 QUI459735 REE459735 ROA459735 RXW459735 SHS459735 SRO459735 TBK459735 TLG459735 TVC459735 UEY459735 UOU459735 UYQ459735 VIM459735 VSI459735 WCE459735 WMA459735 WVW459735 O525271 JK525271 TG525271 ADC525271 AMY525271 AWU525271 BGQ525271 BQM525271 CAI525271 CKE525271 CUA525271 DDW525271 DNS525271 DXO525271 EHK525271 ERG525271 FBC525271 FKY525271 FUU525271 GEQ525271 GOM525271 GYI525271 HIE525271 HSA525271 IBW525271 ILS525271 IVO525271 JFK525271 JPG525271 JZC525271 KIY525271 KSU525271 LCQ525271 LMM525271 LWI525271 MGE525271 MQA525271 MZW525271 NJS525271 NTO525271 ODK525271 ONG525271 OXC525271 PGY525271 PQU525271 QAQ525271 QKM525271 QUI525271 REE525271 ROA525271 RXW525271 SHS525271 SRO525271 TBK525271 TLG525271 TVC525271 UEY525271 UOU525271 UYQ525271 VIM525271 VSI525271 WCE525271 WMA525271 WVW525271 O590807 JK590807 TG590807 ADC590807 AMY590807 AWU590807 BGQ590807 BQM590807 CAI590807 CKE590807 CUA590807 DDW590807 DNS590807 DXO590807 EHK590807 ERG590807 FBC590807 FKY590807 FUU590807 GEQ590807 GOM590807 GYI590807 HIE590807 HSA590807 IBW590807 ILS590807 IVO590807 JFK590807 JPG590807 JZC590807 KIY590807 KSU590807 LCQ590807 LMM590807 LWI590807 MGE590807 MQA590807 MZW590807 NJS590807 NTO590807 ODK590807 ONG590807 OXC590807 PGY590807 PQU590807 QAQ590807 QKM590807 QUI590807 REE590807 ROA590807 RXW590807 SHS590807 SRO590807 TBK590807 TLG590807 TVC590807 UEY590807 UOU590807 UYQ590807 VIM590807 VSI590807 WCE590807 WMA590807 WVW590807 O656343 JK656343 TG656343 ADC656343 AMY656343 AWU656343 BGQ656343 BQM656343 CAI656343 CKE656343 CUA656343 DDW656343 DNS656343 DXO656343 EHK656343 ERG656343 FBC656343 FKY656343 FUU656343 GEQ656343 GOM656343 GYI656343 HIE656343 HSA656343 IBW656343 ILS656343 IVO656343 JFK656343 JPG656343 JZC656343 KIY656343 KSU656343 LCQ656343 LMM656343 LWI656343 MGE656343 MQA656343 MZW656343 NJS656343 NTO656343 ODK656343 ONG656343 OXC656343 PGY656343 PQU656343 QAQ656343 QKM656343 QUI656343 REE656343 ROA656343 RXW656343 SHS656343 SRO656343 TBK656343 TLG656343 TVC656343 UEY656343 UOU656343 UYQ656343 VIM656343 VSI656343 WCE656343 WMA656343 WVW656343 O721879 JK721879 TG721879 ADC721879 AMY721879 AWU721879 BGQ721879 BQM721879 CAI721879 CKE721879 CUA721879 DDW721879 DNS721879 DXO721879 EHK721879 ERG721879 FBC721879 FKY721879 FUU721879 GEQ721879 GOM721879 GYI721879 HIE721879 HSA721879 IBW721879 ILS721879 IVO721879 JFK721879 JPG721879 JZC721879 KIY721879 KSU721879 LCQ721879 LMM721879 LWI721879 MGE721879 MQA721879 MZW721879 NJS721879 NTO721879 ODK721879 ONG721879 OXC721879 PGY721879 PQU721879 QAQ721879 QKM721879 QUI721879 REE721879 ROA721879 RXW721879 SHS721879 SRO721879 TBK721879 TLG721879 TVC721879 UEY721879 UOU721879 UYQ721879 VIM721879 VSI721879 WCE721879 WMA721879 WVW721879 O787415 JK787415 TG787415 ADC787415 AMY787415 AWU787415 BGQ787415 BQM787415 CAI787415 CKE787415 CUA787415 DDW787415 DNS787415 DXO787415 EHK787415 ERG787415 FBC787415 FKY787415 FUU787415 GEQ787415 GOM787415 GYI787415 HIE787415 HSA787415 IBW787415 ILS787415 IVO787415 JFK787415 JPG787415 JZC787415 KIY787415 KSU787415 LCQ787415 LMM787415 LWI787415 MGE787415 MQA787415 MZW787415 NJS787415 NTO787415 ODK787415 ONG787415 OXC787415 PGY787415 PQU787415 QAQ787415 QKM787415 QUI787415 REE787415 ROA787415 RXW787415 SHS787415 SRO787415 TBK787415 TLG787415 TVC787415 UEY787415 UOU787415 UYQ787415 VIM787415 VSI787415 WCE787415 WMA787415 WVW787415 O852951 JK852951 TG852951 ADC852951 AMY852951 AWU852951 BGQ852951 BQM852951 CAI852951 CKE852951 CUA852951 DDW852951 DNS852951 DXO852951 EHK852951 ERG852951 FBC852951 FKY852951 FUU852951 GEQ852951 GOM852951 GYI852951 HIE852951 HSA852951 IBW852951 ILS852951 IVO852951 JFK852951 JPG852951 JZC852951 KIY852951 KSU852951 LCQ852951 LMM852951 LWI852951 MGE852951 MQA852951 MZW852951 NJS852951 NTO852951 ODK852951 ONG852951 OXC852951 PGY852951 PQU852951 QAQ852951 QKM852951 QUI852951 REE852951 ROA852951 RXW852951 SHS852951 SRO852951 TBK852951 TLG852951 TVC852951 UEY852951 UOU852951 UYQ852951 VIM852951 VSI852951 WCE852951 WMA852951 WVW852951 O918487 JK918487 TG918487 ADC918487 AMY918487 AWU918487 BGQ918487 BQM918487 CAI918487 CKE918487 CUA918487 DDW918487 DNS918487 DXO918487 EHK918487 ERG918487 FBC918487 FKY918487 FUU918487 GEQ918487 GOM918487 GYI918487 HIE918487 HSA918487 IBW918487 ILS918487 IVO918487 JFK918487 JPG918487 JZC918487 KIY918487 KSU918487 LCQ918487 LMM918487 LWI918487 MGE918487 MQA918487 MZW918487 NJS918487 NTO918487 ODK918487 ONG918487 OXC918487 PGY918487 PQU918487 QAQ918487 QKM918487 QUI918487 REE918487 ROA918487 RXW918487 SHS918487 SRO918487 TBK918487 TLG918487 TVC918487 UEY918487 UOU918487 UYQ918487 VIM918487 VSI918487 WCE918487 WMA918487 WVW918487 O984023 JK984023 TG984023 ADC984023 AMY984023 AWU984023 BGQ984023 BQM984023 CAI984023 CKE984023 CUA984023 DDW984023 DNS984023 DXO984023 EHK984023 ERG984023 FBC984023 FKY984023 FUU984023 GEQ984023 GOM984023 GYI984023 HIE984023 HSA984023 IBW984023 ILS984023 IVO984023 JFK984023 JPG984023 JZC984023 KIY984023 KSU984023 LCQ984023 LMM984023 LWI984023 MGE984023 MQA984023 MZW984023 NJS984023 NTO984023 ODK984023 ONG984023 OXC984023 PGY984023 PQU984023 QAQ984023 QKM984023 QUI984023 REE984023 ROA984023 RXW984023 SHS984023 SRO984023 TBK984023 TLG984023 TVC984023 UEY984023 UOU984023 UYQ984023 VIM984023 VSI984023 WCE984023 WMA984023 WVW984023 O990 JK990 TG990 ADC990 AMY990 AWU990 BGQ990 BQM990 CAI990 CKE990 CUA990 DDW990 DNS990 DXO990 EHK990 ERG990 FBC990 FKY990 FUU990 GEQ990 GOM990 GYI990 HIE990 HSA990 IBW990 ILS990 IVO990 JFK990 JPG990 JZC990 KIY990 KSU990 LCQ990 LMM990 LWI990 MGE990 MQA990 MZW990 NJS990 NTO990 ODK990 ONG990 OXC990 PGY990 PQU990 QAQ990 QKM990 QUI990 REE990 ROA990 RXW990 SHS990 SRO990 TBK990 TLG990 TVC990 UEY990 UOU990 UYQ990 VIM990 VSI990 WCE990 WMA990 WVW990 O66526 JK66526 TG66526 ADC66526 AMY66526 AWU66526 BGQ66526 BQM66526 CAI66526 CKE66526 CUA66526 DDW66526 DNS66526 DXO66526 EHK66526 ERG66526 FBC66526 FKY66526 FUU66526 GEQ66526 GOM66526 GYI66526 HIE66526 HSA66526 IBW66526 ILS66526 IVO66526 JFK66526 JPG66526 JZC66526 KIY66526 KSU66526 LCQ66526 LMM66526 LWI66526 MGE66526 MQA66526 MZW66526 NJS66526 NTO66526 ODK66526 ONG66526 OXC66526 PGY66526 PQU66526 QAQ66526 QKM66526 QUI66526 REE66526 ROA66526 RXW66526 SHS66526 SRO66526 TBK66526 TLG66526 TVC66526 UEY66526 UOU66526 UYQ66526 VIM66526 VSI66526 WCE66526 WMA66526 WVW66526 O132062 JK132062 TG132062 ADC132062 AMY132062 AWU132062 BGQ132062 BQM132062 CAI132062 CKE132062 CUA132062 DDW132062 DNS132062 DXO132062 EHK132062 ERG132062 FBC132062 FKY132062 FUU132062 GEQ132062 GOM132062 GYI132062 HIE132062 HSA132062 IBW132062 ILS132062 IVO132062 JFK132062 JPG132062 JZC132062 KIY132062 KSU132062 LCQ132062 LMM132062 LWI132062 MGE132062 MQA132062 MZW132062 NJS132062 NTO132062 ODK132062 ONG132062 OXC132062 PGY132062 PQU132062 QAQ132062 QKM132062 QUI132062 REE132062 ROA132062 RXW132062 SHS132062 SRO132062 TBK132062 TLG132062 TVC132062 UEY132062 UOU132062 UYQ132062 VIM132062 VSI132062 WCE132062 WMA132062 WVW132062 O197598 JK197598 TG197598 ADC197598 AMY197598 AWU197598 BGQ197598 BQM197598 CAI197598 CKE197598 CUA197598 DDW197598 DNS197598 DXO197598 EHK197598 ERG197598 FBC197598 FKY197598 FUU197598 GEQ197598 GOM197598 GYI197598 HIE197598 HSA197598 IBW197598 ILS197598 IVO197598 JFK197598 JPG197598 JZC197598 KIY197598 KSU197598 LCQ197598 LMM197598 LWI197598 MGE197598 MQA197598 MZW197598 NJS197598 NTO197598 ODK197598 ONG197598 OXC197598 PGY197598 PQU197598 QAQ197598 QKM197598 QUI197598 REE197598 ROA197598 RXW197598 SHS197598 SRO197598 TBK197598 TLG197598 TVC197598 UEY197598 UOU197598 UYQ197598 VIM197598 VSI197598 WCE197598 WMA197598 WVW197598 O263134 JK263134 TG263134 ADC263134 AMY263134 AWU263134 BGQ263134 BQM263134 CAI263134 CKE263134 CUA263134 DDW263134 DNS263134 DXO263134 EHK263134 ERG263134 FBC263134 FKY263134 FUU263134 GEQ263134 GOM263134 GYI263134 HIE263134 HSA263134 IBW263134 ILS263134 IVO263134 JFK263134 JPG263134 JZC263134 KIY263134 KSU263134 LCQ263134 LMM263134 LWI263134 MGE263134 MQA263134 MZW263134 NJS263134 NTO263134 ODK263134 ONG263134 OXC263134 PGY263134 PQU263134 QAQ263134 QKM263134 QUI263134 REE263134 ROA263134 RXW263134 SHS263134 SRO263134 TBK263134 TLG263134 TVC263134 UEY263134 UOU263134 UYQ263134 VIM263134 VSI263134 WCE263134 WMA263134 WVW263134 O328670 JK328670 TG328670 ADC328670 AMY328670 AWU328670 BGQ328670 BQM328670 CAI328670 CKE328670 CUA328670 DDW328670 DNS328670 DXO328670 EHK328670 ERG328670 FBC328670 FKY328670 FUU328670 GEQ328670 GOM328670 GYI328670 HIE328670 HSA328670 IBW328670 ILS328670 IVO328670 JFK328670 JPG328670 JZC328670 KIY328670 KSU328670 LCQ328670 LMM328670 LWI328670 MGE328670 MQA328670 MZW328670 NJS328670 NTO328670 ODK328670 ONG328670 OXC328670 PGY328670 PQU328670 QAQ328670 QKM328670 QUI328670 REE328670 ROA328670 RXW328670 SHS328670 SRO328670 TBK328670 TLG328670 TVC328670 UEY328670 UOU328670 UYQ328670 VIM328670 VSI328670 WCE328670 WMA328670 WVW328670 O394206 JK394206 TG394206 ADC394206 AMY394206 AWU394206 BGQ394206 BQM394206 CAI394206 CKE394206 CUA394206 DDW394206 DNS394206 DXO394206 EHK394206 ERG394206 FBC394206 FKY394206 FUU394206 GEQ394206 GOM394206 GYI394206 HIE394206 HSA394206 IBW394206 ILS394206 IVO394206 JFK394206 JPG394206 JZC394206 KIY394206 KSU394206 LCQ394206 LMM394206 LWI394206 MGE394206 MQA394206 MZW394206 NJS394206 NTO394206 ODK394206 ONG394206 OXC394206 PGY394206 PQU394206 QAQ394206 QKM394206 QUI394206 REE394206 ROA394206 RXW394206 SHS394206 SRO394206 TBK394206 TLG394206 TVC394206 UEY394206 UOU394206 UYQ394206 VIM394206 VSI394206 WCE394206 WMA394206 WVW394206 O459742 JK459742 TG459742 ADC459742 AMY459742 AWU459742 BGQ459742 BQM459742 CAI459742 CKE459742 CUA459742 DDW459742 DNS459742 DXO459742 EHK459742 ERG459742 FBC459742 FKY459742 FUU459742 GEQ459742 GOM459742 GYI459742 HIE459742 HSA459742 IBW459742 ILS459742 IVO459742 JFK459742 JPG459742 JZC459742 KIY459742 KSU459742 LCQ459742 LMM459742 LWI459742 MGE459742 MQA459742 MZW459742 NJS459742 NTO459742 ODK459742 ONG459742 OXC459742 PGY459742 PQU459742 QAQ459742 QKM459742 QUI459742 REE459742 ROA459742 RXW459742 SHS459742 SRO459742 TBK459742 TLG459742 TVC459742 UEY459742 UOU459742 UYQ459742 VIM459742 VSI459742 WCE459742 WMA459742 WVW459742 O525278 JK525278 TG525278 ADC525278 AMY525278 AWU525278 BGQ525278 BQM525278 CAI525278 CKE525278 CUA525278 DDW525278 DNS525278 DXO525278 EHK525278 ERG525278 FBC525278 FKY525278 FUU525278 GEQ525278 GOM525278 GYI525278 HIE525278 HSA525278 IBW525278 ILS525278 IVO525278 JFK525278 JPG525278 JZC525278 KIY525278 KSU525278 LCQ525278 LMM525278 LWI525278 MGE525278 MQA525278 MZW525278 NJS525278 NTO525278 ODK525278 ONG525278 OXC525278 PGY525278 PQU525278 QAQ525278 QKM525278 QUI525278 REE525278 ROA525278 RXW525278 SHS525278 SRO525278 TBK525278 TLG525278 TVC525278 UEY525278 UOU525278 UYQ525278 VIM525278 VSI525278 WCE525278 WMA525278 WVW525278 O590814 JK590814 TG590814 ADC590814 AMY590814 AWU590814 BGQ590814 BQM590814 CAI590814 CKE590814 CUA590814 DDW590814 DNS590814 DXO590814 EHK590814 ERG590814 FBC590814 FKY590814 FUU590814 GEQ590814 GOM590814 GYI590814 HIE590814 HSA590814 IBW590814 ILS590814 IVO590814 JFK590814 JPG590814 JZC590814 KIY590814 KSU590814 LCQ590814 LMM590814 LWI590814 MGE590814 MQA590814 MZW590814 NJS590814 NTO590814 ODK590814 ONG590814 OXC590814 PGY590814 PQU590814 QAQ590814 QKM590814 QUI590814 REE590814 ROA590814 RXW590814 SHS590814 SRO590814 TBK590814 TLG590814 TVC590814 UEY590814 UOU590814 UYQ590814 VIM590814 VSI590814 WCE590814 WMA590814 WVW590814 O656350 JK656350 TG656350 ADC656350 AMY656350 AWU656350 BGQ656350 BQM656350 CAI656350 CKE656350 CUA656350 DDW656350 DNS656350 DXO656350 EHK656350 ERG656350 FBC656350 FKY656350 FUU656350 GEQ656350 GOM656350 GYI656350 HIE656350 HSA656350 IBW656350 ILS656350 IVO656350 JFK656350 JPG656350 JZC656350 KIY656350 KSU656350 LCQ656350 LMM656350 LWI656350 MGE656350 MQA656350 MZW656350 NJS656350 NTO656350 ODK656350 ONG656350 OXC656350 PGY656350 PQU656350 QAQ656350 QKM656350 QUI656350 REE656350 ROA656350 RXW656350 SHS656350 SRO656350 TBK656350 TLG656350 TVC656350 UEY656350 UOU656350 UYQ656350 VIM656350 VSI656350 WCE656350 WMA656350 WVW656350 O721886 JK721886 TG721886 ADC721886 AMY721886 AWU721886 BGQ721886 BQM721886 CAI721886 CKE721886 CUA721886 DDW721886 DNS721886 DXO721886 EHK721886 ERG721886 FBC721886 FKY721886 FUU721886 GEQ721886 GOM721886 GYI721886 HIE721886 HSA721886 IBW721886 ILS721886 IVO721886 JFK721886 JPG721886 JZC721886 KIY721886 KSU721886 LCQ721886 LMM721886 LWI721886 MGE721886 MQA721886 MZW721886 NJS721886 NTO721886 ODK721886 ONG721886 OXC721886 PGY721886 PQU721886 QAQ721886 QKM721886 QUI721886 REE721886 ROA721886 RXW721886 SHS721886 SRO721886 TBK721886 TLG721886 TVC721886 UEY721886 UOU721886 UYQ721886 VIM721886 VSI721886 WCE721886 WMA721886 WVW721886 O787422 JK787422 TG787422 ADC787422 AMY787422 AWU787422 BGQ787422 BQM787422 CAI787422 CKE787422 CUA787422 DDW787422 DNS787422 DXO787422 EHK787422 ERG787422 FBC787422 FKY787422 FUU787422 GEQ787422 GOM787422 GYI787422 HIE787422 HSA787422 IBW787422 ILS787422 IVO787422 JFK787422 JPG787422 JZC787422 KIY787422 KSU787422 LCQ787422 LMM787422 LWI787422 MGE787422 MQA787422 MZW787422 NJS787422 NTO787422 ODK787422 ONG787422 OXC787422 PGY787422 PQU787422 QAQ787422 QKM787422 QUI787422 REE787422 ROA787422 RXW787422 SHS787422 SRO787422 TBK787422 TLG787422 TVC787422 UEY787422 UOU787422 UYQ787422 VIM787422 VSI787422 WCE787422 WMA787422 WVW787422 O852958 JK852958 TG852958 ADC852958 AMY852958 AWU852958 BGQ852958 BQM852958 CAI852958 CKE852958 CUA852958 DDW852958 DNS852958 DXO852958 EHK852958 ERG852958 FBC852958 FKY852958 FUU852958 GEQ852958 GOM852958 GYI852958 HIE852958 HSA852958 IBW852958 ILS852958 IVO852958 JFK852958 JPG852958 JZC852958 KIY852958 KSU852958 LCQ852958 LMM852958 LWI852958 MGE852958 MQA852958 MZW852958 NJS852958 NTO852958 ODK852958 ONG852958 OXC852958 PGY852958 PQU852958 QAQ852958 QKM852958 QUI852958 REE852958 ROA852958 RXW852958 SHS852958 SRO852958 TBK852958 TLG852958 TVC852958 UEY852958 UOU852958 UYQ852958 VIM852958 VSI852958 WCE852958 WMA852958 WVW852958 O918494 JK918494 TG918494 ADC918494 AMY918494 AWU918494 BGQ918494 BQM918494 CAI918494 CKE918494 CUA918494 DDW918494 DNS918494 DXO918494 EHK918494 ERG918494 FBC918494 FKY918494 FUU918494 GEQ918494 GOM918494 GYI918494 HIE918494 HSA918494 IBW918494 ILS918494 IVO918494 JFK918494 JPG918494 JZC918494 KIY918494 KSU918494 LCQ918494 LMM918494 LWI918494 MGE918494 MQA918494 MZW918494 NJS918494 NTO918494 ODK918494 ONG918494 OXC918494 PGY918494 PQU918494 QAQ918494 QKM918494 QUI918494 REE918494 ROA918494 RXW918494 SHS918494 SRO918494 TBK918494 TLG918494 TVC918494 UEY918494 UOU918494 UYQ918494 VIM918494 VSI918494 WCE918494 WMA918494 WVW918494 O984030 JK984030 TG984030 ADC984030 AMY984030 AWU984030 BGQ984030 BQM984030 CAI984030 CKE984030 CUA984030 DDW984030 DNS984030 DXO984030 EHK984030 ERG984030 FBC984030 FKY984030 FUU984030 GEQ984030 GOM984030 GYI984030 HIE984030 HSA984030 IBW984030 ILS984030 IVO984030 JFK984030 JPG984030 JZC984030 KIY984030 KSU984030 LCQ984030 LMM984030 LWI984030 MGE984030 MQA984030 MZW984030 NJS984030 NTO984030 ODK984030 ONG984030 OXC984030 PGY984030 PQU984030 QAQ984030 QKM984030 QUI984030 REE984030 ROA984030 RXW984030 SHS984030 SRO984030 TBK984030 TLG984030 TVC984030 UEY984030 UOU984030 UYQ984030 VIM984030 VSI984030 WCE984030 WMA984030 WVW984030 O997 JK997 TG997 ADC997 AMY997 AWU997 BGQ997 BQM997 CAI997 CKE997 CUA997 DDW997 DNS997 DXO997 EHK997 ERG997 FBC997 FKY997 FUU997 GEQ997 GOM997 GYI997 HIE997 HSA997 IBW997 ILS997 IVO997 JFK997 JPG997 JZC997 KIY997 KSU997 LCQ997 LMM997 LWI997 MGE997 MQA997 MZW997 NJS997 NTO997 ODK997 ONG997 OXC997 PGY997 PQU997 QAQ997 QKM997 QUI997 REE997 ROA997 RXW997 SHS997 SRO997 TBK997 TLG997 TVC997 UEY997 UOU997 UYQ997 VIM997 VSI997 WCE997 WMA997 WVW997 O66533 JK66533 TG66533 ADC66533 AMY66533 AWU66533 BGQ66533 BQM66533 CAI66533 CKE66533 CUA66533 DDW66533 DNS66533 DXO66533 EHK66533 ERG66533 FBC66533 FKY66533 FUU66533 GEQ66533 GOM66533 GYI66533 HIE66533 HSA66533 IBW66533 ILS66533 IVO66533 JFK66533 JPG66533 JZC66533 KIY66533 KSU66533 LCQ66533 LMM66533 LWI66533 MGE66533 MQA66533 MZW66533 NJS66533 NTO66533 ODK66533 ONG66533 OXC66533 PGY66533 PQU66533 QAQ66533 QKM66533 QUI66533 REE66533 ROA66533 RXW66533 SHS66533 SRO66533 TBK66533 TLG66533 TVC66533 UEY66533 UOU66533 UYQ66533 VIM66533 VSI66533 WCE66533 WMA66533 WVW66533 O132069 JK132069 TG132069 ADC132069 AMY132069 AWU132069 BGQ132069 BQM132069 CAI132069 CKE132069 CUA132069 DDW132069 DNS132069 DXO132069 EHK132069 ERG132069 FBC132069 FKY132069 FUU132069 GEQ132069 GOM132069 GYI132069 HIE132069 HSA132069 IBW132069 ILS132069 IVO132069 JFK132069 JPG132069 JZC132069 KIY132069 KSU132069 LCQ132069 LMM132069 LWI132069 MGE132069 MQA132069 MZW132069 NJS132069 NTO132069 ODK132069 ONG132069 OXC132069 PGY132069 PQU132069 QAQ132069 QKM132069 QUI132069 REE132069 ROA132069 RXW132069 SHS132069 SRO132069 TBK132069 TLG132069 TVC132069 UEY132069 UOU132069 UYQ132069 VIM132069 VSI132069 WCE132069 WMA132069 WVW132069 O197605 JK197605 TG197605 ADC197605 AMY197605 AWU197605 BGQ197605 BQM197605 CAI197605 CKE197605 CUA197605 DDW197605 DNS197605 DXO197605 EHK197605 ERG197605 FBC197605 FKY197605 FUU197605 GEQ197605 GOM197605 GYI197605 HIE197605 HSA197605 IBW197605 ILS197605 IVO197605 JFK197605 JPG197605 JZC197605 KIY197605 KSU197605 LCQ197605 LMM197605 LWI197605 MGE197605 MQA197605 MZW197605 NJS197605 NTO197605 ODK197605 ONG197605 OXC197605 PGY197605 PQU197605 QAQ197605 QKM197605 QUI197605 REE197605 ROA197605 RXW197605 SHS197605 SRO197605 TBK197605 TLG197605 TVC197605 UEY197605 UOU197605 UYQ197605 VIM197605 VSI197605 WCE197605 WMA197605 WVW197605 O263141 JK263141 TG263141 ADC263141 AMY263141 AWU263141 BGQ263141 BQM263141 CAI263141 CKE263141 CUA263141 DDW263141 DNS263141 DXO263141 EHK263141 ERG263141 FBC263141 FKY263141 FUU263141 GEQ263141 GOM263141 GYI263141 HIE263141 HSA263141 IBW263141 ILS263141 IVO263141 JFK263141 JPG263141 JZC263141 KIY263141 KSU263141 LCQ263141 LMM263141 LWI263141 MGE263141 MQA263141 MZW263141 NJS263141 NTO263141 ODK263141 ONG263141 OXC263141 PGY263141 PQU263141 QAQ263141 QKM263141 QUI263141 REE263141 ROA263141 RXW263141 SHS263141 SRO263141 TBK263141 TLG263141 TVC263141 UEY263141 UOU263141 UYQ263141 VIM263141 VSI263141 WCE263141 WMA263141 WVW263141 O328677 JK328677 TG328677 ADC328677 AMY328677 AWU328677 BGQ328677 BQM328677 CAI328677 CKE328677 CUA328677 DDW328677 DNS328677 DXO328677 EHK328677 ERG328677 FBC328677 FKY328677 FUU328677 GEQ328677 GOM328677 GYI328677 HIE328677 HSA328677 IBW328677 ILS328677 IVO328677 JFK328677 JPG328677 JZC328677 KIY328677 KSU328677 LCQ328677 LMM328677 LWI328677 MGE328677 MQA328677 MZW328677 NJS328677 NTO328677 ODK328677 ONG328677 OXC328677 PGY328677 PQU328677 QAQ328677 QKM328677 QUI328677 REE328677 ROA328677 RXW328677 SHS328677 SRO328677 TBK328677 TLG328677 TVC328677 UEY328677 UOU328677 UYQ328677 VIM328677 VSI328677 WCE328677 WMA328677 WVW328677 O394213 JK394213 TG394213 ADC394213 AMY394213 AWU394213 BGQ394213 BQM394213 CAI394213 CKE394213 CUA394213 DDW394213 DNS394213 DXO394213 EHK394213 ERG394213 FBC394213 FKY394213 FUU394213 GEQ394213 GOM394213 GYI394213 HIE394213 HSA394213 IBW394213 ILS394213 IVO394213 JFK394213 JPG394213 JZC394213 KIY394213 KSU394213 LCQ394213 LMM394213 LWI394213 MGE394213 MQA394213 MZW394213 NJS394213 NTO394213 ODK394213 ONG394213 OXC394213 PGY394213 PQU394213 QAQ394213 QKM394213 QUI394213 REE394213 ROA394213 RXW394213 SHS394213 SRO394213 TBK394213 TLG394213 TVC394213 UEY394213 UOU394213 UYQ394213 VIM394213 VSI394213 WCE394213 WMA394213 WVW394213 O459749 JK459749 TG459749 ADC459749 AMY459749 AWU459749 BGQ459749 BQM459749 CAI459749 CKE459749 CUA459749 DDW459749 DNS459749 DXO459749 EHK459749 ERG459749 FBC459749 FKY459749 FUU459749 GEQ459749 GOM459749 GYI459749 HIE459749 HSA459749 IBW459749 ILS459749 IVO459749 JFK459749 JPG459749 JZC459749 KIY459749 KSU459749 LCQ459749 LMM459749 LWI459749 MGE459749 MQA459749 MZW459749 NJS459749 NTO459749 ODK459749 ONG459749 OXC459749 PGY459749 PQU459749 QAQ459749 QKM459749 QUI459749 REE459749 ROA459749 RXW459749 SHS459749 SRO459749 TBK459749 TLG459749 TVC459749 UEY459749 UOU459749 UYQ459749 VIM459749 VSI459749 WCE459749 WMA459749 WVW459749 O525285 JK525285 TG525285 ADC525285 AMY525285 AWU525285 BGQ525285 BQM525285 CAI525285 CKE525285 CUA525285 DDW525285 DNS525285 DXO525285 EHK525285 ERG525285 FBC525285 FKY525285 FUU525285 GEQ525285 GOM525285 GYI525285 HIE525285 HSA525285 IBW525285 ILS525285 IVO525285 JFK525285 JPG525285 JZC525285 KIY525285 KSU525285 LCQ525285 LMM525285 LWI525285 MGE525285 MQA525285 MZW525285 NJS525285 NTO525285 ODK525285 ONG525285 OXC525285 PGY525285 PQU525285 QAQ525285 QKM525285 QUI525285 REE525285 ROA525285 RXW525285 SHS525285 SRO525285 TBK525285 TLG525285 TVC525285 UEY525285 UOU525285 UYQ525285 VIM525285 VSI525285 WCE525285 WMA525285 WVW525285 O590821 JK590821 TG590821 ADC590821 AMY590821 AWU590821 BGQ590821 BQM590821 CAI590821 CKE590821 CUA590821 DDW590821 DNS590821 DXO590821 EHK590821 ERG590821 FBC590821 FKY590821 FUU590821 GEQ590821 GOM590821 GYI590821 HIE590821 HSA590821 IBW590821 ILS590821 IVO590821 JFK590821 JPG590821 JZC590821 KIY590821 KSU590821 LCQ590821 LMM590821 LWI590821 MGE590821 MQA590821 MZW590821 NJS590821 NTO590821 ODK590821 ONG590821 OXC590821 PGY590821 PQU590821 QAQ590821 QKM590821 QUI590821 REE590821 ROA590821 RXW590821 SHS590821 SRO590821 TBK590821 TLG590821 TVC590821 UEY590821 UOU590821 UYQ590821 VIM590821 VSI590821 WCE590821 WMA590821 WVW590821 O656357 JK656357 TG656357 ADC656357 AMY656357 AWU656357 BGQ656357 BQM656357 CAI656357 CKE656357 CUA656357 DDW656357 DNS656357 DXO656357 EHK656357 ERG656357 FBC656357 FKY656357 FUU656357 GEQ656357 GOM656357 GYI656357 HIE656357 HSA656357 IBW656357 ILS656357 IVO656357 JFK656357 JPG656357 JZC656357 KIY656357 KSU656357 LCQ656357 LMM656357 LWI656357 MGE656357 MQA656357 MZW656357 NJS656357 NTO656357 ODK656357 ONG656357 OXC656357 PGY656357 PQU656357 QAQ656357 QKM656357 QUI656357 REE656357 ROA656357 RXW656357 SHS656357 SRO656357 TBK656357 TLG656357 TVC656357 UEY656357 UOU656357 UYQ656357 VIM656357 VSI656357 WCE656357 WMA656357 WVW656357 O721893 JK721893 TG721893 ADC721893 AMY721893 AWU721893 BGQ721893 BQM721893 CAI721893 CKE721893 CUA721893 DDW721893 DNS721893 DXO721893 EHK721893 ERG721893 FBC721893 FKY721893 FUU721893 GEQ721893 GOM721893 GYI721893 HIE721893 HSA721893 IBW721893 ILS721893 IVO721893 JFK721893 JPG721893 JZC721893 KIY721893 KSU721893 LCQ721893 LMM721893 LWI721893 MGE721893 MQA721893 MZW721893 NJS721893 NTO721893 ODK721893 ONG721893 OXC721893 PGY721893 PQU721893 QAQ721893 QKM721893 QUI721893 REE721893 ROA721893 RXW721893 SHS721893 SRO721893 TBK721893 TLG721893 TVC721893 UEY721893 UOU721893 UYQ721893 VIM721893 VSI721893 WCE721893 WMA721893 WVW721893 O787429 JK787429 TG787429 ADC787429 AMY787429 AWU787429 BGQ787429 BQM787429 CAI787429 CKE787429 CUA787429 DDW787429 DNS787429 DXO787429 EHK787429 ERG787429 FBC787429 FKY787429 FUU787429 GEQ787429 GOM787429 GYI787429 HIE787429 HSA787429 IBW787429 ILS787429 IVO787429 JFK787429 JPG787429 JZC787429 KIY787429 KSU787429 LCQ787429 LMM787429 LWI787429 MGE787429 MQA787429 MZW787429 NJS787429 NTO787429 ODK787429 ONG787429 OXC787429 PGY787429 PQU787429 QAQ787429 QKM787429 QUI787429 REE787429 ROA787429 RXW787429 SHS787429 SRO787429 TBK787429 TLG787429 TVC787429 UEY787429 UOU787429 UYQ787429 VIM787429 VSI787429 WCE787429 WMA787429 WVW787429 O852965 JK852965 TG852965 ADC852965 AMY852965 AWU852965 BGQ852965 BQM852965 CAI852965 CKE852965 CUA852965 DDW852965 DNS852965 DXO852965 EHK852965 ERG852965 FBC852965 FKY852965 FUU852965 GEQ852965 GOM852965 GYI852965 HIE852965 HSA852965 IBW852965 ILS852965 IVO852965 JFK852965 JPG852965 JZC852965 KIY852965 KSU852965 LCQ852965 LMM852965 LWI852965 MGE852965 MQA852965 MZW852965 NJS852965 NTO852965 ODK852965 ONG852965 OXC852965 PGY852965 PQU852965 QAQ852965 QKM852965 QUI852965 REE852965 ROA852965 RXW852965 SHS852965 SRO852965 TBK852965 TLG852965 TVC852965 UEY852965 UOU852965 UYQ852965 VIM852965 VSI852965 WCE852965 WMA852965 WVW852965 O918501 JK918501 TG918501 ADC918501 AMY918501 AWU918501 BGQ918501 BQM918501 CAI918501 CKE918501 CUA918501 DDW918501 DNS918501 DXO918501 EHK918501 ERG918501 FBC918501 FKY918501 FUU918501 GEQ918501 GOM918501 GYI918501 HIE918501 HSA918501 IBW918501 ILS918501 IVO918501 JFK918501 JPG918501 JZC918501 KIY918501 KSU918501 LCQ918501 LMM918501 LWI918501 MGE918501 MQA918501 MZW918501 NJS918501 NTO918501 ODK918501 ONG918501 OXC918501 PGY918501 PQU918501 QAQ918501 QKM918501 QUI918501 REE918501 ROA918501 RXW918501 SHS918501 SRO918501 TBK918501 TLG918501 TVC918501 UEY918501 UOU918501 UYQ918501 VIM918501 VSI918501 WCE918501 WMA918501 WVW918501 O984037 JK984037 TG984037 ADC984037 AMY984037 AWU984037 BGQ984037 BQM984037 CAI984037 CKE984037 CUA984037 DDW984037 DNS984037 DXO984037 EHK984037 ERG984037 FBC984037 FKY984037 FUU984037 GEQ984037 GOM984037 GYI984037 HIE984037 HSA984037 IBW984037 ILS984037 IVO984037 JFK984037 JPG984037 JZC984037 KIY984037 KSU984037 LCQ984037 LMM984037 LWI984037 MGE984037 MQA984037 MZW984037 NJS984037 NTO984037 ODK984037 ONG984037 OXC984037 PGY984037 PQU984037 QAQ984037 QKM984037 QUI984037 REE984037 ROA984037 RXW984037 SHS984037 SRO984037 TBK984037 TLG984037 TVC984037 UEY984037 UOU984037 UYQ984037 VIM984037 VSI984037 WCE984037 WMA984037 WVW984037 O1004 JK1004 TG1004 ADC1004 AMY1004 AWU1004 BGQ1004 BQM1004 CAI1004 CKE1004 CUA1004 DDW1004 DNS1004 DXO1004 EHK1004 ERG1004 FBC1004 FKY1004 FUU1004 GEQ1004 GOM1004 GYI1004 HIE1004 HSA1004 IBW1004 ILS1004 IVO1004 JFK1004 JPG1004 JZC1004 KIY1004 KSU1004 LCQ1004 LMM1004 LWI1004 MGE1004 MQA1004 MZW1004 NJS1004 NTO1004 ODK1004 ONG1004 OXC1004 PGY1004 PQU1004 QAQ1004 QKM1004 QUI1004 REE1004 ROA1004 RXW1004 SHS1004 SRO1004 TBK1004 TLG1004 TVC1004 UEY1004 UOU1004 UYQ1004 VIM1004 VSI1004 WCE1004 WMA1004 WVW1004 O66540 JK66540 TG66540 ADC66540 AMY66540 AWU66540 BGQ66540 BQM66540 CAI66540 CKE66540 CUA66540 DDW66540 DNS66540 DXO66540 EHK66540 ERG66540 FBC66540 FKY66540 FUU66540 GEQ66540 GOM66540 GYI66540 HIE66540 HSA66540 IBW66540 ILS66540 IVO66540 JFK66540 JPG66540 JZC66540 KIY66540 KSU66540 LCQ66540 LMM66540 LWI66540 MGE66540 MQA66540 MZW66540 NJS66540 NTO66540 ODK66540 ONG66540 OXC66540 PGY66540 PQU66540 QAQ66540 QKM66540 QUI66540 REE66540 ROA66540 RXW66540 SHS66540 SRO66540 TBK66540 TLG66540 TVC66540 UEY66540 UOU66540 UYQ66540 VIM66540 VSI66540 WCE66540 WMA66540 WVW66540 O132076 JK132076 TG132076 ADC132076 AMY132076 AWU132076 BGQ132076 BQM132076 CAI132076 CKE132076 CUA132076 DDW132076 DNS132076 DXO132076 EHK132076 ERG132076 FBC132076 FKY132076 FUU132076 GEQ132076 GOM132076 GYI132076 HIE132076 HSA132076 IBW132076 ILS132076 IVO132076 JFK132076 JPG132076 JZC132076 KIY132076 KSU132076 LCQ132076 LMM132076 LWI132076 MGE132076 MQA132076 MZW132076 NJS132076 NTO132076 ODK132076 ONG132076 OXC132076 PGY132076 PQU132076 QAQ132076 QKM132076 QUI132076 REE132076 ROA132076 RXW132076 SHS132076 SRO132076 TBK132076 TLG132076 TVC132076 UEY132076 UOU132076 UYQ132076 VIM132076 VSI132076 WCE132076 WMA132076 WVW132076 O197612 JK197612 TG197612 ADC197612 AMY197612 AWU197612 BGQ197612 BQM197612 CAI197612 CKE197612 CUA197612 DDW197612 DNS197612 DXO197612 EHK197612 ERG197612 FBC197612 FKY197612 FUU197612 GEQ197612 GOM197612 GYI197612 HIE197612 HSA197612 IBW197612 ILS197612 IVO197612 JFK197612 JPG197612 JZC197612 KIY197612 KSU197612 LCQ197612 LMM197612 LWI197612 MGE197612 MQA197612 MZW197612 NJS197612 NTO197612 ODK197612 ONG197612 OXC197612 PGY197612 PQU197612 QAQ197612 QKM197612 QUI197612 REE197612 ROA197612 RXW197612 SHS197612 SRO197612 TBK197612 TLG197612 TVC197612 UEY197612 UOU197612 UYQ197612 VIM197612 VSI197612 WCE197612 WMA197612 WVW197612 O263148 JK263148 TG263148 ADC263148 AMY263148 AWU263148 BGQ263148 BQM263148 CAI263148 CKE263148 CUA263148 DDW263148 DNS263148 DXO263148 EHK263148 ERG263148 FBC263148 FKY263148 FUU263148 GEQ263148 GOM263148 GYI263148 HIE263148 HSA263148 IBW263148 ILS263148 IVO263148 JFK263148 JPG263148 JZC263148 KIY263148 KSU263148 LCQ263148 LMM263148 LWI263148 MGE263148 MQA263148 MZW263148 NJS263148 NTO263148 ODK263148 ONG263148 OXC263148 PGY263148 PQU263148 QAQ263148 QKM263148 QUI263148 REE263148 ROA263148 RXW263148 SHS263148 SRO263148 TBK263148 TLG263148 TVC263148 UEY263148 UOU263148 UYQ263148 VIM263148 VSI263148 WCE263148 WMA263148 WVW263148 O328684 JK328684 TG328684 ADC328684 AMY328684 AWU328684 BGQ328684 BQM328684 CAI328684 CKE328684 CUA328684 DDW328684 DNS328684 DXO328684 EHK328684 ERG328684 FBC328684 FKY328684 FUU328684 GEQ328684 GOM328684 GYI328684 HIE328684 HSA328684 IBW328684 ILS328684 IVO328684 JFK328684 JPG328684 JZC328684 KIY328684 KSU328684 LCQ328684 LMM328684 LWI328684 MGE328684 MQA328684 MZW328684 NJS328684 NTO328684 ODK328684 ONG328684 OXC328684 PGY328684 PQU328684 QAQ328684 QKM328684 QUI328684 REE328684 ROA328684 RXW328684 SHS328684 SRO328684 TBK328684 TLG328684 TVC328684 UEY328684 UOU328684 UYQ328684 VIM328684 VSI328684 WCE328684 WMA328684 WVW328684 O394220 JK394220 TG394220 ADC394220 AMY394220 AWU394220 BGQ394220 BQM394220 CAI394220 CKE394220 CUA394220 DDW394220 DNS394220 DXO394220 EHK394220 ERG394220 FBC394220 FKY394220 FUU394220 GEQ394220 GOM394220 GYI394220 HIE394220 HSA394220 IBW394220 ILS394220 IVO394220 JFK394220 JPG394220 JZC394220 KIY394220 KSU394220 LCQ394220 LMM394220 LWI394220 MGE394220 MQA394220 MZW394220 NJS394220 NTO394220 ODK394220 ONG394220 OXC394220 PGY394220 PQU394220 QAQ394220 QKM394220 QUI394220 REE394220 ROA394220 RXW394220 SHS394220 SRO394220 TBK394220 TLG394220 TVC394220 UEY394220 UOU394220 UYQ394220 VIM394220 VSI394220 WCE394220 WMA394220 WVW394220 O459756 JK459756 TG459756 ADC459756 AMY459756 AWU459756 BGQ459756 BQM459756 CAI459756 CKE459756 CUA459756 DDW459756 DNS459756 DXO459756 EHK459756 ERG459756 FBC459756 FKY459756 FUU459756 GEQ459756 GOM459756 GYI459756 HIE459756 HSA459756 IBW459756 ILS459756 IVO459756 JFK459756 JPG459756 JZC459756 KIY459756 KSU459756 LCQ459756 LMM459756 LWI459756 MGE459756 MQA459756 MZW459756 NJS459756 NTO459756 ODK459756 ONG459756 OXC459756 PGY459756 PQU459756 QAQ459756 QKM459756 QUI459756 REE459756 ROA459756 RXW459756 SHS459756 SRO459756 TBK459756 TLG459756 TVC459756 UEY459756 UOU459756 UYQ459756 VIM459756 VSI459756 WCE459756 WMA459756 WVW459756 O525292 JK525292 TG525292 ADC525292 AMY525292 AWU525292 BGQ525292 BQM525292 CAI525292 CKE525292 CUA525292 DDW525292 DNS525292 DXO525292 EHK525292 ERG525292 FBC525292 FKY525292 FUU525292 GEQ525292 GOM525292 GYI525292 HIE525292 HSA525292 IBW525292 ILS525292 IVO525292 JFK525292 JPG525292 JZC525292 KIY525292 KSU525292 LCQ525292 LMM525292 LWI525292 MGE525292 MQA525292 MZW525292 NJS525292 NTO525292 ODK525292 ONG525292 OXC525292 PGY525292 PQU525292 QAQ525292 QKM525292 QUI525292 REE525292 ROA525292 RXW525292 SHS525292 SRO525292 TBK525292 TLG525292 TVC525292 UEY525292 UOU525292 UYQ525292 VIM525292 VSI525292 WCE525292 WMA525292 WVW525292 O590828 JK590828 TG590828 ADC590828 AMY590828 AWU590828 BGQ590828 BQM590828 CAI590828 CKE590828 CUA590828 DDW590828 DNS590828 DXO590828 EHK590828 ERG590828 FBC590828 FKY590828 FUU590828 GEQ590828 GOM590828 GYI590828 HIE590828 HSA590828 IBW590828 ILS590828 IVO590828 JFK590828 JPG590828 JZC590828 KIY590828 KSU590828 LCQ590828 LMM590828 LWI590828 MGE590828 MQA590828 MZW590828 NJS590828 NTO590828 ODK590828 ONG590828 OXC590828 PGY590828 PQU590828 QAQ590828 QKM590828 QUI590828 REE590828 ROA590828 RXW590828 SHS590828 SRO590828 TBK590828 TLG590828 TVC590828 UEY590828 UOU590828 UYQ590828 VIM590828 VSI590828 WCE590828 WMA590828 WVW590828 O656364 JK656364 TG656364 ADC656364 AMY656364 AWU656364 BGQ656364 BQM656364 CAI656364 CKE656364 CUA656364 DDW656364 DNS656364 DXO656364 EHK656364 ERG656364 FBC656364 FKY656364 FUU656364 GEQ656364 GOM656364 GYI656364 HIE656364 HSA656364 IBW656364 ILS656364 IVO656364 JFK656364 JPG656364 JZC656364 KIY656364 KSU656364 LCQ656364 LMM656364 LWI656364 MGE656364 MQA656364 MZW656364 NJS656364 NTO656364 ODK656364 ONG656364 OXC656364 PGY656364 PQU656364 QAQ656364 QKM656364 QUI656364 REE656364 ROA656364 RXW656364 SHS656364 SRO656364 TBK656364 TLG656364 TVC656364 UEY656364 UOU656364 UYQ656364 VIM656364 VSI656364 WCE656364 WMA656364 WVW656364 O721900 JK721900 TG721900 ADC721900 AMY721900 AWU721900 BGQ721900 BQM721900 CAI721900 CKE721900 CUA721900 DDW721900 DNS721900 DXO721900 EHK721900 ERG721900 FBC721900 FKY721900 FUU721900 GEQ721900 GOM721900 GYI721900 HIE721900 HSA721900 IBW721900 ILS721900 IVO721900 JFK721900 JPG721900 JZC721900 KIY721900 KSU721900 LCQ721900 LMM721900 LWI721900 MGE721900 MQA721900 MZW721900 NJS721900 NTO721900 ODK721900 ONG721900 OXC721900 PGY721900 PQU721900 QAQ721900 QKM721900 QUI721900 REE721900 ROA721900 RXW721900 SHS721900 SRO721900 TBK721900 TLG721900 TVC721900 UEY721900 UOU721900 UYQ721900 VIM721900 VSI721900 WCE721900 WMA721900 WVW721900 O787436 JK787436 TG787436 ADC787436 AMY787436 AWU787436 BGQ787436 BQM787436 CAI787436 CKE787436 CUA787436 DDW787436 DNS787436 DXO787436 EHK787436 ERG787436 FBC787436 FKY787436 FUU787436 GEQ787436 GOM787436 GYI787436 HIE787436 HSA787436 IBW787436 ILS787436 IVO787436 JFK787436 JPG787436 JZC787436 KIY787436 KSU787436 LCQ787436 LMM787436 LWI787436 MGE787436 MQA787436 MZW787436 NJS787436 NTO787436 ODK787436 ONG787436 OXC787436 PGY787436 PQU787436 QAQ787436 QKM787436 QUI787436 REE787436 ROA787436 RXW787436 SHS787436 SRO787436 TBK787436 TLG787436 TVC787436 UEY787436 UOU787436 UYQ787436 VIM787436 VSI787436 WCE787436 WMA787436 WVW787436 O852972 JK852972 TG852972 ADC852972 AMY852972 AWU852972 BGQ852972 BQM852972 CAI852972 CKE852972 CUA852972 DDW852972 DNS852972 DXO852972 EHK852972 ERG852972 FBC852972 FKY852972 FUU852972 GEQ852972 GOM852972 GYI852972 HIE852972 HSA852972 IBW852972 ILS852972 IVO852972 JFK852972 JPG852972 JZC852972 KIY852972 KSU852972 LCQ852972 LMM852972 LWI852972 MGE852972 MQA852972 MZW852972 NJS852972 NTO852972 ODK852972 ONG852972 OXC852972 PGY852972 PQU852972 QAQ852972 QKM852972 QUI852972 REE852972 ROA852972 RXW852972 SHS852972 SRO852972 TBK852972 TLG852972 TVC852972 UEY852972 UOU852972 UYQ852972 VIM852972 VSI852972 WCE852972 WMA852972 WVW852972 O918508 JK918508 TG918508 ADC918508 AMY918508 AWU918508 BGQ918508 BQM918508 CAI918508 CKE918508 CUA918508 DDW918508 DNS918508 DXO918508 EHK918508 ERG918508 FBC918508 FKY918508 FUU918508 GEQ918508 GOM918508 GYI918508 HIE918508 HSA918508 IBW918508 ILS918508 IVO918508 JFK918508 JPG918508 JZC918508 KIY918508 KSU918508 LCQ918508 LMM918508 LWI918508 MGE918508 MQA918508 MZW918508 NJS918508 NTO918508 ODK918508 ONG918508 OXC918508 PGY918508 PQU918508 QAQ918508 QKM918508 QUI918508 REE918508 ROA918508 RXW918508 SHS918508 SRO918508 TBK918508 TLG918508 TVC918508 UEY918508 UOU918508 UYQ918508 VIM918508 VSI918508 WCE918508 WMA918508 WVW918508 O984044 JK984044 TG984044 ADC984044 AMY984044 AWU984044 BGQ984044 BQM984044 CAI984044 CKE984044 CUA984044 DDW984044 DNS984044 DXO984044 EHK984044 ERG984044 FBC984044 FKY984044 FUU984044 GEQ984044 GOM984044 GYI984044 HIE984044 HSA984044 IBW984044 ILS984044 IVO984044 JFK984044 JPG984044 JZC984044 KIY984044 KSU984044 LCQ984044 LMM984044 LWI984044 MGE984044 MQA984044 MZW984044 NJS984044 NTO984044 ODK984044 ONG984044 OXC984044 PGY984044 PQU984044 QAQ984044 QKM984044 QUI984044 REE984044 ROA984044 RXW984044 SHS984044 SRO984044 TBK984044 TLG984044 TVC984044 UEY984044 UOU984044 UYQ984044 VIM984044 VSI984044 WCE984044 WMA984044 WVW984044 O1011 JK1011 TG1011 ADC1011 AMY1011 AWU1011 BGQ1011 BQM1011 CAI1011 CKE1011 CUA1011 DDW1011 DNS1011 DXO1011 EHK1011 ERG1011 FBC1011 FKY1011 FUU1011 GEQ1011 GOM1011 GYI1011 HIE1011 HSA1011 IBW1011 ILS1011 IVO1011 JFK1011 JPG1011 JZC1011 KIY1011 KSU1011 LCQ1011 LMM1011 LWI1011 MGE1011 MQA1011 MZW1011 NJS1011 NTO1011 ODK1011 ONG1011 OXC1011 PGY1011 PQU1011 QAQ1011 QKM1011 QUI1011 REE1011 ROA1011 RXW1011 SHS1011 SRO1011 TBK1011 TLG1011 TVC1011 UEY1011 UOU1011 UYQ1011 VIM1011 VSI1011 WCE1011 WMA1011 WVW1011 O66547 JK66547 TG66547 ADC66547 AMY66547 AWU66547 BGQ66547 BQM66547 CAI66547 CKE66547 CUA66547 DDW66547 DNS66547 DXO66547 EHK66547 ERG66547 FBC66547 FKY66547 FUU66547 GEQ66547 GOM66547 GYI66547 HIE66547 HSA66547 IBW66547 ILS66547 IVO66547 JFK66547 JPG66547 JZC66547 KIY66547 KSU66547 LCQ66547 LMM66547 LWI66547 MGE66547 MQA66547 MZW66547 NJS66547 NTO66547 ODK66547 ONG66547 OXC66547 PGY66547 PQU66547 QAQ66547 QKM66547 QUI66547 REE66547 ROA66547 RXW66547 SHS66547 SRO66547 TBK66547 TLG66547 TVC66547 UEY66547 UOU66547 UYQ66547 VIM66547 VSI66547 WCE66547 WMA66547 WVW66547 O132083 JK132083 TG132083 ADC132083 AMY132083 AWU132083 BGQ132083 BQM132083 CAI132083 CKE132083 CUA132083 DDW132083 DNS132083 DXO132083 EHK132083 ERG132083 FBC132083 FKY132083 FUU132083 GEQ132083 GOM132083 GYI132083 HIE132083 HSA132083 IBW132083 ILS132083 IVO132083 JFK132083 JPG132083 JZC132083 KIY132083 KSU132083 LCQ132083 LMM132083 LWI132083 MGE132083 MQA132083 MZW132083 NJS132083 NTO132083 ODK132083 ONG132083 OXC132083 PGY132083 PQU132083 QAQ132083 QKM132083 QUI132083 REE132083 ROA132083 RXW132083 SHS132083 SRO132083 TBK132083 TLG132083 TVC132083 UEY132083 UOU132083 UYQ132083 VIM132083 VSI132083 WCE132083 WMA132083 WVW132083 O197619 JK197619 TG197619 ADC197619 AMY197619 AWU197619 BGQ197619 BQM197619 CAI197619 CKE197619 CUA197619 DDW197619 DNS197619 DXO197619 EHK197619 ERG197619 FBC197619 FKY197619 FUU197619 GEQ197619 GOM197619 GYI197619 HIE197619 HSA197619 IBW197619 ILS197619 IVO197619 JFK197619 JPG197619 JZC197619 KIY197619 KSU197619 LCQ197619 LMM197619 LWI197619 MGE197619 MQA197619 MZW197619 NJS197619 NTO197619 ODK197619 ONG197619 OXC197619 PGY197619 PQU197619 QAQ197619 QKM197619 QUI197619 REE197619 ROA197619 RXW197619 SHS197619 SRO197619 TBK197619 TLG197619 TVC197619 UEY197619 UOU197619 UYQ197619 VIM197619 VSI197619 WCE197619 WMA197619 WVW197619 O263155 JK263155 TG263155 ADC263155 AMY263155 AWU263155 BGQ263155 BQM263155 CAI263155 CKE263155 CUA263155 DDW263155 DNS263155 DXO263155 EHK263155 ERG263155 FBC263155 FKY263155 FUU263155 GEQ263155 GOM263155 GYI263155 HIE263155 HSA263155 IBW263155 ILS263155 IVO263155 JFK263155 JPG263155 JZC263155 KIY263155 KSU263155 LCQ263155 LMM263155 LWI263155 MGE263155 MQA263155 MZW263155 NJS263155 NTO263155 ODK263155 ONG263155 OXC263155 PGY263155 PQU263155 QAQ263155 QKM263155 QUI263155 REE263155 ROA263155 RXW263155 SHS263155 SRO263155 TBK263155 TLG263155 TVC263155 UEY263155 UOU263155 UYQ263155 VIM263155 VSI263155 WCE263155 WMA263155 WVW263155 O328691 JK328691 TG328691 ADC328691 AMY328691 AWU328691 BGQ328691 BQM328691 CAI328691 CKE328691 CUA328691 DDW328691 DNS328691 DXO328691 EHK328691 ERG328691 FBC328691 FKY328691 FUU328691 GEQ328691 GOM328691 GYI328691 HIE328691 HSA328691 IBW328691 ILS328691 IVO328691 JFK328691 JPG328691 JZC328691 KIY328691 KSU328691 LCQ328691 LMM328691 LWI328691 MGE328691 MQA328691 MZW328691 NJS328691 NTO328691 ODK328691 ONG328691 OXC328691 PGY328691 PQU328691 QAQ328691 QKM328691 QUI328691 REE328691 ROA328691 RXW328691 SHS328691 SRO328691 TBK328691 TLG328691 TVC328691 UEY328691 UOU328691 UYQ328691 VIM328691 VSI328691 WCE328691 WMA328691 WVW328691 O394227 JK394227 TG394227 ADC394227 AMY394227 AWU394227 BGQ394227 BQM394227 CAI394227 CKE394227 CUA394227 DDW394227 DNS394227 DXO394227 EHK394227 ERG394227 FBC394227 FKY394227 FUU394227 GEQ394227 GOM394227 GYI394227 HIE394227 HSA394227 IBW394227 ILS394227 IVO394227 JFK394227 JPG394227 JZC394227 KIY394227 KSU394227 LCQ394227 LMM394227 LWI394227 MGE394227 MQA394227 MZW394227 NJS394227 NTO394227 ODK394227 ONG394227 OXC394227 PGY394227 PQU394227 QAQ394227 QKM394227 QUI394227 REE394227 ROA394227 RXW394227 SHS394227 SRO394227 TBK394227 TLG394227 TVC394227 UEY394227 UOU394227 UYQ394227 VIM394227 VSI394227 WCE394227 WMA394227 WVW394227 O459763 JK459763 TG459763 ADC459763 AMY459763 AWU459763 BGQ459763 BQM459763 CAI459763 CKE459763 CUA459763 DDW459763 DNS459763 DXO459763 EHK459763 ERG459763 FBC459763 FKY459763 FUU459763 GEQ459763 GOM459763 GYI459763 HIE459763 HSA459763 IBW459763 ILS459763 IVO459763 JFK459763 JPG459763 JZC459763 KIY459763 KSU459763 LCQ459763 LMM459763 LWI459763 MGE459763 MQA459763 MZW459763 NJS459763 NTO459763 ODK459763 ONG459763 OXC459763 PGY459763 PQU459763 QAQ459763 QKM459763 QUI459763 REE459763 ROA459763 RXW459763 SHS459763 SRO459763 TBK459763 TLG459763 TVC459763 UEY459763 UOU459763 UYQ459763 VIM459763 VSI459763 WCE459763 WMA459763 WVW459763 O525299 JK525299 TG525299 ADC525299 AMY525299 AWU525299 BGQ525299 BQM525299 CAI525299 CKE525299 CUA525299 DDW525299 DNS525299 DXO525299 EHK525299 ERG525299 FBC525299 FKY525299 FUU525299 GEQ525299 GOM525299 GYI525299 HIE525299 HSA525299 IBW525299 ILS525299 IVO525299 JFK525299 JPG525299 JZC525299 KIY525299 KSU525299 LCQ525299 LMM525299 LWI525299 MGE525299 MQA525299 MZW525299 NJS525299 NTO525299 ODK525299 ONG525299 OXC525299 PGY525299 PQU525299 QAQ525299 QKM525299 QUI525299 REE525299 ROA525299 RXW525299 SHS525299 SRO525299 TBK525299 TLG525299 TVC525299 UEY525299 UOU525299 UYQ525299 VIM525299 VSI525299 WCE525299 WMA525299 WVW525299 O590835 JK590835 TG590835 ADC590835 AMY590835 AWU590835 BGQ590835 BQM590835 CAI590835 CKE590835 CUA590835 DDW590835 DNS590835 DXO590835 EHK590835 ERG590835 FBC590835 FKY590835 FUU590835 GEQ590835 GOM590835 GYI590835 HIE590835 HSA590835 IBW590835 ILS590835 IVO590835 JFK590835 JPG590835 JZC590835 KIY590835 KSU590835 LCQ590835 LMM590835 LWI590835 MGE590835 MQA590835 MZW590835 NJS590835 NTO590835 ODK590835 ONG590835 OXC590835 PGY590835 PQU590835 QAQ590835 QKM590835 QUI590835 REE590835 ROA590835 RXW590835 SHS590835 SRO590835 TBK590835 TLG590835 TVC590835 UEY590835 UOU590835 UYQ590835 VIM590835 VSI590835 WCE590835 WMA590835 WVW590835 O656371 JK656371 TG656371 ADC656371 AMY656371 AWU656371 BGQ656371 BQM656371 CAI656371 CKE656371 CUA656371 DDW656371 DNS656371 DXO656371 EHK656371 ERG656371 FBC656371 FKY656371 FUU656371 GEQ656371 GOM656371 GYI656371 HIE656371 HSA656371 IBW656371 ILS656371 IVO656371 JFK656371 JPG656371 JZC656371 KIY656371 KSU656371 LCQ656371 LMM656371 LWI656371 MGE656371 MQA656371 MZW656371 NJS656371 NTO656371 ODK656371 ONG656371 OXC656371 PGY656371 PQU656371 QAQ656371 QKM656371 QUI656371 REE656371 ROA656371 RXW656371 SHS656371 SRO656371 TBK656371 TLG656371 TVC656371 UEY656371 UOU656371 UYQ656371 VIM656371 VSI656371 WCE656371 WMA656371 WVW656371 O721907 JK721907 TG721907 ADC721907 AMY721907 AWU721907 BGQ721907 BQM721907 CAI721907 CKE721907 CUA721907 DDW721907 DNS721907 DXO721907 EHK721907 ERG721907 FBC721907 FKY721907 FUU721907 GEQ721907 GOM721907 GYI721907 HIE721907 HSA721907 IBW721907 ILS721907 IVO721907 JFK721907 JPG721907 JZC721907 KIY721907 KSU721907 LCQ721907 LMM721907 LWI721907 MGE721907 MQA721907 MZW721907 NJS721907 NTO721907 ODK721907 ONG721907 OXC721907 PGY721907 PQU721907 QAQ721907 QKM721907 QUI721907 REE721907 ROA721907 RXW721907 SHS721907 SRO721907 TBK721907 TLG721907 TVC721907 UEY721907 UOU721907 UYQ721907 VIM721907 VSI721907 WCE721907 WMA721907 WVW721907 O787443 JK787443 TG787443 ADC787443 AMY787443 AWU787443 BGQ787443 BQM787443 CAI787443 CKE787443 CUA787443 DDW787443 DNS787443 DXO787443 EHK787443 ERG787443 FBC787443 FKY787443 FUU787443 GEQ787443 GOM787443 GYI787443 HIE787443 HSA787443 IBW787443 ILS787443 IVO787443 JFK787443 JPG787443 JZC787443 KIY787443 KSU787443 LCQ787443 LMM787443 LWI787443 MGE787443 MQA787443 MZW787443 NJS787443 NTO787443 ODK787443 ONG787443 OXC787443 PGY787443 PQU787443 QAQ787443 QKM787443 QUI787443 REE787443 ROA787443 RXW787443 SHS787443 SRO787443 TBK787443 TLG787443 TVC787443 UEY787443 UOU787443 UYQ787443 VIM787443 VSI787443 WCE787443 WMA787443 WVW787443 O852979 JK852979 TG852979 ADC852979 AMY852979 AWU852979 BGQ852979 BQM852979 CAI852979 CKE852979 CUA852979 DDW852979 DNS852979 DXO852979 EHK852979 ERG852979 FBC852979 FKY852979 FUU852979 GEQ852979 GOM852979 GYI852979 HIE852979 HSA852979 IBW852979 ILS852979 IVO852979 JFK852979 JPG852979 JZC852979 KIY852979 KSU852979 LCQ852979 LMM852979 LWI852979 MGE852979 MQA852979 MZW852979 NJS852979 NTO852979 ODK852979 ONG852979 OXC852979 PGY852979 PQU852979 QAQ852979 QKM852979 QUI852979 REE852979 ROA852979 RXW852979 SHS852979 SRO852979 TBK852979 TLG852979 TVC852979 UEY852979 UOU852979 UYQ852979 VIM852979 VSI852979 WCE852979 WMA852979 WVW852979 O918515 JK918515 TG918515 ADC918515 AMY918515 AWU918515 BGQ918515 BQM918515 CAI918515 CKE918515 CUA918515 DDW918515 DNS918515 DXO918515 EHK918515 ERG918515 FBC918515 FKY918515 FUU918515 GEQ918515 GOM918515 GYI918515 HIE918515 HSA918515 IBW918515 ILS918515 IVO918515 JFK918515 JPG918515 JZC918515 KIY918515 KSU918515 LCQ918515 LMM918515 LWI918515 MGE918515 MQA918515 MZW918515 NJS918515 NTO918515 ODK918515 ONG918515 OXC918515 PGY918515 PQU918515 QAQ918515 QKM918515 QUI918515 REE918515 ROA918515 RXW918515 SHS918515 SRO918515 TBK918515 TLG918515 TVC918515 UEY918515 UOU918515 UYQ918515 VIM918515 VSI918515 WCE918515 WMA918515 WVW918515 O984051 JK984051 TG984051 ADC984051 AMY984051 AWU984051 BGQ984051 BQM984051 CAI984051 CKE984051 CUA984051 DDW984051 DNS984051 DXO984051 EHK984051 ERG984051 FBC984051 FKY984051 FUU984051 GEQ984051 GOM984051 GYI984051 HIE984051 HSA984051 IBW984051 ILS984051 IVO984051 JFK984051 JPG984051 JZC984051 KIY984051 KSU984051 LCQ984051 LMM984051 LWI984051 MGE984051 MQA984051 MZW984051 NJS984051 NTO984051 ODK984051 ONG984051 OXC984051 PGY984051 PQU984051 QAQ984051 QKM984051 QUI984051 REE984051 ROA984051 RXW984051 SHS984051 SRO984051 TBK984051 TLG984051 TVC984051 UEY984051 UOU984051 UYQ984051 VIM984051 VSI984051 WCE984051 WMA984051 WVW984051 O1018 JK1018 TG1018 ADC1018 AMY1018 AWU1018 BGQ1018 BQM1018 CAI1018 CKE1018 CUA1018 DDW1018 DNS1018 DXO1018 EHK1018 ERG1018 FBC1018 FKY1018 FUU1018 GEQ1018 GOM1018 GYI1018 HIE1018 HSA1018 IBW1018 ILS1018 IVO1018 JFK1018 JPG1018 JZC1018 KIY1018 KSU1018 LCQ1018 LMM1018 LWI1018 MGE1018 MQA1018 MZW1018 NJS1018 NTO1018 ODK1018 ONG1018 OXC1018 PGY1018 PQU1018 QAQ1018 QKM1018 QUI1018 REE1018 ROA1018 RXW1018 SHS1018 SRO1018 TBK1018 TLG1018 TVC1018 UEY1018 UOU1018 UYQ1018 VIM1018 VSI1018 WCE1018 WMA1018 WVW1018 O66554 JK66554 TG66554 ADC66554 AMY66554 AWU66554 BGQ66554 BQM66554 CAI66554 CKE66554 CUA66554 DDW66554 DNS66554 DXO66554 EHK66554 ERG66554 FBC66554 FKY66554 FUU66554 GEQ66554 GOM66554 GYI66554 HIE66554 HSA66554 IBW66554 ILS66554 IVO66554 JFK66554 JPG66554 JZC66554 KIY66554 KSU66554 LCQ66554 LMM66554 LWI66554 MGE66554 MQA66554 MZW66554 NJS66554 NTO66554 ODK66554 ONG66554 OXC66554 PGY66554 PQU66554 QAQ66554 QKM66554 QUI66554 REE66554 ROA66554 RXW66554 SHS66554 SRO66554 TBK66554 TLG66554 TVC66554 UEY66554 UOU66554 UYQ66554 VIM66554 VSI66554 WCE66554 WMA66554 WVW66554 O132090 JK132090 TG132090 ADC132090 AMY132090 AWU132090 BGQ132090 BQM132090 CAI132090 CKE132090 CUA132090 DDW132090 DNS132090 DXO132090 EHK132090 ERG132090 FBC132090 FKY132090 FUU132090 GEQ132090 GOM132090 GYI132090 HIE132090 HSA132090 IBW132090 ILS132090 IVO132090 JFK132090 JPG132090 JZC132090 KIY132090 KSU132090 LCQ132090 LMM132090 LWI132090 MGE132090 MQA132090 MZW132090 NJS132090 NTO132090 ODK132090 ONG132090 OXC132090 PGY132090 PQU132090 QAQ132090 QKM132090 QUI132090 REE132090 ROA132090 RXW132090 SHS132090 SRO132090 TBK132090 TLG132090 TVC132090 UEY132090 UOU132090 UYQ132090 VIM132090 VSI132090 WCE132090 WMA132090 WVW132090 O197626 JK197626 TG197626 ADC197626 AMY197626 AWU197626 BGQ197626 BQM197626 CAI197626 CKE197626 CUA197626 DDW197626 DNS197626 DXO197626 EHK197626 ERG197626 FBC197626 FKY197626 FUU197626 GEQ197626 GOM197626 GYI197626 HIE197626 HSA197626 IBW197626 ILS197626 IVO197626 JFK197626 JPG197626 JZC197626 KIY197626 KSU197626 LCQ197626 LMM197626 LWI197626 MGE197626 MQA197626 MZW197626 NJS197626 NTO197626 ODK197626 ONG197626 OXC197626 PGY197626 PQU197626 QAQ197626 QKM197626 QUI197626 REE197626 ROA197626 RXW197626 SHS197626 SRO197626 TBK197626 TLG197626 TVC197626 UEY197626 UOU197626 UYQ197626 VIM197626 VSI197626 WCE197626 WMA197626 WVW197626 O263162 JK263162 TG263162 ADC263162 AMY263162 AWU263162 BGQ263162 BQM263162 CAI263162 CKE263162 CUA263162 DDW263162 DNS263162 DXO263162 EHK263162 ERG263162 FBC263162 FKY263162 FUU263162 GEQ263162 GOM263162 GYI263162 HIE263162 HSA263162 IBW263162 ILS263162 IVO263162 JFK263162 JPG263162 JZC263162 KIY263162 KSU263162 LCQ263162 LMM263162 LWI263162 MGE263162 MQA263162 MZW263162 NJS263162 NTO263162 ODK263162 ONG263162 OXC263162 PGY263162 PQU263162 QAQ263162 QKM263162 QUI263162 REE263162 ROA263162 RXW263162 SHS263162 SRO263162 TBK263162 TLG263162 TVC263162 UEY263162 UOU263162 UYQ263162 VIM263162 VSI263162 WCE263162 WMA263162 WVW263162 O328698 JK328698 TG328698 ADC328698 AMY328698 AWU328698 BGQ328698 BQM328698 CAI328698 CKE328698 CUA328698 DDW328698 DNS328698 DXO328698 EHK328698 ERG328698 FBC328698 FKY328698 FUU328698 GEQ328698 GOM328698 GYI328698 HIE328698 HSA328698 IBW328698 ILS328698 IVO328698 JFK328698 JPG328698 JZC328698 KIY328698 KSU328698 LCQ328698 LMM328698 LWI328698 MGE328698 MQA328698 MZW328698 NJS328698 NTO328698 ODK328698 ONG328698 OXC328698 PGY328698 PQU328698 QAQ328698 QKM328698 QUI328698 REE328698 ROA328698 RXW328698 SHS328698 SRO328698 TBK328698 TLG328698 TVC328698 UEY328698 UOU328698 UYQ328698 VIM328698 VSI328698 WCE328698 WMA328698 WVW328698 O394234 JK394234 TG394234 ADC394234 AMY394234 AWU394234 BGQ394234 BQM394234 CAI394234 CKE394234 CUA394234 DDW394234 DNS394234 DXO394234 EHK394234 ERG394234 FBC394234 FKY394234 FUU394234 GEQ394234 GOM394234 GYI394234 HIE394234 HSA394234 IBW394234 ILS394234 IVO394234 JFK394234 JPG394234 JZC394234 KIY394234 KSU394234 LCQ394234 LMM394234 LWI394234 MGE394234 MQA394234 MZW394234 NJS394234 NTO394234 ODK394234 ONG394234 OXC394234 PGY394234 PQU394234 QAQ394234 QKM394234 QUI394234 REE394234 ROA394234 RXW394234 SHS394234 SRO394234 TBK394234 TLG394234 TVC394234 UEY394234 UOU394234 UYQ394234 VIM394234 VSI394234 WCE394234 WMA394234 WVW394234 O459770 JK459770 TG459770 ADC459770 AMY459770 AWU459770 BGQ459770 BQM459770 CAI459770 CKE459770 CUA459770 DDW459770 DNS459770 DXO459770 EHK459770 ERG459770 FBC459770 FKY459770 FUU459770 GEQ459770 GOM459770 GYI459770 HIE459770 HSA459770 IBW459770 ILS459770 IVO459770 JFK459770 JPG459770 JZC459770 KIY459770 KSU459770 LCQ459770 LMM459770 LWI459770 MGE459770 MQA459770 MZW459770 NJS459770 NTO459770 ODK459770 ONG459770 OXC459770 PGY459770 PQU459770 QAQ459770 QKM459770 QUI459770 REE459770 ROA459770 RXW459770 SHS459770 SRO459770 TBK459770 TLG459770 TVC459770 UEY459770 UOU459770 UYQ459770 VIM459770 VSI459770 WCE459770 WMA459770 WVW459770 O525306 JK525306 TG525306 ADC525306 AMY525306 AWU525306 BGQ525306 BQM525306 CAI525306 CKE525306 CUA525306 DDW525306 DNS525306 DXO525306 EHK525306 ERG525306 FBC525306 FKY525306 FUU525306 GEQ525306 GOM525306 GYI525306 HIE525306 HSA525306 IBW525306 ILS525306 IVO525306 JFK525306 JPG525306 JZC525306 KIY525306 KSU525306 LCQ525306 LMM525306 LWI525306 MGE525306 MQA525306 MZW525306 NJS525306 NTO525306 ODK525306 ONG525306 OXC525306 PGY525306 PQU525306 QAQ525306 QKM525306 QUI525306 REE525306 ROA525306 RXW525306 SHS525306 SRO525306 TBK525306 TLG525306 TVC525306 UEY525306 UOU525306 UYQ525306 VIM525306 VSI525306 WCE525306 WMA525306 WVW525306 O590842 JK590842 TG590842 ADC590842 AMY590842 AWU590842 BGQ590842 BQM590842 CAI590842 CKE590842 CUA590842 DDW590842 DNS590842 DXO590842 EHK590842 ERG590842 FBC590842 FKY590842 FUU590842 GEQ590842 GOM590842 GYI590842 HIE590842 HSA590842 IBW590842 ILS590842 IVO590842 JFK590842 JPG590842 JZC590842 KIY590842 KSU590842 LCQ590842 LMM590842 LWI590842 MGE590842 MQA590842 MZW590842 NJS590842 NTO590842 ODK590842 ONG590842 OXC590842 PGY590842 PQU590842 QAQ590842 QKM590842 QUI590842 REE590842 ROA590842 RXW590842 SHS590842 SRO590842 TBK590842 TLG590842 TVC590842 UEY590842 UOU590842 UYQ590842 VIM590842 VSI590842 WCE590842 WMA590842 WVW590842 O656378 JK656378 TG656378 ADC656378 AMY656378 AWU656378 BGQ656378 BQM656378 CAI656378 CKE656378 CUA656378 DDW656378 DNS656378 DXO656378 EHK656378 ERG656378 FBC656378 FKY656378 FUU656378 GEQ656378 GOM656378 GYI656378 HIE656378 HSA656378 IBW656378 ILS656378 IVO656378 JFK656378 JPG656378 JZC656378 KIY656378 KSU656378 LCQ656378 LMM656378 LWI656378 MGE656378 MQA656378 MZW656378 NJS656378 NTO656378 ODK656378 ONG656378 OXC656378 PGY656378 PQU656378 QAQ656378 QKM656378 QUI656378 REE656378 ROA656378 RXW656378 SHS656378 SRO656378 TBK656378 TLG656378 TVC656378 UEY656378 UOU656378 UYQ656378 VIM656378 VSI656378 WCE656378 WMA656378 WVW656378 O721914 JK721914 TG721914 ADC721914 AMY721914 AWU721914 BGQ721914 BQM721914 CAI721914 CKE721914 CUA721914 DDW721914 DNS721914 DXO721914 EHK721914 ERG721914 FBC721914 FKY721914 FUU721914 GEQ721914 GOM721914 GYI721914 HIE721914 HSA721914 IBW721914 ILS721914 IVO721914 JFK721914 JPG721914 JZC721914 KIY721914 KSU721914 LCQ721914 LMM721914 LWI721914 MGE721914 MQA721914 MZW721914 NJS721914 NTO721914 ODK721914 ONG721914 OXC721914 PGY721914 PQU721914 QAQ721914 QKM721914 QUI721914 REE721914 ROA721914 RXW721914 SHS721914 SRO721914 TBK721914 TLG721914 TVC721914 UEY721914 UOU721914 UYQ721914 VIM721914 VSI721914 WCE721914 WMA721914 WVW721914 O787450 JK787450 TG787450 ADC787450 AMY787450 AWU787450 BGQ787450 BQM787450 CAI787450 CKE787450 CUA787450 DDW787450 DNS787450 DXO787450 EHK787450 ERG787450 FBC787450 FKY787450 FUU787450 GEQ787450 GOM787450 GYI787450 HIE787450 HSA787450 IBW787450 ILS787450 IVO787450 JFK787450 JPG787450 JZC787450 KIY787450 KSU787450 LCQ787450 LMM787450 LWI787450 MGE787450 MQA787450 MZW787450 NJS787450 NTO787450 ODK787450 ONG787450 OXC787450 PGY787450 PQU787450 QAQ787450 QKM787450 QUI787450 REE787450 ROA787450 RXW787450 SHS787450 SRO787450 TBK787450 TLG787450 TVC787450 UEY787450 UOU787450 UYQ787450 VIM787450 VSI787450 WCE787450 WMA787450 WVW787450 O852986 JK852986 TG852986 ADC852986 AMY852986 AWU852986 BGQ852986 BQM852986 CAI852986 CKE852986 CUA852986 DDW852986 DNS852986 DXO852986 EHK852986 ERG852986 FBC852986 FKY852986 FUU852986 GEQ852986 GOM852986 GYI852986 HIE852986 HSA852986 IBW852986 ILS852986 IVO852986 JFK852986 JPG852986 JZC852986 KIY852986 KSU852986 LCQ852986 LMM852986 LWI852986 MGE852986 MQA852986 MZW852986 NJS852986 NTO852986 ODK852986 ONG852986 OXC852986 PGY852986 PQU852986 QAQ852986 QKM852986 QUI852986 REE852986 ROA852986 RXW852986 SHS852986 SRO852986 TBK852986 TLG852986 TVC852986 UEY852986 UOU852986 UYQ852986 VIM852986 VSI852986 WCE852986 WMA852986 WVW852986 O918522 JK918522 TG918522 ADC918522 AMY918522 AWU918522 BGQ918522 BQM918522 CAI918522 CKE918522 CUA918522 DDW918522 DNS918522 DXO918522 EHK918522 ERG918522 FBC918522 FKY918522 FUU918522 GEQ918522 GOM918522 GYI918522 HIE918522 HSA918522 IBW918522 ILS918522 IVO918522 JFK918522 JPG918522 JZC918522 KIY918522 KSU918522 LCQ918522 LMM918522 LWI918522 MGE918522 MQA918522 MZW918522 NJS918522 NTO918522 ODK918522 ONG918522 OXC918522 PGY918522 PQU918522 QAQ918522 QKM918522 QUI918522 REE918522 ROA918522 RXW918522 SHS918522 SRO918522 TBK918522 TLG918522 TVC918522 UEY918522 UOU918522 UYQ918522 VIM918522 VSI918522 WCE918522 WMA918522 WVW918522 O984058 JK984058 TG984058 ADC984058 AMY984058 AWU984058 BGQ984058 BQM984058 CAI984058 CKE984058 CUA984058 DDW984058 DNS984058 DXO984058 EHK984058 ERG984058 FBC984058 FKY984058 FUU984058 GEQ984058 GOM984058 GYI984058 HIE984058 HSA984058 IBW984058 ILS984058 IVO984058 JFK984058 JPG984058 JZC984058 KIY984058 KSU984058 LCQ984058 LMM984058 LWI984058 MGE984058 MQA984058 MZW984058 NJS984058 NTO984058 ODK984058 ONG984058 OXC984058 PGY984058 PQU984058 QAQ984058 QKM984058 QUI984058 REE984058 ROA984058 RXW984058 SHS984058 SRO984058 TBK984058 TLG984058 TVC984058 UEY984058 UOU984058 UYQ984058 VIM984058 VSI984058 WCE984058 WMA984058 WVW984058 O1025 JK1025 TG1025 ADC1025 AMY1025 AWU1025 BGQ1025 BQM1025 CAI1025 CKE1025 CUA1025 DDW1025 DNS1025 DXO1025 EHK1025 ERG1025 FBC1025 FKY1025 FUU1025 GEQ1025 GOM1025 GYI1025 HIE1025 HSA1025 IBW1025 ILS1025 IVO1025 JFK1025 JPG1025 JZC1025 KIY1025 KSU1025 LCQ1025 LMM1025 LWI1025 MGE1025 MQA1025 MZW1025 NJS1025 NTO1025 ODK1025 ONG1025 OXC1025 PGY1025 PQU1025 QAQ1025 QKM1025 QUI1025 REE1025 ROA1025 RXW1025 SHS1025 SRO1025 TBK1025 TLG1025 TVC1025 UEY1025 UOU1025 UYQ1025 VIM1025 VSI1025 WCE1025 WMA1025 WVW1025 O66561 JK66561 TG66561 ADC66561 AMY66561 AWU66561 BGQ66561 BQM66561 CAI66561 CKE66561 CUA66561 DDW66561 DNS66561 DXO66561 EHK66561 ERG66561 FBC66561 FKY66561 FUU66561 GEQ66561 GOM66561 GYI66561 HIE66561 HSA66561 IBW66561 ILS66561 IVO66561 JFK66561 JPG66561 JZC66561 KIY66561 KSU66561 LCQ66561 LMM66561 LWI66561 MGE66561 MQA66561 MZW66561 NJS66561 NTO66561 ODK66561 ONG66561 OXC66561 PGY66561 PQU66561 QAQ66561 QKM66561 QUI66561 REE66561 ROA66561 RXW66561 SHS66561 SRO66561 TBK66561 TLG66561 TVC66561 UEY66561 UOU66561 UYQ66561 VIM66561 VSI66561 WCE66561 WMA66561 WVW66561 O132097 JK132097 TG132097 ADC132097 AMY132097 AWU132097 BGQ132097 BQM132097 CAI132097 CKE132097 CUA132097 DDW132097 DNS132097 DXO132097 EHK132097 ERG132097 FBC132097 FKY132097 FUU132097 GEQ132097 GOM132097 GYI132097 HIE132097 HSA132097 IBW132097 ILS132097 IVO132097 JFK132097 JPG132097 JZC132097 KIY132097 KSU132097 LCQ132097 LMM132097 LWI132097 MGE132097 MQA132097 MZW132097 NJS132097 NTO132097 ODK132097 ONG132097 OXC132097 PGY132097 PQU132097 QAQ132097 QKM132097 QUI132097 REE132097 ROA132097 RXW132097 SHS132097 SRO132097 TBK132097 TLG132097 TVC132097 UEY132097 UOU132097 UYQ132097 VIM132097 VSI132097 WCE132097 WMA132097 WVW132097 O197633 JK197633 TG197633 ADC197633 AMY197633 AWU197633 BGQ197633 BQM197633 CAI197633 CKE197633 CUA197633 DDW197633 DNS197633 DXO197633 EHK197633 ERG197633 FBC197633 FKY197633 FUU197633 GEQ197633 GOM197633 GYI197633 HIE197633 HSA197633 IBW197633 ILS197633 IVO197633 JFK197633 JPG197633 JZC197633 KIY197633 KSU197633 LCQ197633 LMM197633 LWI197633 MGE197633 MQA197633 MZW197633 NJS197633 NTO197633 ODK197633 ONG197633 OXC197633 PGY197633 PQU197633 QAQ197633 QKM197633 QUI197633 REE197633 ROA197633 RXW197633 SHS197633 SRO197633 TBK197633 TLG197633 TVC197633 UEY197633 UOU197633 UYQ197633 VIM197633 VSI197633 WCE197633 WMA197633 WVW197633 O263169 JK263169 TG263169 ADC263169 AMY263169 AWU263169 BGQ263169 BQM263169 CAI263169 CKE263169 CUA263169 DDW263169 DNS263169 DXO263169 EHK263169 ERG263169 FBC263169 FKY263169 FUU263169 GEQ263169 GOM263169 GYI263169 HIE263169 HSA263169 IBW263169 ILS263169 IVO263169 JFK263169 JPG263169 JZC263169 KIY263169 KSU263169 LCQ263169 LMM263169 LWI263169 MGE263169 MQA263169 MZW263169 NJS263169 NTO263169 ODK263169 ONG263169 OXC263169 PGY263169 PQU263169 QAQ263169 QKM263169 QUI263169 REE263169 ROA263169 RXW263169 SHS263169 SRO263169 TBK263169 TLG263169 TVC263169 UEY263169 UOU263169 UYQ263169 VIM263169 VSI263169 WCE263169 WMA263169 WVW263169 O328705 JK328705 TG328705 ADC328705 AMY328705 AWU328705 BGQ328705 BQM328705 CAI328705 CKE328705 CUA328705 DDW328705 DNS328705 DXO328705 EHK328705 ERG328705 FBC328705 FKY328705 FUU328705 GEQ328705 GOM328705 GYI328705 HIE328705 HSA328705 IBW328705 ILS328705 IVO328705 JFK328705 JPG328705 JZC328705 KIY328705 KSU328705 LCQ328705 LMM328705 LWI328705 MGE328705 MQA328705 MZW328705 NJS328705 NTO328705 ODK328705 ONG328705 OXC328705 PGY328705 PQU328705 QAQ328705 QKM328705 QUI328705 REE328705 ROA328705 RXW328705 SHS328705 SRO328705 TBK328705 TLG328705 TVC328705 UEY328705 UOU328705 UYQ328705 VIM328705 VSI328705 WCE328705 WMA328705 WVW328705 O394241 JK394241 TG394241 ADC394241 AMY394241 AWU394241 BGQ394241 BQM394241 CAI394241 CKE394241 CUA394241 DDW394241 DNS394241 DXO394241 EHK394241 ERG394241 FBC394241 FKY394241 FUU394241 GEQ394241 GOM394241 GYI394241 HIE394241 HSA394241 IBW394241 ILS394241 IVO394241 JFK394241 JPG394241 JZC394241 KIY394241 KSU394241 LCQ394241 LMM394241 LWI394241 MGE394241 MQA394241 MZW394241 NJS394241 NTO394241 ODK394241 ONG394241 OXC394241 PGY394241 PQU394241 QAQ394241 QKM394241 QUI394241 REE394241 ROA394241 RXW394241 SHS394241 SRO394241 TBK394241 TLG394241 TVC394241 UEY394241 UOU394241 UYQ394241 VIM394241 VSI394241 WCE394241 WMA394241 WVW394241 O459777 JK459777 TG459777 ADC459777 AMY459777 AWU459777 BGQ459777 BQM459777 CAI459777 CKE459777 CUA459777 DDW459777 DNS459777 DXO459777 EHK459777 ERG459777 FBC459777 FKY459777 FUU459777 GEQ459777 GOM459777 GYI459777 HIE459777 HSA459777 IBW459777 ILS459777 IVO459777 JFK459777 JPG459777 JZC459777 KIY459777 KSU459777 LCQ459777 LMM459777 LWI459777 MGE459777 MQA459777 MZW459777 NJS459777 NTO459777 ODK459777 ONG459777 OXC459777 PGY459777 PQU459777 QAQ459777 QKM459777 QUI459777 REE459777 ROA459777 RXW459777 SHS459777 SRO459777 TBK459777 TLG459777 TVC459777 UEY459777 UOU459777 UYQ459777 VIM459777 VSI459777 WCE459777 WMA459777 WVW459777 O525313 JK525313 TG525313 ADC525313 AMY525313 AWU525313 BGQ525313 BQM525313 CAI525313 CKE525313 CUA525313 DDW525313 DNS525313 DXO525313 EHK525313 ERG525313 FBC525313 FKY525313 FUU525313 GEQ525313 GOM525313 GYI525313 HIE525313 HSA525313 IBW525313 ILS525313 IVO525313 JFK525313 JPG525313 JZC525313 KIY525313 KSU525313 LCQ525313 LMM525313 LWI525313 MGE525313 MQA525313 MZW525313 NJS525313 NTO525313 ODK525313 ONG525313 OXC525313 PGY525313 PQU525313 QAQ525313 QKM525313 QUI525313 REE525313 ROA525313 RXW525313 SHS525313 SRO525313 TBK525313 TLG525313 TVC525313 UEY525313 UOU525313 UYQ525313 VIM525313 VSI525313 WCE525313 WMA525313 WVW525313 O590849 JK590849 TG590849 ADC590849 AMY590849 AWU590849 BGQ590849 BQM590849 CAI590849 CKE590849 CUA590849 DDW590849 DNS590849 DXO590849 EHK590849 ERG590849 FBC590849 FKY590849 FUU590849 GEQ590849 GOM590849 GYI590849 HIE590849 HSA590849 IBW590849 ILS590849 IVO590849 JFK590849 JPG590849 JZC590849 KIY590849 KSU590849 LCQ590849 LMM590849 LWI590849 MGE590849 MQA590849 MZW590849 NJS590849 NTO590849 ODK590849 ONG590849 OXC590849 PGY590849 PQU590849 QAQ590849 QKM590849 QUI590849 REE590849 ROA590849 RXW590849 SHS590849 SRO590849 TBK590849 TLG590849 TVC590849 UEY590849 UOU590849 UYQ590849 VIM590849 VSI590849 WCE590849 WMA590849 WVW590849 O656385 JK656385 TG656385 ADC656385 AMY656385 AWU656385 BGQ656385 BQM656385 CAI656385 CKE656385 CUA656385 DDW656385 DNS656385 DXO656385 EHK656385 ERG656385 FBC656385 FKY656385 FUU656385 GEQ656385 GOM656385 GYI656385 HIE656385 HSA656385 IBW656385 ILS656385 IVO656385 JFK656385 JPG656385 JZC656385 KIY656385 KSU656385 LCQ656385 LMM656385 LWI656385 MGE656385 MQA656385 MZW656385 NJS656385 NTO656385 ODK656385 ONG656385 OXC656385 PGY656385 PQU656385 QAQ656385 QKM656385 QUI656385 REE656385 ROA656385 RXW656385 SHS656385 SRO656385 TBK656385 TLG656385 TVC656385 UEY656385 UOU656385 UYQ656385 VIM656385 VSI656385 WCE656385 WMA656385 WVW656385 O721921 JK721921 TG721921 ADC721921 AMY721921 AWU721921 BGQ721921 BQM721921 CAI721921 CKE721921 CUA721921 DDW721921 DNS721921 DXO721921 EHK721921 ERG721921 FBC721921 FKY721921 FUU721921 GEQ721921 GOM721921 GYI721921 HIE721921 HSA721921 IBW721921 ILS721921 IVO721921 JFK721921 JPG721921 JZC721921 KIY721921 KSU721921 LCQ721921 LMM721921 LWI721921 MGE721921 MQA721921 MZW721921 NJS721921 NTO721921 ODK721921 ONG721921 OXC721921 PGY721921 PQU721921 QAQ721921 QKM721921 QUI721921 REE721921 ROA721921 RXW721921 SHS721921 SRO721921 TBK721921 TLG721921 TVC721921 UEY721921 UOU721921 UYQ721921 VIM721921 VSI721921 WCE721921 WMA721921 WVW721921 O787457 JK787457 TG787457 ADC787457 AMY787457 AWU787457 BGQ787457 BQM787457 CAI787457 CKE787457 CUA787457 DDW787457 DNS787457 DXO787457 EHK787457 ERG787457 FBC787457 FKY787457 FUU787457 GEQ787457 GOM787457 GYI787457 HIE787457 HSA787457 IBW787457 ILS787457 IVO787457 JFK787457 JPG787457 JZC787457 KIY787457 KSU787457 LCQ787457 LMM787457 LWI787457 MGE787457 MQA787457 MZW787457 NJS787457 NTO787457 ODK787457 ONG787457 OXC787457 PGY787457 PQU787457 QAQ787457 QKM787457 QUI787457 REE787457 ROA787457 RXW787457 SHS787457 SRO787457 TBK787457 TLG787457 TVC787457 UEY787457 UOU787457 UYQ787457 VIM787457 VSI787457 WCE787457 WMA787457 WVW787457 O852993 JK852993 TG852993 ADC852993 AMY852993 AWU852993 BGQ852993 BQM852993 CAI852993 CKE852993 CUA852993 DDW852993 DNS852993 DXO852993 EHK852993 ERG852993 FBC852993 FKY852993 FUU852993 GEQ852993 GOM852993 GYI852993 HIE852993 HSA852993 IBW852993 ILS852993 IVO852993 JFK852993 JPG852993 JZC852993 KIY852993 KSU852993 LCQ852993 LMM852993 LWI852993 MGE852993 MQA852993 MZW852993 NJS852993 NTO852993 ODK852993 ONG852993 OXC852993 PGY852993 PQU852993 QAQ852993 QKM852993 QUI852993 REE852993 ROA852993 RXW852993 SHS852993 SRO852993 TBK852993 TLG852993 TVC852993 UEY852993 UOU852993 UYQ852993 VIM852993 VSI852993 WCE852993 WMA852993 WVW852993 O918529 JK918529 TG918529 ADC918529 AMY918529 AWU918529 BGQ918529 BQM918529 CAI918529 CKE918529 CUA918529 DDW918529 DNS918529 DXO918529 EHK918529 ERG918529 FBC918529 FKY918529 FUU918529 GEQ918529 GOM918529 GYI918529 HIE918529 HSA918529 IBW918529 ILS918529 IVO918529 JFK918529 JPG918529 JZC918529 KIY918529 KSU918529 LCQ918529 LMM918529 LWI918529 MGE918529 MQA918529 MZW918529 NJS918529 NTO918529 ODK918529 ONG918529 OXC918529 PGY918529 PQU918529 QAQ918529 QKM918529 QUI918529 REE918529 ROA918529 RXW918529 SHS918529 SRO918529 TBK918529 TLG918529 TVC918529 UEY918529 UOU918529 UYQ918529 VIM918529 VSI918529 WCE918529 WMA918529 WVW918529 O984065 JK984065 TG984065 ADC984065 AMY984065 AWU984065 BGQ984065 BQM984065 CAI984065 CKE984065 CUA984065 DDW984065 DNS984065 DXO984065 EHK984065 ERG984065 FBC984065 FKY984065 FUU984065 GEQ984065 GOM984065 GYI984065 HIE984065 HSA984065 IBW984065 ILS984065 IVO984065 JFK984065 JPG984065 JZC984065 KIY984065 KSU984065 LCQ984065 LMM984065 LWI984065 MGE984065 MQA984065 MZW984065 NJS984065 NTO984065 ODK984065 ONG984065 OXC984065 PGY984065 PQU984065 QAQ984065 QKM984065 QUI984065 REE984065 ROA984065 RXW984065 SHS984065 SRO984065 TBK984065 TLG984065 TVC984065 UEY984065 UOU984065 UYQ984065 VIM984065 VSI984065 WCE984065 WMA984065 WVW984065 O1035 JK1035 TG1035 ADC1035 AMY1035 AWU1035 BGQ1035 BQM1035 CAI1035 CKE1035 CUA1035 DDW1035 DNS1035 DXO1035 EHK1035 ERG1035 FBC1035 FKY1035 FUU1035 GEQ1035 GOM1035 GYI1035 HIE1035 HSA1035 IBW1035 ILS1035 IVO1035 JFK1035 JPG1035 JZC1035 KIY1035 KSU1035 LCQ1035 LMM1035 LWI1035 MGE1035 MQA1035 MZW1035 NJS1035 NTO1035 ODK1035 ONG1035 OXC1035 PGY1035 PQU1035 QAQ1035 QKM1035 QUI1035 REE1035 ROA1035 RXW1035 SHS1035 SRO1035 TBK1035 TLG1035 TVC1035 UEY1035 UOU1035 UYQ1035 VIM1035 VSI1035 WCE1035 WMA1035 WVW1035 O66571 JK66571 TG66571 ADC66571 AMY66571 AWU66571 BGQ66571 BQM66571 CAI66571 CKE66571 CUA66571 DDW66571 DNS66571 DXO66571 EHK66571 ERG66571 FBC66571 FKY66571 FUU66571 GEQ66571 GOM66571 GYI66571 HIE66571 HSA66571 IBW66571 ILS66571 IVO66571 JFK66571 JPG66571 JZC66571 KIY66571 KSU66571 LCQ66571 LMM66571 LWI66571 MGE66571 MQA66571 MZW66571 NJS66571 NTO66571 ODK66571 ONG66571 OXC66571 PGY66571 PQU66571 QAQ66571 QKM66571 QUI66571 REE66571 ROA66571 RXW66571 SHS66571 SRO66571 TBK66571 TLG66571 TVC66571 UEY66571 UOU66571 UYQ66571 VIM66571 VSI66571 WCE66571 WMA66571 WVW66571 O132107 JK132107 TG132107 ADC132107 AMY132107 AWU132107 BGQ132107 BQM132107 CAI132107 CKE132107 CUA132107 DDW132107 DNS132107 DXO132107 EHK132107 ERG132107 FBC132107 FKY132107 FUU132107 GEQ132107 GOM132107 GYI132107 HIE132107 HSA132107 IBW132107 ILS132107 IVO132107 JFK132107 JPG132107 JZC132107 KIY132107 KSU132107 LCQ132107 LMM132107 LWI132107 MGE132107 MQA132107 MZW132107 NJS132107 NTO132107 ODK132107 ONG132107 OXC132107 PGY132107 PQU132107 QAQ132107 QKM132107 QUI132107 REE132107 ROA132107 RXW132107 SHS132107 SRO132107 TBK132107 TLG132107 TVC132107 UEY132107 UOU132107 UYQ132107 VIM132107 VSI132107 WCE132107 WMA132107 WVW132107 O197643 JK197643 TG197643 ADC197643 AMY197643 AWU197643 BGQ197643 BQM197643 CAI197643 CKE197643 CUA197643 DDW197643 DNS197643 DXO197643 EHK197643 ERG197643 FBC197643 FKY197643 FUU197643 GEQ197643 GOM197643 GYI197643 HIE197643 HSA197643 IBW197643 ILS197643 IVO197643 JFK197643 JPG197643 JZC197643 KIY197643 KSU197643 LCQ197643 LMM197643 LWI197643 MGE197643 MQA197643 MZW197643 NJS197643 NTO197643 ODK197643 ONG197643 OXC197643 PGY197643 PQU197643 QAQ197643 QKM197643 QUI197643 REE197643 ROA197643 RXW197643 SHS197643 SRO197643 TBK197643 TLG197643 TVC197643 UEY197643 UOU197643 UYQ197643 VIM197643 VSI197643 WCE197643 WMA197643 WVW197643 O263179 JK263179 TG263179 ADC263179 AMY263179 AWU263179 BGQ263179 BQM263179 CAI263179 CKE263179 CUA263179 DDW263179 DNS263179 DXO263179 EHK263179 ERG263179 FBC263179 FKY263179 FUU263179 GEQ263179 GOM263179 GYI263179 HIE263179 HSA263179 IBW263179 ILS263179 IVO263179 JFK263179 JPG263179 JZC263179 KIY263179 KSU263179 LCQ263179 LMM263179 LWI263179 MGE263179 MQA263179 MZW263179 NJS263179 NTO263179 ODK263179 ONG263179 OXC263179 PGY263179 PQU263179 QAQ263179 QKM263179 QUI263179 REE263179 ROA263179 RXW263179 SHS263179 SRO263179 TBK263179 TLG263179 TVC263179 UEY263179 UOU263179 UYQ263179 VIM263179 VSI263179 WCE263179 WMA263179 WVW263179 O328715 JK328715 TG328715 ADC328715 AMY328715 AWU328715 BGQ328715 BQM328715 CAI328715 CKE328715 CUA328715 DDW328715 DNS328715 DXO328715 EHK328715 ERG328715 FBC328715 FKY328715 FUU328715 GEQ328715 GOM328715 GYI328715 HIE328715 HSA328715 IBW328715 ILS328715 IVO328715 JFK328715 JPG328715 JZC328715 KIY328715 KSU328715 LCQ328715 LMM328715 LWI328715 MGE328715 MQA328715 MZW328715 NJS328715 NTO328715 ODK328715 ONG328715 OXC328715 PGY328715 PQU328715 QAQ328715 QKM328715 QUI328715 REE328715 ROA328715 RXW328715 SHS328715 SRO328715 TBK328715 TLG328715 TVC328715 UEY328715 UOU328715 UYQ328715 VIM328715 VSI328715 WCE328715 WMA328715 WVW328715 O394251 JK394251 TG394251 ADC394251 AMY394251 AWU394251 BGQ394251 BQM394251 CAI394251 CKE394251 CUA394251 DDW394251 DNS394251 DXO394251 EHK394251 ERG394251 FBC394251 FKY394251 FUU394251 GEQ394251 GOM394251 GYI394251 HIE394251 HSA394251 IBW394251 ILS394251 IVO394251 JFK394251 JPG394251 JZC394251 KIY394251 KSU394251 LCQ394251 LMM394251 LWI394251 MGE394251 MQA394251 MZW394251 NJS394251 NTO394251 ODK394251 ONG394251 OXC394251 PGY394251 PQU394251 QAQ394251 QKM394251 QUI394251 REE394251 ROA394251 RXW394251 SHS394251 SRO394251 TBK394251 TLG394251 TVC394251 UEY394251 UOU394251 UYQ394251 VIM394251 VSI394251 WCE394251 WMA394251 WVW394251 O459787 JK459787 TG459787 ADC459787 AMY459787 AWU459787 BGQ459787 BQM459787 CAI459787 CKE459787 CUA459787 DDW459787 DNS459787 DXO459787 EHK459787 ERG459787 FBC459787 FKY459787 FUU459787 GEQ459787 GOM459787 GYI459787 HIE459787 HSA459787 IBW459787 ILS459787 IVO459787 JFK459787 JPG459787 JZC459787 KIY459787 KSU459787 LCQ459787 LMM459787 LWI459787 MGE459787 MQA459787 MZW459787 NJS459787 NTO459787 ODK459787 ONG459787 OXC459787 PGY459787 PQU459787 QAQ459787 QKM459787 QUI459787 REE459787 ROA459787 RXW459787 SHS459787 SRO459787 TBK459787 TLG459787 TVC459787 UEY459787 UOU459787 UYQ459787 VIM459787 VSI459787 WCE459787 WMA459787 WVW459787 O525323 JK525323 TG525323 ADC525323 AMY525323 AWU525323 BGQ525323 BQM525323 CAI525323 CKE525323 CUA525323 DDW525323 DNS525323 DXO525323 EHK525323 ERG525323 FBC525323 FKY525323 FUU525323 GEQ525323 GOM525323 GYI525323 HIE525323 HSA525323 IBW525323 ILS525323 IVO525323 JFK525323 JPG525323 JZC525323 KIY525323 KSU525323 LCQ525323 LMM525323 LWI525323 MGE525323 MQA525323 MZW525323 NJS525323 NTO525323 ODK525323 ONG525323 OXC525323 PGY525323 PQU525323 QAQ525323 QKM525323 QUI525323 REE525323 ROA525323 RXW525323 SHS525323 SRO525323 TBK525323 TLG525323 TVC525323 UEY525323 UOU525323 UYQ525323 VIM525323 VSI525323 WCE525323 WMA525323 WVW525323 O590859 JK590859 TG590859 ADC590859 AMY590859 AWU590859 BGQ590859 BQM590859 CAI590859 CKE590859 CUA590859 DDW590859 DNS590859 DXO590859 EHK590859 ERG590859 FBC590859 FKY590859 FUU590859 GEQ590859 GOM590859 GYI590859 HIE590859 HSA590859 IBW590859 ILS590859 IVO590859 JFK590859 JPG590859 JZC590859 KIY590859 KSU590859 LCQ590859 LMM590859 LWI590859 MGE590859 MQA590859 MZW590859 NJS590859 NTO590859 ODK590859 ONG590859 OXC590859 PGY590859 PQU590859 QAQ590859 QKM590859 QUI590859 REE590859 ROA590859 RXW590859 SHS590859 SRO590859 TBK590859 TLG590859 TVC590859 UEY590859 UOU590859 UYQ590859 VIM590859 VSI590859 WCE590859 WMA590859 WVW590859 O656395 JK656395 TG656395 ADC656395 AMY656395 AWU656395 BGQ656395 BQM656395 CAI656395 CKE656395 CUA656395 DDW656395 DNS656395 DXO656395 EHK656395 ERG656395 FBC656395 FKY656395 FUU656395 GEQ656395 GOM656395 GYI656395 HIE656395 HSA656395 IBW656395 ILS656395 IVO656395 JFK656395 JPG656395 JZC656395 KIY656395 KSU656395 LCQ656395 LMM656395 LWI656395 MGE656395 MQA656395 MZW656395 NJS656395 NTO656395 ODK656395 ONG656395 OXC656395 PGY656395 PQU656395 QAQ656395 QKM656395 QUI656395 REE656395 ROA656395 RXW656395 SHS656395 SRO656395 TBK656395 TLG656395 TVC656395 UEY656395 UOU656395 UYQ656395 VIM656395 VSI656395 WCE656395 WMA656395 WVW656395 O721931 JK721931 TG721931 ADC721931 AMY721931 AWU721931 BGQ721931 BQM721931 CAI721931 CKE721931 CUA721931 DDW721931 DNS721931 DXO721931 EHK721931 ERG721931 FBC721931 FKY721931 FUU721931 GEQ721931 GOM721931 GYI721931 HIE721931 HSA721931 IBW721931 ILS721931 IVO721931 JFK721931 JPG721931 JZC721931 KIY721931 KSU721931 LCQ721931 LMM721931 LWI721931 MGE721931 MQA721931 MZW721931 NJS721931 NTO721931 ODK721931 ONG721931 OXC721931 PGY721931 PQU721931 QAQ721931 QKM721931 QUI721931 REE721931 ROA721931 RXW721931 SHS721931 SRO721931 TBK721931 TLG721931 TVC721931 UEY721931 UOU721931 UYQ721931 VIM721931 VSI721931 WCE721931 WMA721931 WVW721931 O787467 JK787467 TG787467 ADC787467 AMY787467 AWU787467 BGQ787467 BQM787467 CAI787467 CKE787467 CUA787467 DDW787467 DNS787467 DXO787467 EHK787467 ERG787467 FBC787467 FKY787467 FUU787467 GEQ787467 GOM787467 GYI787467 HIE787467 HSA787467 IBW787467 ILS787467 IVO787467 JFK787467 JPG787467 JZC787467 KIY787467 KSU787467 LCQ787467 LMM787467 LWI787467 MGE787467 MQA787467 MZW787467 NJS787467 NTO787467 ODK787467 ONG787467 OXC787467 PGY787467 PQU787467 QAQ787467 QKM787467 QUI787467 REE787467 ROA787467 RXW787467 SHS787467 SRO787467 TBK787467 TLG787467 TVC787467 UEY787467 UOU787467 UYQ787467 VIM787467 VSI787467 WCE787467 WMA787467 WVW787467 O853003 JK853003 TG853003 ADC853003 AMY853003 AWU853003 BGQ853003 BQM853003 CAI853003 CKE853003 CUA853003 DDW853003 DNS853003 DXO853003 EHK853003 ERG853003 FBC853003 FKY853003 FUU853003 GEQ853003 GOM853003 GYI853003 HIE853003 HSA853003 IBW853003 ILS853003 IVO853003 JFK853003 JPG853003 JZC853003 KIY853003 KSU853003 LCQ853003 LMM853003 LWI853003 MGE853003 MQA853003 MZW853003 NJS853003 NTO853003 ODK853003 ONG853003 OXC853003 PGY853003 PQU853003 QAQ853003 QKM853003 QUI853003 REE853003 ROA853003 RXW853003 SHS853003 SRO853003 TBK853003 TLG853003 TVC853003 UEY853003 UOU853003 UYQ853003 VIM853003 VSI853003 WCE853003 WMA853003 WVW853003 O918539 JK918539 TG918539 ADC918539 AMY918539 AWU918539 BGQ918539 BQM918539 CAI918539 CKE918539 CUA918539 DDW918539 DNS918539 DXO918539 EHK918539 ERG918539 FBC918539 FKY918539 FUU918539 GEQ918539 GOM918539 GYI918539 HIE918539 HSA918539 IBW918539 ILS918539 IVO918539 JFK918539 JPG918539 JZC918539 KIY918539 KSU918539 LCQ918539 LMM918539 LWI918539 MGE918539 MQA918539 MZW918539 NJS918539 NTO918539 ODK918539 ONG918539 OXC918539 PGY918539 PQU918539 QAQ918539 QKM918539 QUI918539 REE918539 ROA918539 RXW918539 SHS918539 SRO918539 TBK918539 TLG918539 TVC918539 UEY918539 UOU918539 UYQ918539 VIM918539 VSI918539 WCE918539 WMA918539 WVW918539 O984075 JK984075 TG984075 ADC984075 AMY984075 AWU984075 BGQ984075 BQM984075 CAI984075 CKE984075 CUA984075 DDW984075 DNS984075 DXO984075 EHK984075 ERG984075 FBC984075 FKY984075 FUU984075 GEQ984075 GOM984075 GYI984075 HIE984075 HSA984075 IBW984075 ILS984075 IVO984075 JFK984075 JPG984075 JZC984075 KIY984075 KSU984075 LCQ984075 LMM984075 LWI984075 MGE984075 MQA984075 MZW984075 NJS984075 NTO984075 ODK984075 ONG984075 OXC984075 PGY984075 PQU984075 QAQ984075 QKM984075 QUI984075 REE984075 ROA984075 RXW984075 SHS984075 SRO984075 TBK984075 TLG984075 TVC984075 UEY984075 UOU984075 UYQ984075 VIM984075 VSI984075 WCE984075 WMA984075 WVW984075 O1042 JK1042 TG1042 ADC1042 AMY1042 AWU1042 BGQ1042 BQM1042 CAI1042 CKE1042 CUA1042 DDW1042 DNS1042 DXO1042 EHK1042 ERG1042 FBC1042 FKY1042 FUU1042 GEQ1042 GOM1042 GYI1042 HIE1042 HSA1042 IBW1042 ILS1042 IVO1042 JFK1042 JPG1042 JZC1042 KIY1042 KSU1042 LCQ1042 LMM1042 LWI1042 MGE1042 MQA1042 MZW1042 NJS1042 NTO1042 ODK1042 ONG1042 OXC1042 PGY1042 PQU1042 QAQ1042 QKM1042 QUI1042 REE1042 ROA1042 RXW1042 SHS1042 SRO1042 TBK1042 TLG1042 TVC1042 UEY1042 UOU1042 UYQ1042 VIM1042 VSI1042 WCE1042 WMA1042 WVW1042 O66578 JK66578 TG66578 ADC66578 AMY66578 AWU66578 BGQ66578 BQM66578 CAI66578 CKE66578 CUA66578 DDW66578 DNS66578 DXO66578 EHK66578 ERG66578 FBC66578 FKY66578 FUU66578 GEQ66578 GOM66578 GYI66578 HIE66578 HSA66578 IBW66578 ILS66578 IVO66578 JFK66578 JPG66578 JZC66578 KIY66578 KSU66578 LCQ66578 LMM66578 LWI66578 MGE66578 MQA66578 MZW66578 NJS66578 NTO66578 ODK66578 ONG66578 OXC66578 PGY66578 PQU66578 QAQ66578 QKM66578 QUI66578 REE66578 ROA66578 RXW66578 SHS66578 SRO66578 TBK66578 TLG66578 TVC66578 UEY66578 UOU66578 UYQ66578 VIM66578 VSI66578 WCE66578 WMA66578 WVW66578 O132114 JK132114 TG132114 ADC132114 AMY132114 AWU132114 BGQ132114 BQM132114 CAI132114 CKE132114 CUA132114 DDW132114 DNS132114 DXO132114 EHK132114 ERG132114 FBC132114 FKY132114 FUU132114 GEQ132114 GOM132114 GYI132114 HIE132114 HSA132114 IBW132114 ILS132114 IVO132114 JFK132114 JPG132114 JZC132114 KIY132114 KSU132114 LCQ132114 LMM132114 LWI132114 MGE132114 MQA132114 MZW132114 NJS132114 NTO132114 ODK132114 ONG132114 OXC132114 PGY132114 PQU132114 QAQ132114 QKM132114 QUI132114 REE132114 ROA132114 RXW132114 SHS132114 SRO132114 TBK132114 TLG132114 TVC132114 UEY132114 UOU132114 UYQ132114 VIM132114 VSI132114 WCE132114 WMA132114 WVW132114 O197650 JK197650 TG197650 ADC197650 AMY197650 AWU197650 BGQ197650 BQM197650 CAI197650 CKE197650 CUA197650 DDW197650 DNS197650 DXO197650 EHK197650 ERG197650 FBC197650 FKY197650 FUU197650 GEQ197650 GOM197650 GYI197650 HIE197650 HSA197650 IBW197650 ILS197650 IVO197650 JFK197650 JPG197650 JZC197650 KIY197650 KSU197650 LCQ197650 LMM197650 LWI197650 MGE197650 MQA197650 MZW197650 NJS197650 NTO197650 ODK197650 ONG197650 OXC197650 PGY197650 PQU197650 QAQ197650 QKM197650 QUI197650 REE197650 ROA197650 RXW197650 SHS197650 SRO197650 TBK197650 TLG197650 TVC197650 UEY197650 UOU197650 UYQ197650 VIM197650 VSI197650 WCE197650 WMA197650 WVW197650 O263186 JK263186 TG263186 ADC263186 AMY263186 AWU263186 BGQ263186 BQM263186 CAI263186 CKE263186 CUA263186 DDW263186 DNS263186 DXO263186 EHK263186 ERG263186 FBC263186 FKY263186 FUU263186 GEQ263186 GOM263186 GYI263186 HIE263186 HSA263186 IBW263186 ILS263186 IVO263186 JFK263186 JPG263186 JZC263186 KIY263186 KSU263186 LCQ263186 LMM263186 LWI263186 MGE263186 MQA263186 MZW263186 NJS263186 NTO263186 ODK263186 ONG263186 OXC263186 PGY263186 PQU263186 QAQ263186 QKM263186 QUI263186 REE263186 ROA263186 RXW263186 SHS263186 SRO263186 TBK263186 TLG263186 TVC263186 UEY263186 UOU263186 UYQ263186 VIM263186 VSI263186 WCE263186 WMA263186 WVW263186 O328722 JK328722 TG328722 ADC328722 AMY328722 AWU328722 BGQ328722 BQM328722 CAI328722 CKE328722 CUA328722 DDW328722 DNS328722 DXO328722 EHK328722 ERG328722 FBC328722 FKY328722 FUU328722 GEQ328722 GOM328722 GYI328722 HIE328722 HSA328722 IBW328722 ILS328722 IVO328722 JFK328722 JPG328722 JZC328722 KIY328722 KSU328722 LCQ328722 LMM328722 LWI328722 MGE328722 MQA328722 MZW328722 NJS328722 NTO328722 ODK328722 ONG328722 OXC328722 PGY328722 PQU328722 QAQ328722 QKM328722 QUI328722 REE328722 ROA328722 RXW328722 SHS328722 SRO328722 TBK328722 TLG328722 TVC328722 UEY328722 UOU328722 UYQ328722 VIM328722 VSI328722 WCE328722 WMA328722 WVW328722 O394258 JK394258 TG394258 ADC394258 AMY394258 AWU394258 BGQ394258 BQM394258 CAI394258 CKE394258 CUA394258 DDW394258 DNS394258 DXO394258 EHK394258 ERG394258 FBC394258 FKY394258 FUU394258 GEQ394258 GOM394258 GYI394258 HIE394258 HSA394258 IBW394258 ILS394258 IVO394258 JFK394258 JPG394258 JZC394258 KIY394258 KSU394258 LCQ394258 LMM394258 LWI394258 MGE394258 MQA394258 MZW394258 NJS394258 NTO394258 ODK394258 ONG394258 OXC394258 PGY394258 PQU394258 QAQ394258 QKM394258 QUI394258 REE394258 ROA394258 RXW394258 SHS394258 SRO394258 TBK394258 TLG394258 TVC394258 UEY394258 UOU394258 UYQ394258 VIM394258 VSI394258 WCE394258 WMA394258 WVW394258 O459794 JK459794 TG459794 ADC459794 AMY459794 AWU459794 BGQ459794 BQM459794 CAI459794 CKE459794 CUA459794 DDW459794 DNS459794 DXO459794 EHK459794 ERG459794 FBC459794 FKY459794 FUU459794 GEQ459794 GOM459794 GYI459794 HIE459794 HSA459794 IBW459794 ILS459794 IVO459794 JFK459794 JPG459794 JZC459794 KIY459794 KSU459794 LCQ459794 LMM459794 LWI459794 MGE459794 MQA459794 MZW459794 NJS459794 NTO459794 ODK459794 ONG459794 OXC459794 PGY459794 PQU459794 QAQ459794 QKM459794 QUI459794 REE459794 ROA459794 RXW459794 SHS459794 SRO459794 TBK459794 TLG459794 TVC459794 UEY459794 UOU459794 UYQ459794 VIM459794 VSI459794 WCE459794 WMA459794 WVW459794 O525330 JK525330 TG525330 ADC525330 AMY525330 AWU525330 BGQ525330 BQM525330 CAI525330 CKE525330 CUA525330 DDW525330 DNS525330 DXO525330 EHK525330 ERG525330 FBC525330 FKY525330 FUU525330 GEQ525330 GOM525330 GYI525330 HIE525330 HSA525330 IBW525330 ILS525330 IVO525330 JFK525330 JPG525330 JZC525330 KIY525330 KSU525330 LCQ525330 LMM525330 LWI525330 MGE525330 MQA525330 MZW525330 NJS525330 NTO525330 ODK525330 ONG525330 OXC525330 PGY525330 PQU525330 QAQ525330 QKM525330 QUI525330 REE525330 ROA525330 RXW525330 SHS525330 SRO525330 TBK525330 TLG525330 TVC525330 UEY525330 UOU525330 UYQ525330 VIM525330 VSI525330 WCE525330 WMA525330 WVW525330 O590866 JK590866 TG590866 ADC590866 AMY590866 AWU590866 BGQ590866 BQM590866 CAI590866 CKE590866 CUA590866 DDW590866 DNS590866 DXO590866 EHK590866 ERG590866 FBC590866 FKY590866 FUU590866 GEQ590866 GOM590866 GYI590866 HIE590866 HSA590866 IBW590866 ILS590866 IVO590866 JFK590866 JPG590866 JZC590866 KIY590866 KSU590866 LCQ590866 LMM590866 LWI590866 MGE590866 MQA590866 MZW590866 NJS590866 NTO590866 ODK590866 ONG590866 OXC590866 PGY590866 PQU590866 QAQ590866 QKM590866 QUI590866 REE590866 ROA590866 RXW590866 SHS590866 SRO590866 TBK590866 TLG590866 TVC590866 UEY590866 UOU590866 UYQ590866 VIM590866 VSI590866 WCE590866 WMA590866 WVW590866 O656402 JK656402 TG656402 ADC656402 AMY656402 AWU656402 BGQ656402 BQM656402 CAI656402 CKE656402 CUA656402 DDW656402 DNS656402 DXO656402 EHK656402 ERG656402 FBC656402 FKY656402 FUU656402 GEQ656402 GOM656402 GYI656402 HIE656402 HSA656402 IBW656402 ILS656402 IVO656402 JFK656402 JPG656402 JZC656402 KIY656402 KSU656402 LCQ656402 LMM656402 LWI656402 MGE656402 MQA656402 MZW656402 NJS656402 NTO656402 ODK656402 ONG656402 OXC656402 PGY656402 PQU656402 QAQ656402 QKM656402 QUI656402 REE656402 ROA656402 RXW656402 SHS656402 SRO656402 TBK656402 TLG656402 TVC656402 UEY656402 UOU656402 UYQ656402 VIM656402 VSI656402 WCE656402 WMA656402 WVW656402 O721938 JK721938 TG721938 ADC721938 AMY721938 AWU721938 BGQ721938 BQM721938 CAI721938 CKE721938 CUA721938 DDW721938 DNS721938 DXO721938 EHK721938 ERG721938 FBC721938 FKY721938 FUU721938 GEQ721938 GOM721938 GYI721938 HIE721938 HSA721938 IBW721938 ILS721938 IVO721938 JFK721938 JPG721938 JZC721938 KIY721938 KSU721938 LCQ721938 LMM721938 LWI721938 MGE721938 MQA721938 MZW721938 NJS721938 NTO721938 ODK721938 ONG721938 OXC721938 PGY721938 PQU721938 QAQ721938 QKM721938 QUI721938 REE721938 ROA721938 RXW721938 SHS721938 SRO721938 TBK721938 TLG721938 TVC721938 UEY721938 UOU721938 UYQ721938 VIM721938 VSI721938 WCE721938 WMA721938 WVW721938 O787474 JK787474 TG787474 ADC787474 AMY787474 AWU787474 BGQ787474 BQM787474 CAI787474 CKE787474 CUA787474 DDW787474 DNS787474 DXO787474 EHK787474 ERG787474 FBC787474 FKY787474 FUU787474 GEQ787474 GOM787474 GYI787474 HIE787474 HSA787474 IBW787474 ILS787474 IVO787474 JFK787474 JPG787474 JZC787474 KIY787474 KSU787474 LCQ787474 LMM787474 LWI787474 MGE787474 MQA787474 MZW787474 NJS787474 NTO787474 ODK787474 ONG787474 OXC787474 PGY787474 PQU787474 QAQ787474 QKM787474 QUI787474 REE787474 ROA787474 RXW787474 SHS787474 SRO787474 TBK787474 TLG787474 TVC787474 UEY787474 UOU787474 UYQ787474 VIM787474 VSI787474 WCE787474 WMA787474 WVW787474 O853010 JK853010 TG853010 ADC853010 AMY853010 AWU853010 BGQ853010 BQM853010 CAI853010 CKE853010 CUA853010 DDW853010 DNS853010 DXO853010 EHK853010 ERG853010 FBC853010 FKY853010 FUU853010 GEQ853010 GOM853010 GYI853010 HIE853010 HSA853010 IBW853010 ILS853010 IVO853010 JFK853010 JPG853010 JZC853010 KIY853010 KSU853010 LCQ853010 LMM853010 LWI853010 MGE853010 MQA853010 MZW853010 NJS853010 NTO853010 ODK853010 ONG853010 OXC853010 PGY853010 PQU853010 QAQ853010 QKM853010 QUI853010 REE853010 ROA853010 RXW853010 SHS853010 SRO853010 TBK853010 TLG853010 TVC853010 UEY853010 UOU853010 UYQ853010 VIM853010 VSI853010 WCE853010 WMA853010 WVW853010 O918546 JK918546 TG918546 ADC918546 AMY918546 AWU918546 BGQ918546 BQM918546 CAI918546 CKE918546 CUA918546 DDW918546 DNS918546 DXO918546 EHK918546 ERG918546 FBC918546 FKY918546 FUU918546 GEQ918546 GOM918546 GYI918546 HIE918546 HSA918546 IBW918546 ILS918546 IVO918546 JFK918546 JPG918546 JZC918546 KIY918546 KSU918546 LCQ918546 LMM918546 LWI918546 MGE918546 MQA918546 MZW918546 NJS918546 NTO918546 ODK918546 ONG918546 OXC918546 PGY918546 PQU918546 QAQ918546 QKM918546 QUI918546 REE918546 ROA918546 RXW918546 SHS918546 SRO918546 TBK918546 TLG918546 TVC918546 UEY918546 UOU918546 UYQ918546 VIM918546 VSI918546 WCE918546 WMA918546 WVW918546 O984082 JK984082 TG984082 ADC984082 AMY984082 AWU984082 BGQ984082 BQM984082 CAI984082 CKE984082 CUA984082 DDW984082 DNS984082 DXO984082 EHK984082 ERG984082 FBC984082 FKY984082 FUU984082 GEQ984082 GOM984082 GYI984082 HIE984082 HSA984082 IBW984082 ILS984082 IVO984082 JFK984082 JPG984082 JZC984082 KIY984082 KSU984082 LCQ984082 LMM984082 LWI984082 MGE984082 MQA984082 MZW984082 NJS984082 NTO984082 ODK984082 ONG984082 OXC984082 PGY984082 PQU984082 QAQ984082 QKM984082 QUI984082 REE984082 ROA984082 RXW984082 SHS984082 SRO984082 TBK984082 TLG984082 TVC984082 UEY984082 UOU984082 UYQ984082 VIM984082 VSI984082 WCE984082 WMA984082 WVW984082 O1049 JK1049 TG1049 ADC1049 AMY1049 AWU1049 BGQ1049 BQM1049 CAI1049 CKE1049 CUA1049 DDW1049 DNS1049 DXO1049 EHK1049 ERG1049 FBC1049 FKY1049 FUU1049 GEQ1049 GOM1049 GYI1049 HIE1049 HSA1049 IBW1049 ILS1049 IVO1049 JFK1049 JPG1049 JZC1049 KIY1049 KSU1049 LCQ1049 LMM1049 LWI1049 MGE1049 MQA1049 MZW1049 NJS1049 NTO1049 ODK1049 ONG1049 OXC1049 PGY1049 PQU1049 QAQ1049 QKM1049 QUI1049 REE1049 ROA1049 RXW1049 SHS1049 SRO1049 TBK1049 TLG1049 TVC1049 UEY1049 UOU1049 UYQ1049 VIM1049 VSI1049 WCE1049 WMA1049 WVW1049 O66585 JK66585 TG66585 ADC66585 AMY66585 AWU66585 BGQ66585 BQM66585 CAI66585 CKE66585 CUA66585 DDW66585 DNS66585 DXO66585 EHK66585 ERG66585 FBC66585 FKY66585 FUU66585 GEQ66585 GOM66585 GYI66585 HIE66585 HSA66585 IBW66585 ILS66585 IVO66585 JFK66585 JPG66585 JZC66585 KIY66585 KSU66585 LCQ66585 LMM66585 LWI66585 MGE66585 MQA66585 MZW66585 NJS66585 NTO66585 ODK66585 ONG66585 OXC66585 PGY66585 PQU66585 QAQ66585 QKM66585 QUI66585 REE66585 ROA66585 RXW66585 SHS66585 SRO66585 TBK66585 TLG66585 TVC66585 UEY66585 UOU66585 UYQ66585 VIM66585 VSI66585 WCE66585 WMA66585 WVW66585 O132121 JK132121 TG132121 ADC132121 AMY132121 AWU132121 BGQ132121 BQM132121 CAI132121 CKE132121 CUA132121 DDW132121 DNS132121 DXO132121 EHK132121 ERG132121 FBC132121 FKY132121 FUU132121 GEQ132121 GOM132121 GYI132121 HIE132121 HSA132121 IBW132121 ILS132121 IVO132121 JFK132121 JPG132121 JZC132121 KIY132121 KSU132121 LCQ132121 LMM132121 LWI132121 MGE132121 MQA132121 MZW132121 NJS132121 NTO132121 ODK132121 ONG132121 OXC132121 PGY132121 PQU132121 QAQ132121 QKM132121 QUI132121 REE132121 ROA132121 RXW132121 SHS132121 SRO132121 TBK132121 TLG132121 TVC132121 UEY132121 UOU132121 UYQ132121 VIM132121 VSI132121 WCE132121 WMA132121 WVW132121 O197657 JK197657 TG197657 ADC197657 AMY197657 AWU197657 BGQ197657 BQM197657 CAI197657 CKE197657 CUA197657 DDW197657 DNS197657 DXO197657 EHK197657 ERG197657 FBC197657 FKY197657 FUU197657 GEQ197657 GOM197657 GYI197657 HIE197657 HSA197657 IBW197657 ILS197657 IVO197657 JFK197657 JPG197657 JZC197657 KIY197657 KSU197657 LCQ197657 LMM197657 LWI197657 MGE197657 MQA197657 MZW197657 NJS197657 NTO197657 ODK197657 ONG197657 OXC197657 PGY197657 PQU197657 QAQ197657 QKM197657 QUI197657 REE197657 ROA197657 RXW197657 SHS197657 SRO197657 TBK197657 TLG197657 TVC197657 UEY197657 UOU197657 UYQ197657 VIM197657 VSI197657 WCE197657 WMA197657 WVW197657 O263193 JK263193 TG263193 ADC263193 AMY263193 AWU263193 BGQ263193 BQM263193 CAI263193 CKE263193 CUA263193 DDW263193 DNS263193 DXO263193 EHK263193 ERG263193 FBC263193 FKY263193 FUU263193 GEQ263193 GOM263193 GYI263193 HIE263193 HSA263193 IBW263193 ILS263193 IVO263193 JFK263193 JPG263193 JZC263193 KIY263193 KSU263193 LCQ263193 LMM263193 LWI263193 MGE263193 MQA263193 MZW263193 NJS263193 NTO263193 ODK263193 ONG263193 OXC263193 PGY263193 PQU263193 QAQ263193 QKM263193 QUI263193 REE263193 ROA263193 RXW263193 SHS263193 SRO263193 TBK263193 TLG263193 TVC263193 UEY263193 UOU263193 UYQ263193 VIM263193 VSI263193 WCE263193 WMA263193 WVW263193 O328729 JK328729 TG328729 ADC328729 AMY328729 AWU328729 BGQ328729 BQM328729 CAI328729 CKE328729 CUA328729 DDW328729 DNS328729 DXO328729 EHK328729 ERG328729 FBC328729 FKY328729 FUU328729 GEQ328729 GOM328729 GYI328729 HIE328729 HSA328729 IBW328729 ILS328729 IVO328729 JFK328729 JPG328729 JZC328729 KIY328729 KSU328729 LCQ328729 LMM328729 LWI328729 MGE328729 MQA328729 MZW328729 NJS328729 NTO328729 ODK328729 ONG328729 OXC328729 PGY328729 PQU328729 QAQ328729 QKM328729 QUI328729 REE328729 ROA328729 RXW328729 SHS328729 SRO328729 TBK328729 TLG328729 TVC328729 UEY328729 UOU328729 UYQ328729 VIM328729 VSI328729 WCE328729 WMA328729 WVW328729 O394265 JK394265 TG394265 ADC394265 AMY394265 AWU394265 BGQ394265 BQM394265 CAI394265 CKE394265 CUA394265 DDW394265 DNS394265 DXO394265 EHK394265 ERG394265 FBC394265 FKY394265 FUU394265 GEQ394265 GOM394265 GYI394265 HIE394265 HSA394265 IBW394265 ILS394265 IVO394265 JFK394265 JPG394265 JZC394265 KIY394265 KSU394265 LCQ394265 LMM394265 LWI394265 MGE394265 MQA394265 MZW394265 NJS394265 NTO394265 ODK394265 ONG394265 OXC394265 PGY394265 PQU394265 QAQ394265 QKM394265 QUI394265 REE394265 ROA394265 RXW394265 SHS394265 SRO394265 TBK394265 TLG394265 TVC394265 UEY394265 UOU394265 UYQ394265 VIM394265 VSI394265 WCE394265 WMA394265 WVW394265 O459801 JK459801 TG459801 ADC459801 AMY459801 AWU459801 BGQ459801 BQM459801 CAI459801 CKE459801 CUA459801 DDW459801 DNS459801 DXO459801 EHK459801 ERG459801 FBC459801 FKY459801 FUU459801 GEQ459801 GOM459801 GYI459801 HIE459801 HSA459801 IBW459801 ILS459801 IVO459801 JFK459801 JPG459801 JZC459801 KIY459801 KSU459801 LCQ459801 LMM459801 LWI459801 MGE459801 MQA459801 MZW459801 NJS459801 NTO459801 ODK459801 ONG459801 OXC459801 PGY459801 PQU459801 QAQ459801 QKM459801 QUI459801 REE459801 ROA459801 RXW459801 SHS459801 SRO459801 TBK459801 TLG459801 TVC459801 UEY459801 UOU459801 UYQ459801 VIM459801 VSI459801 WCE459801 WMA459801 WVW459801 O525337 JK525337 TG525337 ADC525337 AMY525337 AWU525337 BGQ525337 BQM525337 CAI525337 CKE525337 CUA525337 DDW525337 DNS525337 DXO525337 EHK525337 ERG525337 FBC525337 FKY525337 FUU525337 GEQ525337 GOM525337 GYI525337 HIE525337 HSA525337 IBW525337 ILS525337 IVO525337 JFK525337 JPG525337 JZC525337 KIY525337 KSU525337 LCQ525337 LMM525337 LWI525337 MGE525337 MQA525337 MZW525337 NJS525337 NTO525337 ODK525337 ONG525337 OXC525337 PGY525337 PQU525337 QAQ525337 QKM525337 QUI525337 REE525337 ROA525337 RXW525337 SHS525337 SRO525337 TBK525337 TLG525337 TVC525337 UEY525337 UOU525337 UYQ525337 VIM525337 VSI525337 WCE525337 WMA525337 WVW525337 O590873 JK590873 TG590873 ADC590873 AMY590873 AWU590873 BGQ590873 BQM590873 CAI590873 CKE590873 CUA590873 DDW590873 DNS590873 DXO590873 EHK590873 ERG590873 FBC590873 FKY590873 FUU590873 GEQ590873 GOM590873 GYI590873 HIE590873 HSA590873 IBW590873 ILS590873 IVO590873 JFK590873 JPG590873 JZC590873 KIY590873 KSU590873 LCQ590873 LMM590873 LWI590873 MGE590873 MQA590873 MZW590873 NJS590873 NTO590873 ODK590873 ONG590873 OXC590873 PGY590873 PQU590873 QAQ590873 QKM590873 QUI590873 REE590873 ROA590873 RXW590873 SHS590873 SRO590873 TBK590873 TLG590873 TVC590873 UEY590873 UOU590873 UYQ590873 VIM590873 VSI590873 WCE590873 WMA590873 WVW590873 O656409 JK656409 TG656409 ADC656409 AMY656409 AWU656409 BGQ656409 BQM656409 CAI656409 CKE656409 CUA656409 DDW656409 DNS656409 DXO656409 EHK656409 ERG656409 FBC656409 FKY656409 FUU656409 GEQ656409 GOM656409 GYI656409 HIE656409 HSA656409 IBW656409 ILS656409 IVO656409 JFK656409 JPG656409 JZC656409 KIY656409 KSU656409 LCQ656409 LMM656409 LWI656409 MGE656409 MQA656409 MZW656409 NJS656409 NTO656409 ODK656409 ONG656409 OXC656409 PGY656409 PQU656409 QAQ656409 QKM656409 QUI656409 REE656409 ROA656409 RXW656409 SHS656409 SRO656409 TBK656409 TLG656409 TVC656409 UEY656409 UOU656409 UYQ656409 VIM656409 VSI656409 WCE656409 WMA656409 WVW656409 O721945 JK721945 TG721945 ADC721945 AMY721945 AWU721945 BGQ721945 BQM721945 CAI721945 CKE721945 CUA721945 DDW721945 DNS721945 DXO721945 EHK721945 ERG721945 FBC721945 FKY721945 FUU721945 GEQ721945 GOM721945 GYI721945 HIE721945 HSA721945 IBW721945 ILS721945 IVO721945 JFK721945 JPG721945 JZC721945 KIY721945 KSU721945 LCQ721945 LMM721945 LWI721945 MGE721945 MQA721945 MZW721945 NJS721945 NTO721945 ODK721945 ONG721945 OXC721945 PGY721945 PQU721945 QAQ721945 QKM721945 QUI721945 REE721945 ROA721945 RXW721945 SHS721945 SRO721945 TBK721945 TLG721945 TVC721945 UEY721945 UOU721945 UYQ721945 VIM721945 VSI721945 WCE721945 WMA721945 WVW721945 O787481 JK787481 TG787481 ADC787481 AMY787481 AWU787481 BGQ787481 BQM787481 CAI787481 CKE787481 CUA787481 DDW787481 DNS787481 DXO787481 EHK787481 ERG787481 FBC787481 FKY787481 FUU787481 GEQ787481 GOM787481 GYI787481 HIE787481 HSA787481 IBW787481 ILS787481 IVO787481 JFK787481 JPG787481 JZC787481 KIY787481 KSU787481 LCQ787481 LMM787481 LWI787481 MGE787481 MQA787481 MZW787481 NJS787481 NTO787481 ODK787481 ONG787481 OXC787481 PGY787481 PQU787481 QAQ787481 QKM787481 QUI787481 REE787481 ROA787481 RXW787481 SHS787481 SRO787481 TBK787481 TLG787481 TVC787481 UEY787481 UOU787481 UYQ787481 VIM787481 VSI787481 WCE787481 WMA787481 WVW787481 O853017 JK853017 TG853017 ADC853017 AMY853017 AWU853017 BGQ853017 BQM853017 CAI853017 CKE853017 CUA853017 DDW853017 DNS853017 DXO853017 EHK853017 ERG853017 FBC853017 FKY853017 FUU853017 GEQ853017 GOM853017 GYI853017 HIE853017 HSA853017 IBW853017 ILS853017 IVO853017 JFK853017 JPG853017 JZC853017 KIY853017 KSU853017 LCQ853017 LMM853017 LWI853017 MGE853017 MQA853017 MZW853017 NJS853017 NTO853017 ODK853017 ONG853017 OXC853017 PGY853017 PQU853017 QAQ853017 QKM853017 QUI853017 REE853017 ROA853017 RXW853017 SHS853017 SRO853017 TBK853017 TLG853017 TVC853017 UEY853017 UOU853017 UYQ853017 VIM853017 VSI853017 WCE853017 WMA853017 WVW853017 O918553 JK918553 TG918553 ADC918553 AMY918553 AWU918553 BGQ918553 BQM918553 CAI918553 CKE918553 CUA918553 DDW918553 DNS918553 DXO918553 EHK918553 ERG918553 FBC918553 FKY918553 FUU918553 GEQ918553 GOM918553 GYI918553 HIE918553 HSA918553 IBW918553 ILS918553 IVO918553 JFK918553 JPG918553 JZC918553 KIY918553 KSU918553 LCQ918553 LMM918553 LWI918553 MGE918553 MQA918553 MZW918553 NJS918553 NTO918553 ODK918553 ONG918553 OXC918553 PGY918553 PQU918553 QAQ918553 QKM918553 QUI918553 REE918553 ROA918553 RXW918553 SHS918553 SRO918553 TBK918553 TLG918553 TVC918553 UEY918553 UOU918553 UYQ918553 VIM918553 VSI918553 WCE918553 WMA918553 WVW918553 O984089 JK984089 TG984089 ADC984089 AMY984089 AWU984089 BGQ984089 BQM984089 CAI984089 CKE984089 CUA984089 DDW984089 DNS984089 DXO984089 EHK984089 ERG984089 FBC984089 FKY984089 FUU984089 GEQ984089 GOM984089 GYI984089 HIE984089 HSA984089 IBW984089 ILS984089 IVO984089 JFK984089 JPG984089 JZC984089 KIY984089 KSU984089 LCQ984089 LMM984089 LWI984089 MGE984089 MQA984089 MZW984089 NJS984089 NTO984089 ODK984089 ONG984089 OXC984089 PGY984089 PQU984089 QAQ984089 QKM984089 QUI984089 REE984089 ROA984089 RXW984089 SHS984089 SRO984089 TBK984089 TLG984089 TVC984089 UEY984089 UOU984089 UYQ984089 VIM984089 VSI984089 WCE984089 WMA984089 WVW984089 O1056 JK1056 TG1056 ADC1056 AMY1056 AWU1056 BGQ1056 BQM1056 CAI1056 CKE1056 CUA1056 DDW1056 DNS1056 DXO1056 EHK1056 ERG1056 FBC1056 FKY1056 FUU1056 GEQ1056 GOM1056 GYI1056 HIE1056 HSA1056 IBW1056 ILS1056 IVO1056 JFK1056 JPG1056 JZC1056 KIY1056 KSU1056 LCQ1056 LMM1056 LWI1056 MGE1056 MQA1056 MZW1056 NJS1056 NTO1056 ODK1056 ONG1056 OXC1056 PGY1056 PQU1056 QAQ1056 QKM1056 QUI1056 REE1056 ROA1056 RXW1056 SHS1056 SRO1056 TBK1056 TLG1056 TVC1056 UEY1056 UOU1056 UYQ1056 VIM1056 VSI1056 WCE1056 WMA1056 WVW1056 O66592 JK66592 TG66592 ADC66592 AMY66592 AWU66592 BGQ66592 BQM66592 CAI66592 CKE66592 CUA66592 DDW66592 DNS66592 DXO66592 EHK66592 ERG66592 FBC66592 FKY66592 FUU66592 GEQ66592 GOM66592 GYI66592 HIE66592 HSA66592 IBW66592 ILS66592 IVO66592 JFK66592 JPG66592 JZC66592 KIY66592 KSU66592 LCQ66592 LMM66592 LWI66592 MGE66592 MQA66592 MZW66592 NJS66592 NTO66592 ODK66592 ONG66592 OXC66592 PGY66592 PQU66592 QAQ66592 QKM66592 QUI66592 REE66592 ROA66592 RXW66592 SHS66592 SRO66592 TBK66592 TLG66592 TVC66592 UEY66592 UOU66592 UYQ66592 VIM66592 VSI66592 WCE66592 WMA66592 WVW66592 O132128 JK132128 TG132128 ADC132128 AMY132128 AWU132128 BGQ132128 BQM132128 CAI132128 CKE132128 CUA132128 DDW132128 DNS132128 DXO132128 EHK132128 ERG132128 FBC132128 FKY132128 FUU132128 GEQ132128 GOM132128 GYI132128 HIE132128 HSA132128 IBW132128 ILS132128 IVO132128 JFK132128 JPG132128 JZC132128 KIY132128 KSU132128 LCQ132128 LMM132128 LWI132128 MGE132128 MQA132128 MZW132128 NJS132128 NTO132128 ODK132128 ONG132128 OXC132128 PGY132128 PQU132128 QAQ132128 QKM132128 QUI132128 REE132128 ROA132128 RXW132128 SHS132128 SRO132128 TBK132128 TLG132128 TVC132128 UEY132128 UOU132128 UYQ132128 VIM132128 VSI132128 WCE132128 WMA132128 WVW132128 O197664 JK197664 TG197664 ADC197664 AMY197664 AWU197664 BGQ197664 BQM197664 CAI197664 CKE197664 CUA197664 DDW197664 DNS197664 DXO197664 EHK197664 ERG197664 FBC197664 FKY197664 FUU197664 GEQ197664 GOM197664 GYI197664 HIE197664 HSA197664 IBW197664 ILS197664 IVO197664 JFK197664 JPG197664 JZC197664 KIY197664 KSU197664 LCQ197664 LMM197664 LWI197664 MGE197664 MQA197664 MZW197664 NJS197664 NTO197664 ODK197664 ONG197664 OXC197664 PGY197664 PQU197664 QAQ197664 QKM197664 QUI197664 REE197664 ROA197664 RXW197664 SHS197664 SRO197664 TBK197664 TLG197664 TVC197664 UEY197664 UOU197664 UYQ197664 VIM197664 VSI197664 WCE197664 WMA197664 WVW197664 O263200 JK263200 TG263200 ADC263200 AMY263200 AWU263200 BGQ263200 BQM263200 CAI263200 CKE263200 CUA263200 DDW263200 DNS263200 DXO263200 EHK263200 ERG263200 FBC263200 FKY263200 FUU263200 GEQ263200 GOM263200 GYI263200 HIE263200 HSA263200 IBW263200 ILS263200 IVO263200 JFK263200 JPG263200 JZC263200 KIY263200 KSU263200 LCQ263200 LMM263200 LWI263200 MGE263200 MQA263200 MZW263200 NJS263200 NTO263200 ODK263200 ONG263200 OXC263200 PGY263200 PQU263200 QAQ263200 QKM263200 QUI263200 REE263200 ROA263200 RXW263200 SHS263200 SRO263200 TBK263200 TLG263200 TVC263200 UEY263200 UOU263200 UYQ263200 VIM263200 VSI263200 WCE263200 WMA263200 WVW263200 O328736 JK328736 TG328736 ADC328736 AMY328736 AWU328736 BGQ328736 BQM328736 CAI328736 CKE328736 CUA328736 DDW328736 DNS328736 DXO328736 EHK328736 ERG328736 FBC328736 FKY328736 FUU328736 GEQ328736 GOM328736 GYI328736 HIE328736 HSA328736 IBW328736 ILS328736 IVO328736 JFK328736 JPG328736 JZC328736 KIY328736 KSU328736 LCQ328736 LMM328736 LWI328736 MGE328736 MQA328736 MZW328736 NJS328736 NTO328736 ODK328736 ONG328736 OXC328736 PGY328736 PQU328736 QAQ328736 QKM328736 QUI328736 REE328736 ROA328736 RXW328736 SHS328736 SRO328736 TBK328736 TLG328736 TVC328736 UEY328736 UOU328736 UYQ328736 VIM328736 VSI328736 WCE328736 WMA328736 WVW328736 O394272 JK394272 TG394272 ADC394272 AMY394272 AWU394272 BGQ394272 BQM394272 CAI394272 CKE394272 CUA394272 DDW394272 DNS394272 DXO394272 EHK394272 ERG394272 FBC394272 FKY394272 FUU394272 GEQ394272 GOM394272 GYI394272 HIE394272 HSA394272 IBW394272 ILS394272 IVO394272 JFK394272 JPG394272 JZC394272 KIY394272 KSU394272 LCQ394272 LMM394272 LWI394272 MGE394272 MQA394272 MZW394272 NJS394272 NTO394272 ODK394272 ONG394272 OXC394272 PGY394272 PQU394272 QAQ394272 QKM394272 QUI394272 REE394272 ROA394272 RXW394272 SHS394272 SRO394272 TBK394272 TLG394272 TVC394272 UEY394272 UOU394272 UYQ394272 VIM394272 VSI394272 WCE394272 WMA394272 WVW394272 O459808 JK459808 TG459808 ADC459808 AMY459808 AWU459808 BGQ459808 BQM459808 CAI459808 CKE459808 CUA459808 DDW459808 DNS459808 DXO459808 EHK459808 ERG459808 FBC459808 FKY459808 FUU459808 GEQ459808 GOM459808 GYI459808 HIE459808 HSA459808 IBW459808 ILS459808 IVO459808 JFK459808 JPG459808 JZC459808 KIY459808 KSU459808 LCQ459808 LMM459808 LWI459808 MGE459808 MQA459808 MZW459808 NJS459808 NTO459808 ODK459808 ONG459808 OXC459808 PGY459808 PQU459808 QAQ459808 QKM459808 QUI459808 REE459808 ROA459808 RXW459808 SHS459808 SRO459808 TBK459808 TLG459808 TVC459808 UEY459808 UOU459808 UYQ459808 VIM459808 VSI459808 WCE459808 WMA459808 WVW459808 O525344 JK525344 TG525344 ADC525344 AMY525344 AWU525344 BGQ525344 BQM525344 CAI525344 CKE525344 CUA525344 DDW525344 DNS525344 DXO525344 EHK525344 ERG525344 FBC525344 FKY525344 FUU525344 GEQ525344 GOM525344 GYI525344 HIE525344 HSA525344 IBW525344 ILS525344 IVO525344 JFK525344 JPG525344 JZC525344 KIY525344 KSU525344 LCQ525344 LMM525344 LWI525344 MGE525344 MQA525344 MZW525344 NJS525344 NTO525344 ODK525344 ONG525344 OXC525344 PGY525344 PQU525344 QAQ525344 QKM525344 QUI525344 REE525344 ROA525344 RXW525344 SHS525344 SRO525344 TBK525344 TLG525344 TVC525344 UEY525344 UOU525344 UYQ525344 VIM525344 VSI525344 WCE525344 WMA525344 WVW525344 O590880 JK590880 TG590880 ADC590880 AMY590880 AWU590880 BGQ590880 BQM590880 CAI590880 CKE590880 CUA590880 DDW590880 DNS590880 DXO590880 EHK590880 ERG590880 FBC590880 FKY590880 FUU590880 GEQ590880 GOM590880 GYI590880 HIE590880 HSA590880 IBW590880 ILS590880 IVO590880 JFK590880 JPG590880 JZC590880 KIY590880 KSU590880 LCQ590880 LMM590880 LWI590880 MGE590880 MQA590880 MZW590880 NJS590880 NTO590880 ODK590880 ONG590880 OXC590880 PGY590880 PQU590880 QAQ590880 QKM590880 QUI590880 REE590880 ROA590880 RXW590880 SHS590880 SRO590880 TBK590880 TLG590880 TVC590880 UEY590880 UOU590880 UYQ590880 VIM590880 VSI590880 WCE590880 WMA590880 WVW590880 O656416 JK656416 TG656416 ADC656416 AMY656416 AWU656416 BGQ656416 BQM656416 CAI656416 CKE656416 CUA656416 DDW656416 DNS656416 DXO656416 EHK656416 ERG656416 FBC656416 FKY656416 FUU656416 GEQ656416 GOM656416 GYI656416 HIE656416 HSA656416 IBW656416 ILS656416 IVO656416 JFK656416 JPG656416 JZC656416 KIY656416 KSU656416 LCQ656416 LMM656416 LWI656416 MGE656416 MQA656416 MZW656416 NJS656416 NTO656416 ODK656416 ONG656416 OXC656416 PGY656416 PQU656416 QAQ656416 QKM656416 QUI656416 REE656416 ROA656416 RXW656416 SHS656416 SRO656416 TBK656416 TLG656416 TVC656416 UEY656416 UOU656416 UYQ656416 VIM656416 VSI656416 WCE656416 WMA656416 WVW656416 O721952 JK721952 TG721952 ADC721952 AMY721952 AWU721952 BGQ721952 BQM721952 CAI721952 CKE721952 CUA721952 DDW721952 DNS721952 DXO721952 EHK721952 ERG721952 FBC721952 FKY721952 FUU721952 GEQ721952 GOM721952 GYI721952 HIE721952 HSA721952 IBW721952 ILS721952 IVO721952 JFK721952 JPG721952 JZC721952 KIY721952 KSU721952 LCQ721952 LMM721952 LWI721952 MGE721952 MQA721952 MZW721952 NJS721952 NTO721952 ODK721952 ONG721952 OXC721952 PGY721952 PQU721952 QAQ721952 QKM721952 QUI721952 REE721952 ROA721952 RXW721952 SHS721952 SRO721952 TBK721952 TLG721952 TVC721952 UEY721952 UOU721952 UYQ721952 VIM721952 VSI721952 WCE721952 WMA721952 WVW721952 O787488 JK787488 TG787488 ADC787488 AMY787488 AWU787488 BGQ787488 BQM787488 CAI787488 CKE787488 CUA787488 DDW787488 DNS787488 DXO787488 EHK787488 ERG787488 FBC787488 FKY787488 FUU787488 GEQ787488 GOM787488 GYI787488 HIE787488 HSA787488 IBW787488 ILS787488 IVO787488 JFK787488 JPG787488 JZC787488 KIY787488 KSU787488 LCQ787488 LMM787488 LWI787488 MGE787488 MQA787488 MZW787488 NJS787488 NTO787488 ODK787488 ONG787488 OXC787488 PGY787488 PQU787488 QAQ787488 QKM787488 QUI787488 REE787488 ROA787488 RXW787488 SHS787488 SRO787488 TBK787488 TLG787488 TVC787488 UEY787488 UOU787488 UYQ787488 VIM787488 VSI787488 WCE787488 WMA787488 WVW787488 O853024 JK853024 TG853024 ADC853024 AMY853024 AWU853024 BGQ853024 BQM853024 CAI853024 CKE853024 CUA853024 DDW853024 DNS853024 DXO853024 EHK853024 ERG853024 FBC853024 FKY853024 FUU853024 GEQ853024 GOM853024 GYI853024 HIE853024 HSA853024 IBW853024 ILS853024 IVO853024 JFK853024 JPG853024 JZC853024 KIY853024 KSU853024 LCQ853024 LMM853024 LWI853024 MGE853024 MQA853024 MZW853024 NJS853024 NTO853024 ODK853024 ONG853024 OXC853024 PGY853024 PQU853024 QAQ853024 QKM853024 QUI853024 REE853024 ROA853024 RXW853024 SHS853024 SRO853024 TBK853024 TLG853024 TVC853024 UEY853024 UOU853024 UYQ853024 VIM853024 VSI853024 WCE853024 WMA853024 WVW853024 O918560 JK918560 TG918560 ADC918560 AMY918560 AWU918560 BGQ918560 BQM918560 CAI918560 CKE918560 CUA918560 DDW918560 DNS918560 DXO918560 EHK918560 ERG918560 FBC918560 FKY918560 FUU918560 GEQ918560 GOM918560 GYI918560 HIE918560 HSA918560 IBW918560 ILS918560 IVO918560 JFK918560 JPG918560 JZC918560 KIY918560 KSU918560 LCQ918560 LMM918560 LWI918560 MGE918560 MQA918560 MZW918560 NJS918560 NTO918560 ODK918560 ONG918560 OXC918560 PGY918560 PQU918560 QAQ918560 QKM918560 QUI918560 REE918560 ROA918560 RXW918560 SHS918560 SRO918560 TBK918560 TLG918560 TVC918560 UEY918560 UOU918560 UYQ918560 VIM918560 VSI918560 WCE918560 WMA918560 WVW918560 O984096 JK984096 TG984096 ADC984096 AMY984096 AWU984096 BGQ984096 BQM984096 CAI984096 CKE984096 CUA984096 DDW984096 DNS984096 DXO984096 EHK984096 ERG984096 FBC984096 FKY984096 FUU984096 GEQ984096 GOM984096 GYI984096 HIE984096 HSA984096 IBW984096 ILS984096 IVO984096 JFK984096 JPG984096 JZC984096 KIY984096 KSU984096 LCQ984096 LMM984096 LWI984096 MGE984096 MQA984096 MZW984096 NJS984096 NTO984096 ODK984096 ONG984096 OXC984096 PGY984096 PQU984096 QAQ984096 QKM984096 QUI984096 REE984096 ROA984096 RXW984096 SHS984096 SRO984096 TBK984096 TLG984096 TVC984096 UEY984096 UOU984096 UYQ984096 VIM984096 VSI984096 WCE984096 WMA984096 WVW984096 O1063 JK1063 TG1063 ADC1063 AMY1063 AWU1063 BGQ1063 BQM1063 CAI1063 CKE1063 CUA1063 DDW1063 DNS1063 DXO1063 EHK1063 ERG1063 FBC1063 FKY1063 FUU1063 GEQ1063 GOM1063 GYI1063 HIE1063 HSA1063 IBW1063 ILS1063 IVO1063 JFK1063 JPG1063 JZC1063 KIY1063 KSU1063 LCQ1063 LMM1063 LWI1063 MGE1063 MQA1063 MZW1063 NJS1063 NTO1063 ODK1063 ONG1063 OXC1063 PGY1063 PQU1063 QAQ1063 QKM1063 QUI1063 REE1063 ROA1063 RXW1063 SHS1063 SRO1063 TBK1063 TLG1063 TVC1063 UEY1063 UOU1063 UYQ1063 VIM1063 VSI1063 WCE1063 WMA1063 WVW1063 O66599 JK66599 TG66599 ADC66599 AMY66599 AWU66599 BGQ66599 BQM66599 CAI66599 CKE66599 CUA66599 DDW66599 DNS66599 DXO66599 EHK66599 ERG66599 FBC66599 FKY66599 FUU66599 GEQ66599 GOM66599 GYI66599 HIE66599 HSA66599 IBW66599 ILS66599 IVO66599 JFK66599 JPG66599 JZC66599 KIY66599 KSU66599 LCQ66599 LMM66599 LWI66599 MGE66599 MQA66599 MZW66599 NJS66599 NTO66599 ODK66599 ONG66599 OXC66599 PGY66599 PQU66599 QAQ66599 QKM66599 QUI66599 REE66599 ROA66599 RXW66599 SHS66599 SRO66599 TBK66599 TLG66599 TVC66599 UEY66599 UOU66599 UYQ66599 VIM66599 VSI66599 WCE66599 WMA66599 WVW66599 O132135 JK132135 TG132135 ADC132135 AMY132135 AWU132135 BGQ132135 BQM132135 CAI132135 CKE132135 CUA132135 DDW132135 DNS132135 DXO132135 EHK132135 ERG132135 FBC132135 FKY132135 FUU132135 GEQ132135 GOM132135 GYI132135 HIE132135 HSA132135 IBW132135 ILS132135 IVO132135 JFK132135 JPG132135 JZC132135 KIY132135 KSU132135 LCQ132135 LMM132135 LWI132135 MGE132135 MQA132135 MZW132135 NJS132135 NTO132135 ODK132135 ONG132135 OXC132135 PGY132135 PQU132135 QAQ132135 QKM132135 QUI132135 REE132135 ROA132135 RXW132135 SHS132135 SRO132135 TBK132135 TLG132135 TVC132135 UEY132135 UOU132135 UYQ132135 VIM132135 VSI132135 WCE132135 WMA132135 WVW132135 O197671 JK197671 TG197671 ADC197671 AMY197671 AWU197671 BGQ197671 BQM197671 CAI197671 CKE197671 CUA197671 DDW197671 DNS197671 DXO197671 EHK197671 ERG197671 FBC197671 FKY197671 FUU197671 GEQ197671 GOM197671 GYI197671 HIE197671 HSA197671 IBW197671 ILS197671 IVO197671 JFK197671 JPG197671 JZC197671 KIY197671 KSU197671 LCQ197671 LMM197671 LWI197671 MGE197671 MQA197671 MZW197671 NJS197671 NTO197671 ODK197671 ONG197671 OXC197671 PGY197671 PQU197671 QAQ197671 QKM197671 QUI197671 REE197671 ROA197671 RXW197671 SHS197671 SRO197671 TBK197671 TLG197671 TVC197671 UEY197671 UOU197671 UYQ197671 VIM197671 VSI197671 WCE197671 WMA197671 WVW197671 O263207 JK263207 TG263207 ADC263207 AMY263207 AWU263207 BGQ263207 BQM263207 CAI263207 CKE263207 CUA263207 DDW263207 DNS263207 DXO263207 EHK263207 ERG263207 FBC263207 FKY263207 FUU263207 GEQ263207 GOM263207 GYI263207 HIE263207 HSA263207 IBW263207 ILS263207 IVO263207 JFK263207 JPG263207 JZC263207 KIY263207 KSU263207 LCQ263207 LMM263207 LWI263207 MGE263207 MQA263207 MZW263207 NJS263207 NTO263207 ODK263207 ONG263207 OXC263207 PGY263207 PQU263207 QAQ263207 QKM263207 QUI263207 REE263207 ROA263207 RXW263207 SHS263207 SRO263207 TBK263207 TLG263207 TVC263207 UEY263207 UOU263207 UYQ263207 VIM263207 VSI263207 WCE263207 WMA263207 WVW263207 O328743 JK328743 TG328743 ADC328743 AMY328743 AWU328743 BGQ328743 BQM328743 CAI328743 CKE328743 CUA328743 DDW328743 DNS328743 DXO328743 EHK328743 ERG328743 FBC328743 FKY328743 FUU328743 GEQ328743 GOM328743 GYI328743 HIE328743 HSA328743 IBW328743 ILS328743 IVO328743 JFK328743 JPG328743 JZC328743 KIY328743 KSU328743 LCQ328743 LMM328743 LWI328743 MGE328743 MQA328743 MZW328743 NJS328743 NTO328743 ODK328743 ONG328743 OXC328743 PGY328743 PQU328743 QAQ328743 QKM328743 QUI328743 REE328743 ROA328743 RXW328743 SHS328743 SRO328743 TBK328743 TLG328743 TVC328743 UEY328743 UOU328743 UYQ328743 VIM328743 VSI328743 WCE328743 WMA328743 WVW328743 O394279 JK394279 TG394279 ADC394279 AMY394279 AWU394279 BGQ394279 BQM394279 CAI394279 CKE394279 CUA394279 DDW394279 DNS394279 DXO394279 EHK394279 ERG394279 FBC394279 FKY394279 FUU394279 GEQ394279 GOM394279 GYI394279 HIE394279 HSA394279 IBW394279 ILS394279 IVO394279 JFK394279 JPG394279 JZC394279 KIY394279 KSU394279 LCQ394279 LMM394279 LWI394279 MGE394279 MQA394279 MZW394279 NJS394279 NTO394279 ODK394279 ONG394279 OXC394279 PGY394279 PQU394279 QAQ394279 QKM394279 QUI394279 REE394279 ROA394279 RXW394279 SHS394279 SRO394279 TBK394279 TLG394279 TVC394279 UEY394279 UOU394279 UYQ394279 VIM394279 VSI394279 WCE394279 WMA394279 WVW394279 O459815 JK459815 TG459815 ADC459815 AMY459815 AWU459815 BGQ459815 BQM459815 CAI459815 CKE459815 CUA459815 DDW459815 DNS459815 DXO459815 EHK459815 ERG459815 FBC459815 FKY459815 FUU459815 GEQ459815 GOM459815 GYI459815 HIE459815 HSA459815 IBW459815 ILS459815 IVO459815 JFK459815 JPG459815 JZC459815 KIY459815 KSU459815 LCQ459815 LMM459815 LWI459815 MGE459815 MQA459815 MZW459815 NJS459815 NTO459815 ODK459815 ONG459815 OXC459815 PGY459815 PQU459815 QAQ459815 QKM459815 QUI459815 REE459815 ROA459815 RXW459815 SHS459815 SRO459815 TBK459815 TLG459815 TVC459815 UEY459815 UOU459815 UYQ459815 VIM459815 VSI459815 WCE459815 WMA459815 WVW459815 O525351 JK525351 TG525351 ADC525351 AMY525351 AWU525351 BGQ525351 BQM525351 CAI525351 CKE525351 CUA525351 DDW525351 DNS525351 DXO525351 EHK525351 ERG525351 FBC525351 FKY525351 FUU525351 GEQ525351 GOM525351 GYI525351 HIE525351 HSA525351 IBW525351 ILS525351 IVO525351 JFK525351 JPG525351 JZC525351 KIY525351 KSU525351 LCQ525351 LMM525351 LWI525351 MGE525351 MQA525351 MZW525351 NJS525351 NTO525351 ODK525351 ONG525351 OXC525351 PGY525351 PQU525351 QAQ525351 QKM525351 QUI525351 REE525351 ROA525351 RXW525351 SHS525351 SRO525351 TBK525351 TLG525351 TVC525351 UEY525351 UOU525351 UYQ525351 VIM525351 VSI525351 WCE525351 WMA525351 WVW525351 O590887 JK590887 TG590887 ADC590887 AMY590887 AWU590887 BGQ590887 BQM590887 CAI590887 CKE590887 CUA590887 DDW590887 DNS590887 DXO590887 EHK590887 ERG590887 FBC590887 FKY590887 FUU590887 GEQ590887 GOM590887 GYI590887 HIE590887 HSA590887 IBW590887 ILS590887 IVO590887 JFK590887 JPG590887 JZC590887 KIY590887 KSU590887 LCQ590887 LMM590887 LWI590887 MGE590887 MQA590887 MZW590887 NJS590887 NTO590887 ODK590887 ONG590887 OXC590887 PGY590887 PQU590887 QAQ590887 QKM590887 QUI590887 REE590887 ROA590887 RXW590887 SHS590887 SRO590887 TBK590887 TLG590887 TVC590887 UEY590887 UOU590887 UYQ590887 VIM590887 VSI590887 WCE590887 WMA590887 WVW590887 O656423 JK656423 TG656423 ADC656423 AMY656423 AWU656423 BGQ656423 BQM656423 CAI656423 CKE656423 CUA656423 DDW656423 DNS656423 DXO656423 EHK656423 ERG656423 FBC656423 FKY656423 FUU656423 GEQ656423 GOM656423 GYI656423 HIE656423 HSA656423 IBW656423 ILS656423 IVO656423 JFK656423 JPG656423 JZC656423 KIY656423 KSU656423 LCQ656423 LMM656423 LWI656423 MGE656423 MQA656423 MZW656423 NJS656423 NTO656423 ODK656423 ONG656423 OXC656423 PGY656423 PQU656423 QAQ656423 QKM656423 QUI656423 REE656423 ROA656423 RXW656423 SHS656423 SRO656423 TBK656423 TLG656423 TVC656423 UEY656423 UOU656423 UYQ656423 VIM656423 VSI656423 WCE656423 WMA656423 WVW656423 O721959 JK721959 TG721959 ADC721959 AMY721959 AWU721959 BGQ721959 BQM721959 CAI721959 CKE721959 CUA721959 DDW721959 DNS721959 DXO721959 EHK721959 ERG721959 FBC721959 FKY721959 FUU721959 GEQ721959 GOM721959 GYI721959 HIE721959 HSA721959 IBW721959 ILS721959 IVO721959 JFK721959 JPG721959 JZC721959 KIY721959 KSU721959 LCQ721959 LMM721959 LWI721959 MGE721959 MQA721959 MZW721959 NJS721959 NTO721959 ODK721959 ONG721959 OXC721959 PGY721959 PQU721959 QAQ721959 QKM721959 QUI721959 REE721959 ROA721959 RXW721959 SHS721959 SRO721959 TBK721959 TLG721959 TVC721959 UEY721959 UOU721959 UYQ721959 VIM721959 VSI721959 WCE721959 WMA721959 WVW721959 O787495 JK787495 TG787495 ADC787495 AMY787495 AWU787495 BGQ787495 BQM787495 CAI787495 CKE787495 CUA787495 DDW787495 DNS787495 DXO787495 EHK787495 ERG787495 FBC787495 FKY787495 FUU787495 GEQ787495 GOM787495 GYI787495 HIE787495 HSA787495 IBW787495 ILS787495 IVO787495 JFK787495 JPG787495 JZC787495 KIY787495 KSU787495 LCQ787495 LMM787495 LWI787495 MGE787495 MQA787495 MZW787495 NJS787495 NTO787495 ODK787495 ONG787495 OXC787495 PGY787495 PQU787495 QAQ787495 QKM787495 QUI787495 REE787495 ROA787495 RXW787495 SHS787495 SRO787495 TBK787495 TLG787495 TVC787495 UEY787495 UOU787495 UYQ787495 VIM787495 VSI787495 WCE787495 WMA787495 WVW787495 O853031 JK853031 TG853031 ADC853031 AMY853031 AWU853031 BGQ853031 BQM853031 CAI853031 CKE853031 CUA853031 DDW853031 DNS853031 DXO853031 EHK853031 ERG853031 FBC853031 FKY853031 FUU853031 GEQ853031 GOM853031 GYI853031 HIE853031 HSA853031 IBW853031 ILS853031 IVO853031 JFK853031 JPG853031 JZC853031 KIY853031 KSU853031 LCQ853031 LMM853031 LWI853031 MGE853031 MQA853031 MZW853031 NJS853031 NTO853031 ODK853031 ONG853031 OXC853031 PGY853031 PQU853031 QAQ853031 QKM853031 QUI853031 REE853031 ROA853031 RXW853031 SHS853031 SRO853031 TBK853031 TLG853031 TVC853031 UEY853031 UOU853031 UYQ853031 VIM853031 VSI853031 WCE853031 WMA853031 WVW853031 O918567 JK918567 TG918567 ADC918567 AMY918567 AWU918567 BGQ918567 BQM918567 CAI918567 CKE918567 CUA918567 DDW918567 DNS918567 DXO918567 EHK918567 ERG918567 FBC918567 FKY918567 FUU918567 GEQ918567 GOM918567 GYI918567 HIE918567 HSA918567 IBW918567 ILS918567 IVO918567 JFK918567 JPG918567 JZC918567 KIY918567 KSU918567 LCQ918567 LMM918567 LWI918567 MGE918567 MQA918567 MZW918567 NJS918567 NTO918567 ODK918567 ONG918567 OXC918567 PGY918567 PQU918567 QAQ918567 QKM918567 QUI918567 REE918567 ROA918567 RXW918567 SHS918567 SRO918567 TBK918567 TLG918567 TVC918567 UEY918567 UOU918567 UYQ918567 VIM918567 VSI918567 WCE918567 WMA918567 WVW918567 O984103 JK984103 TG984103 ADC984103 AMY984103 AWU984103 BGQ984103 BQM984103 CAI984103 CKE984103 CUA984103 DDW984103 DNS984103 DXO984103 EHK984103 ERG984103 FBC984103 FKY984103 FUU984103 GEQ984103 GOM984103 GYI984103 HIE984103 HSA984103 IBW984103 ILS984103 IVO984103 JFK984103 JPG984103 JZC984103 KIY984103 KSU984103 LCQ984103 LMM984103 LWI984103 MGE984103 MQA984103 MZW984103 NJS984103 NTO984103 ODK984103 ONG984103 OXC984103 PGY984103 PQU984103 QAQ984103 QKM984103 QUI984103 REE984103 ROA984103 RXW984103 SHS984103 SRO984103 TBK984103 TLG984103 TVC984103 UEY984103 UOU984103 UYQ984103 VIM984103 VSI984103 WCE984103 WMA984103 WVW984103 O1070 JK1070 TG1070 ADC1070 AMY1070 AWU1070 BGQ1070 BQM1070 CAI1070 CKE1070 CUA1070 DDW1070 DNS1070 DXO1070 EHK1070 ERG1070 FBC1070 FKY1070 FUU1070 GEQ1070 GOM1070 GYI1070 HIE1070 HSA1070 IBW1070 ILS1070 IVO1070 JFK1070 JPG1070 JZC1070 KIY1070 KSU1070 LCQ1070 LMM1070 LWI1070 MGE1070 MQA1070 MZW1070 NJS1070 NTO1070 ODK1070 ONG1070 OXC1070 PGY1070 PQU1070 QAQ1070 QKM1070 QUI1070 REE1070 ROA1070 RXW1070 SHS1070 SRO1070 TBK1070 TLG1070 TVC1070 UEY1070 UOU1070 UYQ1070 VIM1070 VSI1070 WCE1070 WMA1070 WVW1070 O66606 JK66606 TG66606 ADC66606 AMY66606 AWU66606 BGQ66606 BQM66606 CAI66606 CKE66606 CUA66606 DDW66606 DNS66606 DXO66606 EHK66606 ERG66606 FBC66606 FKY66606 FUU66606 GEQ66606 GOM66606 GYI66606 HIE66606 HSA66606 IBW66606 ILS66606 IVO66606 JFK66606 JPG66606 JZC66606 KIY66606 KSU66606 LCQ66606 LMM66606 LWI66606 MGE66606 MQA66606 MZW66606 NJS66606 NTO66606 ODK66606 ONG66606 OXC66606 PGY66606 PQU66606 QAQ66606 QKM66606 QUI66606 REE66606 ROA66606 RXW66606 SHS66606 SRO66606 TBK66606 TLG66606 TVC66606 UEY66606 UOU66606 UYQ66606 VIM66606 VSI66606 WCE66606 WMA66606 WVW66606 O132142 JK132142 TG132142 ADC132142 AMY132142 AWU132142 BGQ132142 BQM132142 CAI132142 CKE132142 CUA132142 DDW132142 DNS132142 DXO132142 EHK132142 ERG132142 FBC132142 FKY132142 FUU132142 GEQ132142 GOM132142 GYI132142 HIE132142 HSA132142 IBW132142 ILS132142 IVO132142 JFK132142 JPG132142 JZC132142 KIY132142 KSU132142 LCQ132142 LMM132142 LWI132142 MGE132142 MQA132142 MZW132142 NJS132142 NTO132142 ODK132142 ONG132142 OXC132142 PGY132142 PQU132142 QAQ132142 QKM132142 QUI132142 REE132142 ROA132142 RXW132142 SHS132142 SRO132142 TBK132142 TLG132142 TVC132142 UEY132142 UOU132142 UYQ132142 VIM132142 VSI132142 WCE132142 WMA132142 WVW132142 O197678 JK197678 TG197678 ADC197678 AMY197678 AWU197678 BGQ197678 BQM197678 CAI197678 CKE197678 CUA197678 DDW197678 DNS197678 DXO197678 EHK197678 ERG197678 FBC197678 FKY197678 FUU197678 GEQ197678 GOM197678 GYI197678 HIE197678 HSA197678 IBW197678 ILS197678 IVO197678 JFK197678 JPG197678 JZC197678 KIY197678 KSU197678 LCQ197678 LMM197678 LWI197678 MGE197678 MQA197678 MZW197678 NJS197678 NTO197678 ODK197678 ONG197678 OXC197678 PGY197678 PQU197678 QAQ197678 QKM197678 QUI197678 REE197678 ROA197678 RXW197678 SHS197678 SRO197678 TBK197678 TLG197678 TVC197678 UEY197678 UOU197678 UYQ197678 VIM197678 VSI197678 WCE197678 WMA197678 WVW197678 O263214 JK263214 TG263214 ADC263214 AMY263214 AWU263214 BGQ263214 BQM263214 CAI263214 CKE263214 CUA263214 DDW263214 DNS263214 DXO263214 EHK263214 ERG263214 FBC263214 FKY263214 FUU263214 GEQ263214 GOM263214 GYI263214 HIE263214 HSA263214 IBW263214 ILS263214 IVO263214 JFK263214 JPG263214 JZC263214 KIY263214 KSU263214 LCQ263214 LMM263214 LWI263214 MGE263214 MQA263214 MZW263214 NJS263214 NTO263214 ODK263214 ONG263214 OXC263214 PGY263214 PQU263214 QAQ263214 QKM263214 QUI263214 REE263214 ROA263214 RXW263214 SHS263214 SRO263214 TBK263214 TLG263214 TVC263214 UEY263214 UOU263214 UYQ263214 VIM263214 VSI263214 WCE263214 WMA263214 WVW263214 O328750 JK328750 TG328750 ADC328750 AMY328750 AWU328750 BGQ328750 BQM328750 CAI328750 CKE328750 CUA328750 DDW328750 DNS328750 DXO328750 EHK328750 ERG328750 FBC328750 FKY328750 FUU328750 GEQ328750 GOM328750 GYI328750 HIE328750 HSA328750 IBW328750 ILS328750 IVO328750 JFK328750 JPG328750 JZC328750 KIY328750 KSU328750 LCQ328750 LMM328750 LWI328750 MGE328750 MQA328750 MZW328750 NJS328750 NTO328750 ODK328750 ONG328750 OXC328750 PGY328750 PQU328750 QAQ328750 QKM328750 QUI328750 REE328750 ROA328750 RXW328750 SHS328750 SRO328750 TBK328750 TLG328750 TVC328750 UEY328750 UOU328750 UYQ328750 VIM328750 VSI328750 WCE328750 WMA328750 WVW328750 O394286 JK394286 TG394286 ADC394286 AMY394286 AWU394286 BGQ394286 BQM394286 CAI394286 CKE394286 CUA394286 DDW394286 DNS394286 DXO394286 EHK394286 ERG394286 FBC394286 FKY394286 FUU394286 GEQ394286 GOM394286 GYI394286 HIE394286 HSA394286 IBW394286 ILS394286 IVO394286 JFK394286 JPG394286 JZC394286 KIY394286 KSU394286 LCQ394286 LMM394286 LWI394286 MGE394286 MQA394286 MZW394286 NJS394286 NTO394286 ODK394286 ONG394286 OXC394286 PGY394286 PQU394286 QAQ394286 QKM394286 QUI394286 REE394286 ROA394286 RXW394286 SHS394286 SRO394286 TBK394286 TLG394286 TVC394286 UEY394286 UOU394286 UYQ394286 VIM394286 VSI394286 WCE394286 WMA394286 WVW394286 O459822 JK459822 TG459822 ADC459822 AMY459822 AWU459822 BGQ459822 BQM459822 CAI459822 CKE459822 CUA459822 DDW459822 DNS459822 DXO459822 EHK459822 ERG459822 FBC459822 FKY459822 FUU459822 GEQ459822 GOM459822 GYI459822 HIE459822 HSA459822 IBW459822 ILS459822 IVO459822 JFK459822 JPG459822 JZC459822 KIY459822 KSU459822 LCQ459822 LMM459822 LWI459822 MGE459822 MQA459822 MZW459822 NJS459822 NTO459822 ODK459822 ONG459822 OXC459822 PGY459822 PQU459822 QAQ459822 QKM459822 QUI459822 REE459822 ROA459822 RXW459822 SHS459822 SRO459822 TBK459822 TLG459822 TVC459822 UEY459822 UOU459822 UYQ459822 VIM459822 VSI459822 WCE459822 WMA459822 WVW459822 O525358 JK525358 TG525358 ADC525358 AMY525358 AWU525358 BGQ525358 BQM525358 CAI525358 CKE525358 CUA525358 DDW525358 DNS525358 DXO525358 EHK525358 ERG525358 FBC525358 FKY525358 FUU525358 GEQ525358 GOM525358 GYI525358 HIE525358 HSA525358 IBW525358 ILS525358 IVO525358 JFK525358 JPG525358 JZC525358 KIY525358 KSU525358 LCQ525358 LMM525358 LWI525358 MGE525358 MQA525358 MZW525358 NJS525358 NTO525358 ODK525358 ONG525358 OXC525358 PGY525358 PQU525358 QAQ525358 QKM525358 QUI525358 REE525358 ROA525358 RXW525358 SHS525358 SRO525358 TBK525358 TLG525358 TVC525358 UEY525358 UOU525358 UYQ525358 VIM525358 VSI525358 WCE525358 WMA525358 WVW525358 O590894 JK590894 TG590894 ADC590894 AMY590894 AWU590894 BGQ590894 BQM590894 CAI590894 CKE590894 CUA590894 DDW590894 DNS590894 DXO590894 EHK590894 ERG590894 FBC590894 FKY590894 FUU590894 GEQ590894 GOM590894 GYI590894 HIE590894 HSA590894 IBW590894 ILS590894 IVO590894 JFK590894 JPG590894 JZC590894 KIY590894 KSU590894 LCQ590894 LMM590894 LWI590894 MGE590894 MQA590894 MZW590894 NJS590894 NTO590894 ODK590894 ONG590894 OXC590894 PGY590894 PQU590894 QAQ590894 QKM590894 QUI590894 REE590894 ROA590894 RXW590894 SHS590894 SRO590894 TBK590894 TLG590894 TVC590894 UEY590894 UOU590894 UYQ590894 VIM590894 VSI590894 WCE590894 WMA590894 WVW590894 O656430 JK656430 TG656430 ADC656430 AMY656430 AWU656430 BGQ656430 BQM656430 CAI656430 CKE656430 CUA656430 DDW656430 DNS656430 DXO656430 EHK656430 ERG656430 FBC656430 FKY656430 FUU656430 GEQ656430 GOM656430 GYI656430 HIE656430 HSA656430 IBW656430 ILS656430 IVO656430 JFK656430 JPG656430 JZC656430 KIY656430 KSU656430 LCQ656430 LMM656430 LWI656430 MGE656430 MQA656430 MZW656430 NJS656430 NTO656430 ODK656430 ONG656430 OXC656430 PGY656430 PQU656430 QAQ656430 QKM656430 QUI656430 REE656430 ROA656430 RXW656430 SHS656430 SRO656430 TBK656430 TLG656430 TVC656430 UEY656430 UOU656430 UYQ656430 VIM656430 VSI656430 WCE656430 WMA656430 WVW656430 O721966 JK721966 TG721966 ADC721966 AMY721966 AWU721966 BGQ721966 BQM721966 CAI721966 CKE721966 CUA721966 DDW721966 DNS721966 DXO721966 EHK721966 ERG721966 FBC721966 FKY721966 FUU721966 GEQ721966 GOM721966 GYI721966 HIE721966 HSA721966 IBW721966 ILS721966 IVO721966 JFK721966 JPG721966 JZC721966 KIY721966 KSU721966 LCQ721966 LMM721966 LWI721966 MGE721966 MQA721966 MZW721966 NJS721966 NTO721966 ODK721966 ONG721966 OXC721966 PGY721966 PQU721966 QAQ721966 QKM721966 QUI721966 REE721966 ROA721966 RXW721966 SHS721966 SRO721966 TBK721966 TLG721966 TVC721966 UEY721966 UOU721966 UYQ721966 VIM721966 VSI721966 WCE721966 WMA721966 WVW721966 O787502 JK787502 TG787502 ADC787502 AMY787502 AWU787502 BGQ787502 BQM787502 CAI787502 CKE787502 CUA787502 DDW787502 DNS787502 DXO787502 EHK787502 ERG787502 FBC787502 FKY787502 FUU787502 GEQ787502 GOM787502 GYI787502 HIE787502 HSA787502 IBW787502 ILS787502 IVO787502 JFK787502 JPG787502 JZC787502 KIY787502 KSU787502 LCQ787502 LMM787502 LWI787502 MGE787502 MQA787502 MZW787502 NJS787502 NTO787502 ODK787502 ONG787502 OXC787502 PGY787502 PQU787502 QAQ787502 QKM787502 QUI787502 REE787502 ROA787502 RXW787502 SHS787502 SRO787502 TBK787502 TLG787502 TVC787502 UEY787502 UOU787502 UYQ787502 VIM787502 VSI787502 WCE787502 WMA787502 WVW787502 O853038 JK853038 TG853038 ADC853038 AMY853038 AWU853038 BGQ853038 BQM853038 CAI853038 CKE853038 CUA853038 DDW853038 DNS853038 DXO853038 EHK853038 ERG853038 FBC853038 FKY853038 FUU853038 GEQ853038 GOM853038 GYI853038 HIE853038 HSA853038 IBW853038 ILS853038 IVO853038 JFK853038 JPG853038 JZC853038 KIY853038 KSU853038 LCQ853038 LMM853038 LWI853038 MGE853038 MQA853038 MZW853038 NJS853038 NTO853038 ODK853038 ONG853038 OXC853038 PGY853038 PQU853038 QAQ853038 QKM853038 QUI853038 REE853038 ROA853038 RXW853038 SHS853038 SRO853038 TBK853038 TLG853038 TVC853038 UEY853038 UOU853038 UYQ853038 VIM853038 VSI853038 WCE853038 WMA853038 WVW853038 O918574 JK918574 TG918574 ADC918574 AMY918574 AWU918574 BGQ918574 BQM918574 CAI918574 CKE918574 CUA918574 DDW918574 DNS918574 DXO918574 EHK918574 ERG918574 FBC918574 FKY918574 FUU918574 GEQ918574 GOM918574 GYI918574 HIE918574 HSA918574 IBW918574 ILS918574 IVO918574 JFK918574 JPG918574 JZC918574 KIY918574 KSU918574 LCQ918574 LMM918574 LWI918574 MGE918574 MQA918574 MZW918574 NJS918574 NTO918574 ODK918574 ONG918574 OXC918574 PGY918574 PQU918574 QAQ918574 QKM918574 QUI918574 REE918574 ROA918574 RXW918574 SHS918574 SRO918574 TBK918574 TLG918574 TVC918574 UEY918574 UOU918574 UYQ918574 VIM918574 VSI918574 WCE918574 WMA918574 WVW918574 O984110 JK984110 TG984110 ADC984110 AMY984110 AWU984110 BGQ984110 BQM984110 CAI984110 CKE984110 CUA984110 DDW984110 DNS984110 DXO984110 EHK984110 ERG984110 FBC984110 FKY984110 FUU984110 GEQ984110 GOM984110 GYI984110 HIE984110 HSA984110 IBW984110 ILS984110 IVO984110 JFK984110 JPG984110 JZC984110 KIY984110 KSU984110 LCQ984110 LMM984110 LWI984110 MGE984110 MQA984110 MZW984110 NJS984110 NTO984110 ODK984110 ONG984110 OXC984110 PGY984110 PQU984110 QAQ984110 QKM984110 QUI984110 REE984110 ROA984110 RXW984110 SHS984110 SRO984110 TBK984110 TLG984110 TVC984110 UEY984110 UOU984110 UYQ984110 VIM984110 VSI984110 WCE984110 WMA984110 WVW984110 O1077 JK1077 TG1077 ADC1077 AMY1077 AWU1077 BGQ1077 BQM1077 CAI1077 CKE1077 CUA1077 DDW1077 DNS1077 DXO1077 EHK1077 ERG1077 FBC1077 FKY1077 FUU1077 GEQ1077 GOM1077 GYI1077 HIE1077 HSA1077 IBW1077 ILS1077 IVO1077 JFK1077 JPG1077 JZC1077 KIY1077 KSU1077 LCQ1077 LMM1077 LWI1077 MGE1077 MQA1077 MZW1077 NJS1077 NTO1077 ODK1077 ONG1077 OXC1077 PGY1077 PQU1077 QAQ1077 QKM1077 QUI1077 REE1077 ROA1077 RXW1077 SHS1077 SRO1077 TBK1077 TLG1077 TVC1077 UEY1077 UOU1077 UYQ1077 VIM1077 VSI1077 WCE1077 WMA1077 WVW1077 O66613 JK66613 TG66613 ADC66613 AMY66613 AWU66613 BGQ66613 BQM66613 CAI66613 CKE66613 CUA66613 DDW66613 DNS66613 DXO66613 EHK66613 ERG66613 FBC66613 FKY66613 FUU66613 GEQ66613 GOM66613 GYI66613 HIE66613 HSA66613 IBW66613 ILS66613 IVO66613 JFK66613 JPG66613 JZC66613 KIY66613 KSU66613 LCQ66613 LMM66613 LWI66613 MGE66613 MQA66613 MZW66613 NJS66613 NTO66613 ODK66613 ONG66613 OXC66613 PGY66613 PQU66613 QAQ66613 QKM66613 QUI66613 REE66613 ROA66613 RXW66613 SHS66613 SRO66613 TBK66613 TLG66613 TVC66613 UEY66613 UOU66613 UYQ66613 VIM66613 VSI66613 WCE66613 WMA66613 WVW66613 O132149 JK132149 TG132149 ADC132149 AMY132149 AWU132149 BGQ132149 BQM132149 CAI132149 CKE132149 CUA132149 DDW132149 DNS132149 DXO132149 EHK132149 ERG132149 FBC132149 FKY132149 FUU132149 GEQ132149 GOM132149 GYI132149 HIE132149 HSA132149 IBW132149 ILS132149 IVO132149 JFK132149 JPG132149 JZC132149 KIY132149 KSU132149 LCQ132149 LMM132149 LWI132149 MGE132149 MQA132149 MZW132149 NJS132149 NTO132149 ODK132149 ONG132149 OXC132149 PGY132149 PQU132149 QAQ132149 QKM132149 QUI132149 REE132149 ROA132149 RXW132149 SHS132149 SRO132149 TBK132149 TLG132149 TVC132149 UEY132149 UOU132149 UYQ132149 VIM132149 VSI132149 WCE132149 WMA132149 WVW132149 O197685 JK197685 TG197685 ADC197685 AMY197685 AWU197685 BGQ197685 BQM197685 CAI197685 CKE197685 CUA197685 DDW197685 DNS197685 DXO197685 EHK197685 ERG197685 FBC197685 FKY197685 FUU197685 GEQ197685 GOM197685 GYI197685 HIE197685 HSA197685 IBW197685 ILS197685 IVO197685 JFK197685 JPG197685 JZC197685 KIY197685 KSU197685 LCQ197685 LMM197685 LWI197685 MGE197685 MQA197685 MZW197685 NJS197685 NTO197685 ODK197685 ONG197685 OXC197685 PGY197685 PQU197685 QAQ197685 QKM197685 QUI197685 REE197685 ROA197685 RXW197685 SHS197685 SRO197685 TBK197685 TLG197685 TVC197685 UEY197685 UOU197685 UYQ197685 VIM197685 VSI197685 WCE197685 WMA197685 WVW197685 O263221 JK263221 TG263221 ADC263221 AMY263221 AWU263221 BGQ263221 BQM263221 CAI263221 CKE263221 CUA263221 DDW263221 DNS263221 DXO263221 EHK263221 ERG263221 FBC263221 FKY263221 FUU263221 GEQ263221 GOM263221 GYI263221 HIE263221 HSA263221 IBW263221 ILS263221 IVO263221 JFK263221 JPG263221 JZC263221 KIY263221 KSU263221 LCQ263221 LMM263221 LWI263221 MGE263221 MQA263221 MZW263221 NJS263221 NTO263221 ODK263221 ONG263221 OXC263221 PGY263221 PQU263221 QAQ263221 QKM263221 QUI263221 REE263221 ROA263221 RXW263221 SHS263221 SRO263221 TBK263221 TLG263221 TVC263221 UEY263221 UOU263221 UYQ263221 VIM263221 VSI263221 WCE263221 WMA263221 WVW263221 O328757 JK328757 TG328757 ADC328757 AMY328757 AWU328757 BGQ328757 BQM328757 CAI328757 CKE328757 CUA328757 DDW328757 DNS328757 DXO328757 EHK328757 ERG328757 FBC328757 FKY328757 FUU328757 GEQ328757 GOM328757 GYI328757 HIE328757 HSA328757 IBW328757 ILS328757 IVO328757 JFK328757 JPG328757 JZC328757 KIY328757 KSU328757 LCQ328757 LMM328757 LWI328757 MGE328757 MQA328757 MZW328757 NJS328757 NTO328757 ODK328757 ONG328757 OXC328757 PGY328757 PQU328757 QAQ328757 QKM328757 QUI328757 REE328757 ROA328757 RXW328757 SHS328757 SRO328757 TBK328757 TLG328757 TVC328757 UEY328757 UOU328757 UYQ328757 VIM328757 VSI328757 WCE328757 WMA328757 WVW328757 O394293 JK394293 TG394293 ADC394293 AMY394293 AWU394293 BGQ394293 BQM394293 CAI394293 CKE394293 CUA394293 DDW394293 DNS394293 DXO394293 EHK394293 ERG394293 FBC394293 FKY394293 FUU394293 GEQ394293 GOM394293 GYI394293 HIE394293 HSA394293 IBW394293 ILS394293 IVO394293 JFK394293 JPG394293 JZC394293 KIY394293 KSU394293 LCQ394293 LMM394293 LWI394293 MGE394293 MQA394293 MZW394293 NJS394293 NTO394293 ODK394293 ONG394293 OXC394293 PGY394293 PQU394293 QAQ394293 QKM394293 QUI394293 REE394293 ROA394293 RXW394293 SHS394293 SRO394293 TBK394293 TLG394293 TVC394293 UEY394293 UOU394293 UYQ394293 VIM394293 VSI394293 WCE394293 WMA394293 WVW394293 O459829 JK459829 TG459829 ADC459829 AMY459829 AWU459829 BGQ459829 BQM459829 CAI459829 CKE459829 CUA459829 DDW459829 DNS459829 DXO459829 EHK459829 ERG459829 FBC459829 FKY459829 FUU459829 GEQ459829 GOM459829 GYI459829 HIE459829 HSA459829 IBW459829 ILS459829 IVO459829 JFK459829 JPG459829 JZC459829 KIY459829 KSU459829 LCQ459829 LMM459829 LWI459829 MGE459829 MQA459829 MZW459829 NJS459829 NTO459829 ODK459829 ONG459829 OXC459829 PGY459829 PQU459829 QAQ459829 QKM459829 QUI459829 REE459829 ROA459829 RXW459829 SHS459829 SRO459829 TBK459829 TLG459829 TVC459829 UEY459829 UOU459829 UYQ459829 VIM459829 VSI459829 WCE459829 WMA459829 WVW459829 O525365 JK525365 TG525365 ADC525365 AMY525365 AWU525365 BGQ525365 BQM525365 CAI525365 CKE525365 CUA525365 DDW525365 DNS525365 DXO525365 EHK525365 ERG525365 FBC525365 FKY525365 FUU525365 GEQ525365 GOM525365 GYI525365 HIE525365 HSA525365 IBW525365 ILS525365 IVO525365 JFK525365 JPG525365 JZC525365 KIY525365 KSU525365 LCQ525365 LMM525365 LWI525365 MGE525365 MQA525365 MZW525365 NJS525365 NTO525365 ODK525365 ONG525365 OXC525365 PGY525365 PQU525365 QAQ525365 QKM525365 QUI525365 REE525365 ROA525365 RXW525365 SHS525365 SRO525365 TBK525365 TLG525365 TVC525365 UEY525365 UOU525365 UYQ525365 VIM525365 VSI525365 WCE525365 WMA525365 WVW525365 O590901 JK590901 TG590901 ADC590901 AMY590901 AWU590901 BGQ590901 BQM590901 CAI590901 CKE590901 CUA590901 DDW590901 DNS590901 DXO590901 EHK590901 ERG590901 FBC590901 FKY590901 FUU590901 GEQ590901 GOM590901 GYI590901 HIE590901 HSA590901 IBW590901 ILS590901 IVO590901 JFK590901 JPG590901 JZC590901 KIY590901 KSU590901 LCQ590901 LMM590901 LWI590901 MGE590901 MQA590901 MZW590901 NJS590901 NTO590901 ODK590901 ONG590901 OXC590901 PGY590901 PQU590901 QAQ590901 QKM590901 QUI590901 REE590901 ROA590901 RXW590901 SHS590901 SRO590901 TBK590901 TLG590901 TVC590901 UEY590901 UOU590901 UYQ590901 VIM590901 VSI590901 WCE590901 WMA590901 WVW590901 O656437 JK656437 TG656437 ADC656437 AMY656437 AWU656437 BGQ656437 BQM656437 CAI656437 CKE656437 CUA656437 DDW656437 DNS656437 DXO656437 EHK656437 ERG656437 FBC656437 FKY656437 FUU656437 GEQ656437 GOM656437 GYI656437 HIE656437 HSA656437 IBW656437 ILS656437 IVO656437 JFK656437 JPG656437 JZC656437 KIY656437 KSU656437 LCQ656437 LMM656437 LWI656437 MGE656437 MQA656437 MZW656437 NJS656437 NTO656437 ODK656437 ONG656437 OXC656437 PGY656437 PQU656437 QAQ656437 QKM656437 QUI656437 REE656437 ROA656437 RXW656437 SHS656437 SRO656437 TBK656437 TLG656437 TVC656437 UEY656437 UOU656437 UYQ656437 VIM656437 VSI656437 WCE656437 WMA656437 WVW656437 O721973 JK721973 TG721973 ADC721973 AMY721973 AWU721973 BGQ721973 BQM721973 CAI721973 CKE721973 CUA721973 DDW721973 DNS721973 DXO721973 EHK721973 ERG721973 FBC721973 FKY721973 FUU721973 GEQ721973 GOM721973 GYI721973 HIE721973 HSA721973 IBW721973 ILS721973 IVO721973 JFK721973 JPG721973 JZC721973 KIY721973 KSU721973 LCQ721973 LMM721973 LWI721973 MGE721973 MQA721973 MZW721973 NJS721973 NTO721973 ODK721973 ONG721973 OXC721973 PGY721973 PQU721973 QAQ721973 QKM721973 QUI721973 REE721973 ROA721973 RXW721973 SHS721973 SRO721973 TBK721973 TLG721973 TVC721973 UEY721973 UOU721973 UYQ721973 VIM721973 VSI721973 WCE721973 WMA721973 WVW721973 O787509 JK787509 TG787509 ADC787509 AMY787509 AWU787509 BGQ787509 BQM787509 CAI787509 CKE787509 CUA787509 DDW787509 DNS787509 DXO787509 EHK787509 ERG787509 FBC787509 FKY787509 FUU787509 GEQ787509 GOM787509 GYI787509 HIE787509 HSA787509 IBW787509 ILS787509 IVO787509 JFK787509 JPG787509 JZC787509 KIY787509 KSU787509 LCQ787509 LMM787509 LWI787509 MGE787509 MQA787509 MZW787509 NJS787509 NTO787509 ODK787509 ONG787509 OXC787509 PGY787509 PQU787509 QAQ787509 QKM787509 QUI787509 REE787509 ROA787509 RXW787509 SHS787509 SRO787509 TBK787509 TLG787509 TVC787509 UEY787509 UOU787509 UYQ787509 VIM787509 VSI787509 WCE787509 WMA787509 WVW787509 O853045 JK853045 TG853045 ADC853045 AMY853045 AWU853045 BGQ853045 BQM853045 CAI853045 CKE853045 CUA853045 DDW853045 DNS853045 DXO853045 EHK853045 ERG853045 FBC853045 FKY853045 FUU853045 GEQ853045 GOM853045 GYI853045 HIE853045 HSA853045 IBW853045 ILS853045 IVO853045 JFK853045 JPG853045 JZC853045 KIY853045 KSU853045 LCQ853045 LMM853045 LWI853045 MGE853045 MQA853045 MZW853045 NJS853045 NTO853045 ODK853045 ONG853045 OXC853045 PGY853045 PQU853045 QAQ853045 QKM853045 QUI853045 REE853045 ROA853045 RXW853045 SHS853045 SRO853045 TBK853045 TLG853045 TVC853045 UEY853045 UOU853045 UYQ853045 VIM853045 VSI853045 WCE853045 WMA853045 WVW853045 O918581 JK918581 TG918581 ADC918581 AMY918581 AWU918581 BGQ918581 BQM918581 CAI918581 CKE918581 CUA918581 DDW918581 DNS918581 DXO918581 EHK918581 ERG918581 FBC918581 FKY918581 FUU918581 GEQ918581 GOM918581 GYI918581 HIE918581 HSA918581 IBW918581 ILS918581 IVO918581 JFK918581 JPG918581 JZC918581 KIY918581 KSU918581 LCQ918581 LMM918581 LWI918581 MGE918581 MQA918581 MZW918581 NJS918581 NTO918581 ODK918581 ONG918581 OXC918581 PGY918581 PQU918581 QAQ918581 QKM918581 QUI918581 REE918581 ROA918581 RXW918581 SHS918581 SRO918581 TBK918581 TLG918581 TVC918581 UEY918581 UOU918581 UYQ918581 VIM918581 VSI918581 WCE918581 WMA918581 WVW918581 O984117 JK984117 TG984117 ADC984117 AMY984117 AWU984117 BGQ984117 BQM984117 CAI984117 CKE984117 CUA984117 DDW984117 DNS984117 DXO984117 EHK984117 ERG984117 FBC984117 FKY984117 FUU984117 GEQ984117 GOM984117 GYI984117 HIE984117 HSA984117 IBW984117 ILS984117 IVO984117 JFK984117 JPG984117 JZC984117 KIY984117 KSU984117 LCQ984117 LMM984117 LWI984117 MGE984117 MQA984117 MZW984117 NJS984117 NTO984117 ODK984117 ONG984117 OXC984117 PGY984117 PQU984117 QAQ984117 QKM984117 QUI984117 REE984117 ROA984117 RXW984117 SHS984117 SRO984117 TBK984117 TLG984117 TVC984117 UEY984117 UOU984117 UYQ984117 VIM984117 VSI984117 WCE984117 WMA984117 WVW984117 O1084 JK1084 TG1084 ADC1084 AMY1084 AWU1084 BGQ1084 BQM1084 CAI1084 CKE1084 CUA1084 DDW1084 DNS1084 DXO1084 EHK1084 ERG1084 FBC1084 FKY1084 FUU1084 GEQ1084 GOM1084 GYI1084 HIE1084 HSA1084 IBW1084 ILS1084 IVO1084 JFK1084 JPG1084 JZC1084 KIY1084 KSU1084 LCQ1084 LMM1084 LWI1084 MGE1084 MQA1084 MZW1084 NJS1084 NTO1084 ODK1084 ONG1084 OXC1084 PGY1084 PQU1084 QAQ1084 QKM1084 QUI1084 REE1084 ROA1084 RXW1084 SHS1084 SRO1084 TBK1084 TLG1084 TVC1084 UEY1084 UOU1084 UYQ1084 VIM1084 VSI1084 WCE1084 WMA1084 WVW1084 O66620 JK66620 TG66620 ADC66620 AMY66620 AWU66620 BGQ66620 BQM66620 CAI66620 CKE66620 CUA66620 DDW66620 DNS66620 DXO66620 EHK66620 ERG66620 FBC66620 FKY66620 FUU66620 GEQ66620 GOM66620 GYI66620 HIE66620 HSA66620 IBW66620 ILS66620 IVO66620 JFK66620 JPG66620 JZC66620 KIY66620 KSU66620 LCQ66620 LMM66620 LWI66620 MGE66620 MQA66620 MZW66620 NJS66620 NTO66620 ODK66620 ONG66620 OXC66620 PGY66620 PQU66620 QAQ66620 QKM66620 QUI66620 REE66620 ROA66620 RXW66620 SHS66620 SRO66620 TBK66620 TLG66620 TVC66620 UEY66620 UOU66620 UYQ66620 VIM66620 VSI66620 WCE66620 WMA66620 WVW66620 O132156 JK132156 TG132156 ADC132156 AMY132156 AWU132156 BGQ132156 BQM132156 CAI132156 CKE132156 CUA132156 DDW132156 DNS132156 DXO132156 EHK132156 ERG132156 FBC132156 FKY132156 FUU132156 GEQ132156 GOM132156 GYI132156 HIE132156 HSA132156 IBW132156 ILS132156 IVO132156 JFK132156 JPG132156 JZC132156 KIY132156 KSU132156 LCQ132156 LMM132156 LWI132156 MGE132156 MQA132156 MZW132156 NJS132156 NTO132156 ODK132156 ONG132156 OXC132156 PGY132156 PQU132156 QAQ132156 QKM132156 QUI132156 REE132156 ROA132156 RXW132156 SHS132156 SRO132156 TBK132156 TLG132156 TVC132156 UEY132156 UOU132156 UYQ132156 VIM132156 VSI132156 WCE132156 WMA132156 WVW132156 O197692 JK197692 TG197692 ADC197692 AMY197692 AWU197692 BGQ197692 BQM197692 CAI197692 CKE197692 CUA197692 DDW197692 DNS197692 DXO197692 EHK197692 ERG197692 FBC197692 FKY197692 FUU197692 GEQ197692 GOM197692 GYI197692 HIE197692 HSA197692 IBW197692 ILS197692 IVO197692 JFK197692 JPG197692 JZC197692 KIY197692 KSU197692 LCQ197692 LMM197692 LWI197692 MGE197692 MQA197692 MZW197692 NJS197692 NTO197692 ODK197692 ONG197692 OXC197692 PGY197692 PQU197692 QAQ197692 QKM197692 QUI197692 REE197692 ROA197692 RXW197692 SHS197692 SRO197692 TBK197692 TLG197692 TVC197692 UEY197692 UOU197692 UYQ197692 VIM197692 VSI197692 WCE197692 WMA197692 WVW197692 O263228 JK263228 TG263228 ADC263228 AMY263228 AWU263228 BGQ263228 BQM263228 CAI263228 CKE263228 CUA263228 DDW263228 DNS263228 DXO263228 EHK263228 ERG263228 FBC263228 FKY263228 FUU263228 GEQ263228 GOM263228 GYI263228 HIE263228 HSA263228 IBW263228 ILS263228 IVO263228 JFK263228 JPG263228 JZC263228 KIY263228 KSU263228 LCQ263228 LMM263228 LWI263228 MGE263228 MQA263228 MZW263228 NJS263228 NTO263228 ODK263228 ONG263228 OXC263228 PGY263228 PQU263228 QAQ263228 QKM263228 QUI263228 REE263228 ROA263228 RXW263228 SHS263228 SRO263228 TBK263228 TLG263228 TVC263228 UEY263228 UOU263228 UYQ263228 VIM263228 VSI263228 WCE263228 WMA263228 WVW263228 O328764 JK328764 TG328764 ADC328764 AMY328764 AWU328764 BGQ328764 BQM328764 CAI328764 CKE328764 CUA328764 DDW328764 DNS328764 DXO328764 EHK328764 ERG328764 FBC328764 FKY328764 FUU328764 GEQ328764 GOM328764 GYI328764 HIE328764 HSA328764 IBW328764 ILS328764 IVO328764 JFK328764 JPG328764 JZC328764 KIY328764 KSU328764 LCQ328764 LMM328764 LWI328764 MGE328764 MQA328764 MZW328764 NJS328764 NTO328764 ODK328764 ONG328764 OXC328764 PGY328764 PQU328764 QAQ328764 QKM328764 QUI328764 REE328764 ROA328764 RXW328764 SHS328764 SRO328764 TBK328764 TLG328764 TVC328764 UEY328764 UOU328764 UYQ328764 VIM328764 VSI328764 WCE328764 WMA328764 WVW328764 O394300 JK394300 TG394300 ADC394300 AMY394300 AWU394300 BGQ394300 BQM394300 CAI394300 CKE394300 CUA394300 DDW394300 DNS394300 DXO394300 EHK394300 ERG394300 FBC394300 FKY394300 FUU394300 GEQ394300 GOM394300 GYI394300 HIE394300 HSA394300 IBW394300 ILS394300 IVO394300 JFK394300 JPG394300 JZC394300 KIY394300 KSU394300 LCQ394300 LMM394300 LWI394300 MGE394300 MQA394300 MZW394300 NJS394300 NTO394300 ODK394300 ONG394300 OXC394300 PGY394300 PQU394300 QAQ394300 QKM394300 QUI394300 REE394300 ROA394300 RXW394300 SHS394300 SRO394300 TBK394300 TLG394300 TVC394300 UEY394300 UOU394300 UYQ394300 VIM394300 VSI394300 WCE394300 WMA394300 WVW394300 O459836 JK459836 TG459836 ADC459836 AMY459836 AWU459836 BGQ459836 BQM459836 CAI459836 CKE459836 CUA459836 DDW459836 DNS459836 DXO459836 EHK459836 ERG459836 FBC459836 FKY459836 FUU459836 GEQ459836 GOM459836 GYI459836 HIE459836 HSA459836 IBW459836 ILS459836 IVO459836 JFK459836 JPG459836 JZC459836 KIY459836 KSU459836 LCQ459836 LMM459836 LWI459836 MGE459836 MQA459836 MZW459836 NJS459836 NTO459836 ODK459836 ONG459836 OXC459836 PGY459836 PQU459836 QAQ459836 QKM459836 QUI459836 REE459836 ROA459836 RXW459836 SHS459836 SRO459836 TBK459836 TLG459836 TVC459836 UEY459836 UOU459836 UYQ459836 VIM459836 VSI459836 WCE459836 WMA459836 WVW459836 O525372 JK525372 TG525372 ADC525372 AMY525372 AWU525372 BGQ525372 BQM525372 CAI525372 CKE525372 CUA525372 DDW525372 DNS525372 DXO525372 EHK525372 ERG525372 FBC525372 FKY525372 FUU525372 GEQ525372 GOM525372 GYI525372 HIE525372 HSA525372 IBW525372 ILS525372 IVO525372 JFK525372 JPG525372 JZC525372 KIY525372 KSU525372 LCQ525372 LMM525372 LWI525372 MGE525372 MQA525372 MZW525372 NJS525372 NTO525372 ODK525372 ONG525372 OXC525372 PGY525372 PQU525372 QAQ525372 QKM525372 QUI525372 REE525372 ROA525372 RXW525372 SHS525372 SRO525372 TBK525372 TLG525372 TVC525372 UEY525372 UOU525372 UYQ525372 VIM525372 VSI525372 WCE525372 WMA525372 WVW525372 O590908 JK590908 TG590908 ADC590908 AMY590908 AWU590908 BGQ590908 BQM590908 CAI590908 CKE590908 CUA590908 DDW590908 DNS590908 DXO590908 EHK590908 ERG590908 FBC590908 FKY590908 FUU590908 GEQ590908 GOM590908 GYI590908 HIE590908 HSA590908 IBW590908 ILS590908 IVO590908 JFK590908 JPG590908 JZC590908 KIY590908 KSU590908 LCQ590908 LMM590908 LWI590908 MGE590908 MQA590908 MZW590908 NJS590908 NTO590908 ODK590908 ONG590908 OXC590908 PGY590908 PQU590908 QAQ590908 QKM590908 QUI590908 REE590908 ROA590908 RXW590908 SHS590908 SRO590908 TBK590908 TLG590908 TVC590908 UEY590908 UOU590908 UYQ590908 VIM590908 VSI590908 WCE590908 WMA590908 WVW590908 O656444 JK656444 TG656444 ADC656444 AMY656444 AWU656444 BGQ656444 BQM656444 CAI656444 CKE656444 CUA656444 DDW656444 DNS656444 DXO656444 EHK656444 ERG656444 FBC656444 FKY656444 FUU656444 GEQ656444 GOM656444 GYI656444 HIE656444 HSA656444 IBW656444 ILS656444 IVO656444 JFK656444 JPG656444 JZC656444 KIY656444 KSU656444 LCQ656444 LMM656444 LWI656444 MGE656444 MQA656444 MZW656444 NJS656444 NTO656444 ODK656444 ONG656444 OXC656444 PGY656444 PQU656444 QAQ656444 QKM656444 QUI656444 REE656444 ROA656444 RXW656444 SHS656444 SRO656444 TBK656444 TLG656444 TVC656444 UEY656444 UOU656444 UYQ656444 VIM656444 VSI656444 WCE656444 WMA656444 WVW656444 O721980 JK721980 TG721980 ADC721980 AMY721980 AWU721980 BGQ721980 BQM721980 CAI721980 CKE721980 CUA721980 DDW721980 DNS721980 DXO721980 EHK721980 ERG721980 FBC721980 FKY721980 FUU721980 GEQ721980 GOM721980 GYI721980 HIE721980 HSA721980 IBW721980 ILS721980 IVO721980 JFK721980 JPG721980 JZC721980 KIY721980 KSU721980 LCQ721980 LMM721980 LWI721980 MGE721980 MQA721980 MZW721980 NJS721980 NTO721980 ODK721980 ONG721980 OXC721980 PGY721980 PQU721980 QAQ721980 QKM721980 QUI721980 REE721980 ROA721980 RXW721980 SHS721980 SRO721980 TBK721980 TLG721980 TVC721980 UEY721980 UOU721980 UYQ721980 VIM721980 VSI721980 WCE721980 WMA721980 WVW721980 O787516 JK787516 TG787516 ADC787516 AMY787516 AWU787516 BGQ787516 BQM787516 CAI787516 CKE787516 CUA787516 DDW787516 DNS787516 DXO787516 EHK787516 ERG787516 FBC787516 FKY787516 FUU787516 GEQ787516 GOM787516 GYI787516 HIE787516 HSA787516 IBW787516 ILS787516 IVO787516 JFK787516 JPG787516 JZC787516 KIY787516 KSU787516 LCQ787516 LMM787516 LWI787516 MGE787516 MQA787516 MZW787516 NJS787516 NTO787516 ODK787516 ONG787516 OXC787516 PGY787516 PQU787516 QAQ787516 QKM787516 QUI787516 REE787516 ROA787516 RXW787516 SHS787516 SRO787516 TBK787516 TLG787516 TVC787516 UEY787516 UOU787516 UYQ787516 VIM787516 VSI787516 WCE787516 WMA787516 WVW787516 O853052 JK853052 TG853052 ADC853052 AMY853052 AWU853052 BGQ853052 BQM853052 CAI853052 CKE853052 CUA853052 DDW853052 DNS853052 DXO853052 EHK853052 ERG853052 FBC853052 FKY853052 FUU853052 GEQ853052 GOM853052 GYI853052 HIE853052 HSA853052 IBW853052 ILS853052 IVO853052 JFK853052 JPG853052 JZC853052 KIY853052 KSU853052 LCQ853052 LMM853052 LWI853052 MGE853052 MQA853052 MZW853052 NJS853052 NTO853052 ODK853052 ONG853052 OXC853052 PGY853052 PQU853052 QAQ853052 QKM853052 QUI853052 REE853052 ROA853052 RXW853052 SHS853052 SRO853052 TBK853052 TLG853052 TVC853052 UEY853052 UOU853052 UYQ853052 VIM853052 VSI853052 WCE853052 WMA853052 WVW853052 O918588 JK918588 TG918588 ADC918588 AMY918588 AWU918588 BGQ918588 BQM918588 CAI918588 CKE918588 CUA918588 DDW918588 DNS918588 DXO918588 EHK918588 ERG918588 FBC918588 FKY918588 FUU918588 GEQ918588 GOM918588 GYI918588 HIE918588 HSA918588 IBW918588 ILS918588 IVO918588 JFK918588 JPG918588 JZC918588 KIY918588 KSU918588 LCQ918588 LMM918588 LWI918588 MGE918588 MQA918588 MZW918588 NJS918588 NTO918588 ODK918588 ONG918588 OXC918588 PGY918588 PQU918588 QAQ918588 QKM918588 QUI918588 REE918588 ROA918588 RXW918588 SHS918588 SRO918588 TBK918588 TLG918588 TVC918588 UEY918588 UOU918588 UYQ918588 VIM918588 VSI918588 WCE918588 WMA918588 WVW918588 O984124 JK984124 TG984124 ADC984124 AMY984124 AWU984124 BGQ984124 BQM984124 CAI984124 CKE984124 CUA984124 DDW984124 DNS984124 DXO984124 EHK984124 ERG984124 FBC984124 FKY984124 FUU984124 GEQ984124 GOM984124 GYI984124 HIE984124 HSA984124 IBW984124 ILS984124 IVO984124 JFK984124 JPG984124 JZC984124 KIY984124 KSU984124 LCQ984124 LMM984124 LWI984124 MGE984124 MQA984124 MZW984124 NJS984124 NTO984124 ODK984124 ONG984124 OXC984124 PGY984124 PQU984124 QAQ984124 QKM984124 QUI984124 REE984124 ROA984124 RXW984124 SHS984124 SRO984124 TBK984124 TLG984124 TVC984124 UEY984124 UOU984124 UYQ984124 VIM984124 VSI984124 WCE984124 WMA984124 WVW984124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 </vt:lpstr>
      <vt:lpstr>TERRITORIALIZACIÓN</vt:lpstr>
      <vt:lpstr>'ACTIVIDADES '!Área_de_impresión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2018-01-20T00:35:51Z</cp:lastPrinted>
  <dcterms:created xsi:type="dcterms:W3CDTF">2017-01-04T22:37:14Z</dcterms:created>
  <dcterms:modified xsi:type="dcterms:W3CDTF">2018-02-02T16:49:10Z</dcterms:modified>
</cp:coreProperties>
</file>