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defaultThemeVersion="124226"/>
  <bookViews>
    <workbookView xWindow="0" yWindow="60" windowWidth="20400" windowHeight="6405" tabRatio="370"/>
  </bookViews>
  <sheets>
    <sheet name="GESTIÓN" sheetId="5" r:id="rId1"/>
    <sheet name="INVERSION" sheetId="10" r:id="rId2"/>
    <sheet name="ACTIVIDADES" sheetId="7" r:id="rId3"/>
    <sheet name="TERRITORIALIZACION" sheetId="11" state="hidden" r:id="rId4"/>
    <sheet name="TERRITORIALIZACION " sheetId="13" r:id="rId5"/>
  </sheets>
  <externalReferences>
    <externalReference r:id="rId6"/>
    <externalReference r:id="rId7"/>
    <externalReference r:id="rId8"/>
  </externalReferences>
  <definedNames>
    <definedName name="_xlnm._FilterDatabase" localSheetId="0" hidden="1">GESTIÓN!$A$13:$AY$21</definedName>
    <definedName name="_rep1">#REF!</definedName>
    <definedName name="_rep2">#REF!</definedName>
    <definedName name="_xlnm.Print_Area" localSheetId="2">ACTIVIDADES!$A$1:$V$26</definedName>
    <definedName name="_xlnm.Print_Area" localSheetId="0">GESTIÓN!$A$1:$AW$21</definedName>
    <definedName name="_xlnm.Print_Area" localSheetId="1">INVERSION!$A$1:$AQ$27</definedName>
    <definedName name="_xlnm.Print_Area" localSheetId="4">'TERRITORIALIZACION '!$A$1:$AD$58</definedName>
    <definedName name="CONDICION_POBLACIONAL">[1]Variables!$C$1:$C$24</definedName>
    <definedName name="GRUPO_ETAREO">[1]Variables!$A$1:$A$8</definedName>
    <definedName name="GRUPO_ETAREOS" localSheetId="3">#REF!</definedName>
    <definedName name="GRUPO_ETAREOS" localSheetId="4">#REF!</definedName>
    <definedName name="GRUPO_ETAREOS">#REF!</definedName>
    <definedName name="GRUPO_ETARIO" localSheetId="3">#REF!</definedName>
    <definedName name="GRUPO_ETARIO" localSheetId="4">#REF!</definedName>
    <definedName name="GRUPO_ETARIO">#REF!</definedName>
    <definedName name="GRUPO_ETNICO" localSheetId="3">#REF!</definedName>
    <definedName name="GRUPO_ETNICO" localSheetId="4">#REF!</definedName>
    <definedName name="GRUPO_ETNICO">#REF!</definedName>
    <definedName name="GRUPOETNICO">#REF!</definedName>
    <definedName name="GRUPOS_ETNICOS">[1]Variables!$H$1:$H$8</definedName>
    <definedName name="LOCALIDAD" localSheetId="3">#REF!</definedName>
    <definedName name="LOCALIDAD" localSheetId="4">#REF!</definedName>
    <definedName name="LOCALIDAD">#REF!</definedName>
    <definedName name="LOCALIZACION" localSheetId="3">#REF!</definedName>
    <definedName name="LOCALIZACION" localSheetId="4">#REF!</definedName>
    <definedName name="LOCALIZACION">#REF!</definedName>
    <definedName name="mes" localSheetId="3">#REF!</definedName>
    <definedName name="mes" localSheetId="4">#REF!</definedName>
    <definedName name="mes">#REF!</definedName>
    <definedName name="report">#REF!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7" i="13" l="1"/>
  <c r="J7" i="13" s="1"/>
  <c r="Q7" i="13"/>
  <c r="R7" i="13"/>
  <c r="I11" i="13"/>
  <c r="J11" i="13" s="1"/>
  <c r="Q11" i="13"/>
  <c r="R11" i="13"/>
  <c r="I15" i="13"/>
  <c r="J15" i="13" s="1"/>
  <c r="Q15" i="13"/>
  <c r="R15" i="13"/>
  <c r="F23" i="13"/>
  <c r="Q23" i="13"/>
  <c r="R23" i="13"/>
  <c r="F24" i="13"/>
  <c r="I24" i="13"/>
  <c r="F27" i="13"/>
  <c r="H27" i="13"/>
  <c r="I27" i="13"/>
  <c r="F28" i="13"/>
  <c r="H28" i="13"/>
  <c r="I28" i="13"/>
  <c r="J28" i="13"/>
  <c r="I31" i="13"/>
  <c r="Q31" i="13"/>
  <c r="R31" i="13"/>
  <c r="I35" i="13"/>
  <c r="Q35" i="13"/>
  <c r="R35" i="13"/>
  <c r="I39" i="13"/>
  <c r="Q39" i="13"/>
  <c r="R39" i="13"/>
  <c r="I43" i="13"/>
  <c r="Q43" i="13"/>
  <c r="R43" i="13"/>
  <c r="F47" i="13"/>
  <c r="I47" i="13"/>
  <c r="Q47" i="13"/>
  <c r="R47" i="13"/>
  <c r="F51" i="13"/>
  <c r="I51" i="13"/>
  <c r="J51" i="13"/>
  <c r="F52" i="13"/>
  <c r="G52" i="13"/>
  <c r="G55" i="13" s="1"/>
  <c r="G56" i="13" s="1"/>
  <c r="H52" i="13"/>
  <c r="H55" i="13" s="1"/>
  <c r="H56" i="13" s="1"/>
  <c r="I52" i="13"/>
  <c r="J52" i="13"/>
  <c r="E55" i="13"/>
  <c r="F55" i="13"/>
  <c r="F56" i="13" s="1"/>
  <c r="I55" i="13"/>
  <c r="J55" i="13"/>
  <c r="J56" i="13" s="1"/>
  <c r="E56" i="13"/>
  <c r="I56" i="13"/>
  <c r="K56" i="13"/>
  <c r="F68" i="13"/>
  <c r="F70" i="13" s="1"/>
  <c r="J27" i="13" l="1"/>
  <c r="M15" i="7" l="1"/>
  <c r="AH21" i="10"/>
  <c r="AH23" i="10" s="1"/>
  <c r="AG21" i="10"/>
  <c r="AG23" i="10" s="1"/>
  <c r="AQ14" i="5"/>
  <c r="AR14" i="5"/>
  <c r="AQ15" i="5"/>
  <c r="AR15" i="5"/>
  <c r="AQ16" i="5"/>
  <c r="AR16" i="5"/>
  <c r="AQ19" i="5"/>
  <c r="AR19" i="5"/>
  <c r="AO16" i="5"/>
  <c r="AO15" i="5"/>
  <c r="AO19" i="5" s="1"/>
  <c r="AO14" i="5"/>
  <c r="K56" i="11" l="1"/>
  <c r="E55" i="11"/>
  <c r="E56" i="11" s="1"/>
  <c r="I52" i="11"/>
  <c r="H52" i="11"/>
  <c r="G52" i="11"/>
  <c r="F52" i="11"/>
  <c r="F55" i="11" s="1"/>
  <c r="F56" i="11" s="1"/>
  <c r="R51" i="11"/>
  <c r="Q51" i="11"/>
  <c r="I51" i="11"/>
  <c r="F51" i="11"/>
  <c r="R47" i="11"/>
  <c r="Q47" i="11"/>
  <c r="R43" i="11"/>
  <c r="Q43" i="11"/>
  <c r="R39" i="11"/>
  <c r="Q39" i="11"/>
  <c r="R35" i="11"/>
  <c r="Q35" i="11"/>
  <c r="R31" i="11"/>
  <c r="Q31" i="11"/>
  <c r="I28" i="11"/>
  <c r="H28" i="11"/>
  <c r="G28" i="11"/>
  <c r="F28" i="11"/>
  <c r="I27" i="11"/>
  <c r="H27" i="11"/>
  <c r="G27" i="11"/>
  <c r="F27" i="11"/>
  <c r="J24" i="11"/>
  <c r="R23" i="11"/>
  <c r="J23" i="11"/>
  <c r="J20" i="11"/>
  <c r="R19" i="11"/>
  <c r="J19" i="11"/>
  <c r="J16" i="11"/>
  <c r="R15" i="11"/>
  <c r="Q15" i="11"/>
  <c r="J12" i="11"/>
  <c r="R11" i="11"/>
  <c r="Q11" i="11"/>
  <c r="J8" i="11"/>
  <c r="J55" i="11" s="1"/>
  <c r="J56" i="11" s="1"/>
  <c r="R7" i="11"/>
  <c r="Q7" i="11"/>
  <c r="J7" i="11"/>
  <c r="H55" i="11" l="1"/>
  <c r="H56" i="11" s="1"/>
  <c r="G55" i="11"/>
  <c r="G56" i="11" s="1"/>
  <c r="I55" i="11"/>
  <c r="I56" i="11" s="1"/>
  <c r="AL15" i="10"/>
  <c r="AL10" i="10"/>
  <c r="H10" i="10"/>
  <c r="AL9" i="10"/>
  <c r="AK16" i="10"/>
  <c r="AK15" i="10"/>
  <c r="AK10" i="10"/>
  <c r="AK9" i="10"/>
  <c r="J20" i="10" l="1"/>
  <c r="S23" i="7" l="1"/>
  <c r="S22" i="7"/>
  <c r="S21" i="7"/>
  <c r="S20" i="7"/>
  <c r="S19" i="7"/>
  <c r="J18" i="7"/>
  <c r="S18" i="7" s="1"/>
  <c r="S17" i="7"/>
  <c r="G17" i="7"/>
  <c r="G16" i="7"/>
  <c r="S16" i="7" s="1"/>
  <c r="G15" i="7"/>
  <c r="S15" i="7" s="1"/>
  <c r="P14" i="7"/>
  <c r="M14" i="7"/>
  <c r="J14" i="7"/>
  <c r="G14" i="7"/>
  <c r="G13" i="7"/>
  <c r="S13" i="7" s="1"/>
  <c r="P12" i="7"/>
  <c r="M12" i="7"/>
  <c r="J12" i="7"/>
  <c r="G12" i="7"/>
  <c r="S12" i="7" s="1"/>
  <c r="G11" i="7"/>
  <c r="S11" i="7" s="1"/>
  <c r="P10" i="7"/>
  <c r="G10" i="7"/>
  <c r="S10" i="7" s="1"/>
  <c r="S9" i="7"/>
  <c r="G9" i="7"/>
  <c r="P8" i="7"/>
  <c r="M8" i="7"/>
  <c r="J8" i="7"/>
  <c r="G8" i="7"/>
  <c r="S14" i="7" l="1"/>
  <c r="S8" i="7"/>
  <c r="T14" i="7"/>
  <c r="U24" i="7"/>
  <c r="T8" i="7"/>
  <c r="T24" i="7" l="1"/>
  <c r="J15" i="10" l="1"/>
  <c r="H22" i="10" l="1"/>
  <c r="J22" i="10"/>
  <c r="J14" i="10"/>
  <c r="H14" i="10"/>
  <c r="J21" i="10"/>
  <c r="Q21" i="10"/>
  <c r="R21" i="10"/>
  <c r="R23" i="10" s="1"/>
  <c r="S21" i="10"/>
  <c r="T21" i="10"/>
  <c r="T23" i="10" s="1"/>
  <c r="W21" i="10"/>
  <c r="W23" i="10" s="1"/>
  <c r="X21" i="10"/>
  <c r="X23" i="10" s="1"/>
  <c r="Y21" i="10"/>
  <c r="Y23" i="10" s="1"/>
  <c r="Z21" i="10"/>
  <c r="Z23" i="10" s="1"/>
  <c r="AC21" i="10"/>
  <c r="AD21" i="10"/>
  <c r="AE21" i="10"/>
  <c r="AF21" i="10"/>
  <c r="AI21" i="10"/>
  <c r="AI23" i="10" s="1"/>
  <c r="AJ21" i="10"/>
  <c r="AB16" i="10"/>
  <c r="AB21" i="10" s="1"/>
  <c r="AB23" i="10" s="1"/>
  <c r="V16" i="10"/>
  <c r="P16" i="10"/>
  <c r="T20" i="10"/>
  <c r="S20" i="10"/>
  <c r="R20" i="10"/>
  <c r="Q20" i="10"/>
  <c r="S23" i="10"/>
  <c r="Q23" i="10"/>
  <c r="J23" i="10"/>
  <c r="AB13" i="10"/>
  <c r="P13" i="10"/>
  <c r="J13" i="10"/>
  <c r="H13" i="10"/>
  <c r="P19" i="5"/>
  <c r="P20" i="10" l="1"/>
  <c r="AL16" i="10"/>
  <c r="AB20" i="10"/>
  <c r="P21" i="10"/>
  <c r="P23" i="10" s="1"/>
  <c r="H16" i="10"/>
  <c r="H21" i="10" s="1"/>
  <c r="V20" i="10"/>
  <c r="V21" i="10"/>
  <c r="V23" i="10" s="1"/>
  <c r="H20" i="10" l="1"/>
  <c r="H23" i="10" s="1"/>
</calcChain>
</file>

<file path=xl/comments1.xml><?xml version="1.0" encoding="utf-8"?>
<comments xmlns="http://schemas.openxmlformats.org/spreadsheetml/2006/main">
  <authors>
    <author>CP</author>
    <author>OSCAR.DIAZ</author>
    <author>PAOLA.RODRIGUEZ</author>
  </authors>
  <commentList>
    <comment ref="J7" authorId="0">
      <text>
        <r>
          <rPr>
            <b/>
            <sz val="9"/>
            <color indexed="81"/>
            <rFont val="Tahoma"/>
            <family val="2"/>
          </rPr>
          <t>CP:</t>
        </r>
        <r>
          <rPr>
            <sz val="9"/>
            <color indexed="81"/>
            <rFont val="Tahoma"/>
            <family val="2"/>
          </rPr>
          <t xml:space="preserve">
Se mantiene la misma área pero se realiza mantenimineto y seguimiento</t>
        </r>
      </text>
    </comment>
    <comment ref="J11" authorId="0">
      <text>
        <r>
          <rPr>
            <b/>
            <sz val="9"/>
            <color indexed="81"/>
            <rFont val="Tahoma"/>
            <family val="2"/>
          </rPr>
          <t xml:space="preserve">CP: 
</t>
        </r>
        <r>
          <rPr>
            <sz val="9"/>
            <color indexed="81"/>
            <rFont val="Tahoma"/>
            <family val="2"/>
          </rPr>
          <t>Se mantiene la misma área pero se realiza mantenimineto y seguimiento</t>
        </r>
      </text>
    </comment>
    <comment ref="J15" authorId="0">
      <text>
        <r>
          <rPr>
            <b/>
            <sz val="9"/>
            <color indexed="81"/>
            <rFont val="Tahoma"/>
            <family val="2"/>
          </rPr>
          <t>CP:</t>
        </r>
        <r>
          <rPr>
            <sz val="9"/>
            <color indexed="81"/>
            <rFont val="Tahoma"/>
            <family val="2"/>
          </rPr>
          <t xml:space="preserve">
Seaumenta 28,5 Ha del predio el pedregal, oasis 0,34 ha y santa cruz 2,3 ha</t>
        </r>
      </text>
    </comment>
    <comment ref="J19" authorId="1">
      <text>
        <r>
          <rPr>
            <b/>
            <sz val="9"/>
            <color indexed="81"/>
            <rFont val="Tahoma"/>
            <family val="2"/>
          </rPr>
          <t xml:space="preserve">CP: 
</t>
        </r>
        <r>
          <rPr>
            <sz val="9"/>
            <color indexed="81"/>
            <rFont val="Tahoma"/>
            <family val="2"/>
          </rPr>
          <t>Se mantiene en 0,00</t>
        </r>
        <r>
          <rPr>
            <b/>
            <sz val="9"/>
            <color indexed="81"/>
            <rFont val="Tahoma"/>
            <family val="2"/>
          </rPr>
          <t xml:space="preserve"> </t>
        </r>
        <r>
          <rPr>
            <sz val="9"/>
            <color indexed="81"/>
            <rFont val="Tahoma"/>
            <family val="2"/>
          </rPr>
          <t>pero esos recursos se utilizaron para el monitoreo y/o mantenimineto.
De ha restauradas.</t>
        </r>
      </text>
    </comment>
    <comment ref="C23" authorId="2">
      <text>
        <r>
          <rPr>
            <b/>
            <sz val="9"/>
            <color indexed="81"/>
            <rFont val="Tahoma"/>
            <family val="2"/>
          </rPr>
          <t>PAOLA.RODRIGUEZ:</t>
        </r>
        <r>
          <rPr>
            <sz val="9"/>
            <color indexed="81"/>
            <rFont val="Tahoma"/>
            <family val="2"/>
          </rPr>
          <t xml:space="preserve">
Por que quedaron juntas estas localidades? En el trimestre anterior iban separadas y ya tienen el seguimiento de los trimestre anteriores. Si esta corregido debemos organizar la justificación para solicitud de cambios. </t>
        </r>
      </text>
    </comment>
    <comment ref="J23" authorId="1">
      <text>
        <r>
          <rPr>
            <b/>
            <sz val="9"/>
            <color indexed="81"/>
            <rFont val="Tahoma"/>
            <family val="2"/>
          </rPr>
          <t xml:space="preserve">CP: 
</t>
        </r>
        <r>
          <rPr>
            <sz val="9"/>
            <color indexed="81"/>
            <rFont val="Tahoma"/>
            <family val="2"/>
          </rPr>
          <t>Se mantiene en 0,00</t>
        </r>
        <r>
          <rPr>
            <b/>
            <sz val="9"/>
            <color indexed="81"/>
            <rFont val="Tahoma"/>
            <family val="2"/>
          </rPr>
          <t xml:space="preserve"> </t>
        </r>
        <r>
          <rPr>
            <sz val="9"/>
            <color indexed="81"/>
            <rFont val="Tahoma"/>
            <family val="2"/>
          </rPr>
          <t>pero esos recursos se utilizaron para el monitoreo y/o mantenimineto.
De ha restauradas.</t>
        </r>
      </text>
    </comment>
    <comment ref="I31" authorId="0">
      <text>
        <r>
          <rPr>
            <b/>
            <sz val="9"/>
            <color indexed="81"/>
            <rFont val="Tahoma"/>
            <family val="2"/>
          </rPr>
          <t>CP:</t>
        </r>
        <r>
          <rPr>
            <sz val="9"/>
            <color indexed="81"/>
            <rFont val="Tahoma"/>
            <family val="2"/>
          </rPr>
          <t xml:space="preserve">
Se acumuló la información de primer trimestre y segundo trimestre
NOTA: inlcuye 5 predios de franja</t>
        </r>
      </text>
    </comment>
    <comment ref="J31" authorId="0">
      <text>
        <r>
          <rPr>
            <b/>
            <sz val="9"/>
            <color indexed="81"/>
            <rFont val="Tahoma"/>
            <family val="2"/>
          </rPr>
          <t>CP:</t>
        </r>
        <r>
          <rPr>
            <sz val="9"/>
            <color indexed="81"/>
            <rFont val="Tahoma"/>
            <family val="2"/>
          </rPr>
          <t xml:space="preserve">
incluye 3 predios de franja </t>
        </r>
      </text>
    </comment>
    <comment ref="K31" authorId="2">
      <text>
        <r>
          <rPr>
            <b/>
            <sz val="9"/>
            <color indexed="81"/>
            <rFont val="Tahoma"/>
            <family val="2"/>
          </rPr>
          <t>PAOLA.RODRIGUEZ:</t>
        </r>
        <r>
          <rPr>
            <sz val="9"/>
            <color indexed="81"/>
            <rFont val="Tahoma"/>
            <family val="2"/>
          </rPr>
          <t xml:space="preserve">
Ciudad Bolivar + Usme</t>
        </r>
      </text>
    </comment>
    <comment ref="I35" authorId="0">
      <text>
        <r>
          <rPr>
            <b/>
            <sz val="9"/>
            <color indexed="81"/>
            <rFont val="Tahoma"/>
            <family val="2"/>
          </rPr>
          <t>CP:</t>
        </r>
        <r>
          <rPr>
            <sz val="9"/>
            <color indexed="81"/>
            <rFont val="Tahoma"/>
            <family val="2"/>
          </rPr>
          <t xml:space="preserve">
Se acumuló la información de primer trimestre y segundo trimestre</t>
        </r>
      </text>
    </comment>
    <comment ref="I39" authorId="0">
      <text>
        <r>
          <rPr>
            <b/>
            <sz val="9"/>
            <color indexed="81"/>
            <rFont val="Tahoma"/>
            <family val="2"/>
          </rPr>
          <t>CP:</t>
        </r>
        <r>
          <rPr>
            <sz val="9"/>
            <color indexed="81"/>
            <rFont val="Tahoma"/>
            <family val="2"/>
          </rPr>
          <t xml:space="preserve">
Se acumuló la información de primer trimestre y segundo trimestre</t>
        </r>
      </text>
    </comment>
    <comment ref="I43" authorId="0">
      <text>
        <r>
          <rPr>
            <b/>
            <sz val="9"/>
            <color indexed="81"/>
            <rFont val="Tahoma"/>
            <family val="2"/>
          </rPr>
          <t>CP:</t>
        </r>
        <r>
          <rPr>
            <sz val="9"/>
            <color indexed="81"/>
            <rFont val="Tahoma"/>
            <family val="2"/>
          </rPr>
          <t xml:space="preserve">
Se acumuló la información de primer trimestre y segundo trimestre</t>
        </r>
      </text>
    </comment>
    <comment ref="I47" authorId="0">
      <text>
        <r>
          <rPr>
            <b/>
            <sz val="9"/>
            <color indexed="81"/>
            <rFont val="Tahoma"/>
            <family val="2"/>
          </rPr>
          <t>CP:</t>
        </r>
        <r>
          <rPr>
            <sz val="9"/>
            <color indexed="81"/>
            <rFont val="Tahoma"/>
            <family val="2"/>
          </rPr>
          <t xml:space="preserve">
Se acumuló la información de primer trimestre y segundo trimestre</t>
        </r>
      </text>
    </comment>
    <comment ref="J51" authorId="2">
      <text>
        <r>
          <rPr>
            <b/>
            <sz val="9"/>
            <color indexed="81"/>
            <rFont val="Tahoma"/>
            <family val="2"/>
          </rPr>
          <t>Valor correspondiente a la tipologia de la meta.</t>
        </r>
      </text>
    </comment>
  </commentList>
</comments>
</file>

<file path=xl/sharedStrings.xml><?xml version="1.0" encoding="utf-8"?>
<sst xmlns="http://schemas.openxmlformats.org/spreadsheetml/2006/main" count="761" uniqueCount="250">
  <si>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</si>
  <si>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</si>
  <si>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</si>
  <si>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</si>
  <si>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</si>
  <si>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</si>
  <si>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</si>
  <si>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</si>
  <si>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</si>
  <si>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</si>
  <si>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</si>
  <si>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</si>
  <si>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</si>
  <si>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</si>
  <si>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</si>
  <si>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</si>
  <si>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</si>
  <si>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Jun</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</si>
  <si>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</si>
  <si>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</si>
  <si>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</si>
  <si>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</si>
  <si>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</si>
  <si>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</si>
  <si>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</si>
  <si>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</si>
  <si>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</si>
  <si>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</si>
  <si>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</si>
  <si>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</si>
  <si>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</si>
  <si>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</si>
  <si>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</si>
  <si>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</si>
  <si>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</si>
  <si>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</si>
  <si>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</si>
  <si>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</si>
  <si>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</si>
  <si>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</si>
  <si>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</si>
  <si>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</si>
  <si>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</si>
  <si>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</si>
  <si>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</si>
  <si>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</si>
  <si>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</si>
  <si>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</si>
  <si>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</si>
  <si>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</si>
  <si>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</si>
  <si>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</si>
  <si>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</si>
  <si>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</si>
  <si>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</si>
  <si>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</si>
  <si>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</si>
  <si>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</si>
  <si>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</si>
  <si>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</si>
  <si>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</si>
  <si>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</si>
  <si>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</si>
  <si>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</si>
  <si>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</si>
  <si>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</si>
  <si>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</si>
  <si>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</si>
  <si>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</si>
  <si>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</si>
  <si>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</si>
  <si>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Incremental</t>
  </si>
  <si>
    <t>Suma</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</si>
  <si>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</si>
  <si>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</si>
  <si>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</si>
  <si>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 xml:space="preserve"> Aumentar a 200 hectáreas las áreas con procesos de restauración ecológica participativa o conservación y/o mantenimiento en la ruralidad de Bogotana.</t>
  </si>
  <si>
    <t>Porcentaje</t>
  </si>
  <si>
    <t>Predios</t>
  </si>
  <si>
    <t>MEJORAMIENTO DE LA CALIDAD AMBIENTAL DEL TERRITORIO RURAL</t>
  </si>
  <si>
    <t>DIRECCIÓN DE GESTIÓN AMBIENTAL</t>
  </si>
  <si>
    <t>Adelantar procesos de concertación con propietarios de predios a restaurar ecológicamente</t>
  </si>
  <si>
    <t>X</t>
  </si>
  <si>
    <t>Establecer la priorización de predios a vincular y los acuerdos de concertación de acciones de conservación y adaptación al cambio climático con los propietarios de los predios.</t>
  </si>
  <si>
    <t>Realizar el seguimiento y mantenimiento a predios intervenidos con acciones de conservación y adaptación al cambio climático.</t>
  </si>
  <si>
    <t>3-3-1-15-06-38-177-1132</t>
  </si>
  <si>
    <t>Hectáreas 
(ha)</t>
  </si>
  <si>
    <t>3,6 PROGRAMACIÓN - 
ACTUALIZACIÓN</t>
  </si>
  <si>
    <t>Establecer acciones de conservación y adaptación al cambio climático con fines de protección de los servicios ambientales rurales</t>
  </si>
  <si>
    <t>Realizar acciones de restauración ecológica participativa en áreas priorizadas y concertadas , así como diseñar un esquema institucional y plan de intervención público privado que apunte al escalamiento de estos procesos.</t>
  </si>
  <si>
    <t>N/A</t>
  </si>
  <si>
    <t>Aumentar a 200 las hectáreas en proceso de restauración, mantenimiento y/o conservación sobre áreas abastecedoras de acueductos veredales asociadas a ecosistemas de montaña, bosques, humedales, ríos, nacimientos, reservorios y lagos.</t>
  </si>
  <si>
    <t>Realizar un diagnóstico de areas para restauración, mantenimiento y/o conservación</t>
  </si>
  <si>
    <t>Unidad</t>
  </si>
  <si>
    <t>Un diagnóstico de áreas para restauración, mantenimiento y/o conservación</t>
  </si>
  <si>
    <t>Número de proyectos formulados, para la adaptación al Cambio Climático</t>
  </si>
  <si>
    <t>2 Proyectos de adaptacion al cambio climatico formulados</t>
  </si>
  <si>
    <t xml:space="preserve">Realizar un diagnóstico de areas para adelantar acciones de restauración ecológica participativa en la ruralidad. </t>
  </si>
  <si>
    <t xml:space="preserve">IMPLEMENTAR EN  500 PREDIOS ACCIONES DE BUENAS PRÁCTICAS AMBIENTALES EN SISTEMAS DE PRODUCCIÓN AGROPECUARIA
</t>
  </si>
  <si>
    <t>Promoción de la conservación de bienes y servicios ambientales rurales en Bogotá D.C.</t>
  </si>
  <si>
    <t>Desarrollo rural sostenible</t>
  </si>
  <si>
    <t xml:space="preserve">CÓDIGO Y NOMBRE PROYECTO: </t>
  </si>
  <si>
    <t xml:space="preserve"> DIRECCIÓN DE GESTIÓN AMBIENTAL </t>
  </si>
  <si>
    <t>Linea1. Mejoramiento de la calidad ambiental del territorio rural</t>
  </si>
  <si>
    <t xml:space="preserve">Línea 2. Gestión ambiental en el buen uso de los bienes servicios ambientales de la ruralidad capitalina  </t>
  </si>
  <si>
    <r>
      <t xml:space="preserve">5, PONDERACIÓN HORIZONTAL AÑO: </t>
    </r>
    <r>
      <rPr>
        <b/>
        <u/>
        <sz val="10"/>
        <rFont val="Arial"/>
        <family val="2"/>
      </rPr>
      <t>2017</t>
    </r>
  </si>
  <si>
    <t>Ejecución de eventos</t>
  </si>
  <si>
    <t>Planificación del evento para cada una de las 4 cuencas (Objetivos, metas, responsable por cuenca, presupuesto, lugar y hora de evento, logística, promoción en veredas, articulación con panelistas  )</t>
  </si>
  <si>
    <t>Implementar en 1000 predios acciones de buenas prácticas ambientales en sistemas de producción en sistemas de producción agropecuaria</t>
  </si>
  <si>
    <t>Desarrollo Rural Sostenible</t>
  </si>
  <si>
    <t>Integración para el desarrollo Rural Sostenible</t>
  </si>
  <si>
    <t>Identificar predios para la adopción de buenas prácticas productivas</t>
  </si>
  <si>
    <t>Número de predios identificados</t>
  </si>
  <si>
    <t>suma</t>
  </si>
  <si>
    <t xml:space="preserve">Marzo </t>
  </si>
  <si>
    <t xml:space="preserve">dic </t>
  </si>
  <si>
    <t>AUMENTAR A 200 HECTÁREAS LAS ÁREAS CON PROCESOS DE RESTAURACIÓN ECOLÓGICA PARTICIPATIVA O CONSERVACIÓN Y/O MANTENIMIENTO EN LA RURALIDAD DE BOGOTANA</t>
  </si>
  <si>
    <t>ninguno</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</si>
  <si>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</si>
  <si>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 xml:space="preserve">Contratos 20170868
20170946
20170866
20170906
</t>
  </si>
  <si>
    <t xml:space="preserve">Contratos 20170844
20171065
20170733
20171085
20171055
20170877
20170943
20170843
20170885
20170948
20171069
</t>
  </si>
  <si>
    <t>Creciente</t>
  </si>
  <si>
    <t>FORMATO DE  ACTUALIZACIÓN Y SEGUIMIENTO A LA TERRITORIALIZACIÓN DE LA INVERSIÓN</t>
  </si>
  <si>
    <t>PROYECTO:</t>
  </si>
  <si>
    <t>PERIODO:</t>
  </si>
  <si>
    <t>1, COD. META</t>
  </si>
  <si>
    <t>2, Meta Proyecto</t>
  </si>
  <si>
    <t>3, Nombre -Punto de inversión (Localidad, Especial, Distrital)</t>
  </si>
  <si>
    <t>4, Variable</t>
  </si>
  <si>
    <t>5, Programación-Actualización</t>
  </si>
  <si>
    <t>8, LOCALIZACIÓN GEOGRÁFICA</t>
  </si>
  <si>
    <t>9,  POBLACIÓN</t>
  </si>
  <si>
    <t>ID Meta</t>
  </si>
  <si>
    <t>6,2 Actualización Junio</t>
  </si>
  <si>
    <t>6,3 Actualización Septiembre</t>
  </si>
  <si>
    <t>6,4 Actualización Diciembre</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</si>
  <si>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</si>
  <si>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</si>
  <si>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</si>
  <si>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</si>
  <si>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</si>
  <si>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</si>
  <si>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</si>
  <si>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</si>
  <si>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</si>
  <si>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</si>
  <si>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</si>
  <si>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</si>
  <si>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</si>
  <si>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</si>
  <si>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</si>
  <si>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</si>
  <si>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</si>
  <si>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</si>
  <si>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</si>
  <si>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 xml:space="preserve"> AUMENTAR A 200 HECTÁREAS LAS ÁREAS CON PROCESOS DE RESTAURACIÓN ECOLÓGICA PARTICIPATIVA O CONSERVACIÓN Y/O MANTENIMIENTO EN LA RURALIDAD DE BOGOTANA.</t>
  </si>
  <si>
    <t>Localidad de sumapaz</t>
  </si>
  <si>
    <t>Magnitud Vigencia</t>
  </si>
  <si>
    <t>Sumapaz,</t>
  </si>
  <si>
    <t xml:space="preserve"> Upr Rio Blanco, Upr Rio Sumapaz </t>
  </si>
  <si>
    <t>Polígono</t>
  </si>
  <si>
    <t>UPZ y UPR Aledañas</t>
  </si>
  <si>
    <t>N.D.</t>
  </si>
  <si>
    <t>Barrios Unidos</t>
  </si>
  <si>
    <t>Niños y niñas de primera infancia</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</si>
  <si>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</si>
  <si>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</si>
  <si>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</si>
  <si>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</si>
  <si>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</si>
  <si>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</si>
  <si>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</si>
  <si>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 xml:space="preserve">Localidad de Usme </t>
  </si>
  <si>
    <t xml:space="preserve"> Usme </t>
  </si>
  <si>
    <t>Upr Rio Tunjuelo</t>
  </si>
  <si>
    <t>Localidad Ciudad Bolívar</t>
  </si>
  <si>
    <t>Ciudad Bolívar</t>
  </si>
  <si>
    <t>Localida de  Santa Fe</t>
  </si>
  <si>
    <t xml:space="preserve">Santa Fe </t>
  </si>
  <si>
    <t>No Aplica</t>
  </si>
  <si>
    <t>Localidad de  Chapinero</t>
  </si>
  <si>
    <t>Chapinero</t>
  </si>
  <si>
    <t>TOTAL</t>
  </si>
  <si>
    <t xml:space="preserve">  IMPLEMENTAR EN  500 PREDIOS ACCIONES DE BUENAS PRÁCTICAS AMBIENTALES EN SISTEMAS DE PRODUCCIÓN AGROPECUARIA
</t>
  </si>
  <si>
    <t xml:space="preserve"> Localidad de Usme</t>
  </si>
  <si>
    <t>Usme</t>
  </si>
  <si>
    <t>Localidad de Ciudad Bolívar</t>
  </si>
  <si>
    <t>Localidad Chapínero</t>
  </si>
  <si>
    <t>No aplica</t>
  </si>
  <si>
    <t>Localidad de Santa Fe</t>
  </si>
  <si>
    <t>Localidad de Sumapaz</t>
  </si>
  <si>
    <t>TOTALES - PROYECTO</t>
  </si>
  <si>
    <t>Total Recursos Vigencia - Proyecto</t>
  </si>
  <si>
    <t>Total  Recursos Reservas - Proyecto</t>
  </si>
  <si>
    <t>PROGRAMACIÓN INICIAL CUATRIENIO</t>
  </si>
  <si>
    <t>PROGR. ANUAL CORTE  SEPT</t>
  </si>
  <si>
    <t>PROGR. ANUAL CORTE DIC</t>
  </si>
  <si>
    <t>REPROGRAMACIÓN VIGENCIA</t>
  </si>
  <si>
    <t>PROGR. ANUAL CORTE  MAR</t>
  </si>
  <si>
    <t>PROGR. ANUAL CORTE  JUN</t>
  </si>
  <si>
    <t>1, PRIMERA CATEGORIA</t>
  </si>
  <si>
    <t>PROGRAMA</t>
  </si>
  <si>
    <t>1.2 PROYECTO</t>
  </si>
  <si>
    <t>126PG01-PR02-F-2-V10.0</t>
  </si>
  <si>
    <t>PROGRAMACIÓN ANUAL</t>
  </si>
  <si>
    <r>
      <t xml:space="preserve">Se avanzó en la elaboración de los diagnósticos correspondientes a los acueductos El Recuerdo ( Acueducto veredal Piedra Parada, </t>
    </r>
    <r>
      <rPr>
        <b/>
        <sz val="11"/>
        <rFont val="Arial"/>
        <family val="2"/>
      </rPr>
      <t>13 ha</t>
    </r>
    <r>
      <rPr>
        <sz val="11"/>
        <rFont val="Arial"/>
        <family val="2"/>
      </rPr>
      <t xml:space="preserve">) y Jamaica 2 ( A.V Arrayanes- Argentina , </t>
    </r>
    <r>
      <rPr>
        <b/>
        <sz val="11"/>
        <rFont val="Arial"/>
        <family val="2"/>
      </rPr>
      <t>1,5 ha</t>
    </r>
    <r>
      <rPr>
        <sz val="11"/>
        <rFont val="Arial"/>
        <family val="2"/>
      </rPr>
      <t>) con ello se tienen a la fecha en acumulado 6 diagnósticos elaborados, de los cuales 4 diagnósticos se realizaron en el primer semestre de 2017 (San Luis (A.V Agualinda Chiguaza</t>
    </r>
    <r>
      <rPr>
        <b/>
        <sz val="11"/>
        <rFont val="Arial"/>
        <family val="2"/>
      </rPr>
      <t xml:space="preserve"> 8 ha)</t>
    </r>
    <r>
      <rPr>
        <sz val="11"/>
        <rFont val="Arial"/>
        <family val="2"/>
      </rPr>
      <t xml:space="preserve"> , Horizonte, Delirios, Manantial, La Palma  (A.V Acuamarg, </t>
    </r>
    <r>
      <rPr>
        <b/>
        <sz val="11"/>
        <rFont val="Arial"/>
        <family val="2"/>
      </rPr>
      <t>1,16 ha)</t>
    </r>
    <r>
      <rPr>
        <sz val="11"/>
        <rFont val="Arial"/>
        <family val="2"/>
      </rPr>
      <t xml:space="preserve">, La Palma (A.V Pasquilla Centro </t>
    </r>
    <r>
      <rPr>
        <b/>
        <sz val="11"/>
        <rFont val="Arial"/>
        <family val="2"/>
      </rPr>
      <t>3.3 ha</t>
    </r>
    <r>
      <rPr>
        <sz val="11"/>
        <rFont val="Arial"/>
        <family val="2"/>
      </rPr>
      <t xml:space="preserve"> ),El  Salero (A.V  El Saltonal,</t>
    </r>
    <r>
      <rPr>
        <b/>
        <sz val="11"/>
        <rFont val="Arial"/>
        <family val="2"/>
      </rPr>
      <t xml:space="preserve"> 17.2</t>
    </r>
    <r>
      <rPr>
        <sz val="11"/>
        <rFont val="Arial"/>
        <family val="2"/>
      </rPr>
      <t xml:space="preserve"> ha)Para un total acumulado de </t>
    </r>
    <r>
      <rPr>
        <b/>
        <sz val="11"/>
        <rFont val="Arial"/>
        <family val="2"/>
      </rPr>
      <t xml:space="preserve">44.16 ha </t>
    </r>
    <r>
      <rPr>
        <sz val="11"/>
        <rFont val="Arial"/>
        <family val="2"/>
      </rPr>
      <t>diagnosticadas.</t>
    </r>
  </si>
  <si>
    <t>Contratos 20170868
20170946
20170866
20170906
(Se entregan archivos digitales con base de datos, informes, registro fotograficos de cada uno de los contratos)</t>
  </si>
  <si>
    <r>
      <t xml:space="preserve">En este trimestre se identificaron </t>
    </r>
    <r>
      <rPr>
        <b/>
        <sz val="11"/>
        <rFont val="Arial"/>
        <family val="2"/>
      </rPr>
      <t>56</t>
    </r>
    <r>
      <rPr>
        <sz val="11"/>
        <rFont val="Arial"/>
        <family val="2"/>
      </rPr>
      <t xml:space="preserve">  nuevos predios para vinculación en las cuencas de los ríos Blanco, sumapaz, Teusacá y Tunjuelo. Para un t</t>
    </r>
    <r>
      <rPr>
        <b/>
        <sz val="11"/>
        <rFont val="Arial"/>
        <family val="2"/>
      </rPr>
      <t xml:space="preserve">otal de 661 </t>
    </r>
    <r>
      <rPr>
        <sz val="11"/>
        <rFont val="Arial"/>
        <family val="2"/>
      </rPr>
      <t xml:space="preserve"> de los cuales </t>
    </r>
    <r>
      <rPr>
        <b/>
        <sz val="11"/>
        <rFont val="Arial"/>
        <family val="2"/>
      </rPr>
      <t>49</t>
    </r>
    <r>
      <rPr>
        <sz val="11"/>
        <rFont val="Arial"/>
        <family val="2"/>
      </rPr>
      <t xml:space="preserve"> predios se vincularon a junio de 2017  y  </t>
    </r>
    <r>
      <rPr>
        <b/>
        <sz val="11"/>
        <rFont val="Arial"/>
        <family val="2"/>
      </rPr>
      <t>556</t>
    </r>
    <r>
      <rPr>
        <sz val="11"/>
        <rFont val="Arial"/>
        <family val="2"/>
      </rPr>
      <t xml:space="preserve"> en la vigencia 2016.</t>
    </r>
  </si>
  <si>
    <t xml:space="preserve">56 nuevos predios entran en proceso de conservación de sus bosques quebradas y nacimientos, igualmente mediante las acciones de implementación de buenas prácticas se reducirá el impacto ambiental en los recursos agua, suelo y biodiversidad. </t>
  </si>
  <si>
    <t xml:space="preserve">Contratos 20170844
20171065
20170733
20171085
20171055
20170877
20170943
20170843
20170885
20170948
20171069
(Se entregan archivos digitales con Base de Datos, informes, registro fotográficos de cada uno de los contratos)
</t>
  </si>
  <si>
    <t xml:space="preserve">1. Áreas de Restauración ecológica participativa o conservación y mantenimiento:
El acumulado de áreas en restauración ecológica en el trimestre con corte a septiembre 30 fue de 31,14 has. 
Predios Nuevos: EL Pedregal- Ciudad Bolívar: se finalizó intervención en predio Pedregal (28,5 Ha), con la siembra participativa de 700 árboles, 
Predio Santa Cruz: Se realizó traslado de insumos y distribución de postes para levantamiento de cerca. Se hincaron 120 postes.  (Lo que equivale a 20 % avance implementación= 2.3 Ha)
Predio Oasis y El Delirio: El propietario del predio realizo hincado de 100 postes para levantamiento de cerca y el grupo REP inicio ahoyado para siembra. (Lo que equivale a 35% avance implementación= 0.34 Ha)
Lo que acumula al mes de septiembre 107,47 has intervenidas de las cuales 14 has fueron intervenidas y reportadas en el primer semestre del año con corte a junio de 2017 y 62,33 has corresponden a la vigencia 2016.
2.  En Gestión se realizaron las siguientes acciones: 
Localidad de Ciudad Bolívar: Se gestionó la firma del acta de intervención de los predios Santa Cruz (11,5 Ha), Predios Oasis (0,34) y El Delirio (0,63), en dichos predios y se inició este mes actividades de implementación. 
 Localidad de Usme: Se realizó gestión y recorrido con la encargada de la Hacienda Agua Dulce la señora Lucia Orjuela (Vereda Requilina), para evaluar posibilidad de protección de zona de ronda de la Quebrada la Taza, para complementar procesos anteriores, queda pendiente firma de acta de intervención por parte de la propietaria del predio. 
En otras cuencas: Cuenca Rio Blanco, recorrido con propietaria predio La Chapita, zona de ronda de la quebrada Taquecitos. Cuenca Rio Sumapaz: Acercamiento y recorrido por el predio La Hungría con el propietario Fernando Riveros. Queda pendiente firma acta de intervención.
3. Predios con Diagnóstico Ambiental: Durante el tercer trimestre de 2017 se realizaron dos diagnósticos ambientales: Predio Jamaica II (A.V Arrayanes- Argentina) y el predio El Recuerdo (A.V Piedra Parada)
</t>
  </si>
  <si>
    <t>31,14 nuevas hectáreas en conservación para el aprovicionamiento de agua en zona rural, con la cual se protege el nacimiento de la quebrada paso colorado en en Ciudad Bolívar,  ya que los predios por donde cruza la quebrada hacen uso de sus aguas, se conserva el paisaje  y la sostenibilidad de la zona y se conserva el ecosistema de suib páramo y bosque alto andino.</t>
  </si>
  <si>
    <t>Contratos 20170868
20170946
20170866
20170906
(Se entragan archivos digitales con Base de Datos, informes, registro fotograficos de cada uno de los contratos)</t>
  </si>
  <si>
    <t xml:space="preserve">Número de predios vinculados, con matriz de indicadores de sostenibilidad ambiental, Plan Finca y actas de concertación en el tercer trimestre de 2017: 56 predios.
Como consolidado se tiene: Un total de 661 predios vinculados a septiembre 2017, de los cuales 49 predios se vincularon en el primer semestre de 2017 y 556 predios provienen de la vigencia 2016
Las acciones desarrolladas son las siguientes
Cuenca del río Tunjuelo: 18 predios
Con las siguientes acciones: 844.7 m en protección de nacederos, área liberada de 2955 m2 y 1373 m2 de enriquecimiento con 444 árboles. 2532 m de aislamiento de ronda de quebradas, con un área de enriquecimiento de 7007 m2 y 2597 árboles plantados, para la liberación de 3370 m2. Se establecieron 3332 m de cerca viva en sistemas productivos.
Se realizaron 4 módulos de capacitación en Buena Prácticas Ganaderas contando en promedio con 55 participantes y funcionarios del Instituto Colombiano Agropecuario ICA.
Acciones de seguimiento, mantenimiento y nuevas acciones en predios antiguos:
Se fortalecieron 32 predios en instalaciones pecuarias, entrega de kit de ahorro y protección de fuentes hídricas (Bebedero, flotador y manguera) a 18 predios. 7 predios apoyados en huerta.
80 m aislados de nacederos, 1672 m de cerca para protección de ronda de rio, para 4208.5 m2 de área liberada.
Sumapaz: Cuencas del río Blanco: 14 predios y del río Sumapaz: 14 predios (localidad de Sumapaz)
Cuenca del río Blanco: 8 predios apoyados con bebedero, flotador y manguera para el ahorro y protección de fuentes hídricas. 1 predio apoyado con diversificación de especies en la huerta y 1 instalación de invernadero (15 m2). Se instalaron en 3 predios, 800 m de aislamiento de quebradas y enriquecimiento con 382 árboles y en 1 predio se enriquecieron 80 m2 de nacedero con 30 árboles nativos. Se instalan 550 m y plantan 200 árboles como generación de conectividad en corredores biológicos en 2 predios ubicados dentro del Parque Nacional Natural Sumapaz. 1 predio enriqueció área de bosque con 30 árboles y 4 predios aislaron 670 m y plantaron 496 árboles para cerca viva dentro de sistemas productivos.
Cuenca del río Sumapaz: se apoyaron 3 predios con 330 m de protección de nacederos, se enriquecen 1406.25 m² con 225 árboles, 2 predios con la protección de 330 m de quebradas, enriqueciendo 1780 m² de ronda con de 300 árboles, instalación de dos lombricultivos en 2 predios y 1 predio con acción de ahorro del recurso hídrico (bebedero, manguera y flotador)
Acciones de seguimiento, mantenimiento y nuevas acciones en predios antiguos:
Para el ahorro y uso eficiente del recurso hídrico se apoyaron 4 predios con flotador y 1 predio con la entrega de kit (Bebedero, flotador y manguera). Seguimiento a 1 predio en la propagación de especies nativas y 2 predios apoyados con especies ancestrales para huerta. En 2 predios se instalan 645 m de cerca viva con 300 árboles y en 1 predio se plantaron 200 árboles para 500 m.
Cerros Orientales: 7 predios 
Cerros Orientales: mejoramiento de huertas en 13 predios (4 con invernaderos), semillas en 8 predios para la diversificación de huertas, una de estas con especies ancestrales
Mejoramiento de instalaciones de especies menores en 6 predios
4 predios con protección de bosques y enriquecimiento con 220 árboles
4 predios con aislamiento de ronda de quebradas y 2 predios en nacederos, se instaló lombricultivo en 1 predio y 10 predios con entrega de bebedero, manguera y flotador.
Cercas vivas: 150 árboles nativos plantados en 300 m
Franja Cerros Orientales: 3 predios en localidad de Usme 
</t>
  </si>
  <si>
    <t>56 nuevos predios entran en proceso de conservación de sus bosques quebradas y nacimientos, igualmente mediante las acciones de implementación de buenas prácticas se reducirá el impacto ambiental en recursos como agua, suelo y biodiversidad.  Para un total de 661 a septiembre 2017</t>
  </si>
  <si>
    <t xml:space="preserve">Contratos 20170844
20171065
20170733
20171085
20171055
20170877
20170943
20170843
20170885
20170948
20171069
(Se entragan archivos digitales con Base de Datos, informes, registro fotograficos de cada uno de los contratos)
</t>
  </si>
  <si>
    <t xml:space="preserve"> </t>
  </si>
  <si>
    <t xml:space="preserve">Áreas de Restauración ecológica participativa o conservación y mantenimiento:
El acumulado de áreas en restauración ecológica en el trimestre con corte a septiembre 30 fue de 31,14 has. 
Predios Nuevos: EL Pedregal- Ciudad Bolívar: se finalizó intervención en predio Pedregal (28,5 Ha), con la siembra participativa de 700 árboles, 
Predio Santa Cruz: Se realizó traslado de insumos y distribución de postes para levantamiento de cerca. Se hincaron 120 postes.  (Lo que equivale a 20 % avance implementación= 2.3 Ha)
Predio Oasis y El Delirio: El propietario del predio realizo hincado de 100 postes para levantamiento de cerca y el grupo REP inicio ahoyado para siembra. (Lo que equivale a 35% avance implementación= 0.34 Ha)
Lo que acumula al mes de septiembre 107,47 has intervenidas de las cuales 14 has fueron intervenidas y reportadas en el primer semestre del año con corte a junio de 2017 y 62,33 has corresponden a la vigencia 2016.
</t>
  </si>
  <si>
    <t>Número de predios vinculados en el tercer trimestre de 2017: 56 predios:
Acciones: Cuenca del río Tunjuelo: 18 predios vinculados, 844.7 m en protección de nacederos, área liberada de 2955 m2 y 1373 m2 de enriquecimiento con 444 árboles. 2532 m de aislamiento de ronda de quebradas, con un área de enriquecimiento de 7007 m2 y 2597 árboles plantados, para la liberación de 3370 m2 y 3332 m de cerca vivas. En predios antiguos: Se fortalecieron 32 predios en instalaciones pecuarias, 18 predios apoyados en ahorro y protección hídrica. 7 predios apoyados en huerta. 80 m aislados de nacederos, 1672 m de cerca en protección de ronda para 4208.5 m2 de área liberada.
Localidad Sumapaz: Cuencas del río Blanco: 14 predios vinculados y del río Sumapaz: 14 predios vinculados. Cuenca del río Blanco: 8 predios apoyados en el ahorro y protección de fuentes hídricas. 1 huerta fortalecida y 1 invernadero instalado (15 m2). 800 m de aislamiento de quebradas y siembra de 382 árboles y se enriqueció 80 m2 de nacedero con 30 árboles nativos. Se instalan 550 m y plantan 200 árboles para conectividad en corredores biológicos dentro del Parque Nacional Natural Sumapaz. Se enriqueció área de bosque con 30 árboles y se aislaron 670 m y plantaron 496 árboles para cerca viva dentro de sistemas productivos. Cuenca del río Sumapaz: levantamiento de 330 m de protección de nacederos, se enriquecen 1406.25 m² con 225 árboles, se protege 330 m de quebradas, enriqueciendo 1780 m² de ronda con de 300 árboles, instalación de dos lombricultivos y 5 predios apoyados con acción de ahorro del recurso hídrico. 3 predios en apoyo de huerta con especies nativas. Se instalan 645 m de cerca viva con 300 árboles 
Cerros Orientales: 7 predios vinculados. Mejoramiento de huertas en 13 predios (4 con invernaderos), 8 predios con apoyo en diversificación de huertas. Mejoramiento de instalaciones de especies menores en 6 predios, 4 predios con protección de bosques y enriquecimiento con 220 árboles, 4 predios con aislamiento de ronda de quebradas y 2 predios en nacederos, se instaló un lombricultivo y 10 predios apoyados en recurso hídrico, Cercas vivas: 150 árboles nativos plantados en 300 m
Franja Cerros Orientales: 3 predios vinculados en localidad de Usme 
En total hay 661 predios vinculados a septiembre 2017, 105 de la vigencial  2017 y 556 predios de la vigencia 2016</t>
  </si>
  <si>
    <t>31,14 nuevas hectareas en conservación para el aprovicionamiento de agua en zona rural, con la cual se protege el nacimiento de la quebrada paso colorado en en Ciudad Bolívar,  ya que los predios por donde cruza la quebrada hacen uso de sus aguas, se conserva el paisaje  y la sostenibilidad de la zona y se conserva el ecosistema de suib páramo y bosque alto andino.</t>
  </si>
  <si>
    <t>Sep</t>
  </si>
  <si>
    <t>Se avanzó en la elaboración de los diagnósticos correspondientes a los acueductos El Recuerdo ( A Acueducto veredal Piedra Parada, 13 ha) y Jamaica 2 ( A.V Arrayanes- Argentina , 1,5 ha)</t>
  </si>
  <si>
    <t xml:space="preserve">Acciones de seguimiento, mantenimiento y nuevas acciones en predios antiguos:
• Cuenca río Tunjuelo: Se fortalecieron 32 predios en instalaciones pecuarias, entrega de kit de ahorro y protección de fuentes hídricas (Bebedero, flotador y manguera) a 18 predios. 7 predios apoyados en huerta.
80 m aislados de nacederos, 1672 m de cerca para protección de ronda de rio, para 4208.5 m2 de área liberada.
• Cuenca río Blanco: para el ahorro y uso eficiente del recurso hídrico se apoyaron 4 predios con flotador y 1 predio con la entrega de kit (Bebedero, flotador y manguera). Seguimiento a 1 predio en la propagación de especies nativas y 2 predios apoyados con especies ancestrales para huerta. En 2 predios se instalan 645 m de cerca viva con 300 árboles y en 1 predio se plantaron 200 árboles para 500 m.
</t>
  </si>
  <si>
    <t>Se programa evento para el 23 de septiembre en la cuenca del Tunjuelo, y se coordina con la comunidad de San Juan de Sumapaz para abordar temáticas de manejo de leche e inocuidad, se inicia la programación de evento en San Juan de Sumapaz en Buenas práctcias de ordeño</t>
  </si>
  <si>
    <t>Se realizó evento de buenas prácticas ganaderas con el acompañamiento de dos directores del ICA y participación de 67 productores (fecha 23 de septiembre),</t>
  </si>
  <si>
    <r>
      <t xml:space="preserve">1. En Gestión se realizaron las siguientes acciones: 
</t>
    </r>
    <r>
      <rPr>
        <b/>
        <sz val="10"/>
        <color theme="1"/>
        <rFont val="Arial"/>
        <family val="2"/>
      </rPr>
      <t>Localidad de Ciudad Bolívar:</t>
    </r>
    <r>
      <rPr>
        <sz val="10"/>
        <color theme="1"/>
        <rFont val="Arial"/>
        <family val="2"/>
      </rPr>
      <t xml:space="preserve"> Se gestionó la firma del acta de intervención de los predios Santa Cruz (11,5 Ha), Predios Oasis (0,34) y El Delirio (0,63), en dichos predios y se inició este mes actividades de implementación. 
</t>
    </r>
    <r>
      <rPr>
        <b/>
        <sz val="10"/>
        <color theme="1"/>
        <rFont val="Arial"/>
        <family val="2"/>
      </rPr>
      <t xml:space="preserve">En la Localidad de Usme: </t>
    </r>
    <r>
      <rPr>
        <sz val="10"/>
        <color theme="1"/>
        <rFont val="Arial"/>
        <family val="2"/>
      </rPr>
      <t xml:space="preserve">Se realizó gestión y recorrido con la encargada de la Hacienda Agua Dulce la señora Lucia Orjuela (Vereda Requilina), para evaluar posibilidad de protección de zona de ronda de la Quebrada la Taza, para complementar procesos anteriores, queda pendiente firma de acta de intervención por parte de la propietaria del predio. 
</t>
    </r>
    <r>
      <rPr>
        <b/>
        <sz val="10"/>
        <color theme="1"/>
        <rFont val="Arial"/>
        <family val="2"/>
      </rPr>
      <t>En otras cuencas:</t>
    </r>
    <r>
      <rPr>
        <sz val="10"/>
        <color theme="1"/>
        <rFont val="Arial"/>
        <family val="2"/>
      </rPr>
      <t xml:space="preserve"> Cuenca Rio Blanco, recorrido con propietaria predio La Chapita, zona de ronda de la quebrada Taquecitos. Cuenca Rio Sumapaz: Acercamiento y recorrido por el predio La Hungria con el propietario Fernando Riveros. Queda pendiente firma acta de intervención.
</t>
    </r>
  </si>
  <si>
    <r>
      <rPr>
        <b/>
        <sz val="10"/>
        <color theme="1"/>
        <rFont val="Arial"/>
        <family val="2"/>
      </rPr>
      <t>Predios Nuevos:</t>
    </r>
    <r>
      <rPr>
        <sz val="10"/>
        <color theme="1"/>
        <rFont val="Arial"/>
        <family val="2"/>
      </rPr>
      <t xml:space="preserve"> EL Pedregal- Ciudad Bolívar: se finalizó intervención en predio Pedregal (28,5 Ha), con la siembra participativa de 700 árboles, 
</t>
    </r>
    <r>
      <rPr>
        <b/>
        <sz val="10"/>
        <color theme="1"/>
        <rFont val="Arial"/>
        <family val="2"/>
      </rPr>
      <t>Predio Santa Cruz:</t>
    </r>
    <r>
      <rPr>
        <sz val="10"/>
        <color theme="1"/>
        <rFont val="Arial"/>
        <family val="2"/>
      </rPr>
      <t xml:space="preserve"> Se realizó traslado de insumos y distribución de postes para levantamiento de cerca. Se hincaron 120 postes.  (Lo que equivale a 20 % avance implementación= 2.3 Ha)
</t>
    </r>
    <r>
      <rPr>
        <b/>
        <sz val="10"/>
        <color theme="1"/>
        <rFont val="Arial"/>
        <family val="2"/>
      </rPr>
      <t>Predio Oasis y El Delirio:</t>
    </r>
    <r>
      <rPr>
        <sz val="10"/>
        <color theme="1"/>
        <rFont val="Arial"/>
        <family val="2"/>
      </rPr>
      <t xml:space="preserve"> El propietario del predio realizo hincado de 100 postes para levantamiento de cerca y el grupo REP inicio ahoyado para siembra. (Lo que equivale a 35% avance implementación= 0.34 Ha)
Lo que acumula al mes de septiembre 107,46 Ha intervenidas, de estas 14 hectáreas fueron intervenidas y reportadas a junio de 2017 y 62,33 Ha provienen de la vigencia 2016.
</t>
    </r>
  </si>
  <si>
    <r>
      <t xml:space="preserve">Número de predios vinculados, con matriz de indicadores de sostenibilidad ambiental, Plan Finca y actas de concertación en el </t>
    </r>
    <r>
      <rPr>
        <b/>
        <sz val="10"/>
        <rFont val="Arial"/>
        <family val="2"/>
      </rPr>
      <t>tercer trimestre de 2017:</t>
    </r>
    <r>
      <rPr>
        <sz val="10"/>
        <rFont val="Arial"/>
        <family val="2"/>
      </rPr>
      <t xml:space="preserve"> 56 predios distribuidos así:
</t>
    </r>
    <r>
      <rPr>
        <b/>
        <sz val="10"/>
        <rFont val="Arial"/>
        <family val="2"/>
      </rPr>
      <t>Cuenca del río Tunjuelo:</t>
    </r>
    <r>
      <rPr>
        <sz val="10"/>
        <rFont val="Arial"/>
        <family val="2"/>
      </rPr>
      <t xml:space="preserve"> 18 predios
</t>
    </r>
    <r>
      <rPr>
        <b/>
        <sz val="10"/>
        <rFont val="Arial"/>
        <family val="2"/>
      </rPr>
      <t xml:space="preserve">Cuencas del río Blanco: </t>
    </r>
    <r>
      <rPr>
        <sz val="10"/>
        <rFont val="Arial"/>
        <family val="2"/>
      </rPr>
      <t xml:space="preserve">14 predios y del río Sumapaz: 14 predios (localidad de Sumapaz)
</t>
    </r>
    <r>
      <rPr>
        <b/>
        <sz val="10"/>
        <rFont val="Arial"/>
        <family val="2"/>
      </rPr>
      <t>Cerros Orientales:</t>
    </r>
    <r>
      <rPr>
        <sz val="10"/>
        <rFont val="Arial"/>
        <family val="2"/>
      </rPr>
      <t xml:space="preserve"> 7 predios
</t>
    </r>
    <r>
      <rPr>
        <b/>
        <sz val="10"/>
        <rFont val="Arial"/>
        <family val="2"/>
      </rPr>
      <t>Franja Cerros Orientales:</t>
    </r>
    <r>
      <rPr>
        <sz val="10"/>
        <rFont val="Arial"/>
        <family val="2"/>
      </rPr>
      <t xml:space="preserve"> 3 predios
</t>
    </r>
  </si>
  <si>
    <r>
      <t xml:space="preserve">Acciones de implementación de buenas prácticas en predios nuevos:
</t>
    </r>
    <r>
      <rPr>
        <b/>
        <sz val="10"/>
        <rFont val="Arial"/>
        <family val="2"/>
      </rPr>
      <t xml:space="preserve">Cuenca río Tunjuelo: </t>
    </r>
    <r>
      <rPr>
        <sz val="10"/>
        <rFont val="Arial"/>
        <family val="2"/>
      </rPr>
      <t xml:space="preserve">844.7 m en protección de nacederos, área liberada de 2955 m2 y 1373 m2 de enriquecimiento con 444 árboles. 2532 m de aislamiento de ronda de quebradas, con un área de enriquecimiento de 7007 m2 y 2597 árboles plantados, para la liberación de 3370 m2. Se establecieron 3332 m de cerca viva en sistemas productivos.
Se realizaron 4 módulos de capacitación en Buena Prácticas Ganaderas contando en promedio con 55 participantes y funcionarios del Instituto Colombiano Agropecuario ICA
</t>
    </r>
    <r>
      <rPr>
        <b/>
        <sz val="10"/>
        <rFont val="Arial"/>
        <family val="2"/>
      </rPr>
      <t xml:space="preserve">Cuenca del río Blanco: </t>
    </r>
    <r>
      <rPr>
        <sz val="10"/>
        <rFont val="Arial"/>
        <family val="2"/>
      </rPr>
      <t xml:space="preserve">8 predios apoyados con bebedero, flotador y manguera para el ahorro y protección de fuentes hídricas. 1 predio apoyado con diversificación de especies en la huerta y 1 instalación de invernadero (15 m2)
Se instalaron en 3 predios, 800 m de aislamiento de quebradas y enriquecimiento con 382 árboles y en 1 predio se enriquecieron 80 m2 de nacedero con 30 árboles nativos.
Se instalan 550 m y plantan 200 árboles como generación de conectividad en corredores biológicos en 2 predios ubicados dentro del Parque Nacional Natural Sumapaz. 1 predio enriqueció área de bosque con 30 árboles y 4 predios aislaron 670 m y plantaron 496 árboles para cerca viva dentro de sistemas productivos.
</t>
    </r>
    <r>
      <rPr>
        <b/>
        <sz val="10"/>
        <rFont val="Arial"/>
        <family val="2"/>
      </rPr>
      <t xml:space="preserve">Cuenca del río Sumapaz: </t>
    </r>
    <r>
      <rPr>
        <sz val="10"/>
        <rFont val="Arial"/>
        <family val="2"/>
      </rPr>
      <t xml:space="preserve">se apoyaron 3 predios con 330 m de protección de nacederos, se enriquecen 1406.25 m² con 225 árboles, 2 predios con la protección de 330 m de quebradas, enriqueciendo 1780 m² de ronda con de 300 árboles, instalación de dos lombricultivos en 2 predios y 1 predio con acción de ahorro del recurso hídrico (bebedero, manguera y flotador)
</t>
    </r>
    <r>
      <rPr>
        <b/>
        <sz val="10"/>
        <rFont val="Arial"/>
        <family val="2"/>
      </rPr>
      <t xml:space="preserve">Cerros Orientales: </t>
    </r>
    <r>
      <rPr>
        <sz val="10"/>
        <rFont val="Arial"/>
        <family val="2"/>
      </rPr>
      <t xml:space="preserve">mejoramiento de huertas en 13 predios (4 con invernaderos), semillas en 8 predios para la diversificación de huertas, una de estas con especies ancestrales
Mejoramiento de instalaciones de especies menores en 6 predios
4 predios con protección de bosques y enriquecimiento con 220 árboles
4 predios con aislamiento de ronda de quebradas y 2 predios en nacederos, se instaló lombricultivo en 1 predio y 10 predios con entrega de bebedero, manguera y flotador.
Cercas vivas: 150 árboles nativos plantados en 300 m
</t>
    </r>
  </si>
  <si>
    <t xml:space="preserve">7, OBSERVACIONES AVANCE TRIMESTRE 3 DE 2017 </t>
  </si>
  <si>
    <t>cuencas río Sumapaz y río Blanco</t>
  </si>
  <si>
    <t>Localidad de Sumapaz. . Predios vinculados para la implementación de Buenas Practicas Ambientales Productivas y Ganaderas - BPAPG.
Descripción:  Implementacion de acciones de BPAPG, matriz de indicadores de sostenibilidad ambiental, Plan Finca, capacitar a # productores en  BPAPG y construcción de huertas caseras con semillas de tuberculos nativos.</t>
  </si>
  <si>
    <t>cuenca Teusacá</t>
  </si>
  <si>
    <t>Localidad de Santa Fe: Predios vinculados para la implementación de Buenas Practicas Ambientales Productivas y Ganaderas - BPAPG.
Descripción:  Implementar BPAP, plantear  matriz de indicadores de sostenibilidad ambiental y Plan Finca,  entrega de insumos a predios vinculados y  construccion de invernadero.</t>
  </si>
  <si>
    <t>Localidad Chapínero. Predios vinculados para la implementacion de Buenas Practicas Ambientales Productivas y Ganaderas - BPAPG.
Descripción:  Desarrollar acciones correspondientes a la implementación de buenas practicas productivas dentro de estos predios vinculados.</t>
  </si>
  <si>
    <t>cuencas Río Tunjuelo</t>
  </si>
  <si>
    <t>Localidad de Ciudad Bolívar. Predios vinculados para la implementación de Buenas Practicas Ambientales Productivas y Ganaderas - BPAPG.
Descripción:  Implementacion de acciones de BPAPG, matriz de indicadores de sostenibilidad ambiental, Plan Finca, capacitar a # productores en  BPAPG y construcción de huertas caseras con semillas de tuberculos nativos.</t>
  </si>
  <si>
    <t xml:space="preserve"> Localidad de Usme. Predios vinculados para la implementación de Buenas Practicas Ambientales Productivas y Ganaderas - BPAPG.
Descripción:  Implementacion de acciones de BPAPG, matriz de indicadores de sostenibilidad ambiental, Plan Finca, capacitar a # productores en  BPAPG y construcción de huertas caseras con semillas de tuberculos nativos.</t>
  </si>
  <si>
    <t>cuenca del Teusacá</t>
  </si>
  <si>
    <t>Santa Fe y Chapinero</t>
  </si>
  <si>
    <t>Localidad Chapinero:
Area rural de la localidad.
Descripción:  Predios objeto de restauracion ecologica en el area rural priorizada de la localidad.</t>
  </si>
  <si>
    <t xml:space="preserve">Localidad Santa fe: 
Descripción: Predios intervenidos con acciones de conservación y adaptación al cambio climático en la localidad Santa fe.
</t>
  </si>
  <si>
    <t>cuenca río Tunjuelo</t>
  </si>
  <si>
    <t>Localidad Ciudad Bolívar:
 Acciones concertadas con propietarios (socializacion, diagnostico y caracterizacion ambiental del area,  plantacion de material vegetal nativo, proteccion fisica con cerca, y restauracion ecologica y participativa en predios priorizados en la ruralidad. 
Descripción:  Acciones concertadas con propietarios (plantacion de material vegetal nativo y  proteccion fiísica con cerca,  fertilizacion foliar, abono y elaboracion  de diagnosticos ambientales) para la restauracion ecologica y participativa en predios priorizados en la ruralidad.</t>
  </si>
  <si>
    <t>cuencas Rio Tunjuelo</t>
  </si>
  <si>
    <t>Localidad de Usme: 
 Acueductos veredales Agualinda Chiguaza, EL destino, Aguas Claras Olarte, Acuamarg. En predios intervenidos con acciones de conservación y adaptación al cambio climático en la localidad Usme en predios rurales.
Descripción:  Acciones concertadas con propietarios (socializacion, diagnostico y caracterizacion ambiental del area,  plantacion de material vegetal nativo, proteccion fisica con cerca, y restauracion ecologica y participativa en predios priorizados en la ruralidad.</t>
  </si>
  <si>
    <t>cuencas  Río Blanco</t>
  </si>
  <si>
    <t xml:space="preserve">Localidad de sumapaz:
 Predios intervenidos con acciones de conservación y adaptación al cambio climático en las localidad Sumapaz.
Descripción:  Acciones concertadas con propietarios para la restauracion ecologica y participativa en predios priorizados. </t>
  </si>
  <si>
    <t>Numero intersexual</t>
  </si>
  <si>
    <t>7,3 Seguimiento 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</si>
</sst>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quot;$&quot;\ #,##0.00_);\(&quot;$&quot;\ #,##0.00\)"/>
    <numFmt numFmtId="165" formatCode="_(&quot;$&quot;\ * #,##0.00_);_(&quot;$&quot;\ * \(#,##0.00\);_(&quot;$&quot;\ * &quot;-&quot;??_);_(@_)"/>
    <numFmt numFmtId="166" formatCode="_(* #,##0.00_);_(* \(#,##0.00\);_(* &quot;-&quot;??_);_(@_)"/>
    <numFmt numFmtId="167" formatCode="_ &quot;$&quot;\ * #,##0.00_ ;_ &quot;$&quot;\ * \-#,##0.00_ ;_ &quot;$&quot;\ * &quot;-&quot;??_ ;_ @_ "/>
    <numFmt numFmtId="168" formatCode="_ * #,##0.00_ ;_ * \-#,##0.00_ ;_ * &quot;-&quot;??_ ;_ @_ "/>
    <numFmt numFmtId="169" formatCode="_([$$-240A]\ * #,##0_);_([$$-240A]\ * \(#,##0\);_([$$-240A]\ * &quot;-&quot;??_);_(@_)"/>
    <numFmt numFmtId="170" formatCode="0.0%"/>
    <numFmt numFmtId="171" formatCode="_ * #,##0_ ;_ * \-#,##0_ ;_ * &quot;-&quot;??_ ;_ @_ "/>
    <numFmt numFmtId="172" formatCode="_(&quot;$&quot;* #,##0.00_);_(&quot;$&quot;* \(#,##0.00\);_(&quot;$&quot;* &quot;-&quot;??_);_(@_)"/>
    <numFmt numFmtId="173" formatCode="_-* #,##0\ _€_-;\-* #,##0\ _€_-;_-* &quot;-&quot;??\ _€_-;_-@_-"/>
    <numFmt numFmtId="174" formatCode="_-* #,##0.0\ _€_-;\-* #,##0.0\ _€_-;_-* &quot;-&quot;??\ _€_-;_-@_-"/>
    <numFmt numFmtId="175" formatCode="#,##0.0"/>
    <numFmt numFmtId="176" formatCode="_(* #,##0_);_(* \(#,##0\);_(* &quot;-&quot;??_);_(@_)"/>
    <numFmt numFmtId="177" formatCode="[$$-240A]\ #,##0"/>
    <numFmt numFmtId="178" formatCode="&quot;$&quot;\ #,##0"/>
    <numFmt numFmtId="179" formatCode="_(&quot;$&quot;* #,##0_);_(&quot;$&quot;* \(#,##0\);_(&quot;$&quot;* &quot;-&quot;??_);_(@_)"/>
    <numFmt numFmtId="180" formatCode="#,##0.0000"/>
  </numFmts>
  <fonts count="7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4"/>
      <name val="Calibri"/>
      <family val="2"/>
    </font>
    <font>
      <b/>
      <u/>
      <sz val="10"/>
      <name val="Arial"/>
      <family val="2"/>
    </font>
    <font>
      <sz val="11"/>
      <color theme="1"/>
      <name val="Calibri"/>
      <family val="2"/>
      <scheme val="minor"/>
    </font>
    <font>
      <sz val="10"/>
      <color rgb="FF000000"/>
      <name val="Arial"/>
      <family val="2"/>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b/>
      <sz val="9"/>
      <color theme="1"/>
      <name val="Calibri"/>
      <family val="2"/>
      <scheme val="minor"/>
    </font>
    <font>
      <sz val="9"/>
      <color rgb="FF000000"/>
      <name val="Times New Roman"/>
      <family val="1"/>
    </font>
    <font>
      <sz val="10"/>
      <color theme="1"/>
      <name val="Arial"/>
      <family val="2"/>
    </font>
    <font>
      <u/>
      <sz val="11"/>
      <color theme="10"/>
      <name val="Calibri"/>
      <family val="2"/>
      <scheme val="minor"/>
    </font>
    <font>
      <u/>
      <sz val="11"/>
      <color theme="11"/>
      <name val="Calibri"/>
      <family val="2"/>
      <scheme val="minor"/>
    </font>
    <font>
      <sz val="10"/>
      <color theme="1"/>
      <name val="Times New Roman"/>
      <family val="1"/>
    </font>
    <font>
      <sz val="12"/>
      <color rgb="FFFF0000"/>
      <name val="Arial"/>
      <family val="2"/>
    </font>
    <font>
      <b/>
      <sz val="10"/>
      <color theme="1"/>
      <name val="Arial"/>
      <family val="2"/>
    </font>
    <font>
      <b/>
      <sz val="11"/>
      <name val="Arial"/>
      <family val="2"/>
    </font>
    <font>
      <b/>
      <sz val="9"/>
      <name val="Calibri"/>
      <family val="2"/>
      <scheme val="minor"/>
    </font>
    <font>
      <b/>
      <sz val="9"/>
      <name val="Calibri"/>
      <family val="2"/>
    </font>
    <font>
      <b/>
      <sz val="8"/>
      <color indexed="8"/>
      <name val="Arial"/>
      <family val="2"/>
    </font>
    <font>
      <b/>
      <sz val="8"/>
      <color indexed="8"/>
      <name val="Arial "/>
    </font>
    <font>
      <b/>
      <sz val="10"/>
      <color indexed="8"/>
      <name val="Arial"/>
      <family val="2"/>
    </font>
    <font>
      <b/>
      <sz val="8"/>
      <name val="Arial"/>
      <family val="2"/>
    </font>
    <font>
      <b/>
      <sz val="8"/>
      <name val="Arial "/>
    </font>
    <font>
      <sz val="11"/>
      <name val="Arial Narrow"/>
      <family val="2"/>
    </font>
    <font>
      <sz val="11"/>
      <color rgb="FF000000"/>
      <name val="Arial Narrow"/>
      <family val="2"/>
    </font>
    <font>
      <b/>
      <sz val="8"/>
      <color rgb="FFFF0000"/>
      <name val="Arial"/>
      <family val="2"/>
    </font>
    <font>
      <sz val="8"/>
      <color indexed="8"/>
      <name val="Arial"/>
      <family val="2"/>
    </font>
    <font>
      <sz val="8"/>
      <color rgb="FFFF0000"/>
      <name val="Arial"/>
      <family val="2"/>
    </font>
    <font>
      <sz val="11"/>
      <color indexed="8"/>
      <name val="Arial Narrow"/>
      <family val="2"/>
    </font>
    <font>
      <sz val="11"/>
      <color rgb="FFFF0000"/>
      <name val="Arial Narrow"/>
      <family val="2"/>
    </font>
    <font>
      <sz val="8"/>
      <color indexed="8"/>
      <name val="Arial "/>
    </font>
    <font>
      <b/>
      <sz val="8"/>
      <color rgb="FF000000"/>
      <name val="Arial "/>
    </font>
    <font>
      <sz val="8"/>
      <name val="Arial "/>
    </font>
    <font>
      <sz val="8"/>
      <color rgb="FF002060"/>
      <name val="Arial "/>
    </font>
    <font>
      <sz val="11"/>
      <color rgb="FF002060"/>
      <name val="Arial Narrow"/>
      <family val="2"/>
    </font>
    <font>
      <u/>
      <sz val="8"/>
      <name val="Arial"/>
      <family val="2"/>
    </font>
    <font>
      <b/>
      <sz val="12"/>
      <color rgb="FFFF0000"/>
      <name val="Arial"/>
      <family val="2"/>
    </font>
    <font>
      <sz val="8"/>
      <color theme="0" tint="-0.34998626667073579"/>
      <name val="Arial"/>
      <family val="2"/>
    </font>
    <font>
      <sz val="8"/>
      <color theme="0" tint="-0.34998626667073579"/>
      <name val="Arial "/>
    </font>
    <font>
      <sz val="9"/>
      <color indexed="8"/>
      <name val="Arial "/>
    </font>
    <font>
      <sz val="9"/>
      <color theme="1"/>
      <name val="Arial "/>
    </font>
    <font>
      <b/>
      <sz val="9"/>
      <color indexed="81"/>
      <name val="Tahoma"/>
      <family val="2"/>
    </font>
    <font>
      <sz val="9"/>
      <color indexed="81"/>
      <name val="Tahoma"/>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2" tint="-0.89999084444715716"/>
        <bgColor indexed="64"/>
      </patternFill>
    </fill>
    <fill>
      <patternFill patternType="solid">
        <fgColor rgb="FFFFFF00"/>
        <bgColor indexed="64"/>
      </patternFill>
    </fill>
    <fill>
      <patternFill patternType="solid">
        <fgColor theme="3"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6" tint="0.39997558519241921"/>
        <bgColor indexed="64"/>
      </patternFill>
    </fill>
  </fills>
  <borders count="6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thin">
        <color auto="1"/>
      </top>
      <bottom style="medium">
        <color indexed="64"/>
      </bottom>
      <diagonal/>
    </border>
    <border>
      <left style="thin">
        <color rgb="FF000000"/>
      </left>
      <right style="thin">
        <color auto="1"/>
      </right>
      <top style="thin">
        <color auto="1"/>
      </top>
      <bottom style="thin">
        <color indexed="64"/>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indexed="64"/>
      </left>
      <right style="medium">
        <color indexed="64"/>
      </right>
      <top style="medium">
        <color indexed="64"/>
      </top>
      <bottom/>
      <diagonal/>
    </border>
    <border>
      <left/>
      <right style="medium">
        <color auto="1"/>
      </right>
      <top style="thin">
        <color auto="1"/>
      </top>
      <bottom/>
      <diagonal/>
    </border>
    <border>
      <left style="medium">
        <color auto="1"/>
      </left>
      <right style="thin">
        <color auto="1"/>
      </right>
      <top/>
      <bottom style="thin">
        <color auto="1"/>
      </bottom>
      <diagonal/>
    </border>
    <border>
      <left/>
      <right/>
      <top/>
      <bottom style="thin">
        <color auto="1"/>
      </bottom>
      <diagonal/>
    </border>
    <border>
      <left style="thin">
        <color rgb="FF000000"/>
      </left>
      <right/>
      <top/>
      <bottom/>
      <diagonal/>
    </border>
    <border>
      <left style="thin">
        <color auto="1"/>
      </left>
      <right/>
      <top/>
      <bottom style="thin">
        <color auto="1"/>
      </bottom>
      <diagonal/>
    </border>
  </borders>
  <cellStyleXfs count="43">
    <xf numFmtId="0" fontId="0" fillId="0" borderId="0"/>
    <xf numFmtId="168" fontId="10" fillId="0" borderId="0" applyFont="0" applyFill="0" applyBorder="0" applyAlignment="0" applyProtection="0"/>
    <xf numFmtId="168" fontId="4" fillId="0" borderId="0" applyFont="0" applyFill="0" applyBorder="0" applyAlignment="0" applyProtection="0"/>
    <xf numFmtId="43" fontId="7"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4" fillId="0" borderId="0" applyFont="0" applyFill="0" applyBorder="0" applyAlignment="0" applyProtection="0"/>
    <xf numFmtId="171" fontId="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2" fontId="14"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14" fillId="0" borderId="0"/>
    <xf numFmtId="0" fontId="4" fillId="0" borderId="0"/>
    <xf numFmtId="0" fontId="26" fillId="0" borderId="0"/>
    <xf numFmtId="0" fontId="4" fillId="0" borderId="0"/>
    <xf numFmtId="9" fontId="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165" fontId="25" fillId="0" borderId="0" applyFont="0" applyFill="0" applyBorder="0" applyAlignment="0" applyProtection="0"/>
    <xf numFmtId="0" fontId="4" fillId="0" borderId="0"/>
  </cellStyleXfs>
  <cellXfs count="630">
    <xf numFmtId="0" fontId="0" fillId="0" borderId="0" xfId="0"/>
    <xf numFmtId="0" fontId="0" fillId="0" borderId="0" xfId="0" applyFill="1"/>
    <xf numFmtId="0" fontId="5" fillId="0" borderId="0" xfId="17"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7" fillId="0" borderId="0" xfId="0" applyFont="1" applyFill="1"/>
    <xf numFmtId="0" fontId="4" fillId="0" borderId="0" xfId="0" applyFont="1" applyFill="1"/>
    <xf numFmtId="0" fontId="5" fillId="0" borderId="0" xfId="0" applyFont="1" applyFill="1" applyAlignment="1">
      <alignment horizontal="center"/>
    </xf>
    <xf numFmtId="0" fontId="4" fillId="0" borderId="0" xfId="17" applyAlignment="1">
      <alignment vertical="center"/>
    </xf>
    <xf numFmtId="10" fontId="4" fillId="0" borderId="0" xfId="17" applyNumberFormat="1" applyAlignment="1">
      <alignment vertical="center"/>
    </xf>
    <xf numFmtId="0" fontId="4" fillId="0" borderId="0" xfId="17" applyBorder="1" applyAlignment="1">
      <alignment vertical="center"/>
    </xf>
    <xf numFmtId="0" fontId="2" fillId="0" borderId="0" xfId="17" applyFont="1" applyAlignment="1">
      <alignment vertical="center"/>
    </xf>
    <xf numFmtId="0" fontId="4" fillId="2" borderId="0" xfId="17" applyFill="1" applyBorder="1" applyAlignment="1">
      <alignment vertical="center"/>
    </xf>
    <xf numFmtId="0" fontId="4" fillId="2" borderId="0" xfId="17" applyFill="1" applyAlignment="1">
      <alignment vertical="center"/>
    </xf>
    <xf numFmtId="0" fontId="13" fillId="2" borderId="0" xfId="17" applyFont="1" applyFill="1" applyAlignment="1">
      <alignment vertical="center"/>
    </xf>
    <xf numFmtId="0" fontId="13" fillId="0" borderId="0" xfId="17" applyFont="1" applyAlignment="1">
      <alignment vertical="center"/>
    </xf>
    <xf numFmtId="0" fontId="28" fillId="3" borderId="0" xfId="0" applyFont="1" applyFill="1" applyBorder="1" applyAlignment="1">
      <alignment horizontal="center" vertical="center" wrapText="1"/>
    </xf>
    <xf numFmtId="0" fontId="29" fillId="3" borderId="0" xfId="0" applyFont="1" applyFill="1" applyBorder="1" applyAlignment="1">
      <alignment horizontal="center" vertical="center" wrapText="1"/>
    </xf>
    <xf numFmtId="10" fontId="29" fillId="3" borderId="0" xfId="17" applyNumberFormat="1" applyFont="1" applyFill="1" applyBorder="1" applyAlignment="1">
      <alignment horizontal="center" vertical="center"/>
    </xf>
    <xf numFmtId="10" fontId="4" fillId="2" borderId="0" xfId="17"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7" applyFill="1" applyAlignment="1">
      <alignment horizontal="left" vertical="center"/>
    </xf>
    <xf numFmtId="0" fontId="28" fillId="3" borderId="0" xfId="0" applyFont="1" applyFill="1" applyBorder="1" applyAlignment="1">
      <alignment horizontal="left" vertical="center" wrapText="1"/>
    </xf>
    <xf numFmtId="0" fontId="4" fillId="2" borderId="0" xfId="17" applyFill="1" applyAlignment="1">
      <alignment horizontal="left" vertical="center"/>
    </xf>
    <xf numFmtId="0" fontId="4" fillId="0" borderId="0" xfId="17" applyAlignment="1">
      <alignment horizontal="left" vertical="center"/>
    </xf>
    <xf numFmtId="0" fontId="13" fillId="0" borderId="0" xfId="0" applyFont="1" applyFill="1"/>
    <xf numFmtId="173"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7" fillId="3" borderId="1" xfId="0" applyNumberFormat="1" applyFont="1" applyFill="1" applyBorder="1" applyAlignment="1">
      <alignment horizontal="center" vertical="center" wrapText="1"/>
    </xf>
    <xf numFmtId="0" fontId="18" fillId="3" borderId="2" xfId="0" applyFont="1" applyFill="1" applyBorder="1" applyAlignment="1">
      <alignment horizontal="right" vertical="center"/>
    </xf>
    <xf numFmtId="3" fontId="17" fillId="3" borderId="2" xfId="9" applyNumberFormat="1" applyFont="1" applyFill="1" applyBorder="1" applyAlignment="1">
      <alignment horizontal="center" vertical="center" wrapText="1"/>
    </xf>
    <xf numFmtId="173" fontId="30" fillId="3" borderId="2" xfId="0" applyNumberFormat="1" applyFont="1" applyFill="1" applyBorder="1" applyAlignment="1">
      <alignment vertical="center"/>
    </xf>
    <xf numFmtId="173" fontId="30" fillId="3" borderId="2" xfId="0" applyNumberFormat="1" applyFont="1" applyFill="1" applyBorder="1" applyAlignment="1">
      <alignment horizontal="center"/>
    </xf>
    <xf numFmtId="0" fontId="2" fillId="4" borderId="2" xfId="17" applyFont="1" applyFill="1" applyBorder="1" applyAlignment="1">
      <alignment horizontal="left" vertical="center" wrapText="1"/>
    </xf>
    <xf numFmtId="0" fontId="0" fillId="3" borderId="0" xfId="0" applyFill="1" applyBorder="1" applyAlignment="1">
      <alignment horizontal="center"/>
    </xf>
    <xf numFmtId="0" fontId="0" fillId="0" borderId="3" xfId="0" applyFill="1" applyBorder="1"/>
    <xf numFmtId="0" fontId="0" fillId="0" borderId="4" xfId="0" applyFill="1" applyBorder="1"/>
    <xf numFmtId="0" fontId="31" fillId="0" borderId="0" xfId="0" applyFont="1" applyFill="1" applyAlignment="1">
      <alignment horizontal="center" vertical="center"/>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2" fillId="3" borderId="10" xfId="0" applyFont="1" applyFill="1" applyBorder="1"/>
    <xf numFmtId="0" fontId="32" fillId="3" borderId="0" xfId="0" applyFont="1" applyFill="1" applyBorder="1"/>
    <xf numFmtId="0" fontId="32" fillId="3" borderId="0" xfId="0" applyFont="1" applyFill="1" applyBorder="1" applyAlignment="1">
      <alignment horizontal="center"/>
    </xf>
    <xf numFmtId="0" fontId="32" fillId="3" borderId="11" xfId="0" applyFont="1" applyFill="1" applyBorder="1"/>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12"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33" fillId="6" borderId="0" xfId="0" applyFont="1" applyFill="1" applyBorder="1" applyAlignment="1"/>
    <xf numFmtId="0" fontId="34" fillId="6" borderId="0" xfId="0" applyFont="1" applyFill="1" applyBorder="1" applyAlignment="1"/>
    <xf numFmtId="0" fontId="34" fillId="6" borderId="11" xfId="0" applyFont="1" applyFill="1" applyBorder="1" applyAlignment="1"/>
    <xf numFmtId="173" fontId="30" fillId="3" borderId="12" xfId="0" applyNumberFormat="1" applyFont="1" applyFill="1" applyBorder="1" applyAlignment="1">
      <alignment horizontal="center"/>
    </xf>
    <xf numFmtId="0" fontId="33" fillId="6" borderId="4" xfId="0" applyFont="1" applyFill="1" applyBorder="1" applyAlignment="1"/>
    <xf numFmtId="0" fontId="34" fillId="6" borderId="4" xfId="0" applyFont="1" applyFill="1" applyBorder="1" applyAlignment="1"/>
    <xf numFmtId="0" fontId="12" fillId="6" borderId="13" xfId="0" applyFont="1" applyFill="1" applyBorder="1" applyAlignment="1">
      <alignment horizontal="right"/>
    </xf>
    <xf numFmtId="0" fontId="2" fillId="4" borderId="12" xfId="17" applyFont="1" applyFill="1" applyBorder="1" applyAlignment="1">
      <alignment horizontal="left" vertical="center" wrapText="1"/>
    </xf>
    <xf numFmtId="10" fontId="12" fillId="3" borderId="0" xfId="17" applyNumberFormat="1" applyFont="1" applyFill="1" applyBorder="1" applyAlignment="1">
      <alignment horizontal="center" vertical="center"/>
    </xf>
    <xf numFmtId="0" fontId="2" fillId="4" borderId="15" xfId="17" applyFont="1" applyFill="1" applyBorder="1" applyAlignment="1">
      <alignment horizontal="center" vertical="center" wrapText="1"/>
    </xf>
    <xf numFmtId="10" fontId="4" fillId="0" borderId="0" xfId="17" applyNumberFormat="1" applyFont="1" applyAlignment="1">
      <alignment vertical="center"/>
    </xf>
    <xf numFmtId="0" fontId="2" fillId="3" borderId="0" xfId="0" applyFont="1" applyFill="1" applyBorder="1" applyAlignment="1">
      <alignment horizontal="center" vertical="center" wrapText="1"/>
    </xf>
    <xf numFmtId="10" fontId="4" fillId="2" borderId="0" xfId="17" applyNumberFormat="1" applyFont="1" applyFill="1" applyAlignment="1">
      <alignment vertical="center"/>
    </xf>
    <xf numFmtId="0" fontId="0" fillId="0" borderId="0" xfId="0" applyFill="1" applyBorder="1" applyAlignment="1">
      <alignment horizontal="center" vertical="center"/>
    </xf>
    <xf numFmtId="0" fontId="36" fillId="0" borderId="0" xfId="0" applyFont="1" applyBorder="1" applyAlignment="1">
      <alignment horizontal="center" vertical="center" wrapText="1"/>
    </xf>
    <xf numFmtId="37" fontId="0" fillId="0" borderId="0" xfId="0" applyNumberFormat="1" applyFill="1" applyAlignment="1">
      <alignment horizontal="center" vertical="center"/>
    </xf>
    <xf numFmtId="0" fontId="5" fillId="6" borderId="8" xfId="0"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7" fontId="0" fillId="3" borderId="0" xfId="0" applyNumberFormat="1" applyFill="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3" fontId="19" fillId="3" borderId="2" xfId="0" applyNumberFormat="1" applyFont="1" applyFill="1" applyBorder="1" applyAlignment="1">
      <alignment horizontal="center" vertical="center" wrapText="1"/>
    </xf>
    <xf numFmtId="3" fontId="20" fillId="3" borderId="2" xfId="0" applyNumberFormat="1" applyFont="1" applyFill="1" applyBorder="1" applyAlignment="1">
      <alignment horizontal="center" vertical="center"/>
    </xf>
    <xf numFmtId="3" fontId="19" fillId="7" borderId="14" xfId="0" applyNumberFormat="1" applyFont="1" applyFill="1" applyBorder="1" applyAlignment="1">
      <alignment horizontal="center" vertical="center" wrapText="1"/>
    </xf>
    <xf numFmtId="10" fontId="8" fillId="3" borderId="49" xfId="23" applyNumberFormat="1" applyFont="1" applyFill="1" applyBorder="1" applyAlignment="1">
      <alignment vertical="center"/>
    </xf>
    <xf numFmtId="0" fontId="8" fillId="3" borderId="0" xfId="0" applyFont="1" applyFill="1"/>
    <xf numFmtId="0" fontId="8" fillId="3" borderId="0" xfId="0" applyFont="1" applyFill="1" applyBorder="1" applyAlignment="1">
      <alignment horizontal="center" vertical="center" wrapText="1"/>
    </xf>
    <xf numFmtId="0" fontId="8" fillId="3" borderId="0" xfId="0" applyFont="1" applyFill="1" applyBorder="1" applyAlignment="1">
      <alignment horizontal="justify" vertical="center" wrapText="1"/>
    </xf>
    <xf numFmtId="0" fontId="5" fillId="3" borderId="49" xfId="0" applyNumberFormat="1" applyFont="1" applyFill="1" applyBorder="1" applyAlignment="1">
      <alignment horizontal="center" vertical="center"/>
    </xf>
    <xf numFmtId="0" fontId="8" fillId="3" borderId="49" xfId="0" applyFont="1" applyFill="1" applyBorder="1" applyAlignment="1">
      <alignment horizontal="justify" vertical="center" wrapText="1"/>
    </xf>
    <xf numFmtId="0" fontId="8" fillId="3" borderId="49" xfId="0" applyFont="1" applyFill="1" applyBorder="1" applyAlignment="1">
      <alignment horizontal="center" vertical="center"/>
    </xf>
    <xf numFmtId="0" fontId="8" fillId="3" borderId="49" xfId="0" applyFont="1" applyFill="1" applyBorder="1" applyAlignment="1">
      <alignment horizontal="center" vertical="center" wrapText="1"/>
    </xf>
    <xf numFmtId="173" fontId="8" fillId="3" borderId="49" xfId="3" applyNumberFormat="1" applyFont="1" applyFill="1" applyBorder="1" applyAlignment="1">
      <alignment horizontal="center" vertical="center"/>
    </xf>
    <xf numFmtId="173" fontId="8" fillId="3" borderId="49" xfId="3" applyNumberFormat="1" applyFont="1" applyFill="1" applyBorder="1" applyAlignment="1">
      <alignment vertical="center"/>
    </xf>
    <xf numFmtId="173" fontId="8" fillId="3" borderId="49" xfId="3" applyNumberFormat="1" applyFont="1" applyFill="1" applyBorder="1" applyAlignment="1">
      <alignment horizontal="left" vertical="center"/>
    </xf>
    <xf numFmtId="0" fontId="16" fillId="3" borderId="49" xfId="0" applyFont="1" applyFill="1" applyBorder="1" applyAlignment="1">
      <alignment horizontal="justify" vertical="center" wrapText="1"/>
    </xf>
    <xf numFmtId="0" fontId="16" fillId="3" borderId="49" xfId="0" applyFont="1" applyFill="1" applyBorder="1" applyAlignment="1">
      <alignment horizontal="center" vertical="center" wrapText="1"/>
    </xf>
    <xf numFmtId="0" fontId="2" fillId="4" borderId="8" xfId="17" applyFont="1" applyFill="1" applyBorder="1" applyAlignment="1">
      <alignment horizontal="center" vertical="center" wrapText="1"/>
    </xf>
    <xf numFmtId="0" fontId="2" fillId="4" borderId="8" xfId="17" applyFont="1" applyFill="1" applyBorder="1" applyAlignment="1">
      <alignment horizontal="center" vertical="center" textRotation="180" wrapText="1"/>
    </xf>
    <xf numFmtId="170" fontId="34" fillId="5" borderId="1" xfId="0" applyNumberFormat="1" applyFont="1" applyFill="1" applyBorder="1" applyAlignment="1">
      <alignment vertical="center"/>
    </xf>
    <xf numFmtId="170" fontId="34" fillId="6" borderId="1" xfId="0" applyNumberFormat="1" applyFont="1" applyFill="1" applyBorder="1" applyAlignment="1">
      <alignment vertical="center"/>
    </xf>
    <xf numFmtId="170" fontId="34" fillId="6" borderId="2" xfId="0" applyNumberFormat="1" applyFont="1" applyFill="1" applyBorder="1" applyAlignment="1">
      <alignment vertical="center"/>
    </xf>
    <xf numFmtId="170" fontId="34" fillId="5" borderId="2" xfId="0" applyNumberFormat="1" applyFont="1" applyFill="1" applyBorder="1" applyAlignment="1">
      <alignment vertical="center"/>
    </xf>
    <xf numFmtId="170" fontId="34" fillId="6" borderId="8" xfId="0" applyNumberFormat="1" applyFont="1" applyFill="1" applyBorder="1" applyAlignment="1">
      <alignment vertical="center"/>
    </xf>
    <xf numFmtId="170" fontId="34" fillId="6" borderId="12" xfId="0" applyNumberFormat="1" applyFont="1" applyFill="1" applyBorder="1" applyAlignment="1">
      <alignment vertical="center"/>
    </xf>
    <xf numFmtId="10" fontId="42" fillId="4" borderId="14" xfId="17"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173" fontId="8" fillId="8" borderId="2" xfId="3" applyNumberFormat="1" applyFont="1" applyFill="1" applyBorder="1" applyAlignment="1">
      <alignment horizontal="center" vertical="center"/>
    </xf>
    <xf numFmtId="0" fontId="41" fillId="8" borderId="2" xfId="0" applyFont="1" applyFill="1" applyBorder="1" applyAlignment="1">
      <alignment horizontal="center" vertical="center" wrapText="1"/>
    </xf>
    <xf numFmtId="173" fontId="8" fillId="8" borderId="2" xfId="3" applyNumberFormat="1" applyFont="1" applyFill="1" applyBorder="1" applyAlignment="1">
      <alignment vertical="center"/>
    </xf>
    <xf numFmtId="43" fontId="8" fillId="8" borderId="2" xfId="3" applyFont="1" applyFill="1" applyBorder="1" applyAlignment="1">
      <alignment horizontal="center" vertical="center"/>
    </xf>
    <xf numFmtId="0" fontId="8" fillId="3" borderId="2" xfId="0" applyFont="1" applyFill="1" applyBorder="1"/>
    <xf numFmtId="0" fontId="8" fillId="3"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43" fontId="8" fillId="3" borderId="2" xfId="3" applyNumberFormat="1" applyFont="1" applyFill="1" applyBorder="1" applyAlignment="1">
      <alignment horizontal="center" vertical="center"/>
    </xf>
    <xf numFmtId="0" fontId="40" fillId="3" borderId="2" xfId="0" applyFont="1" applyFill="1" applyBorder="1" applyAlignment="1">
      <alignment horizontal="center" vertical="center"/>
    </xf>
    <xf numFmtId="0" fontId="5" fillId="3" borderId="5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173" fontId="8" fillId="3" borderId="2" xfId="3" applyNumberFormat="1" applyFont="1" applyFill="1" applyBorder="1" applyAlignment="1">
      <alignment horizontal="center" vertical="center"/>
    </xf>
    <xf numFmtId="174" fontId="8" fillId="3" borderId="2" xfId="3" applyNumberFormat="1" applyFont="1" applyFill="1" applyBorder="1" applyAlignment="1">
      <alignment horizontal="center" vertical="center"/>
    </xf>
    <xf numFmtId="173" fontId="8" fillId="3" borderId="5" xfId="3" applyNumberFormat="1" applyFont="1" applyFill="1" applyBorder="1" applyAlignment="1">
      <alignment horizontal="left" vertical="center"/>
    </xf>
    <xf numFmtId="173" fontId="8" fillId="3" borderId="5" xfId="3" applyNumberFormat="1" applyFont="1" applyFill="1" applyBorder="1" applyAlignment="1">
      <alignment vertical="center"/>
    </xf>
    <xf numFmtId="173" fontId="8" fillId="3" borderId="2" xfId="3" applyNumberFormat="1" applyFont="1" applyFill="1" applyBorder="1" applyAlignment="1">
      <alignment horizontal="left" vertical="center"/>
    </xf>
    <xf numFmtId="173" fontId="8" fillId="3" borderId="2" xfId="3" applyNumberFormat="1" applyFont="1" applyFill="1" applyBorder="1" applyAlignment="1">
      <alignment vertical="center"/>
    </xf>
    <xf numFmtId="0" fontId="8"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32" fillId="3" borderId="2" xfId="0"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3" fontId="19" fillId="3" borderId="14" xfId="0" applyNumberFormat="1" applyFont="1" applyFill="1" applyBorder="1" applyAlignment="1">
      <alignment horizontal="center" vertical="center" wrapText="1"/>
    </xf>
    <xf numFmtId="3" fontId="19" fillId="3" borderId="12" xfId="0" applyNumberFormat="1" applyFont="1" applyFill="1" applyBorder="1" applyAlignment="1">
      <alignment horizontal="center" vertical="center" wrapText="1"/>
    </xf>
    <xf numFmtId="173" fontId="35" fillId="3" borderId="12" xfId="0" applyNumberFormat="1" applyFont="1" applyFill="1" applyBorder="1" applyAlignment="1">
      <alignment vertical="center"/>
    </xf>
    <xf numFmtId="173" fontId="8" fillId="3" borderId="5" xfId="3" applyNumberFormat="1" applyFont="1" applyFill="1" applyBorder="1" applyAlignment="1">
      <alignment horizontal="center" vertical="center"/>
    </xf>
    <xf numFmtId="174" fontId="5" fillId="3" borderId="2" xfId="3" applyNumberFormat="1" applyFont="1" applyFill="1" applyBorder="1" applyAlignment="1">
      <alignment horizontal="center" vertical="center"/>
    </xf>
    <xf numFmtId="173" fontId="5" fillId="3" borderId="2" xfId="3" applyNumberFormat="1" applyFont="1" applyFill="1" applyBorder="1" applyAlignment="1">
      <alignment horizontal="center" vertical="center"/>
    </xf>
    <xf numFmtId="0" fontId="3" fillId="0" borderId="55" xfId="0" applyFont="1" applyFill="1" applyBorder="1" applyAlignment="1">
      <alignment vertical="center" wrapText="1"/>
    </xf>
    <xf numFmtId="0" fontId="3" fillId="0" borderId="2" xfId="0" applyFont="1" applyFill="1" applyBorder="1" applyAlignment="1">
      <alignment vertical="center" wrapText="1"/>
    </xf>
    <xf numFmtId="0" fontId="5" fillId="0" borderId="56" xfId="0" applyFont="1" applyFill="1" applyBorder="1" applyAlignment="1">
      <alignment horizontal="justify" vertical="top" wrapText="1"/>
    </xf>
    <xf numFmtId="0" fontId="5" fillId="0" borderId="5" xfId="0" applyFont="1" applyFill="1" applyBorder="1" applyAlignment="1">
      <alignment horizontal="justify" vertical="top" wrapText="1"/>
    </xf>
    <xf numFmtId="0" fontId="5" fillId="0" borderId="2" xfId="0" applyFont="1" applyFill="1" applyBorder="1" applyAlignment="1">
      <alignment horizontal="justify" vertical="center" wrapText="1"/>
    </xf>
    <xf numFmtId="0" fontId="5" fillId="0" borderId="23" xfId="0" applyFont="1" applyFill="1" applyBorder="1" applyAlignment="1">
      <alignment horizontal="justify" vertical="top" wrapText="1"/>
    </xf>
    <xf numFmtId="174" fontId="8" fillId="3" borderId="2" xfId="3" applyNumberFormat="1" applyFont="1" applyFill="1" applyBorder="1" applyAlignment="1">
      <alignment vertical="center"/>
    </xf>
    <xf numFmtId="10" fontId="5" fillId="0" borderId="2" xfId="0" applyNumberFormat="1" applyFont="1" applyFill="1" applyBorder="1" applyAlignment="1">
      <alignment vertical="center" wrapText="1"/>
    </xf>
    <xf numFmtId="10" fontId="5" fillId="0" borderId="2" xfId="23" applyNumberFormat="1" applyFont="1" applyFill="1" applyBorder="1"/>
    <xf numFmtId="175" fontId="19" fillId="3" borderId="1" xfId="0" applyNumberFormat="1" applyFont="1" applyFill="1" applyBorder="1" applyAlignment="1">
      <alignment horizontal="center" vertical="center" wrapText="1"/>
    </xf>
    <xf numFmtId="0" fontId="18" fillId="3" borderId="2" xfId="0" applyFont="1" applyFill="1" applyBorder="1" applyAlignment="1">
      <alignment horizontal="center" vertical="center"/>
    </xf>
    <xf numFmtId="0" fontId="33" fillId="3" borderId="1" xfId="0" applyFont="1" applyFill="1" applyBorder="1" applyAlignment="1">
      <alignment horizontal="center" vertical="center"/>
    </xf>
    <xf numFmtId="173" fontId="33" fillId="3" borderId="1" xfId="5" applyNumberFormat="1" applyFont="1" applyFill="1" applyBorder="1" applyAlignment="1">
      <alignment horizontal="center" vertical="center"/>
    </xf>
    <xf numFmtId="10" fontId="44" fillId="3" borderId="1" xfId="23" applyNumberFormat="1" applyFont="1" applyFill="1" applyBorder="1" applyAlignment="1">
      <alignment horizontal="center" vertical="center"/>
    </xf>
    <xf numFmtId="37" fontId="19" fillId="3" borderId="2" xfId="9" applyNumberFormat="1" applyFont="1" applyFill="1" applyBorder="1" applyAlignment="1">
      <alignment horizontal="center" vertical="center"/>
    </xf>
    <xf numFmtId="37" fontId="17" fillId="3" borderId="2" xfId="9" applyNumberFormat="1" applyFont="1" applyFill="1" applyBorder="1" applyAlignment="1">
      <alignment horizontal="center" vertical="center"/>
    </xf>
    <xf numFmtId="173" fontId="33" fillId="3" borderId="2" xfId="5" applyNumberFormat="1" applyFont="1" applyFill="1" applyBorder="1" applyAlignment="1">
      <alignment horizontal="center" vertical="center"/>
    </xf>
    <xf numFmtId="10" fontId="33" fillId="3" borderId="2" xfId="23" applyNumberFormat="1" applyFont="1" applyFill="1" applyBorder="1" applyAlignment="1">
      <alignment horizontal="center" vertical="center"/>
    </xf>
    <xf numFmtId="0" fontId="17" fillId="3" borderId="2" xfId="0" applyFont="1" applyFill="1" applyBorder="1" applyAlignment="1">
      <alignment horizontal="right" vertical="center"/>
    </xf>
    <xf numFmtId="0" fontId="17" fillId="3" borderId="5" xfId="0" applyFont="1" applyFill="1" applyBorder="1" applyAlignment="1">
      <alignment horizontal="right" vertical="center"/>
    </xf>
    <xf numFmtId="0" fontId="33" fillId="3" borderId="2" xfId="0" applyFont="1" applyFill="1" applyBorder="1" applyAlignment="1">
      <alignment horizontal="center" vertical="center"/>
    </xf>
    <xf numFmtId="3" fontId="45" fillId="3" borderId="51" xfId="17" applyNumberFormat="1" applyFont="1" applyFill="1" applyBorder="1" applyAlignment="1">
      <alignment horizontal="center" vertical="center" wrapText="1"/>
    </xf>
    <xf numFmtId="3" fontId="45" fillId="3" borderId="54" xfId="17" applyNumberFormat="1" applyFont="1" applyFill="1" applyBorder="1" applyAlignment="1">
      <alignment horizontal="center" vertical="center" wrapText="1"/>
    </xf>
    <xf numFmtId="169" fontId="17" fillId="3" borderId="2" xfId="0" applyNumberFormat="1" applyFont="1" applyFill="1" applyBorder="1" applyAlignment="1">
      <alignment horizontal="right" vertical="center"/>
    </xf>
    <xf numFmtId="10" fontId="44" fillId="3" borderId="2" xfId="23" applyNumberFormat="1" applyFont="1" applyFill="1" applyBorder="1" applyAlignment="1">
      <alignment horizontal="center" vertical="center"/>
    </xf>
    <xf numFmtId="37" fontId="19" fillId="3" borderId="12" xfId="9" applyNumberFormat="1" applyFont="1" applyFill="1" applyBorder="1" applyAlignment="1">
      <alignment horizontal="center" vertical="center"/>
    </xf>
    <xf numFmtId="173" fontId="44" fillId="3" borderId="12" xfId="5" applyNumberFormat="1" applyFont="1" applyFill="1" applyBorder="1" applyAlignment="1">
      <alignment horizontal="center" vertical="center"/>
    </xf>
    <xf numFmtId="10" fontId="44" fillId="3" borderId="12" xfId="23" applyNumberFormat="1" applyFont="1" applyFill="1" applyBorder="1" applyAlignment="1">
      <alignment horizontal="center" vertical="center"/>
    </xf>
    <xf numFmtId="37" fontId="17" fillId="3" borderId="25" xfId="9" applyNumberFormat="1" applyFont="1" applyFill="1" applyBorder="1" applyAlignment="1">
      <alignment horizontal="center" vertical="center"/>
    </xf>
    <xf numFmtId="37" fontId="17" fillId="3" borderId="25" xfId="0" applyNumberFormat="1" applyFont="1" applyFill="1" applyBorder="1" applyAlignment="1">
      <alignment horizontal="right" vertical="center"/>
    </xf>
    <xf numFmtId="3" fontId="45" fillId="3" borderId="52" xfId="17" applyNumberFormat="1" applyFont="1" applyFill="1" applyBorder="1" applyAlignment="1">
      <alignment horizontal="center" vertical="center" wrapText="1"/>
    </xf>
    <xf numFmtId="37" fontId="17" fillId="3" borderId="8" xfId="9" applyNumberFormat="1" applyFont="1" applyFill="1" applyBorder="1" applyAlignment="1">
      <alignment horizontal="center" vertical="center"/>
    </xf>
    <xf numFmtId="37" fontId="19" fillId="3" borderId="42" xfId="9" applyNumberFormat="1" applyFont="1" applyFill="1" applyBorder="1" applyAlignment="1">
      <alignment horizontal="center" vertical="center"/>
    </xf>
    <xf numFmtId="0" fontId="13" fillId="0" borderId="0" xfId="20" applyFont="1" applyBorder="1"/>
    <xf numFmtId="0" fontId="13" fillId="0" borderId="0" xfId="20" applyFont="1" applyBorder="1" applyAlignment="1">
      <alignment vertical="center" wrapText="1"/>
    </xf>
    <xf numFmtId="0" fontId="13" fillId="0" borderId="0" xfId="20" applyFont="1" applyBorder="1" applyAlignment="1">
      <alignment wrapText="1"/>
    </xf>
    <xf numFmtId="0" fontId="13" fillId="0" borderId="0" xfId="20" applyFont="1"/>
    <xf numFmtId="0" fontId="47" fillId="6" borderId="21" xfId="20" applyFont="1" applyFill="1" applyBorder="1" applyAlignment="1">
      <alignment horizontal="center" vertical="center" wrapText="1"/>
    </xf>
    <xf numFmtId="0" fontId="47" fillId="6" borderId="48" xfId="20" applyFont="1" applyFill="1" applyBorder="1" applyAlignment="1">
      <alignment horizontal="center" vertical="center" wrapText="1"/>
    </xf>
    <xf numFmtId="0" fontId="50" fillId="6" borderId="12" xfId="20" applyFont="1" applyFill="1" applyBorder="1" applyAlignment="1">
      <alignment horizontal="center" vertical="center" wrapText="1"/>
    </xf>
    <xf numFmtId="0" fontId="49" fillId="6" borderId="12" xfId="20" applyFont="1" applyFill="1" applyBorder="1" applyAlignment="1">
      <alignment horizontal="center" vertical="center" wrapText="1"/>
    </xf>
    <xf numFmtId="0" fontId="49" fillId="6" borderId="32" xfId="20" applyFont="1" applyFill="1" applyBorder="1" applyAlignment="1">
      <alignment horizontal="center" vertical="center" wrapText="1"/>
    </xf>
    <xf numFmtId="0" fontId="49" fillId="0" borderId="0" xfId="42" applyFont="1" applyBorder="1" applyAlignment="1">
      <alignment horizontal="center" vertical="center" wrapText="1"/>
    </xf>
    <xf numFmtId="0" fontId="13" fillId="0" borderId="0" xfId="20" applyFont="1" applyBorder="1" applyAlignment="1">
      <alignment horizontal="center" vertical="center" wrapText="1"/>
    </xf>
    <xf numFmtId="0" fontId="49" fillId="0" borderId="0" xfId="42" applyFont="1" applyBorder="1" applyAlignment="1">
      <alignment vertical="center" wrapText="1"/>
    </xf>
    <xf numFmtId="0" fontId="13" fillId="6" borderId="5" xfId="20" applyFont="1" applyFill="1" applyBorder="1" applyAlignment="1">
      <alignment horizontal="left" vertical="center" wrapText="1"/>
    </xf>
    <xf numFmtId="4" fontId="51" fillId="3" borderId="5" xfId="0" applyNumberFormat="1" applyFont="1" applyFill="1" applyBorder="1" applyAlignment="1">
      <alignment horizontal="center" vertical="center" wrapText="1"/>
    </xf>
    <xf numFmtId="4" fontId="52" fillId="0" borderId="5" xfId="17" applyNumberFormat="1" applyFont="1" applyFill="1" applyBorder="1" applyAlignment="1">
      <alignment horizontal="center" vertical="center" wrapText="1"/>
    </xf>
    <xf numFmtId="3" fontId="51" fillId="0" borderId="5" xfId="20" applyNumberFormat="1" applyFont="1" applyFill="1" applyBorder="1" applyAlignment="1">
      <alignment horizontal="center" vertical="center" wrapText="1"/>
    </xf>
    <xf numFmtId="3" fontId="53" fillId="0" borderId="5" xfId="20" applyNumberFormat="1" applyFont="1" applyFill="1" applyBorder="1" applyAlignment="1">
      <alignment horizontal="center" vertical="center" wrapText="1"/>
    </xf>
    <xf numFmtId="3" fontId="13" fillId="0" borderId="5" xfId="20" applyNumberFormat="1" applyFont="1" applyFill="1" applyBorder="1" applyAlignment="1">
      <alignment horizontal="center" vertical="center" wrapText="1"/>
    </xf>
    <xf numFmtId="0" fontId="13" fillId="0" borderId="0" xfId="20" applyFont="1" applyFill="1" applyBorder="1"/>
    <xf numFmtId="0" fontId="13" fillId="0" borderId="0" xfId="42" applyFont="1" applyFill="1" applyBorder="1" applyAlignment="1">
      <alignment vertical="center" wrapText="1"/>
    </xf>
    <xf numFmtId="0" fontId="13" fillId="0" borderId="0" xfId="20" applyFont="1" applyFill="1" applyBorder="1" applyAlignment="1">
      <alignment vertical="center" wrapText="1"/>
    </xf>
    <xf numFmtId="0" fontId="13" fillId="0" borderId="0" xfId="20" applyFont="1" applyFill="1" applyBorder="1" applyAlignment="1">
      <alignment wrapText="1"/>
    </xf>
    <xf numFmtId="0" fontId="13" fillId="0" borderId="0" xfId="20" applyFont="1" applyFill="1"/>
    <xf numFmtId="177" fontId="13" fillId="6" borderId="2" xfId="20" applyNumberFormat="1" applyFont="1" applyFill="1" applyBorder="1" applyAlignment="1">
      <alignment horizontal="left" vertical="center" wrapText="1"/>
    </xf>
    <xf numFmtId="37" fontId="56" fillId="3" borderId="2" xfId="9" applyNumberFormat="1" applyFont="1" applyFill="1" applyBorder="1" applyAlignment="1">
      <alignment horizontal="center" vertical="center"/>
    </xf>
    <xf numFmtId="178" fontId="52" fillId="0" borderId="2" xfId="0" applyNumberFormat="1" applyFont="1" applyFill="1" applyBorder="1" applyAlignment="1">
      <alignment horizontal="center" vertical="center"/>
    </xf>
    <xf numFmtId="169" fontId="56" fillId="0" borderId="2" xfId="9" applyNumberFormat="1" applyFont="1" applyFill="1" applyBorder="1" applyAlignment="1">
      <alignment horizontal="center" vertical="center" wrapText="1"/>
    </xf>
    <xf numFmtId="169" fontId="51" fillId="0" borderId="2" xfId="9" applyNumberFormat="1" applyFont="1" applyFill="1" applyBorder="1" applyAlignment="1">
      <alignment horizontal="center" vertical="center" wrapText="1"/>
    </xf>
    <xf numFmtId="178" fontId="52" fillId="0" borderId="0" xfId="0" applyNumberFormat="1" applyFont="1" applyFill="1" applyBorder="1" applyAlignment="1">
      <alignment horizontal="center" vertical="center"/>
    </xf>
    <xf numFmtId="3" fontId="13" fillId="10" borderId="2" xfId="20" applyNumberFormat="1" applyFont="1" applyFill="1" applyBorder="1" applyAlignment="1">
      <alignment horizontal="center" vertical="center" wrapText="1"/>
    </xf>
    <xf numFmtId="0" fontId="56" fillId="3" borderId="2" xfId="0" applyFont="1" applyFill="1" applyBorder="1" applyAlignment="1">
      <alignment horizontal="right" vertical="center"/>
    </xf>
    <xf numFmtId="3" fontId="51" fillId="0" borderId="2" xfId="20" applyNumberFormat="1" applyFont="1" applyFill="1" applyBorder="1" applyAlignment="1">
      <alignment horizontal="center" vertical="center" wrapText="1"/>
    </xf>
    <xf numFmtId="3" fontId="13" fillId="0" borderId="2" xfId="20" applyNumberFormat="1" applyFont="1" applyFill="1" applyBorder="1" applyAlignment="1">
      <alignment horizontal="center" vertical="center" wrapText="1"/>
    </xf>
    <xf numFmtId="177" fontId="13" fillId="6" borderId="2" xfId="20" applyNumberFormat="1" applyFont="1" applyFill="1" applyBorder="1" applyAlignment="1">
      <alignment vertical="center" wrapText="1"/>
    </xf>
    <xf numFmtId="3" fontId="52" fillId="3" borderId="2" xfId="17" applyNumberFormat="1" applyFont="1" applyFill="1" applyBorder="1" applyAlignment="1">
      <alignment horizontal="center" vertical="center" wrapText="1"/>
    </xf>
    <xf numFmtId="177" fontId="13" fillId="0" borderId="2" xfId="20" applyNumberFormat="1" applyFont="1" applyFill="1" applyBorder="1" applyAlignment="1">
      <alignment vertical="center" wrapText="1"/>
    </xf>
    <xf numFmtId="0" fontId="13" fillId="6" borderId="2" xfId="20" applyFont="1" applyFill="1" applyBorder="1" applyAlignment="1">
      <alignment horizontal="left" vertical="center" wrapText="1"/>
    </xf>
    <xf numFmtId="4" fontId="51" fillId="3" borderId="2" xfId="0" applyNumberFormat="1" applyFont="1" applyFill="1" applyBorder="1" applyAlignment="1">
      <alignment horizontal="center" vertical="center" wrapText="1"/>
    </xf>
    <xf numFmtId="4" fontId="52" fillId="0" borderId="2" xfId="17" applyNumberFormat="1" applyFont="1" applyFill="1" applyBorder="1" applyAlignment="1">
      <alignment horizontal="center" vertical="center" wrapText="1"/>
    </xf>
    <xf numFmtId="0" fontId="13" fillId="0" borderId="2" xfId="20" applyFont="1" applyFill="1" applyBorder="1"/>
    <xf numFmtId="4" fontId="52" fillId="3" borderId="2" xfId="17" applyNumberFormat="1" applyFont="1" applyFill="1" applyBorder="1" applyAlignment="1">
      <alignment horizontal="center" vertical="center" wrapText="1"/>
    </xf>
    <xf numFmtId="4" fontId="51" fillId="0" borderId="2" xfId="0" applyNumberFormat="1" applyFont="1" applyFill="1" applyBorder="1" applyAlignment="1">
      <alignment horizontal="center" vertical="center" wrapText="1"/>
    </xf>
    <xf numFmtId="4" fontId="57" fillId="0" borderId="2" xfId="20" applyNumberFormat="1" applyFont="1" applyFill="1" applyBorder="1" applyAlignment="1">
      <alignment horizontal="center" vertical="center" wrapText="1"/>
    </xf>
    <xf numFmtId="4" fontId="51" fillId="0" borderId="2" xfId="20" applyNumberFormat="1" applyFont="1" applyFill="1" applyBorder="1" applyAlignment="1">
      <alignment horizontal="center" vertical="center" wrapText="1"/>
    </xf>
    <xf numFmtId="0" fontId="54" fillId="0" borderId="2" xfId="20" applyFont="1" applyFill="1" applyBorder="1" applyAlignment="1">
      <alignment horizontal="center" vertical="center" wrapText="1"/>
    </xf>
    <xf numFmtId="3" fontId="13" fillId="9" borderId="2" xfId="20" applyNumberFormat="1" applyFont="1" applyFill="1" applyBorder="1" applyAlignment="1">
      <alignment horizontal="center" vertical="center" wrapText="1"/>
    </xf>
    <xf numFmtId="176" fontId="53" fillId="0" borderId="2" xfId="4" applyNumberFormat="1" applyFont="1" applyFill="1" applyBorder="1" applyAlignment="1">
      <alignment horizontal="center" vertical="center" wrapText="1"/>
    </xf>
    <xf numFmtId="176" fontId="13" fillId="0" borderId="2" xfId="4" applyNumberFormat="1" applyFont="1" applyFill="1" applyBorder="1" applyAlignment="1">
      <alignment horizontal="center" vertical="center" wrapText="1"/>
    </xf>
    <xf numFmtId="3" fontId="53" fillId="0" borderId="7" xfId="20" applyNumberFormat="1" applyFont="1" applyFill="1" applyBorder="1" applyAlignment="1">
      <alignment horizontal="center" vertical="center" wrapText="1"/>
    </xf>
    <xf numFmtId="164" fontId="31" fillId="0" borderId="2" xfId="41" applyNumberFormat="1" applyFont="1" applyFill="1" applyBorder="1" applyAlignment="1">
      <alignment vertical="center"/>
    </xf>
    <xf numFmtId="177" fontId="17" fillId="10" borderId="2" xfId="20" applyNumberFormat="1" applyFont="1" applyFill="1" applyBorder="1" applyAlignment="1">
      <alignment vertical="center" wrapText="1"/>
    </xf>
    <xf numFmtId="0" fontId="58" fillId="0" borderId="2" xfId="0" applyFont="1" applyFill="1" applyBorder="1" applyAlignment="1">
      <alignment horizontal="right" vertical="center"/>
    </xf>
    <xf numFmtId="177" fontId="13" fillId="6" borderId="8" xfId="20" applyNumberFormat="1" applyFont="1" applyFill="1" applyBorder="1" applyAlignment="1">
      <alignment vertical="center" wrapText="1"/>
    </xf>
    <xf numFmtId="3" fontId="59" fillId="3" borderId="8" xfId="17" applyNumberFormat="1" applyFont="1" applyFill="1" applyBorder="1" applyAlignment="1">
      <alignment horizontal="center" vertical="center" wrapText="1"/>
    </xf>
    <xf numFmtId="3" fontId="60" fillId="0" borderId="8" xfId="20" applyNumberFormat="1" applyFont="1" applyFill="1" applyBorder="1" applyAlignment="1">
      <alignment horizontal="center" vertical="center" wrapText="1"/>
    </xf>
    <xf numFmtId="3" fontId="13" fillId="0" borderId="8" xfId="20" applyNumberFormat="1" applyFont="1" applyFill="1" applyBorder="1" applyAlignment="1">
      <alignment horizontal="center" vertical="center" wrapText="1"/>
    </xf>
    <xf numFmtId="177" fontId="13" fillId="0" borderId="8" xfId="20" applyNumberFormat="1" applyFont="1" applyFill="1" applyBorder="1" applyAlignment="1">
      <alignment vertical="center" wrapText="1"/>
    </xf>
    <xf numFmtId="0" fontId="54" fillId="0" borderId="8" xfId="20" applyFont="1" applyFill="1" applyBorder="1" applyAlignment="1">
      <alignment horizontal="center" vertical="center" wrapText="1"/>
    </xf>
    <xf numFmtId="3" fontId="13" fillId="9" borderId="8" xfId="20" applyNumberFormat="1" applyFont="1" applyFill="1" applyBorder="1" applyAlignment="1">
      <alignment horizontal="center" vertical="center" wrapText="1"/>
    </xf>
    <xf numFmtId="176" fontId="53" fillId="0" borderId="8" xfId="4" applyNumberFormat="1" applyFont="1" applyFill="1" applyBorder="1" applyAlignment="1">
      <alignment horizontal="center" vertical="center" wrapText="1"/>
    </xf>
    <xf numFmtId="176" fontId="13" fillId="0" borderId="8" xfId="4" applyNumberFormat="1" applyFont="1" applyFill="1" applyBorder="1" applyAlignment="1">
      <alignment horizontal="center" vertical="center" wrapText="1"/>
    </xf>
    <xf numFmtId="3" fontId="53" fillId="0" borderId="9" xfId="20" applyNumberFormat="1" applyFont="1" applyFill="1" applyBorder="1" applyAlignment="1">
      <alignment horizontal="center" vertical="center" wrapText="1"/>
    </xf>
    <xf numFmtId="0" fontId="13" fillId="6" borderId="1" xfId="20" applyFont="1" applyFill="1" applyBorder="1" applyAlignment="1">
      <alignment horizontal="left" vertical="center" wrapText="1"/>
    </xf>
    <xf numFmtId="3" fontId="60" fillId="3" borderId="1" xfId="0" applyNumberFormat="1" applyFont="1" applyFill="1" applyBorder="1" applyAlignment="1">
      <alignment horizontal="center" vertical="center" wrapText="1"/>
    </xf>
    <xf numFmtId="3" fontId="61" fillId="0" borderId="1" xfId="20" applyNumberFormat="1" applyFont="1" applyFill="1" applyBorder="1" applyAlignment="1">
      <alignment horizontal="center" vertical="center" wrapText="1"/>
    </xf>
    <xf numFmtId="3" fontId="13" fillId="0" borderId="1" xfId="20" applyNumberFormat="1" applyFont="1" applyFill="1" applyBorder="1" applyAlignment="1">
      <alignment horizontal="center" vertical="center" wrapText="1"/>
    </xf>
    <xf numFmtId="37" fontId="47" fillId="3" borderId="2" xfId="9" applyNumberFormat="1" applyFont="1" applyFill="1" applyBorder="1" applyAlignment="1">
      <alignment horizontal="center" vertical="center"/>
    </xf>
    <xf numFmtId="0" fontId="58" fillId="3" borderId="2" xfId="0" applyFont="1" applyFill="1" applyBorder="1" applyAlignment="1">
      <alignment horizontal="right" vertical="center"/>
    </xf>
    <xf numFmtId="3" fontId="59" fillId="3" borderId="2" xfId="17" applyNumberFormat="1" applyFont="1" applyFill="1" applyBorder="1" applyAlignment="1">
      <alignment horizontal="center" vertical="center" wrapText="1"/>
    </xf>
    <xf numFmtId="3" fontId="60" fillId="3" borderId="2" xfId="0" applyNumberFormat="1" applyFont="1" applyFill="1" applyBorder="1" applyAlignment="1">
      <alignment horizontal="center" vertical="center" wrapText="1"/>
    </xf>
    <xf numFmtId="3" fontId="62" fillId="0" borderId="2" xfId="20" applyNumberFormat="1" applyFont="1" applyFill="1" applyBorder="1" applyAlignment="1">
      <alignment horizontal="center" vertical="center" wrapText="1"/>
    </xf>
    <xf numFmtId="3" fontId="51" fillId="3" borderId="2" xfId="0" applyNumberFormat="1" applyFont="1" applyFill="1" applyBorder="1" applyAlignment="1">
      <alignment horizontal="center" vertical="center" wrapText="1"/>
    </xf>
    <xf numFmtId="3" fontId="60" fillId="0" borderId="2" xfId="20" applyNumberFormat="1" applyFont="1" applyFill="1" applyBorder="1" applyAlignment="1">
      <alignment horizontal="center" vertical="center" wrapText="1"/>
    </xf>
    <xf numFmtId="177" fontId="13" fillId="6" borderId="12" xfId="20" applyNumberFormat="1" applyFont="1" applyFill="1" applyBorder="1" applyAlignment="1">
      <alignment vertical="center" wrapText="1"/>
    </xf>
    <xf numFmtId="3" fontId="59" fillId="0" borderId="12" xfId="17" applyNumberFormat="1" applyFont="1" applyFill="1" applyBorder="1" applyAlignment="1">
      <alignment horizontal="center" vertical="center" wrapText="1"/>
    </xf>
    <xf numFmtId="3" fontId="60" fillId="0" borderId="12" xfId="20" applyNumberFormat="1" applyFont="1" applyFill="1" applyBorder="1" applyAlignment="1">
      <alignment horizontal="center" vertical="center" wrapText="1"/>
    </xf>
    <xf numFmtId="3" fontId="13" fillId="0" borderId="12" xfId="20" applyNumberFormat="1" applyFont="1" applyFill="1" applyBorder="1" applyAlignment="1">
      <alignment horizontal="center" vertical="center" wrapText="1"/>
    </xf>
    <xf numFmtId="177" fontId="13" fillId="0" borderId="12" xfId="20" applyNumberFormat="1" applyFont="1" applyFill="1" applyBorder="1" applyAlignment="1">
      <alignment vertical="center" wrapText="1"/>
    </xf>
    <xf numFmtId="177" fontId="54" fillId="6" borderId="23" xfId="20" applyNumberFormat="1" applyFont="1" applyFill="1" applyBorder="1" applyAlignment="1">
      <alignment vertical="center" wrapText="1"/>
    </xf>
    <xf numFmtId="169" fontId="50" fillId="6" borderId="56" xfId="9" applyNumberFormat="1" applyFont="1" applyFill="1" applyBorder="1" applyAlignment="1">
      <alignment vertical="center" wrapText="1"/>
    </xf>
    <xf numFmtId="169" fontId="54" fillId="10" borderId="5" xfId="9" applyNumberFormat="1" applyFont="1" applyFill="1" applyBorder="1" applyAlignment="1">
      <alignment horizontal="center" vertical="center" wrapText="1"/>
    </xf>
    <xf numFmtId="166" fontId="13" fillId="6" borderId="5" xfId="20" applyNumberFormat="1" applyFont="1" applyFill="1" applyBorder="1" applyAlignment="1">
      <alignment horizontal="center" vertical="center"/>
    </xf>
    <xf numFmtId="166" fontId="13" fillId="6" borderId="5" xfId="20" applyNumberFormat="1" applyFont="1" applyFill="1" applyBorder="1"/>
    <xf numFmtId="0" fontId="13" fillId="6" borderId="5" xfId="20" applyFont="1" applyFill="1" applyBorder="1"/>
    <xf numFmtId="0" fontId="13" fillId="6" borderId="5" xfId="20" applyFont="1" applyFill="1" applyBorder="1" applyAlignment="1">
      <alignment horizontal="center"/>
    </xf>
    <xf numFmtId="0" fontId="13" fillId="6" borderId="5" xfId="20" applyFont="1" applyFill="1" applyBorder="1" applyAlignment="1"/>
    <xf numFmtId="0" fontId="13" fillId="6" borderId="23" xfId="20" applyFont="1" applyFill="1" applyBorder="1"/>
    <xf numFmtId="0" fontId="13" fillId="3" borderId="0" xfId="20" applyFont="1" applyFill="1" applyBorder="1"/>
    <xf numFmtId="0" fontId="13" fillId="3" borderId="0" xfId="20" applyFont="1" applyFill="1" applyBorder="1" applyAlignment="1">
      <alignment vertical="center" wrapText="1"/>
    </xf>
    <xf numFmtId="0" fontId="13" fillId="3" borderId="0" xfId="20" applyFont="1" applyFill="1" applyBorder="1" applyAlignment="1">
      <alignment wrapText="1"/>
    </xf>
    <xf numFmtId="0" fontId="13" fillId="11" borderId="0" xfId="20" applyFont="1" applyFill="1" applyBorder="1"/>
    <xf numFmtId="0" fontId="13" fillId="11" borderId="0" xfId="20" applyFont="1" applyFill="1"/>
    <xf numFmtId="0" fontId="54" fillId="6" borderId="32" xfId="20" applyFont="1" applyFill="1" applyBorder="1" applyAlignment="1">
      <alignment horizontal="left" vertical="center" wrapText="1"/>
    </xf>
    <xf numFmtId="169" fontId="60" fillId="6" borderId="12" xfId="9" applyNumberFormat="1" applyFont="1" applyFill="1" applyBorder="1" applyAlignment="1">
      <alignment horizontal="center" vertical="center" wrapText="1"/>
    </xf>
    <xf numFmtId="169" fontId="58" fillId="10" borderId="12" xfId="9" applyNumberFormat="1" applyFont="1" applyFill="1" applyBorder="1" applyAlignment="1">
      <alignment horizontal="center" vertical="center" wrapText="1"/>
    </xf>
    <xf numFmtId="0" fontId="13" fillId="6" borderId="12" xfId="20" applyFont="1" applyFill="1" applyBorder="1"/>
    <xf numFmtId="0" fontId="13" fillId="6" borderId="12" xfId="20" applyFont="1" applyFill="1" applyBorder="1" applyAlignment="1">
      <alignment horizontal="center"/>
    </xf>
    <xf numFmtId="179" fontId="60" fillId="0" borderId="0" xfId="20" applyNumberFormat="1" applyFont="1" applyAlignment="1">
      <alignment horizontal="center"/>
    </xf>
    <xf numFmtId="179" fontId="60" fillId="0" borderId="0" xfId="20" applyNumberFormat="1" applyFont="1"/>
    <xf numFmtId="179" fontId="13" fillId="0" borderId="0" xfId="20" applyNumberFormat="1" applyFont="1"/>
    <xf numFmtId="0" fontId="13" fillId="0" borderId="0" xfId="20" applyFont="1" applyAlignment="1">
      <alignment horizontal="center"/>
    </xf>
    <xf numFmtId="0" fontId="49" fillId="0" borderId="0" xfId="20" applyFont="1" applyBorder="1" applyAlignment="1">
      <alignment horizontal="center" vertical="center"/>
    </xf>
    <xf numFmtId="0" fontId="60" fillId="0" borderId="0" xfId="20" applyFont="1" applyAlignment="1">
      <alignment horizontal="center"/>
    </xf>
    <xf numFmtId="0" fontId="60" fillId="0" borderId="0" xfId="20" applyFont="1"/>
    <xf numFmtId="0" fontId="13" fillId="0" borderId="0" xfId="20" applyFont="1" applyAlignment="1"/>
    <xf numFmtId="10" fontId="5" fillId="0" borderId="2"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0" fontId="49" fillId="6" borderId="12" xfId="20" applyFont="1" applyFill="1" applyBorder="1" applyAlignment="1">
      <alignment horizontal="center" vertical="center" wrapText="1"/>
    </xf>
    <xf numFmtId="3" fontId="13" fillId="0" borderId="2" xfId="20" applyNumberFormat="1" applyFont="1" applyFill="1" applyBorder="1" applyAlignment="1">
      <alignment horizontal="center" vertical="center" wrapText="1"/>
    </xf>
    <xf numFmtId="0" fontId="54" fillId="0" borderId="2" xfId="20" applyFont="1" applyFill="1" applyBorder="1" applyAlignment="1">
      <alignment horizontal="center" vertical="center" wrapText="1"/>
    </xf>
    <xf numFmtId="3" fontId="13" fillId="0" borderId="1" xfId="20" applyNumberFormat="1" applyFont="1" applyFill="1" applyBorder="1" applyAlignment="1">
      <alignment horizontal="center" vertical="center" wrapText="1"/>
    </xf>
    <xf numFmtId="3" fontId="13" fillId="0" borderId="12" xfId="20" applyNumberFormat="1" applyFont="1" applyFill="1" applyBorder="1" applyAlignment="1">
      <alignment horizontal="center" vertical="center" wrapText="1"/>
    </xf>
    <xf numFmtId="0" fontId="54" fillId="0" borderId="12" xfId="20" applyFont="1" applyFill="1" applyBorder="1" applyAlignment="1">
      <alignment horizontal="center" vertical="center" wrapText="1"/>
    </xf>
    <xf numFmtId="173" fontId="8" fillId="0" borderId="2" xfId="3" applyNumberFormat="1" applyFont="1" applyFill="1" applyBorder="1" applyAlignment="1">
      <alignment horizontal="center" vertical="center"/>
    </xf>
    <xf numFmtId="43" fontId="8" fillId="0" borderId="2" xfId="3" applyFont="1" applyFill="1" applyBorder="1" applyAlignment="1">
      <alignment horizontal="center" vertical="center"/>
    </xf>
    <xf numFmtId="0" fontId="5" fillId="6" borderId="12" xfId="0" applyFont="1" applyFill="1" applyBorder="1" applyAlignment="1">
      <alignment horizontal="center" vertical="center" wrapText="1"/>
    </xf>
    <xf numFmtId="0" fontId="5" fillId="6" borderId="37" xfId="0" applyFont="1" applyFill="1" applyBorder="1" applyAlignment="1">
      <alignment horizontal="center" vertical="center" wrapText="1"/>
    </xf>
    <xf numFmtId="3" fontId="45" fillId="3" borderId="61" xfId="17"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173" fontId="8" fillId="0" borderId="2" xfId="5" applyNumberFormat="1" applyFont="1" applyFill="1" applyBorder="1" applyAlignment="1">
      <alignment horizontal="center" vertical="center"/>
    </xf>
    <xf numFmtId="173" fontId="8" fillId="0" borderId="2" xfId="5" applyNumberFormat="1" applyFont="1" applyFill="1" applyBorder="1" applyAlignment="1">
      <alignment horizontal="left" vertical="center"/>
    </xf>
    <xf numFmtId="0" fontId="5" fillId="0" borderId="18" xfId="0" applyFont="1" applyFill="1" applyBorder="1" applyAlignment="1">
      <alignment horizontal="center" vertical="center" wrapText="1"/>
    </xf>
    <xf numFmtId="0" fontId="5" fillId="0" borderId="8" xfId="0" applyFont="1" applyFill="1" applyBorder="1" applyAlignment="1">
      <alignment horizontal="center" vertical="center" wrapText="1"/>
    </xf>
    <xf numFmtId="43" fontId="64" fillId="0" borderId="2" xfId="5" applyFont="1" applyFill="1" applyBorder="1" applyAlignment="1">
      <alignment vertical="center"/>
    </xf>
    <xf numFmtId="43" fontId="64" fillId="0" borderId="2" xfId="5" applyNumberFormat="1" applyFont="1" applyFill="1" applyBorder="1" applyAlignment="1">
      <alignment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180" fontId="19" fillId="3" borderId="14"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wrapText="1"/>
    </xf>
    <xf numFmtId="0" fontId="5" fillId="6" borderId="12" xfId="0" applyFont="1" applyFill="1" applyBorder="1" applyAlignment="1" applyProtection="1">
      <alignment horizontal="center" vertical="center" wrapText="1"/>
      <protection locked="0"/>
    </xf>
    <xf numFmtId="0" fontId="11" fillId="0" borderId="3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11" fillId="0" borderId="26"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7" xfId="0" applyFont="1" applyFill="1" applyBorder="1" applyAlignment="1">
      <alignment horizontal="right" vertic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0" xfId="0" applyFont="1" applyFill="1" applyBorder="1" applyAlignment="1">
      <alignment horizontal="center"/>
    </xf>
    <xf numFmtId="0" fontId="32" fillId="0" borderId="10" xfId="0" applyFont="1" applyFill="1" applyBorder="1" applyAlignment="1">
      <alignment horizontal="center"/>
    </xf>
    <xf numFmtId="0" fontId="32" fillId="0" borderId="0" xfId="0" applyFont="1" applyFill="1" applyBorder="1" applyAlignment="1">
      <alignment horizontal="center"/>
    </xf>
    <xf numFmtId="0" fontId="32" fillId="0" borderId="19" xfId="0" applyFont="1" applyFill="1" applyBorder="1" applyAlignment="1">
      <alignment horizontal="center"/>
    </xf>
    <xf numFmtId="0" fontId="5" fillId="6" borderId="60"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5" fillId="6"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21" fillId="0" borderId="29" xfId="0" applyFont="1" applyFill="1" applyBorder="1" applyAlignment="1">
      <alignment horizontal="right" vertical="center"/>
    </xf>
    <xf numFmtId="0" fontId="21" fillId="0" borderId="0" xfId="0" applyFont="1" applyFill="1" applyBorder="1" applyAlignment="1">
      <alignment horizontal="right" vertical="center"/>
    </xf>
    <xf numFmtId="0" fontId="4" fillId="0" borderId="3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17" fillId="0" borderId="57"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5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5" fillId="6" borderId="8" xfId="0" applyFont="1" applyFill="1" applyBorder="1" applyAlignment="1">
      <alignment horizontal="center"/>
    </xf>
    <xf numFmtId="0" fontId="5" fillId="6" borderId="37" xfId="0" applyFont="1" applyFill="1" applyBorder="1" applyAlignment="1">
      <alignment horizontal="center" vertical="center"/>
    </xf>
    <xf numFmtId="0" fontId="5" fillId="6" borderId="41" xfId="0" applyFont="1" applyFill="1" applyBorder="1" applyAlignment="1">
      <alignment horizontal="center" vertical="center"/>
    </xf>
    <xf numFmtId="0" fontId="0" fillId="0" borderId="31" xfId="0" applyFill="1" applyBorder="1" applyAlignment="1">
      <alignment horizontal="center"/>
    </xf>
    <xf numFmtId="0" fontId="0" fillId="0" borderId="1" xfId="0" applyFill="1" applyBorder="1" applyAlignment="1">
      <alignment horizontal="center"/>
    </xf>
    <xf numFmtId="0" fontId="0" fillId="0" borderId="33" xfId="0" applyFill="1" applyBorder="1" applyAlignment="1">
      <alignment horizontal="center"/>
    </xf>
    <xf numFmtId="0" fontId="0" fillId="0" borderId="2" xfId="0" applyFill="1" applyBorder="1" applyAlignment="1">
      <alignment horizontal="center"/>
    </xf>
    <xf numFmtId="0" fontId="0" fillId="0" borderId="34" xfId="0" applyFill="1" applyBorder="1" applyAlignment="1">
      <alignment horizontal="center"/>
    </xf>
    <xf numFmtId="0" fontId="0" fillId="0" borderId="12" xfId="0" applyFill="1" applyBorder="1" applyAlignment="1">
      <alignment horizontal="center"/>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7" fillId="0" borderId="41"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5" fillId="6" borderId="31"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43" xfId="0" applyFont="1" applyFill="1" applyBorder="1" applyAlignment="1">
      <alignment horizontal="left" vertical="center" wrapText="1"/>
    </xf>
    <xf numFmtId="10" fontId="37" fillId="3" borderId="12" xfId="17" applyNumberFormat="1" applyFont="1" applyFill="1" applyBorder="1" applyAlignment="1">
      <alignment horizontal="center" vertical="center" wrapText="1"/>
    </xf>
    <xf numFmtId="10" fontId="4" fillId="0" borderId="12" xfId="17" applyNumberFormat="1" applyFont="1" applyFill="1" applyBorder="1" applyAlignment="1">
      <alignment horizontal="center" vertical="center" wrapText="1"/>
    </xf>
    <xf numFmtId="10" fontId="37" fillId="3" borderId="2" xfId="17" applyNumberFormat="1" applyFont="1" applyFill="1" applyBorder="1" applyAlignment="1">
      <alignment horizontal="center" vertical="center" wrapText="1"/>
    </xf>
    <xf numFmtId="10" fontId="4" fillId="0" borderId="2" xfId="17" applyNumberFormat="1" applyFont="1" applyFill="1" applyBorder="1" applyAlignment="1">
      <alignment horizontal="center" vertical="center" wrapText="1"/>
    </xf>
    <xf numFmtId="10" fontId="37" fillId="3" borderId="8" xfId="17" applyNumberFormat="1" applyFont="1" applyFill="1" applyBorder="1" applyAlignment="1">
      <alignment horizontal="center" vertical="center" wrapText="1"/>
    </xf>
    <xf numFmtId="170" fontId="2" fillId="3" borderId="2" xfId="17" applyNumberFormat="1" applyFont="1" applyFill="1" applyBorder="1" applyAlignment="1">
      <alignment horizontal="center" vertical="center" wrapText="1"/>
    </xf>
    <xf numFmtId="170" fontId="37" fillId="3" borderId="2" xfId="17" applyNumberFormat="1" applyFont="1" applyFill="1" applyBorder="1" applyAlignment="1">
      <alignment horizontal="center" vertical="center" wrapText="1"/>
    </xf>
    <xf numFmtId="0" fontId="4" fillId="0" borderId="7" xfId="17" applyFont="1" applyFill="1" applyBorder="1" applyAlignment="1">
      <alignment horizontal="left" vertical="center" wrapText="1"/>
    </xf>
    <xf numFmtId="0" fontId="37" fillId="0" borderId="6" xfId="17" applyFont="1" applyFill="1" applyBorder="1" applyAlignment="1">
      <alignment horizontal="left" vertical="center" wrapText="1"/>
    </xf>
    <xf numFmtId="0" fontId="37" fillId="0" borderId="7" xfId="17" applyFont="1" applyFill="1" applyBorder="1" applyAlignment="1">
      <alignment horizontal="left" vertical="center" wrapText="1"/>
    </xf>
    <xf numFmtId="0" fontId="4" fillId="3" borderId="31" xfId="17" applyFont="1" applyFill="1" applyBorder="1" applyAlignment="1">
      <alignment horizontal="center" vertical="center" wrapText="1"/>
    </xf>
    <xf numFmtId="0" fontId="4" fillId="3" borderId="33" xfId="17" applyFont="1" applyFill="1" applyBorder="1" applyAlignment="1">
      <alignment horizontal="center" vertical="center" wrapText="1"/>
    </xf>
    <xf numFmtId="0" fontId="4" fillId="3" borderId="35" xfId="17" applyFont="1" applyFill="1" applyBorder="1" applyAlignment="1">
      <alignment horizontal="center" vertical="center" wrapText="1"/>
    </xf>
    <xf numFmtId="0" fontId="2" fillId="4" borderId="36" xfId="17" applyFont="1" applyFill="1" applyBorder="1" applyAlignment="1">
      <alignment horizontal="center" vertical="center" wrapText="1"/>
    </xf>
    <xf numFmtId="0" fontId="2" fillId="4" borderId="41" xfId="17" applyFont="1" applyFill="1" applyBorder="1" applyAlignment="1">
      <alignment horizontal="center" vertical="center" wrapText="1"/>
    </xf>
    <xf numFmtId="0" fontId="2" fillId="4" borderId="1" xfId="17" applyFont="1" applyFill="1" applyBorder="1" applyAlignment="1">
      <alignment horizontal="center" vertical="center" wrapText="1"/>
    </xf>
    <xf numFmtId="0" fontId="2" fillId="4" borderId="28" xfId="17" applyFont="1" applyFill="1" applyBorder="1" applyAlignment="1">
      <alignment horizontal="center" vertical="center" wrapText="1"/>
    </xf>
    <xf numFmtId="0" fontId="2" fillId="4" borderId="10" xfId="17" applyFont="1" applyFill="1" applyBorder="1" applyAlignment="1">
      <alignment horizontal="center" vertical="center" wrapText="1"/>
    </xf>
    <xf numFmtId="0" fontId="2" fillId="4" borderId="8" xfId="17" applyFont="1" applyFill="1" applyBorder="1" applyAlignment="1">
      <alignment horizontal="center" vertical="center" wrapText="1"/>
    </xf>
    <xf numFmtId="0" fontId="4" fillId="3" borderId="2" xfId="17" applyFont="1" applyFill="1" applyBorder="1" applyAlignment="1">
      <alignment horizontal="justify" vertical="center" wrapText="1"/>
    </xf>
    <xf numFmtId="0" fontId="4" fillId="3" borderId="8" xfId="17" applyFont="1" applyFill="1" applyBorder="1" applyAlignment="1">
      <alignment horizontal="justify" vertical="center" wrapText="1"/>
    </xf>
    <xf numFmtId="0" fontId="4" fillId="3" borderId="1" xfId="17" applyFont="1" applyFill="1" applyBorder="1" applyAlignment="1">
      <alignment horizontal="center" vertical="center" wrapText="1"/>
    </xf>
    <xf numFmtId="0" fontId="4" fillId="3" borderId="2" xfId="17" applyFont="1" applyFill="1" applyBorder="1" applyAlignment="1">
      <alignment horizontal="center" vertical="center" wrapText="1"/>
    </xf>
    <xf numFmtId="0" fontId="4" fillId="3" borderId="8" xfId="17"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4" fillId="4" borderId="48" xfId="17" applyNumberFormat="1" applyFont="1" applyFill="1" applyBorder="1" applyAlignment="1">
      <alignment horizontal="center" vertical="center" wrapText="1"/>
    </xf>
    <xf numFmtId="10" fontId="4" fillId="4" borderId="49" xfId="17" applyNumberFormat="1" applyFont="1" applyFill="1" applyBorder="1" applyAlignment="1">
      <alignment horizontal="center" vertical="center" wrapText="1"/>
    </xf>
    <xf numFmtId="10" fontId="4" fillId="4" borderId="50" xfId="17" applyNumberFormat="1" applyFont="1" applyFill="1" applyBorder="1" applyAlignment="1">
      <alignment horizontal="center" vertical="center" wrapText="1"/>
    </xf>
    <xf numFmtId="170" fontId="37" fillId="3" borderId="1" xfId="17" applyNumberFormat="1" applyFont="1" applyFill="1" applyBorder="1" applyAlignment="1">
      <alignment horizontal="center" vertical="center" wrapText="1"/>
    </xf>
    <xf numFmtId="0" fontId="4" fillId="0" borderId="7" xfId="17" applyFill="1" applyBorder="1" applyAlignment="1">
      <alignment horizontal="justify" vertical="center"/>
    </xf>
    <xf numFmtId="0" fontId="4" fillId="0" borderId="32" xfId="17" applyFill="1" applyBorder="1" applyAlignment="1">
      <alignment horizontal="justify" vertical="center"/>
    </xf>
    <xf numFmtId="10" fontId="4" fillId="3" borderId="2" xfId="0" applyNumberFormat="1" applyFont="1" applyFill="1" applyBorder="1" applyAlignment="1" applyProtection="1">
      <alignment horizontal="center" vertical="center" wrapText="1"/>
      <protection locked="0"/>
    </xf>
    <xf numFmtId="10" fontId="4" fillId="3" borderId="12" xfId="0" applyNumberFormat="1" applyFont="1" applyFill="1" applyBorder="1" applyAlignment="1" applyProtection="1">
      <alignment horizontal="center" vertical="center" wrapText="1"/>
      <protection locked="0"/>
    </xf>
    <xf numFmtId="0" fontId="2" fillId="4" borderId="6" xfId="17" applyFont="1" applyFill="1" applyBorder="1" applyAlignment="1">
      <alignment horizontal="center" vertical="center" wrapText="1"/>
    </xf>
    <xf numFmtId="0" fontId="2" fillId="4" borderId="9" xfId="17" applyFont="1" applyFill="1" applyBorder="1" applyAlignment="1">
      <alignment horizontal="center" vertical="center" wrapText="1"/>
    </xf>
    <xf numFmtId="0" fontId="2" fillId="4" borderId="45" xfId="17" applyFont="1" applyFill="1" applyBorder="1" applyAlignment="1">
      <alignment horizontal="center" vertical="center" wrapText="1"/>
    </xf>
    <xf numFmtId="0" fontId="2" fillId="4" borderId="18" xfId="17" applyFont="1" applyFill="1" applyBorder="1" applyAlignment="1">
      <alignment horizontal="center" vertical="center" wrapText="1"/>
    </xf>
    <xf numFmtId="0" fontId="4" fillId="3" borderId="1" xfId="17" applyFont="1" applyFill="1" applyBorder="1" applyAlignment="1">
      <alignment horizontal="justify" vertical="center" wrapText="1"/>
    </xf>
    <xf numFmtId="10" fontId="4" fillId="3" borderId="1"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2" fillId="4" borderId="44" xfId="17" applyFont="1" applyFill="1" applyBorder="1" applyAlignment="1">
      <alignment horizontal="center" vertical="center" wrapText="1"/>
    </xf>
    <xf numFmtId="0" fontId="2" fillId="4" borderId="14" xfId="17"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4" fillId="3" borderId="12" xfId="17" applyFont="1" applyFill="1" applyBorder="1" applyAlignment="1">
      <alignment horizontal="justify" vertical="center" wrapText="1"/>
    </xf>
    <xf numFmtId="0" fontId="4" fillId="3" borderId="31"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12" xfId="17" applyFont="1" applyFill="1" applyBorder="1" applyAlignment="1">
      <alignment horizontal="center" vertical="center" wrapText="1"/>
    </xf>
    <xf numFmtId="0" fontId="37" fillId="0" borderId="9" xfId="17" applyFont="1" applyFill="1" applyBorder="1" applyAlignment="1">
      <alignment horizontal="left" vertical="center" wrapText="1"/>
    </xf>
    <xf numFmtId="0" fontId="4" fillId="0" borderId="6" xfId="17" applyFont="1" applyFill="1" applyBorder="1" applyAlignment="1">
      <alignment horizontal="left" vertical="center" wrapText="1"/>
    </xf>
    <xf numFmtId="0" fontId="4" fillId="0" borderId="31" xfId="17" applyBorder="1"/>
    <xf numFmtId="0" fontId="4" fillId="0" borderId="1" xfId="17" applyBorder="1"/>
    <xf numFmtId="0" fontId="4" fillId="0" borderId="33" xfId="17" applyBorder="1"/>
    <xf numFmtId="0" fontId="4" fillId="0" borderId="2" xfId="17" applyBorder="1"/>
    <xf numFmtId="0" fontId="4" fillId="0" borderId="34" xfId="17" applyBorder="1"/>
    <xf numFmtId="0" fontId="4" fillId="0" borderId="12" xfId="17" applyBorder="1"/>
    <xf numFmtId="0" fontId="22" fillId="4" borderId="1"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32" xfId="0" applyFont="1" applyFill="1" applyBorder="1" applyAlignment="1">
      <alignment horizontal="center" vertical="center" wrapText="1"/>
    </xf>
    <xf numFmtId="10" fontId="4" fillId="3" borderId="8" xfId="0" applyNumberFormat="1" applyFont="1" applyFill="1" applyBorder="1" applyAlignment="1" applyProtection="1">
      <alignment horizontal="center" vertical="center" wrapText="1"/>
      <protection locked="0"/>
    </xf>
    <xf numFmtId="10" fontId="4" fillId="3" borderId="2" xfId="17" applyNumberFormat="1" applyFont="1" applyFill="1" applyBorder="1" applyAlignment="1">
      <alignment horizontal="center" vertical="center" wrapText="1"/>
    </xf>
    <xf numFmtId="0" fontId="49" fillId="0" borderId="29" xfId="20" applyFont="1" applyBorder="1" applyAlignment="1">
      <alignment horizontal="center" vertical="center"/>
    </xf>
    <xf numFmtId="0" fontId="49" fillId="0" borderId="0" xfId="20" applyFont="1" applyAlignment="1">
      <alignment horizontal="right"/>
    </xf>
    <xf numFmtId="3" fontId="13" fillId="9" borderId="2" xfId="20" applyNumberFormat="1" applyFont="1" applyFill="1" applyBorder="1" applyAlignment="1">
      <alignment horizontal="center" vertical="center" wrapText="1"/>
    </xf>
    <xf numFmtId="3" fontId="13" fillId="9" borderId="12" xfId="20" applyNumberFormat="1" applyFont="1" applyFill="1" applyBorder="1" applyAlignment="1">
      <alignment horizontal="center" vertical="center" wrapText="1"/>
    </xf>
    <xf numFmtId="176" fontId="13" fillId="0" borderId="2" xfId="4" applyNumberFormat="1" applyFont="1" applyFill="1" applyBorder="1" applyAlignment="1">
      <alignment horizontal="center" vertical="center" wrapText="1"/>
    </xf>
    <xf numFmtId="176" fontId="13" fillId="0" borderId="12" xfId="4" applyNumberFormat="1" applyFont="1" applyFill="1" applyBorder="1" applyAlignment="1">
      <alignment horizontal="center" vertical="center" wrapText="1"/>
    </xf>
    <xf numFmtId="0" fontId="54" fillId="0" borderId="2" xfId="20" applyFont="1" applyFill="1" applyBorder="1" applyAlignment="1">
      <alignment horizontal="center" vertical="center" wrapText="1"/>
    </xf>
    <xf numFmtId="0" fontId="54" fillId="0" borderId="12" xfId="20" applyFont="1" applyFill="1" applyBorder="1" applyAlignment="1">
      <alignment horizontal="center" vertical="center" wrapText="1"/>
    </xf>
    <xf numFmtId="3" fontId="53" fillId="0" borderId="7" xfId="20" applyNumberFormat="1" applyFont="1" applyFill="1" applyBorder="1" applyAlignment="1">
      <alignment horizontal="center" vertical="center" wrapText="1"/>
    </xf>
    <xf numFmtId="0" fontId="13" fillId="0" borderId="2" xfId="20" applyFont="1" applyFill="1" applyBorder="1" applyAlignment="1">
      <alignment horizontal="center" vertical="center" wrapText="1"/>
    </xf>
    <xf numFmtId="0" fontId="13" fillId="0" borderId="12" xfId="20" applyFont="1" applyFill="1" applyBorder="1" applyAlignment="1">
      <alignment horizontal="center" vertical="center" wrapText="1"/>
    </xf>
    <xf numFmtId="3" fontId="63" fillId="0" borderId="2" xfId="20" applyNumberFormat="1" applyFont="1" applyFill="1" applyBorder="1" applyAlignment="1">
      <alignment horizontal="center" vertical="center" wrapText="1"/>
    </xf>
    <xf numFmtId="3" fontId="63" fillId="0" borderId="12" xfId="20" applyNumberFormat="1" applyFont="1" applyFill="1" applyBorder="1" applyAlignment="1">
      <alignment horizontal="center" vertical="center" wrapText="1"/>
    </xf>
    <xf numFmtId="3" fontId="13" fillId="0" borderId="2" xfId="20" applyNumberFormat="1" applyFont="1" applyFill="1" applyBorder="1" applyAlignment="1">
      <alignment horizontal="center" vertical="center" wrapText="1"/>
    </xf>
    <xf numFmtId="3" fontId="13" fillId="0" borderId="12" xfId="20" applyNumberFormat="1" applyFont="1" applyFill="1" applyBorder="1" applyAlignment="1">
      <alignment horizontal="center" vertical="center" wrapText="1"/>
    </xf>
    <xf numFmtId="3" fontId="53" fillId="0" borderId="32" xfId="20" applyNumberFormat="1" applyFont="1" applyFill="1" applyBorder="1" applyAlignment="1">
      <alignment horizontal="center" vertical="center" wrapText="1"/>
    </xf>
    <xf numFmtId="0" fontId="49" fillId="6" borderId="10" xfId="20" applyFont="1" applyFill="1" applyBorder="1" applyAlignment="1">
      <alignment horizontal="center" vertical="center" wrapText="1"/>
    </xf>
    <xf numFmtId="0" fontId="49" fillId="6" borderId="0" xfId="20" applyFont="1" applyFill="1" applyBorder="1" applyAlignment="1">
      <alignment horizontal="center" vertical="center" wrapText="1"/>
    </xf>
    <xf numFmtId="0" fontId="49" fillId="6" borderId="19" xfId="20" applyFont="1" applyFill="1" applyBorder="1" applyAlignment="1">
      <alignment horizontal="center" vertical="center" wrapText="1"/>
    </xf>
    <xf numFmtId="0" fontId="49" fillId="6" borderId="3" xfId="20" applyFont="1" applyFill="1" applyBorder="1" applyAlignment="1">
      <alignment horizontal="center" vertical="center" wrapText="1"/>
    </xf>
    <xf numFmtId="0" fontId="49" fillId="6" borderId="4" xfId="20" applyFont="1" applyFill="1" applyBorder="1" applyAlignment="1">
      <alignment horizontal="center" vertical="center" wrapText="1"/>
    </xf>
    <xf numFmtId="0" fontId="49" fillId="6" borderId="43" xfId="20" applyFont="1" applyFill="1" applyBorder="1" applyAlignment="1">
      <alignment horizontal="center" vertical="center" wrapText="1"/>
    </xf>
    <xf numFmtId="0" fontId="49" fillId="6" borderId="22" xfId="20" applyFont="1" applyFill="1" applyBorder="1" applyAlignment="1">
      <alignment horizontal="right"/>
    </xf>
    <xf numFmtId="0" fontId="49" fillId="6" borderId="26" xfId="20" applyFont="1" applyFill="1" applyBorder="1" applyAlignment="1">
      <alignment horizontal="right"/>
    </xf>
    <xf numFmtId="0" fontId="49" fillId="6" borderId="27" xfId="20" applyFont="1" applyFill="1" applyBorder="1" applyAlignment="1">
      <alignment horizontal="right"/>
    </xf>
    <xf numFmtId="0" fontId="54" fillId="0" borderId="1" xfId="20" applyFont="1" applyFill="1" applyBorder="1" applyAlignment="1">
      <alignment horizontal="center" vertical="center" wrapText="1"/>
    </xf>
    <xf numFmtId="3" fontId="53" fillId="0" borderId="6" xfId="20" applyNumberFormat="1" applyFont="1" applyFill="1" applyBorder="1" applyAlignment="1">
      <alignment horizontal="center" vertical="center" wrapText="1"/>
    </xf>
    <xf numFmtId="3" fontId="13" fillId="0" borderId="1" xfId="20" applyNumberFormat="1" applyFont="1" applyFill="1" applyBorder="1" applyAlignment="1">
      <alignment horizontal="center" vertical="center" wrapText="1"/>
    </xf>
    <xf numFmtId="3" fontId="13" fillId="9" borderId="1" xfId="20" applyNumberFormat="1" applyFont="1" applyFill="1" applyBorder="1" applyAlignment="1">
      <alignment horizontal="center" vertical="center" wrapText="1"/>
    </xf>
    <xf numFmtId="176" fontId="13" fillId="0" borderId="1" xfId="4" applyNumberFormat="1" applyFont="1" applyFill="1" applyBorder="1" applyAlignment="1">
      <alignment horizontal="center" vertical="center" wrapText="1"/>
    </xf>
    <xf numFmtId="0" fontId="13" fillId="0" borderId="31" xfId="20" applyFont="1" applyFill="1" applyBorder="1" applyAlignment="1">
      <alignment horizontal="center" vertical="center" wrapText="1"/>
    </xf>
    <xf numFmtId="0" fontId="13" fillId="0" borderId="33" xfId="20" applyFont="1" applyFill="1" applyBorder="1" applyAlignment="1">
      <alignment horizontal="center" vertical="center" wrapText="1"/>
    </xf>
    <xf numFmtId="0" fontId="13" fillId="0" borderId="34" xfId="20" applyFont="1" applyFill="1" applyBorder="1" applyAlignment="1">
      <alignment horizontal="center" vertical="center" wrapText="1"/>
    </xf>
    <xf numFmtId="0" fontId="13" fillId="0" borderId="1" xfId="20" applyFont="1" applyFill="1" applyBorder="1" applyAlignment="1">
      <alignment horizontal="center" vertical="center" wrapText="1"/>
    </xf>
    <xf numFmtId="176" fontId="53" fillId="0" borderId="2" xfId="4" applyNumberFormat="1" applyFont="1" applyFill="1" applyBorder="1" applyAlignment="1">
      <alignment horizontal="center" vertical="center" wrapText="1"/>
    </xf>
    <xf numFmtId="0" fontId="54" fillId="0" borderId="5" xfId="20" applyFont="1" applyFill="1" applyBorder="1" applyAlignment="1">
      <alignment horizontal="center" vertical="center" wrapText="1"/>
    </xf>
    <xf numFmtId="3" fontId="53" fillId="0" borderId="23" xfId="20" applyNumberFormat="1" applyFont="1" applyFill="1" applyBorder="1" applyAlignment="1">
      <alignment horizontal="center" vertical="center" wrapText="1"/>
    </xf>
    <xf numFmtId="3" fontId="13" fillId="9" borderId="5" xfId="20" applyNumberFormat="1" applyFont="1" applyFill="1" applyBorder="1" applyAlignment="1">
      <alignment horizontal="center" vertical="center" wrapText="1"/>
    </xf>
    <xf numFmtId="176" fontId="55" fillId="0" borderId="5" xfId="4" applyNumberFormat="1" applyFont="1" applyFill="1" applyBorder="1" applyAlignment="1">
      <alignment horizontal="center" vertical="center" wrapText="1"/>
    </xf>
    <xf numFmtId="176" fontId="55" fillId="0" borderId="2" xfId="4" applyNumberFormat="1" applyFont="1" applyFill="1" applyBorder="1" applyAlignment="1">
      <alignment horizontal="center" vertical="center" wrapText="1"/>
    </xf>
    <xf numFmtId="0" fontId="13" fillId="0" borderId="59" xfId="20" applyFont="1" applyFill="1" applyBorder="1" applyAlignment="1">
      <alignment horizontal="center" vertical="center" wrapText="1"/>
    </xf>
    <xf numFmtId="0" fontId="13" fillId="0" borderId="35" xfId="20" applyFont="1" applyFill="1" applyBorder="1" applyAlignment="1">
      <alignment horizontal="center" vertical="center" wrapText="1"/>
    </xf>
    <xf numFmtId="0" fontId="13" fillId="0" borderId="5" xfId="20" applyFont="1" applyFill="1" applyBorder="1" applyAlignment="1">
      <alignment horizontal="center" vertical="center" wrapText="1"/>
    </xf>
    <xf numFmtId="0" fontId="13" fillId="0" borderId="8" xfId="20" applyFont="1" applyFill="1" applyBorder="1" applyAlignment="1">
      <alignment horizontal="center" vertical="center" wrapText="1"/>
    </xf>
    <xf numFmtId="3" fontId="13" fillId="0" borderId="5" xfId="20" applyNumberFormat="1" applyFont="1" applyFill="1" applyBorder="1" applyAlignment="1">
      <alignment horizontal="center" vertical="center" wrapText="1"/>
    </xf>
    <xf numFmtId="0" fontId="49" fillId="0" borderId="2" xfId="20" applyFont="1" applyFill="1" applyBorder="1" applyAlignment="1">
      <alignment horizontal="center" vertical="center" wrapText="1"/>
    </xf>
    <xf numFmtId="0" fontId="49" fillId="0" borderId="8" xfId="20" applyFont="1" applyFill="1" applyBorder="1" applyAlignment="1">
      <alignment horizontal="center" vertical="center" wrapText="1"/>
    </xf>
    <xf numFmtId="0" fontId="13" fillId="0" borderId="28" xfId="20" applyFont="1" applyBorder="1" applyAlignment="1">
      <alignment horizontal="center"/>
    </xf>
    <xf numFmtId="0" fontId="13" fillId="0" borderId="29" xfId="20" applyFont="1" applyBorder="1" applyAlignment="1">
      <alignment horizontal="center"/>
    </xf>
    <xf numFmtId="0" fontId="13" fillId="0" borderId="30" xfId="20" applyFont="1" applyBorder="1" applyAlignment="1">
      <alignment horizontal="center"/>
    </xf>
    <xf numFmtId="0" fontId="13" fillId="0" borderId="10" xfId="20" applyFont="1" applyBorder="1" applyAlignment="1">
      <alignment horizontal="center"/>
    </xf>
    <xf numFmtId="0" fontId="13" fillId="0" borderId="0" xfId="20" applyFont="1" applyBorder="1" applyAlignment="1">
      <alignment horizontal="center"/>
    </xf>
    <xf numFmtId="0" fontId="13" fillId="0" borderId="19" xfId="20" applyFont="1" applyBorder="1" applyAlignment="1">
      <alignment horizontal="center"/>
    </xf>
    <xf numFmtId="0" fontId="46" fillId="6" borderId="36" xfId="20" applyFont="1" applyFill="1" applyBorder="1" applyAlignment="1">
      <alignment horizontal="center" vertical="center" wrapText="1"/>
    </xf>
    <xf numFmtId="0" fontId="46" fillId="6" borderId="37" xfId="20" applyFont="1" applyFill="1" applyBorder="1" applyAlignment="1">
      <alignment horizontal="center" vertical="center" wrapText="1"/>
    </xf>
    <xf numFmtId="0" fontId="46" fillId="6" borderId="38" xfId="20" applyFont="1" applyFill="1" applyBorder="1" applyAlignment="1">
      <alignment horizontal="center" vertical="center" wrapText="1"/>
    </xf>
    <xf numFmtId="0" fontId="46" fillId="6" borderId="21" xfId="20" applyFont="1" applyFill="1" applyBorder="1" applyAlignment="1">
      <alignment horizontal="center" vertical="center" wrapText="1"/>
    </xf>
    <xf numFmtId="0" fontId="46" fillId="6" borderId="24" xfId="20" applyFont="1" applyFill="1" applyBorder="1" applyAlignment="1">
      <alignment horizontal="center" vertical="center" wrapText="1"/>
    </xf>
    <xf numFmtId="0" fontId="46" fillId="6" borderId="39" xfId="20" applyFont="1" applyFill="1" applyBorder="1" applyAlignment="1">
      <alignment horizontal="center" vertical="center" wrapText="1"/>
    </xf>
    <xf numFmtId="0" fontId="48" fillId="6" borderId="21" xfId="20" applyFont="1" applyFill="1" applyBorder="1" applyAlignment="1">
      <alignment horizontal="center" vertical="center" wrapText="1"/>
    </xf>
    <xf numFmtId="0" fontId="48" fillId="6" borderId="24" xfId="20" applyFont="1" applyFill="1" applyBorder="1" applyAlignment="1">
      <alignment horizontal="center" vertical="center" wrapText="1"/>
    </xf>
    <xf numFmtId="0" fontId="48" fillId="6" borderId="39" xfId="20" applyFont="1" applyFill="1" applyBorder="1" applyAlignment="1">
      <alignment horizontal="center" vertical="center" wrapText="1"/>
    </xf>
    <xf numFmtId="0" fontId="46" fillId="6" borderId="48" xfId="20" applyFont="1" applyFill="1" applyBorder="1" applyAlignment="1">
      <alignment horizontal="center" vertical="center" wrapText="1"/>
    </xf>
    <xf numFmtId="0" fontId="46" fillId="6" borderId="49" xfId="20" applyFont="1" applyFill="1" applyBorder="1" applyAlignment="1">
      <alignment horizontal="center" vertical="center" wrapText="1"/>
    </xf>
    <xf numFmtId="0" fontId="46" fillId="6" borderId="58" xfId="20" applyFont="1" applyFill="1" applyBorder="1" applyAlignment="1">
      <alignment horizontal="center" vertical="center" wrapText="1"/>
    </xf>
    <xf numFmtId="0" fontId="49" fillId="6" borderId="31" xfId="20" applyFont="1" applyFill="1" applyBorder="1" applyAlignment="1">
      <alignment horizontal="center" vertical="center" wrapText="1"/>
    </xf>
    <xf numFmtId="0" fontId="49" fillId="6" borderId="34" xfId="20" applyFont="1" applyFill="1" applyBorder="1" applyAlignment="1">
      <alignment horizontal="center" vertical="center" wrapText="1"/>
    </xf>
    <xf numFmtId="0" fontId="49" fillId="6" borderId="1" xfId="20" applyFont="1" applyFill="1" applyBorder="1" applyAlignment="1">
      <alignment horizontal="center" vertical="center" wrapText="1"/>
    </xf>
    <xf numFmtId="0" fontId="49" fillId="6" borderId="12" xfId="20" applyFont="1" applyFill="1" applyBorder="1" applyAlignment="1">
      <alignment horizontal="center" vertical="center" wrapText="1"/>
    </xf>
    <xf numFmtId="0" fontId="50" fillId="6" borderId="45" xfId="20" applyFont="1" applyFill="1" applyBorder="1" applyAlignment="1">
      <alignment horizontal="center" vertical="center" wrapText="1"/>
    </xf>
    <xf numFmtId="0" fontId="50" fillId="6" borderId="14" xfId="20" applyFont="1" applyFill="1" applyBorder="1" applyAlignment="1">
      <alignment horizontal="center" vertical="center" wrapText="1"/>
    </xf>
    <xf numFmtId="0" fontId="49" fillId="6" borderId="6" xfId="20" applyFont="1" applyFill="1" applyBorder="1" applyAlignment="1">
      <alignment horizontal="center" vertical="center" wrapText="1"/>
    </xf>
    <xf numFmtId="0" fontId="65" fillId="0" borderId="0" xfId="20" applyFont="1"/>
    <xf numFmtId="0" fontId="66" fillId="0" borderId="0" xfId="20" applyFont="1"/>
    <xf numFmtId="0" fontId="66" fillId="0" borderId="0" xfId="20" applyFont="1" applyAlignment="1">
      <alignment horizontal="center"/>
    </xf>
    <xf numFmtId="3" fontId="66" fillId="0" borderId="0" xfId="20" applyNumberFormat="1" applyFont="1"/>
    <xf numFmtId="179" fontId="65" fillId="0" borderId="0" xfId="20" applyNumberFormat="1" applyFont="1"/>
    <xf numFmtId="179" fontId="66" fillId="0" borderId="0" xfId="20" applyNumberFormat="1" applyFont="1"/>
    <xf numFmtId="179" fontId="66" fillId="0" borderId="0" xfId="20" applyNumberFormat="1" applyFont="1" applyAlignment="1">
      <alignment horizontal="center"/>
    </xf>
    <xf numFmtId="0" fontId="13" fillId="6" borderId="22" xfId="20" applyFont="1" applyFill="1" applyBorder="1" applyAlignment="1">
      <alignment horizontal="center"/>
    </xf>
    <xf numFmtId="169" fontId="49" fillId="6" borderId="5" xfId="20" applyNumberFormat="1" applyFont="1" applyFill="1" applyBorder="1" applyAlignment="1">
      <alignment horizontal="center" vertical="center"/>
    </xf>
    <xf numFmtId="169" fontId="47" fillId="7" borderId="12" xfId="9" applyNumberFormat="1" applyFont="1" applyFill="1" applyBorder="1" applyAlignment="1">
      <alignment horizontal="center" vertical="center" wrapText="1"/>
    </xf>
    <xf numFmtId="169" fontId="47" fillId="10" borderId="56" xfId="9" applyNumberFormat="1" applyFont="1" applyFill="1" applyBorder="1" applyAlignment="1">
      <alignment vertical="center" wrapText="1"/>
    </xf>
    <xf numFmtId="3" fontId="13" fillId="0" borderId="32" xfId="20" applyNumberFormat="1" applyFont="1" applyFill="1" applyBorder="1" applyAlignment="1">
      <alignment horizontal="center" vertical="center" wrapText="1"/>
    </xf>
    <xf numFmtId="176" fontId="13" fillId="3" borderId="14" xfId="4" applyNumberFormat="1" applyFont="1" applyFill="1" applyBorder="1" applyAlignment="1">
      <alignment horizontal="center" vertical="center" wrapText="1"/>
    </xf>
    <xf numFmtId="176" fontId="13" fillId="3" borderId="12" xfId="4" applyNumberFormat="1" applyFont="1" applyFill="1" applyBorder="1" applyAlignment="1">
      <alignment horizontal="center" vertical="center" wrapText="1"/>
    </xf>
    <xf numFmtId="3" fontId="59" fillId="12" borderId="12" xfId="17" applyNumberFormat="1" applyFont="1" applyFill="1" applyBorder="1" applyAlignment="1">
      <alignment horizontal="center" vertical="center" wrapText="1"/>
    </xf>
    <xf numFmtId="0" fontId="13" fillId="13" borderId="12" xfId="20" applyFont="1" applyFill="1" applyBorder="1" applyAlignment="1">
      <alignment horizontal="center" vertical="center" wrapText="1"/>
    </xf>
    <xf numFmtId="0" fontId="13" fillId="13" borderId="34" xfId="20" applyFont="1" applyFill="1" applyBorder="1" applyAlignment="1">
      <alignment horizontal="center" vertical="center" wrapText="1"/>
    </xf>
    <xf numFmtId="3" fontId="13" fillId="0" borderId="7" xfId="20" applyNumberFormat="1" applyFont="1" applyFill="1" applyBorder="1" applyAlignment="1">
      <alignment horizontal="center" vertical="center" wrapText="1"/>
    </xf>
    <xf numFmtId="176" fontId="13" fillId="3" borderId="18" xfId="4" applyNumberFormat="1" applyFont="1" applyFill="1" applyBorder="1" applyAlignment="1">
      <alignment horizontal="center" vertical="center" wrapText="1"/>
    </xf>
    <xf numFmtId="176" fontId="13" fillId="3" borderId="2" xfId="4" applyNumberFormat="1" applyFont="1" applyFill="1" applyBorder="1" applyAlignment="1">
      <alignment horizontal="center" vertical="center" wrapText="1"/>
    </xf>
    <xf numFmtId="0" fontId="13" fillId="13" borderId="2" xfId="20" applyFont="1" applyFill="1" applyBorder="1" applyAlignment="1">
      <alignment horizontal="center" vertical="center" wrapText="1"/>
    </xf>
    <xf numFmtId="0" fontId="13" fillId="13" borderId="33" xfId="20" applyFont="1" applyFill="1" applyBorder="1" applyAlignment="1">
      <alignment horizontal="center" vertical="center" wrapText="1"/>
    </xf>
    <xf numFmtId="169" fontId="67" fillId="0" borderId="2" xfId="9" applyNumberFormat="1" applyFont="1" applyFill="1" applyBorder="1" applyAlignment="1">
      <alignment horizontal="center" vertical="center" wrapText="1"/>
    </xf>
    <xf numFmtId="169" fontId="67" fillId="10" borderId="2" xfId="9" applyNumberFormat="1" applyFont="1" applyFill="1" applyBorder="1" applyAlignment="1">
      <alignment horizontal="center" vertical="center" wrapText="1"/>
    </xf>
    <xf numFmtId="178" fontId="52" fillId="10" borderId="2" xfId="0" applyNumberFormat="1" applyFont="1" applyFill="1" applyBorder="1" applyAlignment="1">
      <alignment horizontal="center" vertical="center"/>
    </xf>
    <xf numFmtId="176" fontId="13" fillId="3" borderId="8" xfId="4" applyNumberFormat="1" applyFont="1" applyFill="1" applyBorder="1" applyAlignment="1">
      <alignment horizontal="center" vertical="center" wrapText="1"/>
    </xf>
    <xf numFmtId="3" fontId="50" fillId="0" borderId="2" xfId="20" applyNumberFormat="1" applyFont="1" applyFill="1" applyBorder="1" applyAlignment="1">
      <alignment horizontal="center" vertical="center" wrapText="1"/>
    </xf>
    <xf numFmtId="3" fontId="13" fillId="7" borderId="2" xfId="20" applyNumberFormat="1" applyFont="1" applyFill="1" applyBorder="1" applyAlignment="1">
      <alignment horizontal="center" vertical="center" wrapText="1"/>
    </xf>
    <xf numFmtId="3" fontId="50" fillId="3" borderId="2" xfId="20" applyNumberFormat="1" applyFont="1" applyFill="1" applyBorder="1" applyAlignment="1">
      <alignment horizontal="center" vertical="center" wrapText="1"/>
    </xf>
    <xf numFmtId="176" fontId="13" fillId="3" borderId="5" xfId="4" applyNumberFormat="1" applyFont="1" applyFill="1" applyBorder="1" applyAlignment="1">
      <alignment horizontal="center" vertical="center" wrapText="1"/>
    </xf>
    <xf numFmtId="169" fontId="13" fillId="10" borderId="2" xfId="9" applyNumberFormat="1" applyFont="1" applyFill="1" applyBorder="1" applyAlignment="1">
      <alignment horizontal="center" vertical="center" wrapText="1"/>
    </xf>
    <xf numFmtId="169" fontId="54" fillId="10" borderId="2" xfId="9" applyNumberFormat="1" applyFont="1" applyFill="1" applyBorder="1" applyAlignment="1">
      <alignment horizontal="center" vertical="center" wrapText="1"/>
    </xf>
    <xf numFmtId="3" fontId="13" fillId="0" borderId="6" xfId="20" applyNumberFormat="1" applyFont="1" applyFill="1" applyBorder="1" applyAlignment="1">
      <alignment horizontal="center" vertical="center" wrapText="1"/>
    </xf>
    <xf numFmtId="176" fontId="13" fillId="3" borderId="45" xfId="4" applyNumberFormat="1" applyFont="1" applyFill="1" applyBorder="1" applyAlignment="1">
      <alignment horizontal="center" vertical="center" wrapText="1"/>
    </xf>
    <xf numFmtId="176" fontId="13" fillId="3" borderId="1" xfId="4" applyNumberFormat="1" applyFont="1" applyFill="1" applyBorder="1" applyAlignment="1">
      <alignment horizontal="center" vertical="center" wrapText="1"/>
    </xf>
    <xf numFmtId="3" fontId="50" fillId="0" borderId="1" xfId="20" applyNumberFormat="1" applyFont="1" applyFill="1" applyBorder="1" applyAlignment="1">
      <alignment horizontal="center" vertical="center" wrapText="1"/>
    </xf>
    <xf numFmtId="3" fontId="13" fillId="7" borderId="1" xfId="20" applyNumberFormat="1" applyFont="1" applyFill="1" applyBorder="1" applyAlignment="1">
      <alignment horizontal="center" vertical="center" wrapText="1"/>
    </xf>
    <xf numFmtId="3" fontId="50" fillId="3" borderId="1" xfId="20" applyNumberFormat="1" applyFont="1" applyFill="1" applyBorder="1" applyAlignment="1">
      <alignment horizontal="center" vertical="center" wrapText="1"/>
    </xf>
    <xf numFmtId="0" fontId="13" fillId="13" borderId="1" xfId="20" applyFont="1" applyFill="1" applyBorder="1" applyAlignment="1">
      <alignment horizontal="center" vertical="center" wrapText="1"/>
    </xf>
    <xf numFmtId="0" fontId="13" fillId="13" borderId="31" xfId="20" applyFont="1" applyFill="1" applyBorder="1" applyAlignment="1">
      <alignment horizontal="center" vertical="center" wrapText="1"/>
    </xf>
    <xf numFmtId="3" fontId="13" fillId="0" borderId="32" xfId="20" applyNumberFormat="1" applyFont="1" applyFill="1" applyBorder="1" applyAlignment="1">
      <alignment horizontal="center" vertical="center" wrapText="1"/>
    </xf>
    <xf numFmtId="176" fontId="13" fillId="3" borderId="12" xfId="4" applyNumberFormat="1" applyFont="1" applyFill="1" applyBorder="1" applyAlignment="1">
      <alignment horizontal="center" vertical="center" wrapText="1"/>
    </xf>
    <xf numFmtId="176" fontId="49" fillId="3" borderId="12" xfId="4" applyNumberFormat="1" applyFont="1" applyFill="1" applyBorder="1" applyAlignment="1">
      <alignment horizontal="center" vertical="center" wrapText="1"/>
    </xf>
    <xf numFmtId="3" fontId="59" fillId="3" borderId="34" xfId="17" applyNumberFormat="1" applyFont="1" applyFill="1" applyBorder="1" applyAlignment="1">
      <alignment horizontal="center" vertical="center" wrapText="1"/>
    </xf>
    <xf numFmtId="177" fontId="13" fillId="6" borderId="48" xfId="20" applyNumberFormat="1" applyFont="1" applyFill="1" applyBorder="1" applyAlignment="1">
      <alignment vertical="center" wrapText="1"/>
    </xf>
    <xf numFmtId="3" fontId="13" fillId="0" borderId="7" xfId="20" applyNumberFormat="1" applyFont="1" applyFill="1" applyBorder="1" applyAlignment="1">
      <alignment horizontal="center" vertical="center" wrapText="1"/>
    </xf>
    <xf numFmtId="176" fontId="13" fillId="3" borderId="2" xfId="4" applyNumberFormat="1" applyFont="1" applyFill="1" applyBorder="1" applyAlignment="1">
      <alignment horizontal="center" vertical="center" wrapText="1"/>
    </xf>
    <xf numFmtId="176" fontId="49" fillId="3" borderId="2" xfId="4" applyNumberFormat="1" applyFont="1" applyFill="1" applyBorder="1" applyAlignment="1">
      <alignment horizontal="center" vertical="center" wrapText="1"/>
    </xf>
    <xf numFmtId="0" fontId="58" fillId="0" borderId="33" xfId="0" applyFont="1" applyFill="1" applyBorder="1" applyAlignment="1">
      <alignment horizontal="right" vertical="center"/>
    </xf>
    <xf numFmtId="177" fontId="13" fillId="6" borderId="21" xfId="20" applyNumberFormat="1" applyFont="1" applyFill="1" applyBorder="1" applyAlignment="1">
      <alignment horizontal="left" vertical="center" wrapText="1"/>
    </xf>
    <xf numFmtId="177" fontId="17" fillId="0" borderId="2" xfId="20" applyNumberFormat="1" applyFont="1" applyFill="1" applyBorder="1" applyAlignment="1">
      <alignment vertical="center" wrapText="1"/>
    </xf>
    <xf numFmtId="164" fontId="68" fillId="0" borderId="2" xfId="41" applyNumberFormat="1" applyFont="1" applyFill="1" applyBorder="1" applyAlignment="1">
      <alignment vertical="center"/>
    </xf>
    <xf numFmtId="169" fontId="68" fillId="0" borderId="2" xfId="41" applyNumberFormat="1" applyFont="1" applyFill="1" applyBorder="1" applyAlignment="1">
      <alignment vertical="center"/>
    </xf>
    <xf numFmtId="164" fontId="68" fillId="10" borderId="33" xfId="41" applyNumberFormat="1" applyFont="1" applyFill="1" applyBorder="1" applyAlignment="1">
      <alignment vertical="center"/>
    </xf>
    <xf numFmtId="4" fontId="49" fillId="0" borderId="2" xfId="20" applyNumberFormat="1" applyFont="1" applyFill="1" applyBorder="1" applyAlignment="1">
      <alignment horizontal="center" vertical="center" wrapText="1"/>
    </xf>
    <xf numFmtId="4" fontId="49" fillId="0" borderId="33" xfId="20" applyNumberFormat="1" applyFont="1" applyFill="1" applyBorder="1" applyAlignment="1">
      <alignment horizontal="center" vertical="center" wrapText="1"/>
    </xf>
    <xf numFmtId="0" fontId="13" fillId="6" borderId="21" xfId="20" applyFont="1" applyFill="1" applyBorder="1" applyAlignment="1">
      <alignment horizontal="left" vertical="center" wrapText="1"/>
    </xf>
    <xf numFmtId="176" fontId="49" fillId="3" borderId="2" xfId="4" applyNumberFormat="1" applyFont="1" applyFill="1" applyBorder="1" applyAlignment="1">
      <alignment horizontal="center" vertical="center" wrapText="1"/>
    </xf>
    <xf numFmtId="3" fontId="59" fillId="3" borderId="33" xfId="17" applyNumberFormat="1" applyFont="1" applyFill="1" applyBorder="1" applyAlignment="1">
      <alignment horizontal="center" vertical="center" wrapText="1"/>
    </xf>
    <xf numFmtId="177" fontId="13" fillId="6" borderId="21" xfId="20" applyNumberFormat="1" applyFont="1" applyFill="1" applyBorder="1" applyAlignment="1">
      <alignment vertical="center" wrapText="1"/>
    </xf>
    <xf numFmtId="0" fontId="13" fillId="0" borderId="18" xfId="20" applyFont="1" applyFill="1" applyBorder="1" applyAlignment="1">
      <alignment horizontal="center" vertical="center" wrapText="1"/>
    </xf>
    <xf numFmtId="3" fontId="13" fillId="0" borderId="21" xfId="20" applyNumberFormat="1" applyFont="1" applyFill="1" applyBorder="1" applyAlignment="1">
      <alignment horizontal="center" vertical="center" wrapText="1"/>
    </xf>
    <xf numFmtId="0" fontId="58" fillId="3" borderId="33" xfId="0" applyFont="1" applyFill="1" applyBorder="1" applyAlignment="1">
      <alignment horizontal="right" vertical="center"/>
    </xf>
    <xf numFmtId="178" fontId="51" fillId="0" borderId="2" xfId="0" applyNumberFormat="1" applyFont="1" applyFill="1" applyBorder="1" applyAlignment="1">
      <alignment horizontal="center" vertical="center"/>
    </xf>
    <xf numFmtId="169" fontId="13" fillId="0" borderId="2" xfId="9" applyNumberFormat="1" applyFont="1" applyFill="1" applyBorder="1" applyAlignment="1">
      <alignment horizontal="center" vertical="center" wrapText="1"/>
    </xf>
    <xf numFmtId="169" fontId="54" fillId="0" borderId="2" xfId="9" applyNumberFormat="1" applyFont="1" applyFill="1" applyBorder="1" applyAlignment="1">
      <alignment horizontal="center" vertical="center" wrapText="1"/>
    </xf>
    <xf numFmtId="37" fontId="47" fillId="3" borderId="33" xfId="9" applyNumberFormat="1" applyFont="1" applyFill="1" applyBorder="1" applyAlignment="1">
      <alignment horizontal="center" vertical="center"/>
    </xf>
    <xf numFmtId="4" fontId="60" fillId="0" borderId="2" xfId="17" applyNumberFormat="1" applyFont="1" applyFill="1" applyBorder="1" applyAlignment="1">
      <alignment horizontal="center" vertical="center" wrapText="1"/>
    </xf>
    <xf numFmtId="4" fontId="60" fillId="0" borderId="21" xfId="17" applyNumberFormat="1" applyFont="1" applyFill="1" applyBorder="1" applyAlignment="1">
      <alignment horizontal="center" vertical="center" wrapText="1"/>
    </xf>
    <xf numFmtId="4" fontId="59" fillId="0" borderId="2" xfId="17" applyNumberFormat="1" applyFont="1" applyFill="1" applyBorder="1" applyAlignment="1">
      <alignment horizontal="center" vertical="center" wrapText="1"/>
    </xf>
    <xf numFmtId="4" fontId="60" fillId="3" borderId="33" xfId="0" applyNumberFormat="1" applyFont="1" applyFill="1" applyBorder="1" applyAlignment="1">
      <alignment horizontal="center" vertical="center" wrapText="1"/>
    </xf>
    <xf numFmtId="3" fontId="13" fillId="0" borderId="23" xfId="20" applyNumberFormat="1" applyFont="1" applyFill="1" applyBorder="1" applyAlignment="1">
      <alignment horizontal="center" vertical="center" wrapText="1"/>
    </xf>
    <xf numFmtId="176" fontId="13" fillId="0" borderId="5" xfId="4" applyNumberFormat="1" applyFont="1" applyFill="1" applyBorder="1" applyAlignment="1">
      <alignment horizontal="center" vertical="center" wrapText="1"/>
    </xf>
    <xf numFmtId="3" fontId="13" fillId="0" borderId="20" xfId="20" applyNumberFormat="1" applyFont="1" applyFill="1" applyBorder="1" applyAlignment="1">
      <alignment horizontal="center" vertical="center" wrapText="1"/>
    </xf>
    <xf numFmtId="0" fontId="54" fillId="0" borderId="18" xfId="20" applyFont="1" applyFill="1" applyBorder="1" applyAlignment="1">
      <alignment horizontal="center" vertical="center" wrapText="1"/>
    </xf>
    <xf numFmtId="176" fontId="13" fillId="0" borderId="18" xfId="4" applyNumberFormat="1" applyFont="1" applyFill="1" applyBorder="1" applyAlignment="1">
      <alignment horizontal="center" vertical="center" wrapText="1"/>
    </xf>
    <xf numFmtId="3" fontId="13" fillId="0" borderId="18" xfId="20" applyNumberFormat="1" applyFont="1" applyFill="1" applyBorder="1" applyAlignment="1">
      <alignment horizontal="center" vertical="center" wrapText="1"/>
    </xf>
    <xf numFmtId="3" fontId="13" fillId="0" borderId="9" xfId="20" applyNumberFormat="1" applyFont="1" applyFill="1" applyBorder="1" applyAlignment="1">
      <alignment horizontal="center" vertical="center" wrapText="1"/>
    </xf>
    <xf numFmtId="0" fontId="54" fillId="0" borderId="8" xfId="20" applyFont="1" applyFill="1" applyBorder="1" applyAlignment="1">
      <alignment horizontal="center" vertical="center" wrapText="1"/>
    </xf>
    <xf numFmtId="176" fontId="13" fillId="0" borderId="8" xfId="4" applyNumberFormat="1" applyFont="1" applyFill="1" applyBorder="1" applyAlignment="1">
      <alignment horizontal="center" vertical="center" wrapText="1"/>
    </xf>
    <xf numFmtId="3" fontId="13" fillId="0" borderId="8" xfId="20" applyNumberFormat="1" applyFont="1" applyFill="1" applyBorder="1" applyAlignment="1">
      <alignment horizontal="center" vertical="center" wrapText="1"/>
    </xf>
    <xf numFmtId="178" fontId="51" fillId="0" borderId="0" xfId="0" applyNumberFormat="1" applyFont="1" applyFill="1" applyBorder="1" applyAlignment="1">
      <alignment horizontal="center" vertical="center"/>
    </xf>
    <xf numFmtId="176" fontId="13" fillId="0" borderId="45" xfId="4" applyNumberFormat="1" applyFont="1" applyFill="1" applyBorder="1" applyAlignment="1">
      <alignment horizontal="center" vertical="center" wrapText="1"/>
    </xf>
    <xf numFmtId="4" fontId="60" fillId="0" borderId="1" xfId="17" applyNumberFormat="1" applyFont="1" applyFill="1" applyBorder="1" applyAlignment="1">
      <alignment horizontal="center" vertical="center" wrapText="1"/>
    </xf>
    <xf numFmtId="4" fontId="59" fillId="0" borderId="1" xfId="17" applyNumberFormat="1" applyFont="1" applyFill="1" applyBorder="1" applyAlignment="1">
      <alignment horizontal="center" vertical="center" wrapText="1"/>
    </xf>
    <xf numFmtId="4" fontId="60" fillId="3" borderId="31" xfId="0" applyNumberFormat="1" applyFont="1" applyFill="1" applyBorder="1" applyAlignment="1">
      <alignment horizontal="center" vertical="center" wrapText="1"/>
    </xf>
    <xf numFmtId="0" fontId="13" fillId="6" borderId="62" xfId="20" applyFont="1" applyFill="1" applyBorder="1" applyAlignment="1">
      <alignment horizontal="left" vertical="center" wrapText="1"/>
    </xf>
    <xf numFmtId="0" fontId="49" fillId="6" borderId="8" xfId="20" applyFont="1" applyFill="1" applyBorder="1" applyAlignment="1">
      <alignment horizontal="center" vertical="center" wrapText="1"/>
    </xf>
    <xf numFmtId="0" fontId="50" fillId="6" borderId="12" xfId="20" applyFont="1" applyFill="1" applyBorder="1" applyAlignment="1">
      <alignment horizontal="center" vertical="center" wrapText="1"/>
    </xf>
    <xf numFmtId="0" fontId="50" fillId="6" borderId="1" xfId="20" applyFont="1" applyFill="1" applyBorder="1" applyAlignment="1">
      <alignment horizontal="center" vertical="center" wrapText="1"/>
    </xf>
  </cellXfs>
  <cellStyles count="43">
    <cellStyle name="Coma 2" xfId="1"/>
    <cellStyle name="Coma 2 2" xfId="2"/>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Millares" xfId="3" builtinId="3"/>
    <cellStyle name="Millares 2" xfId="4"/>
    <cellStyle name="Millares 2 2" xfId="5"/>
    <cellStyle name="Millares 3" xfId="6"/>
    <cellStyle name="Millares 3 2" xfId="7"/>
    <cellStyle name="Millares 4" xfId="8"/>
    <cellStyle name="Moneda" xfId="41" builtinId="4"/>
    <cellStyle name="Moneda 2" xfId="9"/>
    <cellStyle name="Moneda 2 2" xfId="10"/>
    <cellStyle name="Moneda 2 2 2" xfId="11"/>
    <cellStyle name="Moneda 2 3" xfId="12"/>
    <cellStyle name="Moneda 2 3 2" xfId="13"/>
    <cellStyle name="Moneda 3" xfId="14"/>
    <cellStyle name="Moneda 3 2" xfId="15"/>
    <cellStyle name="Moneda 4" xfId="16"/>
    <cellStyle name="Normal" xfId="0" builtinId="0"/>
    <cellStyle name="Normal 2" xfId="17"/>
    <cellStyle name="Normal 2 10" xfId="18"/>
    <cellStyle name="Normal 3" xfId="19"/>
    <cellStyle name="Normal 3 2" xfId="20"/>
    <cellStyle name="Normal 4" xfId="21"/>
    <cellStyle name="Normal 4 2" xfId="22"/>
    <cellStyle name="Normal_573_2009_ Actualizado 22_12_2009" xfId="42"/>
    <cellStyle name="Porcentaje" xfId="23" builtinId="5"/>
    <cellStyle name="Porcentaje 2" xfId="24"/>
    <cellStyle name="Porcentaje 2 2" xfId="25"/>
    <cellStyle name="Porcentaje 3" xfId="26"/>
    <cellStyle name="Porcentual 2" xfId="27"/>
    <cellStyle name="Porcentual 2 2"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152400</xdr:colOff>
      <xdr:row>1</xdr:row>
      <xdr:rowOff>333375</xdr:rowOff>
    </xdr:from>
    <xdr:to>
      <xdr:col>4</xdr:col>
      <xdr:colOff>2000250</xdr:colOff>
      <xdr:row>4</xdr:row>
      <xdr:rowOff>304800</xdr:rowOff>
    </xdr:to>
    <xdr:pic>
      <xdr:nvPicPr>
        <xdr:cNvPr id="1125" name="Picture 1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575" y="600075"/>
          <a:ext cx="1847850" cy="1504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71438</xdr:colOff>
      <xdr:row>0</xdr:row>
      <xdr:rowOff>76200</xdr:rowOff>
    </xdr:from>
    <xdr:to>
      <xdr:col>2</xdr:col>
      <xdr:colOff>881063</xdr:colOff>
      <xdr:row>3</xdr:row>
      <xdr:rowOff>85725</xdr:rowOff>
    </xdr:to>
    <xdr:pic>
      <xdr:nvPicPr>
        <xdr:cNvPr id="213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0219" y="76200"/>
          <a:ext cx="809625" cy="68818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228600</xdr:rowOff>
    </xdr:from>
    <xdr:to>
      <xdr:col>1</xdr:col>
      <xdr:colOff>952500</xdr:colOff>
      <xdr:row>3</xdr:row>
      <xdr:rowOff>276225</xdr:rowOff>
    </xdr:to>
    <xdr:pic>
      <xdr:nvPicPr>
        <xdr:cNvPr id="107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228600</xdr:rowOff>
    </xdr:from>
    <xdr:to>
      <xdr:col>1</xdr:col>
      <xdr:colOff>952500</xdr:colOff>
      <xdr:row>3</xdr:row>
      <xdr:rowOff>276225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708778</xdr:colOff>
      <xdr:row>1</xdr:row>
      <xdr:rowOff>33618</xdr:rowOff>
    </xdr:from>
    <xdr:to>
      <xdr:col>2</xdr:col>
      <xdr:colOff>221883</xdr:colOff>
      <xdr:row>2</xdr:row>
      <xdr:rowOff>110939</xdr:rowOff>
    </xdr:to>
    <xdr:pic>
      <xdr:nvPicPr>
        <xdr:cNvPr id="2" name="1 Imagen" descr="http://190.27.245.106/IsolucionSDA/GrafVinetas/logo%202016-20.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484" y="257736"/>
          <a:ext cx="925046" cy="368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0</xdr:row>
      <xdr:rowOff>0</xdr:rowOff>
    </xdr:from>
    <xdr:to>
      <xdr:col>2</xdr:col>
      <xdr:colOff>1104900</xdr:colOff>
      <xdr:row>3</xdr:row>
      <xdr:rowOff>123825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0"/>
          <a:ext cx="1028700" cy="581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wnloads/7517-Segpl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ncardenas/Downloads/7517_Carg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ON"/>
      <sheetName val="ACTIVIDADES"/>
      <sheetName val="TERRITORIALIZACION"/>
    </sheetNames>
    <sheetDataSet>
      <sheetData sheetId="0"/>
      <sheetData sheetId="1">
        <row r="9">
          <cell r="AE9">
            <v>0</v>
          </cell>
        </row>
        <row r="10">
          <cell r="AE10">
            <v>0</v>
          </cell>
        </row>
        <row r="14">
          <cell r="AE14">
            <v>0</v>
          </cell>
        </row>
        <row r="18">
          <cell r="AE18">
            <v>0</v>
          </cell>
        </row>
        <row r="21">
          <cell r="AE21">
            <v>0</v>
          </cell>
        </row>
        <row r="22">
          <cell r="AE22">
            <v>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ON"/>
      <sheetName val="ACTIVIDADES"/>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1"/>
  <sheetViews>
    <sheetView tabSelected="1" view="pageBreakPreview" zoomScale="71" zoomScaleNormal="60" zoomScaleSheetLayoutView="71" zoomScalePageLayoutView="60" workbookViewId="0">
      <selection activeCell="AU14" sqref="AU14"/>
    </sheetView>
  </sheetViews>
  <sheetFormatPr baseColWidth="10" defaultColWidth="10.85546875" defaultRowHeight="15"/>
  <cols>
    <col min="1" max="2" width="8.7109375" style="1" customWidth="1"/>
    <col min="3" max="3" width="20.7109375" style="1" customWidth="1"/>
    <col min="4" max="4" width="12.42578125" style="1" customWidth="1"/>
    <col min="5" max="5" width="44.42578125" style="1" customWidth="1"/>
    <col min="6" max="6" width="7.42578125" style="1" hidden="1" customWidth="1"/>
    <col min="7" max="7" width="31.85546875" style="1" hidden="1" customWidth="1"/>
    <col min="8" max="8" width="12.7109375" style="1" hidden="1" customWidth="1"/>
    <col min="9" max="9" width="16.140625" style="1" customWidth="1"/>
    <col min="10" max="10" width="13.42578125" style="22" customWidth="1"/>
    <col min="11" max="11" width="10.7109375" style="30" customWidth="1"/>
    <col min="12" max="12" width="10.7109375" style="22" customWidth="1"/>
    <col min="13" max="15" width="10.7109375" style="30" customWidth="1"/>
    <col min="16" max="16" width="12.7109375" style="29" customWidth="1"/>
    <col min="17" max="18" width="9.42578125" style="29" customWidth="1"/>
    <col min="19" max="19" width="9.7109375" style="29" customWidth="1"/>
    <col min="20" max="21" width="13" style="30" customWidth="1"/>
    <col min="22" max="22" width="14.28515625" style="29" customWidth="1"/>
    <col min="23" max="25" width="13.7109375" style="29" customWidth="1"/>
    <col min="26" max="27" width="13.7109375" style="30" customWidth="1"/>
    <col min="28" max="29" width="13.7109375" style="29" customWidth="1"/>
    <col min="30" max="30" width="11.42578125" style="29" customWidth="1"/>
    <col min="31" max="31" width="9.42578125" style="29" customWidth="1"/>
    <col min="32" max="33" width="12.42578125" style="30" customWidth="1"/>
    <col min="34" max="35" width="10.42578125" style="30" customWidth="1"/>
    <col min="36" max="36" width="11.140625" style="30" customWidth="1"/>
    <col min="37" max="37" width="11.42578125" style="30" customWidth="1"/>
    <col min="38" max="38" width="13.28515625" style="30" customWidth="1"/>
    <col min="39" max="39" width="14.85546875" style="1" customWidth="1"/>
    <col min="40" max="40" width="9.42578125" style="1" customWidth="1"/>
    <col min="41" max="41" width="11" style="1" customWidth="1"/>
    <col min="42" max="42" width="15.140625" style="1" customWidth="1"/>
    <col min="43" max="43" width="16.7109375" style="1" customWidth="1"/>
    <col min="44" max="44" width="16.42578125" style="1" customWidth="1"/>
    <col min="45" max="45" width="79.5703125" style="1" customWidth="1"/>
    <col min="46" max="46" width="18.42578125" style="1" customWidth="1"/>
    <col min="47" max="47" width="21.42578125" style="1" customWidth="1"/>
    <col min="48" max="48" width="44.42578125" style="1" customWidth="1"/>
    <col min="49" max="49" width="25.42578125" style="1" customWidth="1"/>
    <col min="50" max="50" width="11.42578125" style="1" customWidth="1"/>
    <col min="51" max="51" width="56.42578125" style="1" customWidth="1"/>
    <col min="52" max="16384" width="10.85546875" style="1"/>
  </cols>
  <sheetData>
    <row r="1" spans="1:49" ht="21" customHeight="1" thickBot="1">
      <c r="A1" s="4"/>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c r="A2" s="320"/>
      <c r="B2" s="321"/>
      <c r="C2" s="321"/>
      <c r="D2" s="321"/>
      <c r="E2" s="321"/>
      <c r="F2" s="321"/>
      <c r="G2" s="322"/>
      <c r="H2" s="328" t="s">
        <v>0</v>
      </c>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9"/>
    </row>
    <row r="3" spans="1:49" ht="40.35" customHeight="1">
      <c r="A3" s="323"/>
      <c r="B3" s="324"/>
      <c r="C3" s="324"/>
      <c r="D3" s="324"/>
      <c r="E3" s="324"/>
      <c r="F3" s="324"/>
      <c r="G3" s="325"/>
      <c r="H3" s="292" t="s">
        <v>69</v>
      </c>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8"/>
    </row>
    <row r="4" spans="1:49" ht="43.35" customHeight="1">
      <c r="A4" s="323"/>
      <c r="B4" s="324"/>
      <c r="C4" s="324"/>
      <c r="D4" s="324"/>
      <c r="E4" s="324"/>
      <c r="F4" s="324"/>
      <c r="G4" s="325"/>
      <c r="H4" s="292" t="s">
        <v>1</v>
      </c>
      <c r="I4" s="292"/>
      <c r="J4" s="292"/>
      <c r="K4" s="292"/>
      <c r="L4" s="292"/>
      <c r="M4" s="292"/>
      <c r="N4" s="292"/>
      <c r="O4" s="292"/>
      <c r="P4" s="292"/>
      <c r="Q4" s="292"/>
      <c r="R4" s="292"/>
      <c r="S4" s="292" t="s">
        <v>102</v>
      </c>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8"/>
    </row>
    <row r="5" spans="1:49" ht="37.35" customHeight="1">
      <c r="A5" s="323"/>
      <c r="B5" s="324"/>
      <c r="C5" s="324"/>
      <c r="D5" s="324"/>
      <c r="E5" s="324"/>
      <c r="F5" s="324"/>
      <c r="G5" s="325"/>
      <c r="H5" s="292" t="s">
        <v>101</v>
      </c>
      <c r="I5" s="292"/>
      <c r="J5" s="292"/>
      <c r="K5" s="292"/>
      <c r="L5" s="292"/>
      <c r="M5" s="292"/>
      <c r="N5" s="292"/>
      <c r="O5" s="292"/>
      <c r="P5" s="292"/>
      <c r="Q5" s="292"/>
      <c r="R5" s="292"/>
      <c r="S5" s="292" t="s">
        <v>99</v>
      </c>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8"/>
    </row>
    <row r="6" spans="1:49" ht="15.75">
      <c r="A6" s="44"/>
      <c r="B6" s="45"/>
      <c r="C6" s="45"/>
      <c r="D6" s="45"/>
      <c r="E6" s="45"/>
      <c r="F6" s="45"/>
      <c r="G6" s="45"/>
      <c r="H6" s="45"/>
      <c r="I6" s="45"/>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5"/>
      <c r="AN6" s="45"/>
      <c r="AO6" s="45"/>
      <c r="AP6" s="45"/>
      <c r="AQ6" s="45"/>
      <c r="AR6" s="45"/>
      <c r="AS6" s="45"/>
      <c r="AT6" s="45"/>
      <c r="AU6" s="45"/>
      <c r="AV6" s="45"/>
      <c r="AW6" s="47"/>
    </row>
    <row r="7" spans="1:49" ht="30" customHeight="1">
      <c r="A7" s="304" t="s">
        <v>4</v>
      </c>
      <c r="B7" s="305"/>
      <c r="C7" s="306"/>
      <c r="D7" s="306"/>
      <c r="E7" s="306"/>
      <c r="F7" s="306"/>
      <c r="G7" s="306"/>
      <c r="H7" s="306"/>
      <c r="I7" s="306"/>
      <c r="J7" s="306"/>
      <c r="K7" s="306"/>
      <c r="L7" s="306"/>
      <c r="M7" s="306"/>
      <c r="N7" s="306"/>
      <c r="O7" s="306"/>
      <c r="P7" s="306"/>
      <c r="Q7" s="306"/>
      <c r="R7" s="306"/>
      <c r="S7" s="292" t="s">
        <v>109</v>
      </c>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8"/>
    </row>
    <row r="8" spans="1:49" ht="30" customHeight="1" thickBot="1">
      <c r="A8" s="307" t="s">
        <v>2</v>
      </c>
      <c r="B8" s="308"/>
      <c r="C8" s="309"/>
      <c r="D8" s="309" t="s">
        <v>2</v>
      </c>
      <c r="E8" s="309"/>
      <c r="F8" s="309"/>
      <c r="G8" s="309"/>
      <c r="H8" s="309"/>
      <c r="I8" s="309"/>
      <c r="J8" s="309"/>
      <c r="K8" s="309"/>
      <c r="L8" s="309"/>
      <c r="M8" s="309"/>
      <c r="N8" s="309"/>
      <c r="O8" s="309"/>
      <c r="P8" s="309"/>
      <c r="Q8" s="309"/>
      <c r="R8" s="309"/>
      <c r="S8" s="292" t="s">
        <v>110</v>
      </c>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8"/>
    </row>
    <row r="9" spans="1:49" ht="36" customHeight="1" thickBot="1">
      <c r="A9" s="41"/>
      <c r="B9" s="42"/>
      <c r="C9" s="42"/>
      <c r="D9" s="42"/>
      <c r="E9" s="42"/>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5"/>
      <c r="AN9" s="45"/>
      <c r="AO9" s="45"/>
      <c r="AP9" s="45"/>
      <c r="AQ9" s="45"/>
      <c r="AR9" s="45"/>
      <c r="AS9" s="45"/>
      <c r="AT9" s="45"/>
      <c r="AU9" s="45"/>
      <c r="AV9" s="45"/>
      <c r="AW9" s="47"/>
    </row>
    <row r="10" spans="1:49" s="2" customFormat="1" ht="44.25" customHeight="1">
      <c r="A10" s="326" t="s">
        <v>200</v>
      </c>
      <c r="B10" s="326"/>
      <c r="C10" s="327"/>
      <c r="D10" s="293" t="s">
        <v>51</v>
      </c>
      <c r="E10" s="293"/>
      <c r="F10" s="293" t="s">
        <v>53</v>
      </c>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t="s">
        <v>60</v>
      </c>
      <c r="AR10" s="293" t="s">
        <v>61</v>
      </c>
      <c r="AS10" s="299" t="s">
        <v>62</v>
      </c>
      <c r="AT10" s="299" t="s">
        <v>63</v>
      </c>
      <c r="AU10" s="299" t="s">
        <v>64</v>
      </c>
      <c r="AV10" s="299" t="s">
        <v>65</v>
      </c>
      <c r="AW10" s="330" t="s">
        <v>66</v>
      </c>
    </row>
    <row r="11" spans="1:49" s="3" customFormat="1" ht="45.75" customHeight="1">
      <c r="A11" s="294" t="s">
        <v>201</v>
      </c>
      <c r="B11" s="294" t="s">
        <v>50</v>
      </c>
      <c r="C11" s="296" t="s">
        <v>202</v>
      </c>
      <c r="D11" s="296" t="s">
        <v>34</v>
      </c>
      <c r="E11" s="296" t="s">
        <v>52</v>
      </c>
      <c r="F11" s="296" t="s">
        <v>54</v>
      </c>
      <c r="G11" s="296" t="s">
        <v>55</v>
      </c>
      <c r="H11" s="296" t="s">
        <v>56</v>
      </c>
      <c r="I11" s="296" t="s">
        <v>57</v>
      </c>
      <c r="J11" s="296" t="s">
        <v>58</v>
      </c>
      <c r="K11" s="296" t="s">
        <v>87</v>
      </c>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0" t="s">
        <v>59</v>
      </c>
      <c r="AN11" s="311"/>
      <c r="AO11" s="311"/>
      <c r="AP11" s="312"/>
      <c r="AQ11" s="296"/>
      <c r="AR11" s="296"/>
      <c r="AS11" s="300"/>
      <c r="AT11" s="300"/>
      <c r="AU11" s="300"/>
      <c r="AV11" s="300"/>
      <c r="AW11" s="331"/>
    </row>
    <row r="12" spans="1:49" s="3" customFormat="1" ht="24" customHeight="1">
      <c r="A12" s="294"/>
      <c r="B12" s="294"/>
      <c r="C12" s="296"/>
      <c r="D12" s="296"/>
      <c r="E12" s="296"/>
      <c r="F12" s="296"/>
      <c r="G12" s="296"/>
      <c r="H12" s="296"/>
      <c r="I12" s="296"/>
      <c r="J12" s="296"/>
      <c r="K12" s="313">
        <v>2016</v>
      </c>
      <c r="L12" s="313"/>
      <c r="M12" s="313"/>
      <c r="N12" s="313">
        <v>2017</v>
      </c>
      <c r="O12" s="314">
        <v>2017</v>
      </c>
      <c r="P12" s="315"/>
      <c r="Q12" s="315"/>
      <c r="R12" s="315"/>
      <c r="S12" s="315"/>
      <c r="T12" s="316"/>
      <c r="U12" s="314">
        <v>2018</v>
      </c>
      <c r="V12" s="315"/>
      <c r="W12" s="315"/>
      <c r="X12" s="315"/>
      <c r="Y12" s="315"/>
      <c r="Z12" s="316"/>
      <c r="AA12" s="314">
        <v>2019</v>
      </c>
      <c r="AB12" s="315"/>
      <c r="AC12" s="315"/>
      <c r="AD12" s="315"/>
      <c r="AE12" s="315"/>
      <c r="AF12" s="316"/>
      <c r="AG12" s="314">
        <v>2020</v>
      </c>
      <c r="AH12" s="315"/>
      <c r="AI12" s="315"/>
      <c r="AJ12" s="315"/>
      <c r="AK12" s="315"/>
      <c r="AL12" s="316"/>
      <c r="AM12" s="296" t="s">
        <v>5</v>
      </c>
      <c r="AN12" s="296" t="s">
        <v>6</v>
      </c>
      <c r="AO12" s="296" t="s">
        <v>7</v>
      </c>
      <c r="AP12" s="296" t="s">
        <v>8</v>
      </c>
      <c r="AQ12" s="296"/>
      <c r="AR12" s="296"/>
      <c r="AS12" s="300"/>
      <c r="AT12" s="300"/>
      <c r="AU12" s="300"/>
      <c r="AV12" s="300"/>
      <c r="AW12" s="331"/>
    </row>
    <row r="13" spans="1:49" s="3" customFormat="1" ht="39.75" customHeight="1" thickBot="1">
      <c r="A13" s="295"/>
      <c r="B13" s="295"/>
      <c r="C13" s="297"/>
      <c r="D13" s="296"/>
      <c r="E13" s="296"/>
      <c r="F13" s="296"/>
      <c r="G13" s="296"/>
      <c r="H13" s="296"/>
      <c r="I13" s="296"/>
      <c r="J13" s="296"/>
      <c r="K13" s="277" t="s">
        <v>194</v>
      </c>
      <c r="L13" s="277" t="s">
        <v>195</v>
      </c>
      <c r="M13" s="277" t="s">
        <v>196</v>
      </c>
      <c r="N13" s="277" t="s">
        <v>22</v>
      </c>
      <c r="O13" s="277" t="s">
        <v>197</v>
      </c>
      <c r="P13" s="277" t="s">
        <v>198</v>
      </c>
      <c r="Q13" s="277" t="s">
        <v>199</v>
      </c>
      <c r="R13" s="277" t="s">
        <v>195</v>
      </c>
      <c r="S13" s="277" t="s">
        <v>196</v>
      </c>
      <c r="T13" s="277" t="s">
        <v>22</v>
      </c>
      <c r="U13" s="277" t="s">
        <v>197</v>
      </c>
      <c r="V13" s="277" t="s">
        <v>198</v>
      </c>
      <c r="W13" s="277" t="s">
        <v>199</v>
      </c>
      <c r="X13" s="277" t="s">
        <v>195</v>
      </c>
      <c r="Y13" s="277" t="s">
        <v>196</v>
      </c>
      <c r="Z13" s="277" t="s">
        <v>22</v>
      </c>
      <c r="AA13" s="277" t="s">
        <v>197</v>
      </c>
      <c r="AB13" s="277" t="s">
        <v>198</v>
      </c>
      <c r="AC13" s="277" t="s">
        <v>199</v>
      </c>
      <c r="AD13" s="277" t="s">
        <v>195</v>
      </c>
      <c r="AE13" s="277" t="s">
        <v>196</v>
      </c>
      <c r="AF13" s="277" t="s">
        <v>22</v>
      </c>
      <c r="AG13" s="277" t="s">
        <v>197</v>
      </c>
      <c r="AH13" s="277" t="s">
        <v>198</v>
      </c>
      <c r="AI13" s="277" t="s">
        <v>199</v>
      </c>
      <c r="AJ13" s="277" t="s">
        <v>195</v>
      </c>
      <c r="AK13" s="277" t="s">
        <v>196</v>
      </c>
      <c r="AL13" s="277" t="s">
        <v>22</v>
      </c>
      <c r="AM13" s="302"/>
      <c r="AN13" s="302"/>
      <c r="AO13" s="302"/>
      <c r="AP13" s="302"/>
      <c r="AQ13" s="302"/>
      <c r="AR13" s="302"/>
      <c r="AS13" s="301"/>
      <c r="AT13" s="303"/>
      <c r="AU13" s="303"/>
      <c r="AV13" s="303"/>
      <c r="AW13" s="332"/>
    </row>
    <row r="14" spans="1:49" s="77" customFormat="1" ht="84.75" customHeight="1">
      <c r="B14" s="118">
        <v>178</v>
      </c>
      <c r="C14" s="105" t="s">
        <v>100</v>
      </c>
      <c r="D14" s="106">
        <v>456</v>
      </c>
      <c r="E14" s="106" t="s">
        <v>94</v>
      </c>
      <c r="F14" s="106">
        <v>381</v>
      </c>
      <c r="G14" s="106" t="s">
        <v>94</v>
      </c>
      <c r="H14" s="106" t="s">
        <v>93</v>
      </c>
      <c r="I14" s="106" t="s">
        <v>113</v>
      </c>
      <c r="J14" s="106">
        <v>1</v>
      </c>
      <c r="K14" s="99"/>
      <c r="L14" s="99"/>
      <c r="M14" s="100"/>
      <c r="N14" s="100"/>
      <c r="O14" s="275"/>
      <c r="P14" s="107">
        <v>0.35</v>
      </c>
      <c r="Q14" s="120">
        <v>0.35</v>
      </c>
      <c r="R14" s="280">
        <v>0.35</v>
      </c>
      <c r="S14" s="104"/>
      <c r="T14" s="107"/>
      <c r="U14" s="107"/>
      <c r="V14" s="106">
        <v>0.3</v>
      </c>
      <c r="W14" s="104"/>
      <c r="X14" s="104"/>
      <c r="Y14" s="106"/>
      <c r="Z14" s="106"/>
      <c r="AA14" s="106"/>
      <c r="AB14" s="106">
        <v>0.1</v>
      </c>
      <c r="AC14" s="108"/>
      <c r="AD14" s="106"/>
      <c r="AE14" s="106"/>
      <c r="AF14" s="98"/>
      <c r="AG14" s="98"/>
      <c r="AH14" s="106">
        <v>0.1</v>
      </c>
      <c r="AI14" s="109"/>
      <c r="AJ14" s="110"/>
      <c r="AK14" s="110"/>
      <c r="AL14" s="111"/>
      <c r="AM14" s="110">
        <v>0.09</v>
      </c>
      <c r="AN14" s="110">
        <v>0.18</v>
      </c>
      <c r="AO14" s="284">
        <f>+AN14+0.06</f>
        <v>0.24</v>
      </c>
      <c r="AP14" s="110"/>
      <c r="AQ14" s="137">
        <f>AN14/Q14</f>
        <v>0.51428571428571435</v>
      </c>
      <c r="AR14" s="136">
        <f>+(0.15+AN14)/J14</f>
        <v>0.32999999999999996</v>
      </c>
      <c r="AS14" s="129" t="s">
        <v>205</v>
      </c>
      <c r="AT14" s="288" t="s">
        <v>117</v>
      </c>
      <c r="AU14" s="288" t="s">
        <v>90</v>
      </c>
      <c r="AV14" s="288" t="s">
        <v>118</v>
      </c>
      <c r="AW14" s="288" t="s">
        <v>206</v>
      </c>
    </row>
    <row r="15" spans="1:49" s="77" customFormat="1" ht="221.25" customHeight="1">
      <c r="B15" s="118">
        <v>178</v>
      </c>
      <c r="C15" s="105" t="s">
        <v>100</v>
      </c>
      <c r="D15" s="106">
        <v>457</v>
      </c>
      <c r="E15" s="105" t="s">
        <v>111</v>
      </c>
      <c r="F15" s="106">
        <v>382</v>
      </c>
      <c r="G15" s="106" t="s">
        <v>112</v>
      </c>
      <c r="H15" s="106" t="s">
        <v>78</v>
      </c>
      <c r="I15" s="106" t="s">
        <v>113</v>
      </c>
      <c r="J15" s="112">
        <v>500</v>
      </c>
      <c r="K15" s="101"/>
      <c r="L15" s="101"/>
      <c r="M15" s="100"/>
      <c r="N15" s="100"/>
      <c r="O15" s="275"/>
      <c r="P15" s="112">
        <v>125</v>
      </c>
      <c r="Q15" s="120">
        <v>125</v>
      </c>
      <c r="R15" s="281">
        <v>125</v>
      </c>
      <c r="S15" s="104"/>
      <c r="T15" s="112"/>
      <c r="U15" s="112"/>
      <c r="V15" s="106">
        <v>125</v>
      </c>
      <c r="W15" s="104"/>
      <c r="X15" s="104"/>
      <c r="Y15" s="106"/>
      <c r="Z15" s="106"/>
      <c r="AA15" s="106"/>
      <c r="AB15" s="106">
        <v>125</v>
      </c>
      <c r="AC15" s="104"/>
      <c r="AD15" s="106"/>
      <c r="AE15" s="106"/>
      <c r="AF15" s="98"/>
      <c r="AG15" s="98"/>
      <c r="AH15" s="106">
        <v>69</v>
      </c>
      <c r="AI15" s="109"/>
      <c r="AJ15" s="110"/>
      <c r="AK15" s="110"/>
      <c r="AL15" s="111"/>
      <c r="AM15" s="110">
        <v>35</v>
      </c>
      <c r="AN15" s="110">
        <v>49</v>
      </c>
      <c r="AO15" s="285">
        <f>+AN15+((8+2+4)+(0+9+5)+(0+6+1)+(8+8+2)+(3))</f>
        <v>105</v>
      </c>
      <c r="AP15" s="110"/>
      <c r="AQ15" s="137">
        <f>AN15/Q15</f>
        <v>0.39200000000000002</v>
      </c>
      <c r="AR15" s="136">
        <f>+(56+AN15)/J15</f>
        <v>0.21</v>
      </c>
      <c r="AS15" s="129" t="s">
        <v>207</v>
      </c>
      <c r="AT15" s="288" t="s">
        <v>117</v>
      </c>
      <c r="AU15" s="288" t="s">
        <v>90</v>
      </c>
      <c r="AV15" s="288" t="s">
        <v>208</v>
      </c>
      <c r="AW15" s="288" t="s">
        <v>209</v>
      </c>
    </row>
    <row r="16" spans="1:49" s="77" customFormat="1" ht="136.5" customHeight="1">
      <c r="B16" s="118">
        <v>178</v>
      </c>
      <c r="C16" s="105" t="s">
        <v>100</v>
      </c>
      <c r="D16" s="119">
        <v>467</v>
      </c>
      <c r="E16" s="105" t="s">
        <v>91</v>
      </c>
      <c r="F16" s="120">
        <v>383</v>
      </c>
      <c r="G16" s="121" t="s">
        <v>73</v>
      </c>
      <c r="H16" s="118" t="s">
        <v>86</v>
      </c>
      <c r="I16" s="120" t="s">
        <v>121</v>
      </c>
      <c r="J16" s="112">
        <v>200</v>
      </c>
      <c r="K16" s="100"/>
      <c r="L16" s="102"/>
      <c r="M16" s="103"/>
      <c r="N16" s="103"/>
      <c r="O16" s="276"/>
      <c r="P16" s="113">
        <v>117.5</v>
      </c>
      <c r="Q16" s="126">
        <v>118</v>
      </c>
      <c r="R16" s="282">
        <v>118</v>
      </c>
      <c r="S16" s="115"/>
      <c r="T16" s="107"/>
      <c r="U16" s="107"/>
      <c r="V16" s="106">
        <v>180</v>
      </c>
      <c r="W16" s="114"/>
      <c r="X16" s="114"/>
      <c r="Y16" s="115"/>
      <c r="Z16" s="115"/>
      <c r="AA16" s="115"/>
      <c r="AB16" s="106">
        <v>195</v>
      </c>
      <c r="AC16" s="114"/>
      <c r="AD16" s="114"/>
      <c r="AE16" s="115"/>
      <c r="AF16" s="115"/>
      <c r="AG16" s="115"/>
      <c r="AH16" s="106">
        <v>200</v>
      </c>
      <c r="AI16" s="116"/>
      <c r="AJ16" s="116"/>
      <c r="AK16" s="117"/>
      <c r="AL16" s="117"/>
      <c r="AM16" s="127">
        <v>68.33</v>
      </c>
      <c r="AN16" s="135">
        <v>76.33</v>
      </c>
      <c r="AO16" s="285">
        <f>+AN16+28.5+2.3+0.34</f>
        <v>107.47</v>
      </c>
      <c r="AP16" s="117"/>
      <c r="AQ16" s="137">
        <f>AN16/Q16</f>
        <v>0.64686440677966095</v>
      </c>
      <c r="AR16" s="136">
        <f>AN16/J16</f>
        <v>0.38164999999999999</v>
      </c>
      <c r="AS16" s="130" t="s">
        <v>210</v>
      </c>
      <c r="AT16" s="289" t="s">
        <v>117</v>
      </c>
      <c r="AU16" s="289" t="s">
        <v>90</v>
      </c>
      <c r="AV16" s="288" t="s">
        <v>211</v>
      </c>
      <c r="AW16" s="288" t="s">
        <v>212</v>
      </c>
    </row>
    <row r="17" spans="1:49" s="77" customFormat="1" ht="90" hidden="1" customHeight="1">
      <c r="B17" s="118" t="s">
        <v>85</v>
      </c>
      <c r="C17" s="105" t="s">
        <v>100</v>
      </c>
      <c r="D17" s="119">
        <v>11</v>
      </c>
      <c r="E17" s="105" t="s">
        <v>92</v>
      </c>
      <c r="F17" s="120"/>
      <c r="G17" s="121" t="s">
        <v>94</v>
      </c>
      <c r="H17" s="118" t="s">
        <v>93</v>
      </c>
      <c r="I17" s="120" t="s">
        <v>72</v>
      </c>
      <c r="J17" s="112">
        <v>1</v>
      </c>
      <c r="K17" s="100"/>
      <c r="L17" s="102"/>
      <c r="M17" s="100"/>
      <c r="N17" s="100"/>
      <c r="O17" s="275"/>
      <c r="P17" s="112"/>
      <c r="Q17" s="112"/>
      <c r="R17" s="283"/>
      <c r="S17" s="117"/>
      <c r="T17" s="117"/>
      <c r="U17" s="117"/>
      <c r="V17" s="106"/>
      <c r="W17" s="116"/>
      <c r="X17" s="116"/>
      <c r="Y17" s="117"/>
      <c r="Z17" s="117"/>
      <c r="AA17" s="117"/>
      <c r="AB17" s="106"/>
      <c r="AC17" s="116"/>
      <c r="AD17" s="116"/>
      <c r="AE17" s="117"/>
      <c r="AF17" s="117"/>
      <c r="AG17" s="117"/>
      <c r="AH17" s="106"/>
      <c r="AI17" s="116"/>
      <c r="AJ17" s="116"/>
      <c r="AK17" s="117"/>
      <c r="AL17" s="117"/>
      <c r="AM17" s="128"/>
      <c r="AN17" s="117"/>
      <c r="AO17" s="286">
        <v>0.15</v>
      </c>
      <c r="AP17" s="117"/>
      <c r="AQ17" s="291"/>
      <c r="AR17" s="291"/>
      <c r="AS17" s="291"/>
      <c r="AT17" s="131"/>
      <c r="AU17" s="132"/>
      <c r="AV17" s="133"/>
      <c r="AW17" s="133"/>
    </row>
    <row r="18" spans="1:49" s="77" customFormat="1" ht="18.75" hidden="1" customHeight="1">
      <c r="B18" s="118" t="s">
        <v>85</v>
      </c>
      <c r="C18" s="105" t="s">
        <v>100</v>
      </c>
      <c r="D18" s="119">
        <v>440</v>
      </c>
      <c r="E18" s="105" t="s">
        <v>96</v>
      </c>
      <c r="F18" s="120">
        <v>338</v>
      </c>
      <c r="G18" s="118" t="s">
        <v>95</v>
      </c>
      <c r="H18" s="120" t="s">
        <v>77</v>
      </c>
      <c r="I18" s="120" t="s">
        <v>71</v>
      </c>
      <c r="J18" s="112">
        <v>2</v>
      </c>
      <c r="K18" s="103"/>
      <c r="L18" s="102"/>
      <c r="M18" s="100"/>
      <c r="N18" s="100"/>
      <c r="O18" s="275"/>
      <c r="P18" s="112">
        <v>1</v>
      </c>
      <c r="Q18" s="112"/>
      <c r="R18" s="283"/>
      <c r="S18" s="117"/>
      <c r="T18" s="117"/>
      <c r="U18" s="117"/>
      <c r="V18" s="106">
        <v>1.5</v>
      </c>
      <c r="W18" s="116"/>
      <c r="X18" s="116"/>
      <c r="Y18" s="117"/>
      <c r="Z18" s="117"/>
      <c r="AA18" s="117"/>
      <c r="AB18" s="106">
        <v>1.7</v>
      </c>
      <c r="AC18" s="116"/>
      <c r="AD18" s="116"/>
      <c r="AE18" s="117"/>
      <c r="AF18" s="117"/>
      <c r="AG18" s="117"/>
      <c r="AH18" s="106">
        <v>2</v>
      </c>
      <c r="AI18" s="116"/>
      <c r="AJ18" s="116"/>
      <c r="AK18" s="117"/>
      <c r="AL18" s="117"/>
      <c r="AM18" s="128"/>
      <c r="AN18" s="117"/>
      <c r="AO18" s="287">
        <v>0.1</v>
      </c>
      <c r="AP18" s="117"/>
      <c r="AQ18" s="291"/>
      <c r="AR18" s="291"/>
      <c r="AS18" s="291"/>
      <c r="AT18" s="131"/>
      <c r="AU18" s="132"/>
      <c r="AV18" s="132"/>
      <c r="AW18" s="134"/>
    </row>
    <row r="19" spans="1:49" s="77" customFormat="1" ht="233.25" customHeight="1">
      <c r="B19" s="118">
        <v>178</v>
      </c>
      <c r="C19" s="105" t="s">
        <v>100</v>
      </c>
      <c r="D19" s="119">
        <v>468</v>
      </c>
      <c r="E19" s="105" t="s">
        <v>74</v>
      </c>
      <c r="F19" s="120">
        <v>384</v>
      </c>
      <c r="G19" s="118" t="s">
        <v>75</v>
      </c>
      <c r="H19" s="120" t="s">
        <v>78</v>
      </c>
      <c r="I19" s="120" t="s">
        <v>72</v>
      </c>
      <c r="J19" s="112">
        <v>1000</v>
      </c>
      <c r="K19" s="100"/>
      <c r="L19" s="102"/>
      <c r="M19" s="100"/>
      <c r="N19" s="100"/>
      <c r="O19" s="275"/>
      <c r="P19" s="112">
        <f>125</f>
        <v>125</v>
      </c>
      <c r="Q19" s="112">
        <v>125</v>
      </c>
      <c r="R19" s="282">
        <v>125</v>
      </c>
      <c r="S19" s="117"/>
      <c r="T19" s="117"/>
      <c r="U19" s="117"/>
      <c r="V19" s="106">
        <v>125</v>
      </c>
      <c r="W19" s="116"/>
      <c r="X19" s="116"/>
      <c r="Y19" s="117"/>
      <c r="Z19" s="117"/>
      <c r="AA19" s="117"/>
      <c r="AB19" s="106">
        <v>125</v>
      </c>
      <c r="AC19" s="116"/>
      <c r="AD19" s="116"/>
      <c r="AE19" s="117"/>
      <c r="AF19" s="117"/>
      <c r="AG19" s="117"/>
      <c r="AH19" s="106">
        <v>69</v>
      </c>
      <c r="AI19" s="116"/>
      <c r="AJ19" s="116"/>
      <c r="AK19" s="117"/>
      <c r="AL19" s="117"/>
      <c r="AM19" s="128">
        <v>35</v>
      </c>
      <c r="AN19" s="117">
        <v>49</v>
      </c>
      <c r="AO19" s="285">
        <f>+AO15</f>
        <v>105</v>
      </c>
      <c r="AP19" s="117"/>
      <c r="AQ19" s="267">
        <f>AN19/Q19</f>
        <v>0.39200000000000002</v>
      </c>
      <c r="AR19" s="136">
        <f>+(556+AN19)/J19</f>
        <v>0.60499999999999998</v>
      </c>
      <c r="AS19" s="130" t="s">
        <v>213</v>
      </c>
      <c r="AT19" s="289" t="s">
        <v>117</v>
      </c>
      <c r="AU19" s="289" t="s">
        <v>90</v>
      </c>
      <c r="AV19" s="288" t="s">
        <v>214</v>
      </c>
      <c r="AW19" s="288" t="s">
        <v>215</v>
      </c>
    </row>
    <row r="20" spans="1:49" s="77" customFormat="1" ht="69" customHeight="1">
      <c r="A20" s="78"/>
      <c r="B20" s="78"/>
      <c r="C20" s="79"/>
      <c r="D20" s="80"/>
      <c r="E20" s="81"/>
      <c r="F20" s="82"/>
      <c r="G20" s="83"/>
      <c r="H20" s="82"/>
      <c r="I20" s="82"/>
      <c r="J20" s="84"/>
      <c r="K20" s="84"/>
      <c r="L20" s="85"/>
      <c r="M20" s="85"/>
      <c r="N20" s="85"/>
      <c r="O20" s="85"/>
      <c r="P20" s="86"/>
      <c r="Q20" s="86"/>
      <c r="R20" s="86"/>
      <c r="S20" s="85"/>
      <c r="T20" s="85"/>
      <c r="U20" s="85"/>
      <c r="V20" s="86"/>
      <c r="W20" s="86"/>
      <c r="X20" s="86"/>
      <c r="Y20" s="85"/>
      <c r="Z20" s="85"/>
      <c r="AA20" s="85"/>
      <c r="AB20" s="86"/>
      <c r="AC20" s="86"/>
      <c r="AD20" s="86"/>
      <c r="AE20" s="85"/>
      <c r="AF20" s="85"/>
      <c r="AG20" s="85"/>
      <c r="AH20" s="86"/>
      <c r="AI20" s="86"/>
      <c r="AJ20" s="86"/>
      <c r="AK20" s="85"/>
      <c r="AL20" s="85"/>
      <c r="AM20" s="85"/>
      <c r="AN20" s="85"/>
      <c r="AO20" s="85"/>
      <c r="AP20" s="85"/>
      <c r="AQ20" s="76"/>
      <c r="AR20" s="76"/>
      <c r="AS20" s="87"/>
      <c r="AT20" s="88"/>
      <c r="AU20" s="88"/>
      <c r="AV20" s="87"/>
      <c r="AW20" s="87"/>
    </row>
    <row r="21" spans="1:49" ht="30.75" customHeight="1" thickBot="1">
      <c r="A21" s="38"/>
      <c r="B21" s="39"/>
      <c r="C21" s="39"/>
      <c r="D21" s="317" t="s">
        <v>203</v>
      </c>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9"/>
    </row>
  </sheetData>
  <mergeCells count="45">
    <mergeCell ref="D21:AW21"/>
    <mergeCell ref="A2:G5"/>
    <mergeCell ref="A10:C10"/>
    <mergeCell ref="H2:AW2"/>
    <mergeCell ref="H3:AW3"/>
    <mergeCell ref="S8:AW8"/>
    <mergeCell ref="AT10:AT13"/>
    <mergeCell ref="F11:F13"/>
    <mergeCell ref="K11:AL11"/>
    <mergeCell ref="S5:AW5"/>
    <mergeCell ref="J11:J13"/>
    <mergeCell ref="AV10:AV13"/>
    <mergeCell ref="AW10:AW13"/>
    <mergeCell ref="AP12:AP13"/>
    <mergeCell ref="AR10:AR13"/>
    <mergeCell ref="AN12:AN13"/>
    <mergeCell ref="A7:R7"/>
    <mergeCell ref="A8:R8"/>
    <mergeCell ref="F10:AP10"/>
    <mergeCell ref="AM11:AP11"/>
    <mergeCell ref="H11:H13"/>
    <mergeCell ref="I11:I13"/>
    <mergeCell ref="G11:G13"/>
    <mergeCell ref="K12:N12"/>
    <mergeCell ref="O12:T12"/>
    <mergeCell ref="U12:Z12"/>
    <mergeCell ref="AA12:AF12"/>
    <mergeCell ref="AG12:AL12"/>
    <mergeCell ref="A11:A13"/>
    <mergeCell ref="AQ17:AS17"/>
    <mergeCell ref="AQ18:AS18"/>
    <mergeCell ref="H4:R4"/>
    <mergeCell ref="D10:E10"/>
    <mergeCell ref="B11:B13"/>
    <mergeCell ref="C11:C13"/>
    <mergeCell ref="S4:AW4"/>
    <mergeCell ref="H5:R5"/>
    <mergeCell ref="AS10:AS13"/>
    <mergeCell ref="AM12:AM13"/>
    <mergeCell ref="S7:AW7"/>
    <mergeCell ref="AU10:AU13"/>
    <mergeCell ref="D11:D13"/>
    <mergeCell ref="E11:E13"/>
    <mergeCell ref="AQ10:AQ13"/>
    <mergeCell ref="AO12:AO13"/>
  </mergeCells>
  <phoneticPr fontId="9" type="noConversion"/>
  <dataValidations count="1">
    <dataValidation type="list" allowBlank="1" showInputMessage="1" showErrorMessage="1" sqref="I17:I20">
      <formula1>$AY$8:$AY$11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
  <sheetViews>
    <sheetView view="pageBreakPreview" topLeftCell="B1" zoomScale="80" zoomScaleNormal="80" zoomScaleSheetLayoutView="80" workbookViewId="0">
      <selection activeCell="AM9" sqref="AM9:AM14"/>
    </sheetView>
  </sheetViews>
  <sheetFormatPr baseColWidth="10" defaultColWidth="10.85546875" defaultRowHeight="15.75"/>
  <cols>
    <col min="1" max="1" width="12.7109375" style="1" customWidth="1"/>
    <col min="2" max="2" width="12.42578125" style="1" customWidth="1"/>
    <col min="3" max="3" width="22.140625" style="1" customWidth="1"/>
    <col min="4" max="4" width="9.42578125" style="7" customWidth="1"/>
    <col min="5" max="5" width="13" style="7" hidden="1" customWidth="1"/>
    <col min="6" max="6" width="16.140625" style="7" hidden="1" customWidth="1"/>
    <col min="7" max="7" width="17.85546875" style="27" customWidth="1"/>
    <col min="8" max="32" width="18.42578125" style="8" customWidth="1"/>
    <col min="33" max="34" width="18.42578125" style="1" customWidth="1"/>
    <col min="35" max="36" width="18.42578125" style="30" customWidth="1"/>
    <col min="37" max="38" width="18.42578125" style="1" customWidth="1"/>
    <col min="39" max="39" width="40.140625" style="1" customWidth="1"/>
    <col min="40" max="40" width="13.7109375" style="1" customWidth="1"/>
    <col min="41" max="41" width="12.7109375" style="1" customWidth="1"/>
    <col min="42" max="42" width="49.42578125" style="1" customWidth="1"/>
    <col min="43" max="43" width="56.7109375" style="1" customWidth="1"/>
    <col min="44" max="44" width="23.28515625" style="1" customWidth="1"/>
    <col min="45" max="16384" width="10.85546875" style="1"/>
  </cols>
  <sheetData>
    <row r="1" spans="1:51" ht="18">
      <c r="A1" s="371"/>
      <c r="B1" s="372"/>
      <c r="C1" s="372"/>
      <c r="D1" s="372"/>
      <c r="E1" s="372"/>
      <c r="F1" s="377" t="s">
        <v>0</v>
      </c>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9"/>
    </row>
    <row r="2" spans="1:51" ht="18">
      <c r="A2" s="373"/>
      <c r="B2" s="374"/>
      <c r="C2" s="374"/>
      <c r="D2" s="374"/>
      <c r="E2" s="374"/>
      <c r="F2" s="391" t="s">
        <v>68</v>
      </c>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3"/>
    </row>
    <row r="3" spans="1:51" ht="18">
      <c r="A3" s="373"/>
      <c r="B3" s="374"/>
      <c r="C3" s="374"/>
      <c r="D3" s="374"/>
      <c r="E3" s="374"/>
      <c r="F3" s="292" t="s">
        <v>1</v>
      </c>
      <c r="G3" s="292"/>
      <c r="H3" s="292"/>
      <c r="I3" s="292"/>
      <c r="J3" s="292"/>
      <c r="K3" s="292"/>
      <c r="L3" s="292"/>
      <c r="M3" s="391" t="s">
        <v>80</v>
      </c>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3"/>
    </row>
    <row r="4" spans="1:51" ht="18.75" thickBot="1">
      <c r="A4" s="375"/>
      <c r="B4" s="376"/>
      <c r="C4" s="376"/>
      <c r="D4" s="376"/>
      <c r="E4" s="376"/>
      <c r="F4" s="394" t="s">
        <v>3</v>
      </c>
      <c r="G4" s="394"/>
      <c r="H4" s="394"/>
      <c r="I4" s="394"/>
      <c r="J4" s="394"/>
      <c r="K4" s="394"/>
      <c r="L4" s="394"/>
      <c r="M4" s="380" t="s">
        <v>99</v>
      </c>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2"/>
    </row>
    <row r="5" spans="1:51" ht="16.5" thickBot="1">
      <c r="AJ5" s="28"/>
    </row>
    <row r="6" spans="1:51" s="40" customFormat="1" ht="16.5">
      <c r="A6" s="389" t="s">
        <v>23</v>
      </c>
      <c r="B6" s="293" t="s">
        <v>33</v>
      </c>
      <c r="C6" s="293"/>
      <c r="D6" s="293"/>
      <c r="E6" s="293" t="s">
        <v>37</v>
      </c>
      <c r="F6" s="293" t="s">
        <v>38</v>
      </c>
      <c r="G6" s="293" t="s">
        <v>39</v>
      </c>
      <c r="H6" s="293" t="s">
        <v>40</v>
      </c>
      <c r="I6" s="278"/>
      <c r="J6" s="369"/>
      <c r="K6" s="369"/>
      <c r="L6" s="369"/>
      <c r="M6" s="369"/>
      <c r="N6" s="369"/>
      <c r="O6" s="369"/>
      <c r="P6" s="369"/>
      <c r="Q6" s="369"/>
      <c r="R6" s="369"/>
      <c r="S6" s="369"/>
      <c r="T6" s="369"/>
      <c r="U6" s="369"/>
      <c r="V6" s="369"/>
      <c r="W6" s="369"/>
      <c r="X6" s="369"/>
      <c r="Y6" s="369"/>
      <c r="Z6" s="369"/>
      <c r="AA6" s="369"/>
      <c r="AB6" s="369"/>
      <c r="AC6" s="369"/>
      <c r="AD6" s="369"/>
      <c r="AE6" s="369"/>
      <c r="AF6" s="370"/>
      <c r="AG6" s="293" t="s">
        <v>41</v>
      </c>
      <c r="AH6" s="293"/>
      <c r="AI6" s="293"/>
      <c r="AJ6" s="293"/>
      <c r="AK6" s="293" t="s">
        <v>43</v>
      </c>
      <c r="AL6" s="293" t="s">
        <v>44</v>
      </c>
      <c r="AM6" s="293" t="s">
        <v>45</v>
      </c>
      <c r="AN6" s="293" t="s">
        <v>46</v>
      </c>
      <c r="AO6" s="293" t="s">
        <v>47</v>
      </c>
      <c r="AP6" s="293" t="s">
        <v>48</v>
      </c>
      <c r="AQ6" s="383" t="s">
        <v>49</v>
      </c>
    </row>
    <row r="7" spans="1:51" s="40" customFormat="1" ht="27.75" customHeight="1">
      <c r="A7" s="294"/>
      <c r="B7" s="296"/>
      <c r="C7" s="296"/>
      <c r="D7" s="296"/>
      <c r="E7" s="296"/>
      <c r="F7" s="296"/>
      <c r="G7" s="296"/>
      <c r="H7" s="296"/>
      <c r="I7" s="314">
        <v>2017</v>
      </c>
      <c r="J7" s="315"/>
      <c r="K7" s="315"/>
      <c r="L7" s="315"/>
      <c r="M7" s="315"/>
      <c r="N7" s="316"/>
      <c r="O7" s="314">
        <v>2018</v>
      </c>
      <c r="P7" s="315"/>
      <c r="Q7" s="315"/>
      <c r="R7" s="315"/>
      <c r="S7" s="315"/>
      <c r="T7" s="316"/>
      <c r="U7" s="314">
        <v>2019</v>
      </c>
      <c r="V7" s="315"/>
      <c r="W7" s="315"/>
      <c r="X7" s="315"/>
      <c r="Y7" s="315"/>
      <c r="Z7" s="316"/>
      <c r="AA7" s="314">
        <v>2020</v>
      </c>
      <c r="AB7" s="315"/>
      <c r="AC7" s="315"/>
      <c r="AD7" s="315"/>
      <c r="AE7" s="315"/>
      <c r="AF7" s="316"/>
      <c r="AG7" s="313" t="s">
        <v>42</v>
      </c>
      <c r="AH7" s="313"/>
      <c r="AI7" s="313"/>
      <c r="AJ7" s="313"/>
      <c r="AK7" s="296"/>
      <c r="AL7" s="296"/>
      <c r="AM7" s="296"/>
      <c r="AN7" s="296"/>
      <c r="AO7" s="296"/>
      <c r="AP7" s="296"/>
      <c r="AQ7" s="384"/>
    </row>
    <row r="8" spans="1:51" s="40" customFormat="1" ht="68.25" customHeight="1" thickBot="1">
      <c r="A8" s="390"/>
      <c r="B8" s="68" t="s">
        <v>34</v>
      </c>
      <c r="C8" s="68" t="s">
        <v>35</v>
      </c>
      <c r="D8" s="68" t="s">
        <v>36</v>
      </c>
      <c r="E8" s="302"/>
      <c r="F8" s="302"/>
      <c r="G8" s="302"/>
      <c r="H8" s="368"/>
      <c r="I8" s="277" t="s">
        <v>204</v>
      </c>
      <c r="J8" s="277" t="s">
        <v>198</v>
      </c>
      <c r="K8" s="277" t="s">
        <v>199</v>
      </c>
      <c r="L8" s="277" t="s">
        <v>195</v>
      </c>
      <c r="M8" s="277" t="s">
        <v>196</v>
      </c>
      <c r="N8" s="268" t="s">
        <v>22</v>
      </c>
      <c r="O8" s="277" t="s">
        <v>197</v>
      </c>
      <c r="P8" s="277" t="s">
        <v>198</v>
      </c>
      <c r="Q8" s="277" t="s">
        <v>199</v>
      </c>
      <c r="R8" s="277" t="s">
        <v>195</v>
      </c>
      <c r="S8" s="277" t="s">
        <v>196</v>
      </c>
      <c r="T8" s="268" t="s">
        <v>22</v>
      </c>
      <c r="U8" s="277" t="s">
        <v>197</v>
      </c>
      <c r="V8" s="277" t="s">
        <v>198</v>
      </c>
      <c r="W8" s="277" t="s">
        <v>199</v>
      </c>
      <c r="X8" s="277" t="s">
        <v>195</v>
      </c>
      <c r="Y8" s="277" t="s">
        <v>196</v>
      </c>
      <c r="Z8" s="268" t="s">
        <v>22</v>
      </c>
      <c r="AA8" s="277" t="s">
        <v>197</v>
      </c>
      <c r="AB8" s="277" t="s">
        <v>198</v>
      </c>
      <c r="AC8" s="277" t="s">
        <v>199</v>
      </c>
      <c r="AD8" s="277" t="s">
        <v>195</v>
      </c>
      <c r="AE8" s="277" t="s">
        <v>196</v>
      </c>
      <c r="AF8" s="268" t="s">
        <v>22</v>
      </c>
      <c r="AG8" s="68" t="s">
        <v>5</v>
      </c>
      <c r="AH8" s="68" t="s">
        <v>6</v>
      </c>
      <c r="AI8" s="68" t="s">
        <v>7</v>
      </c>
      <c r="AJ8" s="68" t="s">
        <v>8</v>
      </c>
      <c r="AK8" s="302"/>
      <c r="AL8" s="302"/>
      <c r="AM8" s="302"/>
      <c r="AN8" s="302"/>
      <c r="AO8" s="302"/>
      <c r="AP8" s="302"/>
      <c r="AQ8" s="385"/>
    </row>
    <row r="9" spans="1:51" s="5" customFormat="1" ht="24" customHeight="1" thickBot="1">
      <c r="A9" s="362" t="s">
        <v>103</v>
      </c>
      <c r="B9" s="350">
        <v>1</v>
      </c>
      <c r="C9" s="353" t="s">
        <v>76</v>
      </c>
      <c r="D9" s="356" t="s">
        <v>121</v>
      </c>
      <c r="E9" s="356">
        <v>467</v>
      </c>
      <c r="F9" s="356">
        <v>178</v>
      </c>
      <c r="G9" s="48" t="s">
        <v>9</v>
      </c>
      <c r="H9" s="69">
        <v>200</v>
      </c>
      <c r="I9" s="69"/>
      <c r="J9" s="122">
        <v>117.5</v>
      </c>
      <c r="K9" s="138">
        <v>117.5</v>
      </c>
      <c r="L9" s="138">
        <v>117.5</v>
      </c>
      <c r="M9" s="69"/>
      <c r="N9" s="69"/>
      <c r="O9" s="69"/>
      <c r="P9" s="69">
        <v>180</v>
      </c>
      <c r="Q9" s="69"/>
      <c r="R9" s="69"/>
      <c r="S9" s="69"/>
      <c r="T9" s="69"/>
      <c r="U9" s="69"/>
      <c r="V9" s="69">
        <v>195</v>
      </c>
      <c r="W9" s="69"/>
      <c r="X9" s="69"/>
      <c r="Y9" s="69"/>
      <c r="Z9" s="69"/>
      <c r="AA9" s="69"/>
      <c r="AB9" s="69">
        <v>200</v>
      </c>
      <c r="AC9" s="31"/>
      <c r="AD9" s="31"/>
      <c r="AE9" s="31"/>
      <c r="AF9" s="31"/>
      <c r="AG9" s="140">
        <v>68.33</v>
      </c>
      <c r="AH9" s="140">
        <v>76.33</v>
      </c>
      <c r="AI9" s="122">
        <v>107.47</v>
      </c>
      <c r="AJ9" s="141"/>
      <c r="AK9" s="142">
        <f>AH9/K9</f>
        <v>0.64961702127659571</v>
      </c>
      <c r="AL9" s="142">
        <f>AH9/H9</f>
        <v>0.38164999999999999</v>
      </c>
      <c r="AM9" s="398" t="s">
        <v>217</v>
      </c>
      <c r="AN9" s="365" t="s">
        <v>90</v>
      </c>
      <c r="AO9" s="365" t="s">
        <v>90</v>
      </c>
      <c r="AP9" s="395" t="s">
        <v>219</v>
      </c>
      <c r="AQ9" s="344" t="s">
        <v>119</v>
      </c>
    </row>
    <row r="10" spans="1:51" s="5" customFormat="1" ht="27.75" customHeight="1">
      <c r="A10" s="363"/>
      <c r="B10" s="351"/>
      <c r="C10" s="354"/>
      <c r="D10" s="357"/>
      <c r="E10" s="357"/>
      <c r="F10" s="357"/>
      <c r="G10" s="49" t="s">
        <v>10</v>
      </c>
      <c r="H10" s="143">
        <f>+K10+V10+AB10+P10</f>
        <v>3126842000</v>
      </c>
      <c r="I10" s="143"/>
      <c r="J10" s="143">
        <v>728000000</v>
      </c>
      <c r="K10" s="144">
        <v>727842000</v>
      </c>
      <c r="L10" s="144">
        <v>727842000</v>
      </c>
      <c r="M10" s="144"/>
      <c r="N10" s="144"/>
      <c r="O10" s="144"/>
      <c r="P10" s="143">
        <v>1190000000</v>
      </c>
      <c r="Q10" s="144"/>
      <c r="R10" s="144"/>
      <c r="S10" s="144"/>
      <c r="T10" s="144"/>
      <c r="U10" s="144"/>
      <c r="V10" s="143">
        <v>791000000</v>
      </c>
      <c r="W10" s="144"/>
      <c r="X10" s="144"/>
      <c r="Y10" s="144"/>
      <c r="Z10" s="144"/>
      <c r="AA10" s="144"/>
      <c r="AB10" s="143">
        <v>418000000</v>
      </c>
      <c r="AC10" s="144"/>
      <c r="AD10" s="144"/>
      <c r="AE10" s="144"/>
      <c r="AF10" s="144"/>
      <c r="AG10" s="144">
        <v>0</v>
      </c>
      <c r="AH10" s="144">
        <v>155116000</v>
      </c>
      <c r="AI10" s="143">
        <v>555472000</v>
      </c>
      <c r="AJ10" s="145"/>
      <c r="AK10" s="142">
        <f>AH10/K10</f>
        <v>0.21311768213430937</v>
      </c>
      <c r="AL10" s="146">
        <f>+AH10/(K10+P10+V10+AB10)</f>
        <v>4.9607879131724597E-2</v>
      </c>
      <c r="AM10" s="399"/>
      <c r="AN10" s="366"/>
      <c r="AO10" s="366"/>
      <c r="AP10" s="396"/>
      <c r="AQ10" s="345"/>
    </row>
    <row r="11" spans="1:51" s="5" customFormat="1" ht="28.5" customHeight="1">
      <c r="A11" s="363"/>
      <c r="B11" s="351"/>
      <c r="C11" s="354"/>
      <c r="D11" s="357"/>
      <c r="E11" s="357"/>
      <c r="F11" s="357"/>
      <c r="G11" s="49" t="s">
        <v>11</v>
      </c>
      <c r="H11" s="147"/>
      <c r="I11" s="147"/>
      <c r="J11" s="147"/>
      <c r="K11" s="147"/>
      <c r="L11" s="147"/>
      <c r="M11" s="147"/>
      <c r="N11" s="147"/>
      <c r="O11" s="148"/>
      <c r="P11" s="148"/>
      <c r="Q11" s="148"/>
      <c r="R11" s="148"/>
      <c r="S11" s="148"/>
      <c r="T11" s="148"/>
      <c r="U11" s="148"/>
      <c r="V11" s="148"/>
      <c r="W11" s="148"/>
      <c r="X11" s="148"/>
      <c r="Y11" s="148"/>
      <c r="Z11" s="148"/>
      <c r="AA11" s="148"/>
      <c r="AB11" s="148"/>
      <c r="AC11" s="147"/>
      <c r="AD11" s="147"/>
      <c r="AE11" s="147"/>
      <c r="AF11" s="147"/>
      <c r="AG11" s="149"/>
      <c r="AH11" s="149"/>
      <c r="AI11" s="145"/>
      <c r="AJ11" s="149"/>
      <c r="AK11" s="146"/>
      <c r="AL11" s="146"/>
      <c r="AM11" s="399"/>
      <c r="AN11" s="366"/>
      <c r="AO11" s="366"/>
      <c r="AP11" s="396"/>
      <c r="AQ11" s="345"/>
    </row>
    <row r="12" spans="1:51" s="5" customFormat="1" ht="27" customHeight="1" thickBot="1">
      <c r="A12" s="363"/>
      <c r="B12" s="351"/>
      <c r="C12" s="354"/>
      <c r="D12" s="357"/>
      <c r="E12" s="357"/>
      <c r="F12" s="357"/>
      <c r="G12" s="49" t="s">
        <v>12</v>
      </c>
      <c r="H12" s="150">
        <v>183303796</v>
      </c>
      <c r="I12" s="279"/>
      <c r="J12" s="151"/>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44"/>
      <c r="AH12" s="144"/>
      <c r="AI12" s="144"/>
      <c r="AJ12" s="144"/>
      <c r="AK12" s="146"/>
      <c r="AL12" s="146"/>
      <c r="AM12" s="399"/>
      <c r="AN12" s="366"/>
      <c r="AO12" s="366"/>
      <c r="AP12" s="396"/>
      <c r="AQ12" s="345"/>
      <c r="AT12" s="65"/>
      <c r="AU12" s="65"/>
      <c r="AV12" s="65"/>
      <c r="AW12" s="65"/>
      <c r="AX12" s="65"/>
      <c r="AY12" s="65"/>
    </row>
    <row r="13" spans="1:51" s="5" customFormat="1" ht="23.25" customHeight="1">
      <c r="A13" s="363"/>
      <c r="B13" s="351"/>
      <c r="C13" s="354"/>
      <c r="D13" s="357"/>
      <c r="E13" s="357"/>
      <c r="F13" s="357"/>
      <c r="G13" s="49" t="s">
        <v>13</v>
      </c>
      <c r="H13" s="69">
        <f>+H9+H11</f>
        <v>200</v>
      </c>
      <c r="I13" s="69"/>
      <c r="J13" s="122">
        <f t="shared" ref="J13:AB13" si="0">+J9+J11</f>
        <v>117.5</v>
      </c>
      <c r="K13" s="138">
        <v>117.5</v>
      </c>
      <c r="L13" s="138">
        <v>117.5</v>
      </c>
      <c r="M13" s="69"/>
      <c r="N13" s="69"/>
      <c r="O13" s="69"/>
      <c r="P13" s="69">
        <f t="shared" si="0"/>
        <v>180</v>
      </c>
      <c r="Q13" s="69"/>
      <c r="R13" s="69"/>
      <c r="S13" s="69"/>
      <c r="T13" s="69"/>
      <c r="U13" s="69"/>
      <c r="V13" s="69">
        <v>195</v>
      </c>
      <c r="W13" s="69"/>
      <c r="X13" s="69"/>
      <c r="Y13" s="69"/>
      <c r="Z13" s="69"/>
      <c r="AA13" s="69"/>
      <c r="AB13" s="69">
        <f t="shared" si="0"/>
        <v>200</v>
      </c>
      <c r="AC13" s="33"/>
      <c r="AD13" s="33"/>
      <c r="AE13" s="33"/>
      <c r="AF13" s="33"/>
      <c r="AG13" s="149">
        <v>68.33</v>
      </c>
      <c r="AH13" s="149">
        <v>76.33</v>
      </c>
      <c r="AI13" s="122">
        <v>107.47</v>
      </c>
      <c r="AJ13" s="145"/>
      <c r="AK13" s="153"/>
      <c r="AL13" s="153"/>
      <c r="AM13" s="399"/>
      <c r="AN13" s="366"/>
      <c r="AO13" s="366"/>
      <c r="AP13" s="396"/>
      <c r="AQ13" s="345"/>
      <c r="AT13" s="66"/>
      <c r="AU13" s="66"/>
      <c r="AV13" s="66"/>
      <c r="AW13" s="66"/>
      <c r="AX13" s="66"/>
      <c r="AY13" s="65"/>
    </row>
    <row r="14" spans="1:51" s="5" customFormat="1" ht="24" customHeight="1" thickBot="1">
      <c r="A14" s="364"/>
      <c r="B14" s="352"/>
      <c r="C14" s="355"/>
      <c r="D14" s="358"/>
      <c r="E14" s="358"/>
      <c r="F14" s="358"/>
      <c r="G14" s="50" t="s">
        <v>14</v>
      </c>
      <c r="H14" s="154">
        <f>H10</f>
        <v>3126842000</v>
      </c>
      <c r="I14" s="154"/>
      <c r="J14" s="154">
        <f>J10+J12</f>
        <v>728000000</v>
      </c>
      <c r="K14" s="154">
        <v>727842000</v>
      </c>
      <c r="L14" s="154">
        <v>727842000</v>
      </c>
      <c r="M14" s="154"/>
      <c r="N14" s="154"/>
      <c r="O14" s="154"/>
      <c r="P14" s="154">
        <v>1220000000</v>
      </c>
      <c r="Q14" s="154"/>
      <c r="R14" s="154"/>
      <c r="S14" s="154"/>
      <c r="T14" s="154"/>
      <c r="U14" s="154"/>
      <c r="V14" s="154">
        <v>1262000000</v>
      </c>
      <c r="W14" s="154"/>
      <c r="X14" s="154"/>
      <c r="Y14" s="154"/>
      <c r="Z14" s="154"/>
      <c r="AA14" s="154"/>
      <c r="AB14" s="154">
        <v>653000000</v>
      </c>
      <c r="AC14" s="154"/>
      <c r="AD14" s="154"/>
      <c r="AE14" s="154"/>
      <c r="AF14" s="154"/>
      <c r="AG14" s="154">
        <v>0</v>
      </c>
      <c r="AH14" s="154">
        <v>155116000</v>
      </c>
      <c r="AI14" s="155">
        <v>555472000</v>
      </c>
      <c r="AJ14" s="155"/>
      <c r="AK14" s="156"/>
      <c r="AL14" s="156"/>
      <c r="AM14" s="400"/>
      <c r="AN14" s="367"/>
      <c r="AO14" s="367"/>
      <c r="AP14" s="397"/>
      <c r="AQ14" s="346"/>
      <c r="AR14" s="67"/>
      <c r="AT14" s="65"/>
      <c r="AU14" s="65"/>
      <c r="AV14" s="65"/>
      <c r="AW14" s="65"/>
      <c r="AX14" s="65"/>
      <c r="AY14" s="65"/>
    </row>
    <row r="15" spans="1:51" s="71" customFormat="1" ht="24" customHeight="1">
      <c r="A15" s="359" t="s">
        <v>104</v>
      </c>
      <c r="B15" s="335">
        <v>2</v>
      </c>
      <c r="C15" s="353" t="s">
        <v>108</v>
      </c>
      <c r="D15" s="356" t="s">
        <v>72</v>
      </c>
      <c r="E15" s="356">
        <v>468</v>
      </c>
      <c r="F15" s="356">
        <v>178</v>
      </c>
      <c r="G15" s="48" t="s">
        <v>9</v>
      </c>
      <c r="H15" s="69">
        <v>1000</v>
      </c>
      <c r="I15" s="69"/>
      <c r="J15" s="69">
        <f>125+556</f>
        <v>681</v>
      </c>
      <c r="K15" s="69">
        <v>681</v>
      </c>
      <c r="L15" s="69">
        <v>125</v>
      </c>
      <c r="M15" s="69"/>
      <c r="N15" s="69"/>
      <c r="O15" s="69"/>
      <c r="P15" s="69">
        <v>125</v>
      </c>
      <c r="Q15" s="69"/>
      <c r="R15" s="69"/>
      <c r="S15" s="69"/>
      <c r="T15" s="69"/>
      <c r="U15" s="69"/>
      <c r="V15" s="69">
        <v>125</v>
      </c>
      <c r="W15" s="69"/>
      <c r="X15" s="69"/>
      <c r="Y15" s="69"/>
      <c r="Z15" s="69"/>
      <c r="AA15" s="69"/>
      <c r="AB15" s="69">
        <v>69</v>
      </c>
      <c r="AC15" s="31"/>
      <c r="AD15" s="31"/>
      <c r="AE15" s="31"/>
      <c r="AF15" s="31"/>
      <c r="AG15" s="140">
        <v>591</v>
      </c>
      <c r="AH15" s="140">
        <v>605</v>
      </c>
      <c r="AI15" s="69">
        <v>661</v>
      </c>
      <c r="AJ15" s="141"/>
      <c r="AK15" s="142">
        <f>AH15/K15</f>
        <v>0.88839941262848754</v>
      </c>
      <c r="AL15" s="142">
        <f>+AH15/(K15+P15+V15+AB15)</f>
        <v>0.60499999999999998</v>
      </c>
      <c r="AM15" s="386" t="s">
        <v>218</v>
      </c>
      <c r="AN15" s="365" t="s">
        <v>90</v>
      </c>
      <c r="AO15" s="365" t="s">
        <v>90</v>
      </c>
      <c r="AP15" s="347" t="s">
        <v>214</v>
      </c>
      <c r="AQ15" s="344" t="s">
        <v>120</v>
      </c>
      <c r="AR15" s="70"/>
      <c r="AT15" s="72"/>
      <c r="AU15" s="72"/>
      <c r="AV15" s="72"/>
      <c r="AW15" s="72"/>
      <c r="AX15" s="72"/>
      <c r="AY15" s="72"/>
    </row>
    <row r="16" spans="1:51" s="71" customFormat="1" ht="20.25" customHeight="1">
      <c r="A16" s="360"/>
      <c r="B16" s="336"/>
      <c r="C16" s="354"/>
      <c r="D16" s="357"/>
      <c r="E16" s="357"/>
      <c r="F16" s="357"/>
      <c r="G16" s="49" t="s">
        <v>10</v>
      </c>
      <c r="H16" s="157">
        <f>+J16+V16+P16+AB16</f>
        <v>3942495000</v>
      </c>
      <c r="I16" s="157"/>
      <c r="J16" s="143">
        <v>807378000</v>
      </c>
      <c r="K16" s="144">
        <v>807536000</v>
      </c>
      <c r="L16" s="144">
        <v>807536000</v>
      </c>
      <c r="M16" s="144"/>
      <c r="N16" s="144"/>
      <c r="O16" s="144"/>
      <c r="P16" s="143">
        <f>1172581000+47250000</f>
        <v>1219831000</v>
      </c>
      <c r="Q16" s="144"/>
      <c r="R16" s="144"/>
      <c r="S16" s="144"/>
      <c r="T16" s="144"/>
      <c r="U16" s="144"/>
      <c r="V16" s="143">
        <f>1212461000+49612000</f>
        <v>1262073000</v>
      </c>
      <c r="W16" s="144"/>
      <c r="X16" s="144"/>
      <c r="Y16" s="144"/>
      <c r="Z16" s="144"/>
      <c r="AA16" s="144"/>
      <c r="AB16" s="143">
        <f>636925000+16288000</f>
        <v>653213000</v>
      </c>
      <c r="AC16" s="144"/>
      <c r="AD16" s="144"/>
      <c r="AE16" s="144"/>
      <c r="AF16" s="144"/>
      <c r="AG16" s="144">
        <v>0</v>
      </c>
      <c r="AH16" s="144">
        <v>453758000</v>
      </c>
      <c r="AI16" s="143">
        <v>566469261</v>
      </c>
      <c r="AJ16" s="145"/>
      <c r="AK16" s="146">
        <f>AH16/K16</f>
        <v>0.56190436092013241</v>
      </c>
      <c r="AL16" s="146">
        <f>+AH16/(K16+P16+V16+AB16)</f>
        <v>0.11508950952569247</v>
      </c>
      <c r="AM16" s="387"/>
      <c r="AN16" s="366"/>
      <c r="AO16" s="366"/>
      <c r="AP16" s="348"/>
      <c r="AQ16" s="345"/>
      <c r="AR16" s="70"/>
      <c r="AT16" s="72"/>
      <c r="AU16" s="72"/>
      <c r="AV16" s="72"/>
      <c r="AW16" s="72"/>
      <c r="AX16" s="72"/>
      <c r="AY16" s="72"/>
    </row>
    <row r="17" spans="1:51" s="71" customFormat="1" ht="24.75" customHeight="1">
      <c r="A17" s="360"/>
      <c r="B17" s="336"/>
      <c r="C17" s="354"/>
      <c r="D17" s="357"/>
      <c r="E17" s="357"/>
      <c r="F17" s="357"/>
      <c r="G17" s="49" t="s">
        <v>11</v>
      </c>
      <c r="H17" s="158"/>
      <c r="I17" s="158"/>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9"/>
      <c r="AH17" s="149"/>
      <c r="AI17" s="145"/>
      <c r="AJ17" s="149"/>
      <c r="AK17" s="146"/>
      <c r="AL17" s="146"/>
      <c r="AM17" s="387"/>
      <c r="AN17" s="366"/>
      <c r="AO17" s="366"/>
      <c r="AP17" s="348"/>
      <c r="AQ17" s="345"/>
      <c r="AR17" s="70"/>
      <c r="AT17" s="72"/>
      <c r="AU17" s="72"/>
      <c r="AV17" s="72"/>
      <c r="AW17" s="72"/>
      <c r="AX17" s="72"/>
      <c r="AY17" s="72"/>
    </row>
    <row r="18" spans="1:51" s="71" customFormat="1" ht="19.5" customHeight="1" thickBot="1">
      <c r="A18" s="360"/>
      <c r="B18" s="336"/>
      <c r="C18" s="354"/>
      <c r="D18" s="357"/>
      <c r="E18" s="357"/>
      <c r="F18" s="357"/>
      <c r="G18" s="49" t="s">
        <v>12</v>
      </c>
      <c r="H18" s="159">
        <v>383607921</v>
      </c>
      <c r="I18" s="159"/>
      <c r="J18" s="150"/>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44"/>
      <c r="AH18" s="144"/>
      <c r="AI18" s="160"/>
      <c r="AJ18" s="144"/>
      <c r="AK18" s="146"/>
      <c r="AL18" s="146"/>
      <c r="AM18" s="387"/>
      <c r="AN18" s="366"/>
      <c r="AO18" s="366"/>
      <c r="AP18" s="348"/>
      <c r="AQ18" s="345"/>
      <c r="AR18" s="70"/>
      <c r="AT18" s="72"/>
      <c r="AU18" s="72"/>
      <c r="AV18" s="72"/>
      <c r="AW18" s="72"/>
      <c r="AX18" s="72"/>
      <c r="AY18" s="72"/>
    </row>
    <row r="19" spans="1:51" s="71" customFormat="1" ht="21" customHeight="1">
      <c r="A19" s="360"/>
      <c r="B19" s="336"/>
      <c r="C19" s="354"/>
      <c r="D19" s="357"/>
      <c r="E19" s="357"/>
      <c r="F19" s="357"/>
      <c r="G19" s="49" t="s">
        <v>13</v>
      </c>
      <c r="H19" s="69">
        <v>1000</v>
      </c>
      <c r="I19" s="69"/>
      <c r="J19" s="69">
        <v>681</v>
      </c>
      <c r="K19" s="69">
        <v>681</v>
      </c>
      <c r="L19" s="69">
        <v>125</v>
      </c>
      <c r="M19" s="69"/>
      <c r="N19" s="69"/>
      <c r="O19" s="69"/>
      <c r="P19" s="69">
        <v>125</v>
      </c>
      <c r="Q19" s="69"/>
      <c r="R19" s="69"/>
      <c r="S19" s="69"/>
      <c r="T19" s="69"/>
      <c r="U19" s="69"/>
      <c r="V19" s="69">
        <v>125</v>
      </c>
      <c r="W19" s="69"/>
      <c r="X19" s="69"/>
      <c r="Y19" s="69"/>
      <c r="Z19" s="69"/>
      <c r="AA19" s="69"/>
      <c r="AB19" s="69">
        <v>69</v>
      </c>
      <c r="AC19" s="33"/>
      <c r="AD19" s="33"/>
      <c r="AE19" s="33"/>
      <c r="AF19" s="33"/>
      <c r="AG19" s="149">
        <v>591</v>
      </c>
      <c r="AH19" s="149">
        <v>605</v>
      </c>
      <c r="AI19" s="73">
        <v>661</v>
      </c>
      <c r="AJ19" s="145"/>
      <c r="AK19" s="153"/>
      <c r="AL19" s="153"/>
      <c r="AM19" s="387"/>
      <c r="AN19" s="366"/>
      <c r="AO19" s="366"/>
      <c r="AP19" s="348"/>
      <c r="AQ19" s="345"/>
      <c r="AR19" s="70"/>
      <c r="AT19" s="72"/>
      <c r="AU19" s="72"/>
      <c r="AV19" s="72"/>
      <c r="AW19" s="72"/>
      <c r="AX19" s="72"/>
      <c r="AY19" s="72"/>
    </row>
    <row r="20" spans="1:51" s="71" customFormat="1" ht="19.5" customHeight="1" thickBot="1">
      <c r="A20" s="361"/>
      <c r="B20" s="337"/>
      <c r="C20" s="355"/>
      <c r="D20" s="358"/>
      <c r="E20" s="358"/>
      <c r="F20" s="358"/>
      <c r="G20" s="50" t="s">
        <v>14</v>
      </c>
      <c r="H20" s="161">
        <f>H16</f>
        <v>3942495000</v>
      </c>
      <c r="I20" s="161"/>
      <c r="J20" s="154">
        <f>+J10+J16</f>
        <v>1535378000</v>
      </c>
      <c r="K20" s="154">
        <v>807536000</v>
      </c>
      <c r="L20" s="154">
        <v>807536000</v>
      </c>
      <c r="M20" s="154"/>
      <c r="N20" s="154"/>
      <c r="O20" s="154"/>
      <c r="P20" s="154">
        <f t="shared" ref="P20:T20" si="1">P16</f>
        <v>1219831000</v>
      </c>
      <c r="Q20" s="154">
        <f t="shared" si="1"/>
        <v>0</v>
      </c>
      <c r="R20" s="154">
        <f t="shared" si="1"/>
        <v>0</v>
      </c>
      <c r="S20" s="154">
        <f t="shared" si="1"/>
        <v>0</v>
      </c>
      <c r="T20" s="154">
        <f t="shared" si="1"/>
        <v>0</v>
      </c>
      <c r="U20" s="154"/>
      <c r="V20" s="154">
        <f>V16</f>
        <v>1262073000</v>
      </c>
      <c r="W20" s="154"/>
      <c r="X20" s="154"/>
      <c r="Y20" s="154"/>
      <c r="Z20" s="154"/>
      <c r="AA20" s="154"/>
      <c r="AB20" s="154">
        <f>AB16</f>
        <v>653213000</v>
      </c>
      <c r="AC20" s="154"/>
      <c r="AD20" s="154"/>
      <c r="AE20" s="154"/>
      <c r="AF20" s="154"/>
      <c r="AG20" s="154">
        <v>0</v>
      </c>
      <c r="AH20" s="154">
        <v>453758000</v>
      </c>
      <c r="AI20" s="155">
        <v>566469261</v>
      </c>
      <c r="AJ20" s="155"/>
      <c r="AK20" s="156"/>
      <c r="AL20" s="156"/>
      <c r="AM20" s="388"/>
      <c r="AN20" s="367"/>
      <c r="AO20" s="367"/>
      <c r="AP20" s="349"/>
      <c r="AQ20" s="346"/>
      <c r="AR20" s="70"/>
      <c r="AT20" s="72"/>
      <c r="AU20" s="72"/>
      <c r="AV20" s="72"/>
      <c r="AW20" s="72"/>
      <c r="AX20" s="72"/>
      <c r="AY20" s="72"/>
    </row>
    <row r="21" spans="1:51" thickBot="1">
      <c r="A21" s="338" t="s">
        <v>15</v>
      </c>
      <c r="B21" s="339"/>
      <c r="C21" s="339"/>
      <c r="D21" s="339"/>
      <c r="E21" s="339"/>
      <c r="F21" s="340"/>
      <c r="G21" s="51" t="s">
        <v>10</v>
      </c>
      <c r="H21" s="123">
        <f>+H10+H16</f>
        <v>7069337000</v>
      </c>
      <c r="I21" s="123"/>
      <c r="J21" s="123">
        <f t="shared" ref="J21:AJ21" si="2">+J10+J16</f>
        <v>1535378000</v>
      </c>
      <c r="K21" s="123">
        <v>1535378000</v>
      </c>
      <c r="L21" s="123">
        <v>1535378000</v>
      </c>
      <c r="M21" s="123"/>
      <c r="N21" s="123"/>
      <c r="O21" s="123"/>
      <c r="P21" s="123">
        <f t="shared" si="2"/>
        <v>2409831000</v>
      </c>
      <c r="Q21" s="123">
        <f t="shared" si="2"/>
        <v>0</v>
      </c>
      <c r="R21" s="123">
        <f t="shared" si="2"/>
        <v>0</v>
      </c>
      <c r="S21" s="123">
        <f t="shared" si="2"/>
        <v>0</v>
      </c>
      <c r="T21" s="123">
        <f t="shared" si="2"/>
        <v>0</v>
      </c>
      <c r="U21" s="123"/>
      <c r="V21" s="123">
        <f t="shared" si="2"/>
        <v>2053073000</v>
      </c>
      <c r="W21" s="123">
        <f t="shared" si="2"/>
        <v>0</v>
      </c>
      <c r="X21" s="123">
        <f t="shared" si="2"/>
        <v>0</v>
      </c>
      <c r="Y21" s="123">
        <f t="shared" si="2"/>
        <v>0</v>
      </c>
      <c r="Z21" s="123">
        <f t="shared" si="2"/>
        <v>0</v>
      </c>
      <c r="AA21" s="123"/>
      <c r="AB21" s="123">
        <f t="shared" si="2"/>
        <v>1071213000</v>
      </c>
      <c r="AC21" s="123">
        <f t="shared" si="2"/>
        <v>0</v>
      </c>
      <c r="AD21" s="123">
        <f t="shared" si="2"/>
        <v>0</v>
      </c>
      <c r="AE21" s="123">
        <f t="shared" si="2"/>
        <v>0</v>
      </c>
      <c r="AF21" s="123">
        <f t="shared" si="2"/>
        <v>0</v>
      </c>
      <c r="AG21" s="290">
        <f t="shared" ref="AG21:AH21" si="3">+AG10+AG16</f>
        <v>0</v>
      </c>
      <c r="AH21" s="123">
        <f t="shared" si="3"/>
        <v>608874000</v>
      </c>
      <c r="AI21" s="123">
        <f t="shared" si="2"/>
        <v>1121941261</v>
      </c>
      <c r="AJ21" s="123">
        <f t="shared" si="2"/>
        <v>0</v>
      </c>
      <c r="AK21" s="75"/>
      <c r="AL21" s="75"/>
      <c r="AM21" s="53"/>
      <c r="AN21" s="53"/>
      <c r="AO21" s="53"/>
      <c r="AP21" s="53"/>
      <c r="AQ21" s="54"/>
    </row>
    <row r="22" spans="1:51" ht="18">
      <c r="A22" s="338"/>
      <c r="B22" s="339"/>
      <c r="C22" s="339"/>
      <c r="D22" s="339"/>
      <c r="E22" s="339"/>
      <c r="F22" s="340"/>
      <c r="G22" s="49" t="s">
        <v>12</v>
      </c>
      <c r="H22" s="74">
        <f>H12+H18</f>
        <v>566911717</v>
      </c>
      <c r="I22" s="74"/>
      <c r="J22" s="74">
        <f>J12+J18</f>
        <v>0</v>
      </c>
      <c r="K22" s="139">
        <v>0</v>
      </c>
      <c r="L22" s="32" t="s">
        <v>216</v>
      </c>
      <c r="M22" s="32"/>
      <c r="N22" s="32"/>
      <c r="O22" s="32"/>
      <c r="P22" s="32"/>
      <c r="Q22" s="32"/>
      <c r="R22" s="32"/>
      <c r="S22" s="32"/>
      <c r="T22" s="32"/>
      <c r="U22" s="32"/>
      <c r="V22" s="32"/>
      <c r="W22" s="32"/>
      <c r="X22" s="32"/>
      <c r="Y22" s="32"/>
      <c r="Z22" s="32"/>
      <c r="AA22" s="32"/>
      <c r="AB22" s="32"/>
      <c r="AC22" s="32"/>
      <c r="AD22" s="32"/>
      <c r="AE22" s="32"/>
      <c r="AF22" s="32"/>
      <c r="AG22" s="34"/>
      <c r="AH22" s="34"/>
      <c r="AI22" s="37"/>
      <c r="AJ22" s="35"/>
      <c r="AK22" s="52"/>
      <c r="AL22" s="52"/>
      <c r="AM22" s="53"/>
      <c r="AN22" s="53"/>
      <c r="AO22" s="53"/>
      <c r="AP22" s="53"/>
      <c r="AQ22" s="54"/>
    </row>
    <row r="23" spans="1:51" ht="16.5" thickBot="1">
      <c r="A23" s="341"/>
      <c r="B23" s="342"/>
      <c r="C23" s="342"/>
      <c r="D23" s="342"/>
      <c r="E23" s="342"/>
      <c r="F23" s="343"/>
      <c r="G23" s="50" t="s">
        <v>15</v>
      </c>
      <c r="H23" s="124">
        <f>+H14+H20</f>
        <v>7069337000</v>
      </c>
      <c r="I23" s="123"/>
      <c r="J23" s="123">
        <f>+J21</f>
        <v>1535378000</v>
      </c>
      <c r="K23" s="124">
        <v>1535378000</v>
      </c>
      <c r="L23" s="124">
        <v>1535378000</v>
      </c>
      <c r="M23" s="124"/>
      <c r="N23" s="124"/>
      <c r="O23" s="123"/>
      <c r="P23" s="123">
        <f t="shared" ref="P23:AB23" si="4">+P21</f>
        <v>2409831000</v>
      </c>
      <c r="Q23" s="124">
        <f t="shared" si="4"/>
        <v>0</v>
      </c>
      <c r="R23" s="124">
        <f t="shared" si="4"/>
        <v>0</v>
      </c>
      <c r="S23" s="124">
        <f t="shared" si="4"/>
        <v>0</v>
      </c>
      <c r="T23" s="124">
        <f t="shared" si="4"/>
        <v>0</v>
      </c>
      <c r="U23" s="123"/>
      <c r="V23" s="123">
        <f t="shared" si="4"/>
        <v>2053073000</v>
      </c>
      <c r="W23" s="124">
        <f t="shared" si="4"/>
        <v>0</v>
      </c>
      <c r="X23" s="124">
        <f t="shared" si="4"/>
        <v>0</v>
      </c>
      <c r="Y23" s="124">
        <f t="shared" si="4"/>
        <v>0</v>
      </c>
      <c r="Z23" s="124">
        <f t="shared" si="4"/>
        <v>0</v>
      </c>
      <c r="AA23" s="123"/>
      <c r="AB23" s="123">
        <f t="shared" si="4"/>
        <v>1071213000</v>
      </c>
      <c r="AC23" s="124"/>
      <c r="AD23" s="124"/>
      <c r="AE23" s="124"/>
      <c r="AF23" s="124"/>
      <c r="AG23" s="125">
        <f>+AG21+AG22</f>
        <v>0</v>
      </c>
      <c r="AH23" s="125">
        <f>+AH21+AH22</f>
        <v>608874000</v>
      </c>
      <c r="AI23" s="124">
        <f>+AI21+AI22</f>
        <v>1121941261</v>
      </c>
      <c r="AJ23" s="55"/>
      <c r="AK23" s="56"/>
      <c r="AL23" s="56"/>
      <c r="AM23" s="57"/>
      <c r="AN23" s="57"/>
      <c r="AO23" s="57"/>
      <c r="AP23" s="57"/>
      <c r="AQ23" s="58"/>
      <c r="AR23" s="6"/>
      <c r="AS23" s="6"/>
      <c r="AT23" s="6"/>
      <c r="AU23" s="6"/>
    </row>
    <row r="24" spans="1:51" ht="15">
      <c r="A24" s="333" t="s">
        <v>203</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row>
    <row r="25" spans="1:51" ht="15.75" customHeight="1">
      <c r="A25" s="334"/>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row>
    <row r="26" spans="1:51" ht="15.75" customHeight="1">
      <c r="A26" s="334"/>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row>
    <row r="27" spans="1:51" ht="15.75" customHeight="1">
      <c r="A27" s="334"/>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row>
  </sheetData>
  <mergeCells count="51">
    <mergeCell ref="A1:E4"/>
    <mergeCell ref="F1:AQ1"/>
    <mergeCell ref="M4:AQ4"/>
    <mergeCell ref="AQ6:AQ8"/>
    <mergeCell ref="E15:E20"/>
    <mergeCell ref="F15:F20"/>
    <mergeCell ref="AM15:AM20"/>
    <mergeCell ref="A6:A8"/>
    <mergeCell ref="B6:D7"/>
    <mergeCell ref="F2:AQ2"/>
    <mergeCell ref="F3:L3"/>
    <mergeCell ref="M3:AQ3"/>
    <mergeCell ref="F4:L4"/>
    <mergeCell ref="AP9:AP14"/>
    <mergeCell ref="AM9:AM14"/>
    <mergeCell ref="AN9:AN14"/>
    <mergeCell ref="AP6:AP8"/>
    <mergeCell ref="E6:E8"/>
    <mergeCell ref="F6:F8"/>
    <mergeCell ref="G6:G8"/>
    <mergeCell ref="H6:H8"/>
    <mergeCell ref="J6:AF6"/>
    <mergeCell ref="AM6:AM8"/>
    <mergeCell ref="AN6:AN8"/>
    <mergeCell ref="AG7:AJ7"/>
    <mergeCell ref="AG6:AJ6"/>
    <mergeCell ref="AO15:AO20"/>
    <mergeCell ref="AO9:AO14"/>
    <mergeCell ref="C15:C20"/>
    <mergeCell ref="D15:D20"/>
    <mergeCell ref="AO6:AO8"/>
    <mergeCell ref="I7:N7"/>
    <mergeCell ref="O7:T7"/>
    <mergeCell ref="U7:Z7"/>
    <mergeCell ref="AA7:AF7"/>
    <mergeCell ref="A24:AQ27"/>
    <mergeCell ref="B15:B20"/>
    <mergeCell ref="AK6:AK8"/>
    <mergeCell ref="AL6:AL8"/>
    <mergeCell ref="A21:F23"/>
    <mergeCell ref="AQ15:AQ20"/>
    <mergeCell ref="AQ9:AQ14"/>
    <mergeCell ref="AP15:AP20"/>
    <mergeCell ref="B9:B14"/>
    <mergeCell ref="C9:C14"/>
    <mergeCell ref="D9:D14"/>
    <mergeCell ref="E9:E14"/>
    <mergeCell ref="F9:F14"/>
    <mergeCell ref="A15:A20"/>
    <mergeCell ref="A9:A14"/>
    <mergeCell ref="AN15:AN20"/>
  </mergeCells>
  <pageMargins left="0.7" right="0.7" top="0.75" bottom="0.75" header="0.3" footer="0.3"/>
  <pageSetup scale="11" orientation="portrait" r:id="rId1"/>
  <colBreaks count="1" manualBreakCount="1">
    <brk id="43"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view="pageBreakPreview" zoomScale="60" zoomScaleNormal="50" zoomScalePageLayoutView="50" workbookViewId="0">
      <selection activeCell="V25" sqref="V25"/>
    </sheetView>
  </sheetViews>
  <sheetFormatPr baseColWidth="10" defaultColWidth="10.85546875" defaultRowHeight="12.75"/>
  <cols>
    <col min="1" max="1" width="12.28515625" style="9" customWidth="1"/>
    <col min="2" max="2" width="18" style="9" customWidth="1"/>
    <col min="3" max="3" width="41.85546875" style="26" customWidth="1"/>
    <col min="4" max="4" width="6.28515625" style="9" customWidth="1"/>
    <col min="5" max="5" width="7.7109375" style="9" customWidth="1"/>
    <col min="6" max="6" width="9.42578125" style="9" customWidth="1"/>
    <col min="7" max="7" width="7" style="9" customWidth="1"/>
    <col min="8" max="8" width="6.7109375" style="9" customWidth="1"/>
    <col min="9" max="13" width="7" style="9" customWidth="1"/>
    <col min="14" max="14" width="7" style="10" customWidth="1"/>
    <col min="15" max="16" width="9.42578125" style="10" customWidth="1"/>
    <col min="17" max="18" width="9.42578125" style="62" customWidth="1"/>
    <col min="19" max="19" width="11.7109375" style="10" customWidth="1"/>
    <col min="20" max="20" width="12.5703125" style="62" customWidth="1"/>
    <col min="21" max="21" width="12.42578125" style="62" customWidth="1"/>
    <col min="22" max="22" width="108.7109375" style="14" customWidth="1"/>
    <col min="23" max="23" width="15.7109375" style="14" customWidth="1"/>
    <col min="24" max="60" width="10.85546875" style="14"/>
    <col min="61" max="16384" width="10.85546875" style="9"/>
  </cols>
  <sheetData>
    <row r="1" spans="1:22" s="11" customFormat="1" ht="33" customHeight="1">
      <c r="A1" s="454"/>
      <c r="B1" s="455"/>
      <c r="C1" s="460" t="s">
        <v>0</v>
      </c>
      <c r="D1" s="460"/>
      <c r="E1" s="460"/>
      <c r="F1" s="460"/>
      <c r="G1" s="460"/>
      <c r="H1" s="460"/>
      <c r="I1" s="460"/>
      <c r="J1" s="460"/>
      <c r="K1" s="460"/>
      <c r="L1" s="460"/>
      <c r="M1" s="460"/>
      <c r="N1" s="460"/>
      <c r="O1" s="460"/>
      <c r="P1" s="460"/>
      <c r="Q1" s="460"/>
      <c r="R1" s="460"/>
      <c r="S1" s="460"/>
      <c r="T1" s="460"/>
      <c r="U1" s="460"/>
      <c r="V1" s="461"/>
    </row>
    <row r="2" spans="1:22" s="11" customFormat="1" ht="30" customHeight="1">
      <c r="A2" s="456"/>
      <c r="B2" s="457"/>
      <c r="C2" s="462" t="s">
        <v>67</v>
      </c>
      <c r="D2" s="462"/>
      <c r="E2" s="462"/>
      <c r="F2" s="462"/>
      <c r="G2" s="462"/>
      <c r="H2" s="462"/>
      <c r="I2" s="462"/>
      <c r="J2" s="462"/>
      <c r="K2" s="462"/>
      <c r="L2" s="462"/>
      <c r="M2" s="462"/>
      <c r="N2" s="462"/>
      <c r="O2" s="462"/>
      <c r="P2" s="462"/>
      <c r="Q2" s="462"/>
      <c r="R2" s="462"/>
      <c r="S2" s="462"/>
      <c r="T2" s="462"/>
      <c r="U2" s="462"/>
      <c r="V2" s="463"/>
    </row>
    <row r="3" spans="1:22" s="11" customFormat="1" ht="27.75" customHeight="1">
      <c r="A3" s="456"/>
      <c r="B3" s="457"/>
      <c r="C3" s="36" t="s">
        <v>1</v>
      </c>
      <c r="D3" s="462" t="s">
        <v>80</v>
      </c>
      <c r="E3" s="462"/>
      <c r="F3" s="462"/>
      <c r="G3" s="462"/>
      <c r="H3" s="462"/>
      <c r="I3" s="462"/>
      <c r="J3" s="462"/>
      <c r="K3" s="462"/>
      <c r="L3" s="462"/>
      <c r="M3" s="462"/>
      <c r="N3" s="462"/>
      <c r="O3" s="462"/>
      <c r="P3" s="462"/>
      <c r="Q3" s="462"/>
      <c r="R3" s="462"/>
      <c r="S3" s="462"/>
      <c r="T3" s="462"/>
      <c r="U3" s="462"/>
      <c r="V3" s="462"/>
    </row>
    <row r="4" spans="1:22" s="11" customFormat="1" ht="33" customHeight="1" thickBot="1">
      <c r="A4" s="458"/>
      <c r="B4" s="459"/>
      <c r="C4" s="59" t="s">
        <v>16</v>
      </c>
      <c r="D4" s="464"/>
      <c r="E4" s="464"/>
      <c r="F4" s="464"/>
      <c r="G4" s="464"/>
      <c r="H4" s="464"/>
      <c r="I4" s="464"/>
      <c r="J4" s="464"/>
      <c r="K4" s="464"/>
      <c r="L4" s="464"/>
      <c r="M4" s="464"/>
      <c r="N4" s="464"/>
      <c r="O4" s="464"/>
      <c r="P4" s="464"/>
      <c r="Q4" s="464"/>
      <c r="R4" s="464"/>
      <c r="S4" s="464"/>
      <c r="T4" s="464"/>
      <c r="U4" s="464"/>
      <c r="V4" s="465"/>
    </row>
    <row r="5" spans="1:22" s="11" customFormat="1" ht="13.5" thickBot="1">
      <c r="A5" s="12"/>
      <c r="B5" s="9"/>
      <c r="C5" s="23"/>
      <c r="D5" s="9"/>
      <c r="E5" s="9"/>
      <c r="F5" s="9"/>
      <c r="G5" s="9"/>
      <c r="H5" s="9"/>
      <c r="I5" s="9"/>
      <c r="J5" s="9"/>
      <c r="K5" s="9"/>
      <c r="L5" s="9"/>
      <c r="M5" s="9"/>
      <c r="N5" s="10"/>
      <c r="O5" s="10"/>
      <c r="P5" s="10"/>
      <c r="Q5" s="62"/>
      <c r="R5" s="62"/>
      <c r="S5" s="10"/>
      <c r="T5" s="62"/>
      <c r="U5" s="62"/>
    </row>
    <row r="6" spans="1:22" s="13" customFormat="1" ht="42.75" customHeight="1">
      <c r="A6" s="417" t="s">
        <v>23</v>
      </c>
      <c r="B6" s="416" t="s">
        <v>24</v>
      </c>
      <c r="C6" s="438" t="s">
        <v>25</v>
      </c>
      <c r="D6" s="414" t="s">
        <v>26</v>
      </c>
      <c r="E6" s="415"/>
      <c r="F6" s="416" t="s">
        <v>105</v>
      </c>
      <c r="G6" s="416"/>
      <c r="H6" s="416"/>
      <c r="I6" s="416"/>
      <c r="J6" s="416"/>
      <c r="K6" s="416"/>
      <c r="L6" s="416"/>
      <c r="M6" s="416"/>
      <c r="N6" s="416"/>
      <c r="O6" s="416"/>
      <c r="P6" s="416"/>
      <c r="Q6" s="416"/>
      <c r="R6" s="416"/>
      <c r="S6" s="416"/>
      <c r="T6" s="416" t="s">
        <v>30</v>
      </c>
      <c r="U6" s="416"/>
      <c r="V6" s="436" t="s">
        <v>229</v>
      </c>
    </row>
    <row r="7" spans="1:22" s="13" customFormat="1" ht="44.25" customHeight="1" thickBot="1">
      <c r="A7" s="418"/>
      <c r="B7" s="419"/>
      <c r="C7" s="439"/>
      <c r="D7" s="90" t="s">
        <v>27</v>
      </c>
      <c r="E7" s="90" t="s">
        <v>28</v>
      </c>
      <c r="F7" s="90" t="s">
        <v>29</v>
      </c>
      <c r="G7" s="428" t="s">
        <v>114</v>
      </c>
      <c r="H7" s="429"/>
      <c r="I7" s="430"/>
      <c r="J7" s="428" t="s">
        <v>17</v>
      </c>
      <c r="K7" s="429"/>
      <c r="L7" s="430"/>
      <c r="M7" s="428" t="s">
        <v>220</v>
      </c>
      <c r="N7" s="429"/>
      <c r="O7" s="430"/>
      <c r="P7" s="428" t="s">
        <v>115</v>
      </c>
      <c r="Q7" s="429"/>
      <c r="R7" s="430"/>
      <c r="S7" s="89" t="s">
        <v>18</v>
      </c>
      <c r="T7" s="89" t="s">
        <v>31</v>
      </c>
      <c r="U7" s="89" t="s">
        <v>32</v>
      </c>
      <c r="V7" s="437"/>
    </row>
    <row r="8" spans="1:22" s="14" customFormat="1" ht="30" customHeight="1">
      <c r="A8" s="411" t="s">
        <v>79</v>
      </c>
      <c r="B8" s="422" t="s">
        <v>116</v>
      </c>
      <c r="C8" s="440" t="s">
        <v>81</v>
      </c>
      <c r="D8" s="425" t="s">
        <v>82</v>
      </c>
      <c r="E8" s="427"/>
      <c r="F8" s="91" t="s">
        <v>19</v>
      </c>
      <c r="G8" s="431">
        <f>8.33333333333333%*3</f>
        <v>0.24999999999999989</v>
      </c>
      <c r="H8" s="431"/>
      <c r="I8" s="431"/>
      <c r="J8" s="431">
        <f t="shared" ref="J8:J14" si="0">8.33333333333333%*3</f>
        <v>0.24999999999999989</v>
      </c>
      <c r="K8" s="431"/>
      <c r="L8" s="431"/>
      <c r="M8" s="431">
        <f t="shared" ref="M8:M15" si="1">8.33333333333333%*3</f>
        <v>0.24999999999999989</v>
      </c>
      <c r="N8" s="431"/>
      <c r="O8" s="431"/>
      <c r="P8" s="431">
        <f t="shared" ref="P8:P14" si="2">8.33333333333333%*3</f>
        <v>0.24999999999999989</v>
      </c>
      <c r="Q8" s="431"/>
      <c r="R8" s="431"/>
      <c r="S8" s="92">
        <f t="shared" ref="S8:S21" si="3">SUM(G8:R8)</f>
        <v>0.99999999999999956</v>
      </c>
      <c r="T8" s="441">
        <f>SUM(U8:U13)</f>
        <v>0.5</v>
      </c>
      <c r="U8" s="441">
        <v>0.1</v>
      </c>
      <c r="V8" s="409" t="s">
        <v>225</v>
      </c>
    </row>
    <row r="9" spans="1:22" s="14" customFormat="1" ht="43.5" customHeight="1">
      <c r="A9" s="412"/>
      <c r="B9" s="423"/>
      <c r="C9" s="420"/>
      <c r="D9" s="426"/>
      <c r="E9" s="426"/>
      <c r="F9" s="93" t="s">
        <v>20</v>
      </c>
      <c r="G9" s="406">
        <f>8.33333333333333%*3</f>
        <v>0.24999999999999989</v>
      </c>
      <c r="H9" s="406"/>
      <c r="I9" s="406"/>
      <c r="J9" s="403">
        <v>0.25</v>
      </c>
      <c r="K9" s="403"/>
      <c r="L9" s="403"/>
      <c r="M9" s="467">
        <v>0.25</v>
      </c>
      <c r="N9" s="467"/>
      <c r="O9" s="467"/>
      <c r="P9" s="403"/>
      <c r="Q9" s="403"/>
      <c r="R9" s="403"/>
      <c r="S9" s="93">
        <f>SUM(G9:R9)</f>
        <v>0.74999999999999989</v>
      </c>
      <c r="T9" s="434"/>
      <c r="U9" s="434"/>
      <c r="V9" s="410"/>
    </row>
    <row r="10" spans="1:22" s="14" customFormat="1" ht="27" customHeight="1">
      <c r="A10" s="412"/>
      <c r="B10" s="423"/>
      <c r="C10" s="420" t="s">
        <v>89</v>
      </c>
      <c r="D10" s="426" t="s">
        <v>82</v>
      </c>
      <c r="E10" s="443"/>
      <c r="F10" s="94" t="s">
        <v>19</v>
      </c>
      <c r="G10" s="403">
        <f>2.33333333333333%*3</f>
        <v>6.9999999999999896E-2</v>
      </c>
      <c r="H10" s="403"/>
      <c r="I10" s="403"/>
      <c r="J10" s="403">
        <v>0.34</v>
      </c>
      <c r="K10" s="403"/>
      <c r="L10" s="403"/>
      <c r="M10" s="403">
        <v>0.34</v>
      </c>
      <c r="N10" s="403"/>
      <c r="O10" s="403"/>
      <c r="P10" s="403">
        <f>8.33333333333333%*3</f>
        <v>0.24999999999999989</v>
      </c>
      <c r="Q10" s="403"/>
      <c r="R10" s="403"/>
      <c r="S10" s="93">
        <f>SUM(G10:R10)</f>
        <v>0.99999999999999989</v>
      </c>
      <c r="T10" s="434"/>
      <c r="U10" s="434">
        <v>0.3</v>
      </c>
      <c r="V10" s="410" t="s">
        <v>226</v>
      </c>
    </row>
    <row r="11" spans="1:22" s="14" customFormat="1" ht="54.75" customHeight="1">
      <c r="A11" s="412"/>
      <c r="B11" s="423"/>
      <c r="C11" s="420"/>
      <c r="D11" s="426"/>
      <c r="E11" s="426"/>
      <c r="F11" s="93" t="s">
        <v>20</v>
      </c>
      <c r="G11" s="406">
        <f>2.33333333333333%*3</f>
        <v>6.9999999999999896E-2</v>
      </c>
      <c r="H11" s="406"/>
      <c r="I11" s="406"/>
      <c r="J11" s="403">
        <v>7.0000000000000007E-2</v>
      </c>
      <c r="K11" s="403"/>
      <c r="L11" s="403"/>
      <c r="M11" s="467">
        <v>0.58299999999999996</v>
      </c>
      <c r="N11" s="467"/>
      <c r="O11" s="467"/>
      <c r="P11" s="403"/>
      <c r="Q11" s="403"/>
      <c r="R11" s="403"/>
      <c r="S11" s="93">
        <f t="shared" si="3"/>
        <v>0.72299999999999986</v>
      </c>
      <c r="T11" s="434"/>
      <c r="U11" s="434"/>
      <c r="V11" s="410"/>
    </row>
    <row r="12" spans="1:22" s="14" customFormat="1" ht="27" customHeight="1">
      <c r="A12" s="412"/>
      <c r="B12" s="423"/>
      <c r="C12" s="420" t="s">
        <v>97</v>
      </c>
      <c r="D12" s="426" t="s">
        <v>82</v>
      </c>
      <c r="E12" s="443"/>
      <c r="F12" s="94" t="s">
        <v>19</v>
      </c>
      <c r="G12" s="407">
        <f>8.33333333333333%*3</f>
        <v>0.24999999999999989</v>
      </c>
      <c r="H12" s="407"/>
      <c r="I12" s="407"/>
      <c r="J12" s="407">
        <f t="shared" si="0"/>
        <v>0.24999999999999989</v>
      </c>
      <c r="K12" s="407"/>
      <c r="L12" s="407"/>
      <c r="M12" s="407">
        <f t="shared" si="1"/>
        <v>0.24999999999999989</v>
      </c>
      <c r="N12" s="407"/>
      <c r="O12" s="407"/>
      <c r="P12" s="407">
        <f t="shared" si="2"/>
        <v>0.24999999999999989</v>
      </c>
      <c r="Q12" s="407"/>
      <c r="R12" s="407"/>
      <c r="S12" s="93">
        <f t="shared" si="3"/>
        <v>0.99999999999999956</v>
      </c>
      <c r="T12" s="434"/>
      <c r="U12" s="434">
        <v>0.1</v>
      </c>
      <c r="V12" s="410" t="s">
        <v>221</v>
      </c>
    </row>
    <row r="13" spans="1:22" s="14" customFormat="1" ht="30" customHeight="1" thickBot="1">
      <c r="A13" s="413"/>
      <c r="B13" s="424"/>
      <c r="C13" s="421"/>
      <c r="D13" s="442"/>
      <c r="E13" s="442"/>
      <c r="F13" s="95" t="s">
        <v>20</v>
      </c>
      <c r="G13" s="406">
        <f>8.33333333333333%*3</f>
        <v>0.24999999999999989</v>
      </c>
      <c r="H13" s="406"/>
      <c r="I13" s="406"/>
      <c r="J13" s="405"/>
      <c r="K13" s="405"/>
      <c r="L13" s="405"/>
      <c r="M13" s="405">
        <v>0.25</v>
      </c>
      <c r="N13" s="405"/>
      <c r="O13" s="405"/>
      <c r="P13" s="405"/>
      <c r="Q13" s="405"/>
      <c r="R13" s="405"/>
      <c r="S13" s="95">
        <f t="shared" si="3"/>
        <v>0.49999999999999989</v>
      </c>
      <c r="T13" s="466"/>
      <c r="U13" s="434"/>
      <c r="V13" s="452"/>
    </row>
    <row r="14" spans="1:22" s="14" customFormat="1" ht="30" customHeight="1" thickBot="1">
      <c r="A14" s="448" t="s">
        <v>104</v>
      </c>
      <c r="B14" s="422" t="s">
        <v>98</v>
      </c>
      <c r="C14" s="440" t="s">
        <v>83</v>
      </c>
      <c r="D14" s="425" t="s">
        <v>82</v>
      </c>
      <c r="E14" s="427"/>
      <c r="F14" s="91" t="s">
        <v>19</v>
      </c>
      <c r="G14" s="431">
        <f>8.33333333333333%*3</f>
        <v>0.24999999999999989</v>
      </c>
      <c r="H14" s="431"/>
      <c r="I14" s="431"/>
      <c r="J14" s="431">
        <f t="shared" si="0"/>
        <v>0.24999999999999989</v>
      </c>
      <c r="K14" s="431"/>
      <c r="L14" s="431"/>
      <c r="M14" s="431">
        <f t="shared" si="1"/>
        <v>0.24999999999999989</v>
      </c>
      <c r="N14" s="431"/>
      <c r="O14" s="431"/>
      <c r="P14" s="431">
        <f t="shared" si="2"/>
        <v>0.24999999999999989</v>
      </c>
      <c r="Q14" s="431"/>
      <c r="R14" s="431"/>
      <c r="S14" s="91">
        <f>SUM(G14:R14)</f>
        <v>0.99999999999999956</v>
      </c>
      <c r="T14" s="441">
        <f>SUM(U14:U23)</f>
        <v>0.50000000000000011</v>
      </c>
      <c r="U14" s="441">
        <v>0.03</v>
      </c>
      <c r="V14" s="453" t="s">
        <v>227</v>
      </c>
    </row>
    <row r="15" spans="1:22" s="14" customFormat="1" ht="38.25" customHeight="1">
      <c r="A15" s="449"/>
      <c r="B15" s="423"/>
      <c r="C15" s="420"/>
      <c r="D15" s="426"/>
      <c r="E15" s="426"/>
      <c r="F15" s="93" t="s">
        <v>20</v>
      </c>
      <c r="G15" s="406">
        <f>8.33333333333333%*3</f>
        <v>0.24999999999999989</v>
      </c>
      <c r="H15" s="406"/>
      <c r="I15" s="406"/>
      <c r="J15" s="403"/>
      <c r="K15" s="403"/>
      <c r="L15" s="403"/>
      <c r="M15" s="431">
        <f t="shared" si="1"/>
        <v>0.24999999999999989</v>
      </c>
      <c r="N15" s="431"/>
      <c r="O15" s="431"/>
      <c r="P15" s="403"/>
      <c r="Q15" s="403"/>
      <c r="R15" s="403"/>
      <c r="S15" s="93">
        <f t="shared" si="3"/>
        <v>0.49999999999999978</v>
      </c>
      <c r="T15" s="434"/>
      <c r="U15" s="434"/>
      <c r="V15" s="408"/>
    </row>
    <row r="16" spans="1:22" s="14" customFormat="1" ht="30" customHeight="1">
      <c r="A16" s="449"/>
      <c r="B16" s="423"/>
      <c r="C16" s="420" t="s">
        <v>88</v>
      </c>
      <c r="D16" s="426" t="s">
        <v>82</v>
      </c>
      <c r="E16" s="443"/>
      <c r="F16" s="94" t="s">
        <v>19</v>
      </c>
      <c r="G16" s="403">
        <f>2.33333333333333%*3</f>
        <v>6.9999999999999896E-2</v>
      </c>
      <c r="H16" s="403"/>
      <c r="I16" s="403"/>
      <c r="J16" s="403">
        <v>0.34</v>
      </c>
      <c r="K16" s="403"/>
      <c r="L16" s="403"/>
      <c r="M16" s="403">
        <v>0.34</v>
      </c>
      <c r="N16" s="403"/>
      <c r="O16" s="403"/>
      <c r="P16" s="403">
        <v>0.25</v>
      </c>
      <c r="Q16" s="403"/>
      <c r="R16" s="403"/>
      <c r="S16" s="94">
        <f>SUM(G16:R16)</f>
        <v>1</v>
      </c>
      <c r="T16" s="434"/>
      <c r="U16" s="434">
        <v>0.2</v>
      </c>
      <c r="V16" s="408" t="s">
        <v>228</v>
      </c>
    </row>
    <row r="17" spans="1:60" s="14" customFormat="1" ht="30" customHeight="1">
      <c r="A17" s="449"/>
      <c r="B17" s="423"/>
      <c r="C17" s="420"/>
      <c r="D17" s="426"/>
      <c r="E17" s="426"/>
      <c r="F17" s="93" t="s">
        <v>20</v>
      </c>
      <c r="G17" s="406">
        <f>2.33333333333333%*3</f>
        <v>6.9999999999999896E-2</v>
      </c>
      <c r="H17" s="406"/>
      <c r="I17" s="406"/>
      <c r="J17" s="403"/>
      <c r="K17" s="403"/>
      <c r="L17" s="403"/>
      <c r="M17" s="404">
        <v>0.65329999999999999</v>
      </c>
      <c r="N17" s="404"/>
      <c r="O17" s="404"/>
      <c r="P17" s="403"/>
      <c r="Q17" s="403"/>
      <c r="R17" s="403"/>
      <c r="S17" s="93">
        <f>SUM(G17:R17)</f>
        <v>0.72329999999999983</v>
      </c>
      <c r="T17" s="434"/>
      <c r="U17" s="434"/>
      <c r="V17" s="408"/>
    </row>
    <row r="18" spans="1:60" s="14" customFormat="1" ht="30" customHeight="1">
      <c r="A18" s="449"/>
      <c r="B18" s="423"/>
      <c r="C18" s="420" t="s">
        <v>84</v>
      </c>
      <c r="D18" s="426" t="s">
        <v>82</v>
      </c>
      <c r="E18" s="443"/>
      <c r="F18" s="94" t="s">
        <v>19</v>
      </c>
      <c r="G18" s="403">
        <v>0.08</v>
      </c>
      <c r="H18" s="403"/>
      <c r="I18" s="403"/>
      <c r="J18" s="407">
        <f>8.33333333333333%*3</f>
        <v>0.24999999999999989</v>
      </c>
      <c r="K18" s="407"/>
      <c r="L18" s="407"/>
      <c r="M18" s="403">
        <v>0.33</v>
      </c>
      <c r="N18" s="403"/>
      <c r="O18" s="403"/>
      <c r="P18" s="403">
        <v>0.34</v>
      </c>
      <c r="Q18" s="403"/>
      <c r="R18" s="403"/>
      <c r="S18" s="94">
        <f>SUM(G18:R18)</f>
        <v>1</v>
      </c>
      <c r="T18" s="434"/>
      <c r="U18" s="434">
        <v>0.2</v>
      </c>
      <c r="V18" s="408" t="s">
        <v>222</v>
      </c>
    </row>
    <row r="19" spans="1:60" s="14" customFormat="1" ht="30" customHeight="1">
      <c r="A19" s="449"/>
      <c r="B19" s="423"/>
      <c r="C19" s="420"/>
      <c r="D19" s="426"/>
      <c r="E19" s="426"/>
      <c r="F19" s="93" t="s">
        <v>20</v>
      </c>
      <c r="G19" s="406">
        <v>0.08</v>
      </c>
      <c r="H19" s="406"/>
      <c r="I19" s="406"/>
      <c r="J19" s="403"/>
      <c r="K19" s="403"/>
      <c r="L19" s="403"/>
      <c r="M19" s="404">
        <v>0.54110000000000003</v>
      </c>
      <c r="N19" s="404"/>
      <c r="O19" s="404"/>
      <c r="P19" s="403"/>
      <c r="Q19" s="403"/>
      <c r="R19" s="403"/>
      <c r="S19" s="93">
        <f>SUM(G19:R19)</f>
        <v>0.62109999999999999</v>
      </c>
      <c r="T19" s="434"/>
      <c r="U19" s="434"/>
      <c r="V19" s="408"/>
    </row>
    <row r="20" spans="1:60" s="14" customFormat="1" ht="36" customHeight="1">
      <c r="A20" s="449"/>
      <c r="B20" s="423"/>
      <c r="C20" s="420" t="s">
        <v>107</v>
      </c>
      <c r="D20" s="426" t="s">
        <v>82</v>
      </c>
      <c r="E20" s="443"/>
      <c r="F20" s="94" t="s">
        <v>19</v>
      </c>
      <c r="G20" s="403">
        <v>0</v>
      </c>
      <c r="H20" s="403"/>
      <c r="I20" s="403"/>
      <c r="J20" s="403">
        <v>0.5</v>
      </c>
      <c r="K20" s="403"/>
      <c r="L20" s="403"/>
      <c r="M20" s="403">
        <v>0.5</v>
      </c>
      <c r="N20" s="403"/>
      <c r="O20" s="403"/>
      <c r="P20" s="403">
        <v>0</v>
      </c>
      <c r="Q20" s="403"/>
      <c r="R20" s="403"/>
      <c r="S20" s="94">
        <f>SUM(G20:R20)</f>
        <v>1</v>
      </c>
      <c r="T20" s="434"/>
      <c r="U20" s="434">
        <v>0.03</v>
      </c>
      <c r="V20" s="408" t="s">
        <v>223</v>
      </c>
    </row>
    <row r="21" spans="1:60" s="14" customFormat="1" ht="36" customHeight="1">
      <c r="A21" s="449"/>
      <c r="B21" s="423"/>
      <c r="C21" s="420"/>
      <c r="D21" s="426"/>
      <c r="E21" s="426"/>
      <c r="F21" s="93" t="s">
        <v>20</v>
      </c>
      <c r="G21" s="403">
        <v>0</v>
      </c>
      <c r="H21" s="403"/>
      <c r="I21" s="403"/>
      <c r="J21" s="404"/>
      <c r="K21" s="404"/>
      <c r="L21" s="404"/>
      <c r="M21" s="403">
        <v>0.6</v>
      </c>
      <c r="N21" s="403"/>
      <c r="O21" s="403"/>
      <c r="P21" s="403"/>
      <c r="Q21" s="403"/>
      <c r="R21" s="403"/>
      <c r="S21" s="93">
        <f t="shared" si="3"/>
        <v>0.6</v>
      </c>
      <c r="T21" s="434"/>
      <c r="U21" s="434"/>
      <c r="V21" s="408"/>
    </row>
    <row r="22" spans="1:60" s="14" customFormat="1" ht="27" customHeight="1">
      <c r="A22" s="449"/>
      <c r="B22" s="423"/>
      <c r="C22" s="420" t="s">
        <v>106</v>
      </c>
      <c r="D22" s="426" t="s">
        <v>82</v>
      </c>
      <c r="E22" s="443"/>
      <c r="F22" s="94" t="s">
        <v>19</v>
      </c>
      <c r="G22" s="403">
        <v>0</v>
      </c>
      <c r="H22" s="403"/>
      <c r="I22" s="403"/>
      <c r="J22" s="403">
        <v>0</v>
      </c>
      <c r="K22" s="403"/>
      <c r="L22" s="403"/>
      <c r="M22" s="403">
        <v>0.5</v>
      </c>
      <c r="N22" s="403"/>
      <c r="O22" s="403"/>
      <c r="P22" s="403">
        <v>0.5</v>
      </c>
      <c r="Q22" s="403"/>
      <c r="R22" s="403"/>
      <c r="S22" s="94">
        <f>SUM(M22:R22)</f>
        <v>1</v>
      </c>
      <c r="T22" s="434"/>
      <c r="U22" s="434">
        <v>0.04</v>
      </c>
      <c r="V22" s="432" t="s">
        <v>224</v>
      </c>
    </row>
    <row r="23" spans="1:60" s="14" customFormat="1" ht="22.5" customHeight="1" thickBot="1">
      <c r="A23" s="450"/>
      <c r="B23" s="451"/>
      <c r="C23" s="447"/>
      <c r="D23" s="446"/>
      <c r="E23" s="446"/>
      <c r="F23" s="96" t="s">
        <v>20</v>
      </c>
      <c r="G23" s="401">
        <v>0</v>
      </c>
      <c r="H23" s="401"/>
      <c r="I23" s="401"/>
      <c r="J23" s="402"/>
      <c r="K23" s="402"/>
      <c r="L23" s="402"/>
      <c r="M23" s="401">
        <v>0.2</v>
      </c>
      <c r="N23" s="401"/>
      <c r="O23" s="401"/>
      <c r="P23" s="401"/>
      <c r="Q23" s="401"/>
      <c r="R23" s="401"/>
      <c r="S23" s="96">
        <f>SUM(G23:R23)</f>
        <v>0.2</v>
      </c>
      <c r="T23" s="435"/>
      <c r="U23" s="435"/>
      <c r="V23" s="433"/>
    </row>
    <row r="24" spans="1:60" s="16" customFormat="1" ht="18.75" customHeight="1" thickBot="1">
      <c r="A24" s="444" t="s">
        <v>21</v>
      </c>
      <c r="B24" s="445"/>
      <c r="C24" s="445"/>
      <c r="D24" s="445"/>
      <c r="E24" s="445"/>
      <c r="F24" s="445"/>
      <c r="G24" s="445"/>
      <c r="H24" s="445"/>
      <c r="I24" s="445"/>
      <c r="J24" s="445"/>
      <c r="K24" s="445"/>
      <c r="L24" s="445"/>
      <c r="M24" s="445"/>
      <c r="N24" s="445"/>
      <c r="O24" s="445"/>
      <c r="P24" s="445"/>
      <c r="Q24" s="445"/>
      <c r="R24" s="445"/>
      <c r="S24" s="445"/>
      <c r="T24" s="97">
        <f>SUM(T8:T23)</f>
        <v>1</v>
      </c>
      <c r="U24" s="97">
        <f>SUM(U8:U23)</f>
        <v>1</v>
      </c>
      <c r="V24" s="61"/>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c r="A25" s="17"/>
      <c r="B25" s="17"/>
      <c r="C25" s="24"/>
      <c r="D25" s="17"/>
      <c r="E25" s="17"/>
      <c r="F25" s="17"/>
      <c r="G25" s="18"/>
      <c r="H25" s="18"/>
      <c r="I25" s="18"/>
      <c r="J25" s="18"/>
      <c r="K25" s="18"/>
      <c r="L25" s="18"/>
      <c r="M25" s="18"/>
      <c r="N25" s="18"/>
      <c r="O25" s="18"/>
      <c r="P25" s="18"/>
      <c r="Q25" s="63"/>
      <c r="R25" s="63"/>
      <c r="S25" s="18"/>
      <c r="T25" s="19"/>
      <c r="U25" s="19"/>
      <c r="V25" s="60" t="s">
        <v>203</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c r="A26" s="14"/>
      <c r="B26" s="14"/>
      <c r="C26" s="25"/>
      <c r="D26" s="14"/>
      <c r="E26" s="14"/>
      <c r="F26" s="14"/>
      <c r="G26" s="14"/>
      <c r="H26" s="14"/>
      <c r="I26" s="14"/>
      <c r="J26" s="14"/>
      <c r="K26" s="14"/>
      <c r="L26" s="14"/>
      <c r="M26" s="14"/>
      <c r="N26" s="20"/>
      <c r="O26" s="20"/>
      <c r="P26" s="20"/>
      <c r="Q26" s="64"/>
      <c r="R26" s="64"/>
      <c r="S26" s="20"/>
      <c r="T26" s="64"/>
      <c r="U26" s="64"/>
    </row>
    <row r="27" spans="1:60">
      <c r="A27" s="14"/>
      <c r="B27" s="14"/>
      <c r="C27" s="25"/>
      <c r="D27" s="14"/>
      <c r="E27" s="14"/>
      <c r="F27" s="14"/>
      <c r="G27" s="14"/>
      <c r="H27" s="14"/>
      <c r="I27" s="14"/>
      <c r="J27" s="14"/>
      <c r="K27" s="14"/>
      <c r="L27" s="14"/>
      <c r="M27" s="14"/>
      <c r="N27" s="20"/>
      <c r="O27" s="20"/>
      <c r="P27" s="20"/>
      <c r="Q27" s="64"/>
      <c r="R27" s="64"/>
      <c r="S27" s="20"/>
      <c r="T27" s="64"/>
      <c r="U27" s="64"/>
    </row>
    <row r="28" spans="1:60">
      <c r="A28" s="14"/>
      <c r="B28" s="14"/>
      <c r="C28" s="25"/>
      <c r="D28" s="14"/>
      <c r="E28" s="14"/>
      <c r="F28" s="14"/>
      <c r="G28" s="14"/>
      <c r="H28" s="14"/>
      <c r="I28" s="14"/>
      <c r="J28" s="14"/>
      <c r="K28" s="14"/>
      <c r="L28" s="14"/>
      <c r="M28" s="14"/>
      <c r="N28" s="20"/>
      <c r="O28" s="20"/>
      <c r="P28" s="20"/>
      <c r="Q28" s="64"/>
      <c r="R28" s="64"/>
      <c r="S28" s="20"/>
      <c r="T28" s="64"/>
      <c r="U28" s="64"/>
    </row>
    <row r="29" spans="1:60">
      <c r="A29" s="14"/>
      <c r="B29" s="14"/>
      <c r="C29" s="25"/>
      <c r="D29" s="14"/>
      <c r="E29" s="14"/>
      <c r="F29" s="14"/>
      <c r="G29" s="14"/>
      <c r="H29" s="14"/>
      <c r="I29" s="14"/>
      <c r="J29" s="14"/>
      <c r="K29" s="14"/>
      <c r="L29" s="14"/>
      <c r="M29" s="14"/>
      <c r="N29" s="20"/>
      <c r="O29" s="20"/>
      <c r="P29" s="20"/>
      <c r="Q29" s="64"/>
      <c r="R29" s="64"/>
      <c r="S29" s="20"/>
      <c r="T29" s="64"/>
      <c r="U29" s="64"/>
    </row>
    <row r="30" spans="1:60">
      <c r="A30" s="14"/>
      <c r="B30" s="14"/>
      <c r="C30" s="25"/>
      <c r="D30" s="14"/>
      <c r="E30" s="14"/>
      <c r="F30" s="14"/>
      <c r="G30" s="14"/>
      <c r="H30" s="14"/>
      <c r="I30" s="14"/>
      <c r="J30" s="14"/>
      <c r="K30" s="14"/>
      <c r="L30" s="14"/>
      <c r="M30" s="14"/>
      <c r="N30" s="20"/>
      <c r="O30" s="20"/>
      <c r="P30" s="20"/>
      <c r="Q30" s="64"/>
      <c r="R30" s="64"/>
      <c r="S30" s="20"/>
      <c r="T30" s="64"/>
      <c r="U30" s="64"/>
    </row>
    <row r="31" spans="1:60">
      <c r="A31" s="14"/>
      <c r="B31" s="14"/>
      <c r="C31" s="25"/>
      <c r="D31" s="14"/>
      <c r="E31" s="14"/>
      <c r="F31" s="14"/>
      <c r="G31" s="14"/>
      <c r="H31" s="14"/>
      <c r="I31" s="14"/>
      <c r="J31" s="14"/>
      <c r="K31" s="14"/>
      <c r="L31" s="14"/>
      <c r="M31" s="14"/>
      <c r="N31" s="20"/>
      <c r="O31" s="20"/>
      <c r="P31" s="20"/>
      <c r="Q31" s="64"/>
      <c r="R31" s="64"/>
      <c r="S31" s="20"/>
      <c r="T31" s="64"/>
      <c r="U31" s="64"/>
    </row>
    <row r="32" spans="1:60">
      <c r="A32" s="14"/>
      <c r="B32" s="14"/>
      <c r="C32" s="25"/>
      <c r="D32" s="14"/>
      <c r="E32" s="14"/>
      <c r="F32" s="14"/>
      <c r="G32" s="14"/>
      <c r="H32" s="14"/>
      <c r="I32" s="14"/>
      <c r="J32" s="14"/>
      <c r="K32" s="14"/>
      <c r="L32" s="14"/>
      <c r="M32" s="14"/>
      <c r="N32" s="20"/>
      <c r="O32" s="20"/>
      <c r="P32" s="20"/>
      <c r="Q32" s="64"/>
      <c r="R32" s="64"/>
      <c r="S32" s="20"/>
      <c r="T32" s="64"/>
      <c r="U32" s="64"/>
    </row>
    <row r="33" spans="1:21">
      <c r="A33" s="14"/>
      <c r="B33" s="14"/>
      <c r="C33" s="25"/>
      <c r="D33" s="14"/>
      <c r="E33" s="14"/>
      <c r="F33" s="14"/>
      <c r="G33" s="14"/>
      <c r="H33" s="14"/>
      <c r="I33" s="14"/>
      <c r="J33" s="14"/>
      <c r="K33" s="14"/>
      <c r="L33" s="14"/>
      <c r="M33" s="14"/>
      <c r="N33" s="20"/>
      <c r="O33" s="20"/>
      <c r="P33" s="20"/>
      <c r="Q33" s="64"/>
      <c r="R33" s="64"/>
      <c r="S33" s="20"/>
      <c r="T33" s="64"/>
      <c r="U33" s="64"/>
    </row>
    <row r="34" spans="1:21">
      <c r="A34" s="14"/>
      <c r="B34" s="14"/>
      <c r="C34" s="25"/>
      <c r="D34" s="14"/>
      <c r="E34" s="14"/>
      <c r="F34" s="14"/>
      <c r="G34" s="14"/>
      <c r="H34" s="14"/>
      <c r="I34" s="14"/>
      <c r="J34" s="14"/>
      <c r="K34" s="14"/>
      <c r="L34" s="14"/>
      <c r="M34" s="14"/>
      <c r="N34" s="20"/>
      <c r="O34" s="20"/>
      <c r="P34" s="20"/>
      <c r="Q34" s="64"/>
      <c r="R34" s="64"/>
      <c r="S34" s="20"/>
      <c r="T34" s="64"/>
      <c r="U34" s="64"/>
    </row>
    <row r="35" spans="1:21">
      <c r="A35" s="14"/>
      <c r="B35" s="14"/>
      <c r="C35" s="25"/>
      <c r="D35" s="14"/>
      <c r="E35" s="14"/>
      <c r="F35" s="14"/>
      <c r="G35" s="14"/>
      <c r="H35" s="14"/>
      <c r="I35" s="14"/>
      <c r="J35" s="14"/>
      <c r="K35" s="14"/>
      <c r="L35" s="14"/>
      <c r="M35" s="14"/>
      <c r="N35" s="20"/>
      <c r="O35" s="20"/>
      <c r="P35" s="20"/>
      <c r="Q35" s="64"/>
      <c r="R35" s="64"/>
      <c r="S35" s="20"/>
      <c r="T35" s="64"/>
      <c r="U35" s="64"/>
    </row>
    <row r="36" spans="1:21">
      <c r="A36" s="14"/>
      <c r="B36" s="14"/>
      <c r="C36" s="25"/>
      <c r="D36" s="14"/>
      <c r="E36" s="14"/>
      <c r="F36" s="14"/>
      <c r="G36" s="14"/>
      <c r="H36" s="14"/>
      <c r="I36" s="14"/>
      <c r="J36" s="14"/>
      <c r="K36" s="14"/>
      <c r="L36" s="14"/>
      <c r="M36" s="14"/>
      <c r="N36" s="20"/>
      <c r="O36" s="20"/>
      <c r="P36" s="20"/>
      <c r="Q36" s="64"/>
      <c r="R36" s="64"/>
      <c r="S36" s="20"/>
      <c r="T36" s="64"/>
      <c r="U36" s="64"/>
    </row>
    <row r="37" spans="1:21">
      <c r="A37" s="14"/>
      <c r="B37" s="14"/>
      <c r="C37" s="25"/>
      <c r="D37" s="14"/>
      <c r="E37" s="14"/>
      <c r="F37" s="14"/>
      <c r="G37" s="14"/>
      <c r="H37" s="14"/>
      <c r="I37" s="14"/>
      <c r="J37" s="14"/>
      <c r="K37" s="14"/>
      <c r="L37" s="14"/>
      <c r="M37" s="14"/>
      <c r="N37" s="20"/>
      <c r="O37" s="20"/>
      <c r="P37" s="20"/>
      <c r="Q37" s="64"/>
      <c r="R37" s="64"/>
      <c r="S37" s="20"/>
      <c r="T37" s="64"/>
      <c r="U37" s="64"/>
    </row>
    <row r="38" spans="1:21">
      <c r="A38" s="14"/>
      <c r="B38" s="14"/>
      <c r="C38" s="25"/>
      <c r="D38" s="14"/>
      <c r="E38" s="14"/>
      <c r="F38" s="14"/>
      <c r="G38" s="14"/>
      <c r="H38" s="14"/>
      <c r="I38" s="14"/>
      <c r="J38" s="14"/>
      <c r="K38" s="14"/>
      <c r="L38" s="14"/>
      <c r="M38" s="14"/>
      <c r="N38" s="20"/>
      <c r="O38" s="20"/>
      <c r="P38" s="20"/>
      <c r="Q38" s="64"/>
      <c r="R38" s="64"/>
      <c r="S38" s="20"/>
      <c r="T38" s="64"/>
      <c r="U38" s="64"/>
    </row>
    <row r="39" spans="1:21">
      <c r="A39" s="14"/>
      <c r="B39" s="14"/>
      <c r="C39" s="25"/>
      <c r="D39" s="14"/>
      <c r="E39" s="14"/>
      <c r="F39" s="14"/>
      <c r="G39" s="14"/>
      <c r="H39" s="14"/>
      <c r="I39" s="14"/>
      <c r="J39" s="14"/>
      <c r="K39" s="14"/>
      <c r="L39" s="14"/>
      <c r="M39" s="14"/>
      <c r="N39" s="20"/>
      <c r="O39" s="20"/>
      <c r="P39" s="20"/>
      <c r="Q39" s="64"/>
      <c r="R39" s="64"/>
      <c r="S39" s="20"/>
      <c r="T39" s="64"/>
      <c r="U39" s="64"/>
    </row>
    <row r="40" spans="1:21">
      <c r="A40" s="14"/>
      <c r="B40" s="14"/>
      <c r="C40" s="25"/>
      <c r="D40" s="14"/>
      <c r="E40" s="14"/>
      <c r="F40" s="14"/>
      <c r="G40" s="14"/>
      <c r="H40" s="14"/>
      <c r="I40" s="14"/>
      <c r="J40" s="14"/>
      <c r="K40" s="14"/>
      <c r="L40" s="14"/>
      <c r="M40" s="14"/>
      <c r="N40" s="20"/>
      <c r="O40" s="20"/>
      <c r="P40" s="20"/>
      <c r="Q40" s="64"/>
      <c r="R40" s="64"/>
      <c r="S40" s="20"/>
      <c r="T40" s="64"/>
      <c r="U40" s="64"/>
    </row>
    <row r="41" spans="1:21">
      <c r="A41" s="14"/>
      <c r="B41" s="14"/>
      <c r="C41" s="25"/>
      <c r="D41" s="14"/>
      <c r="E41" s="14"/>
      <c r="F41" s="14"/>
      <c r="G41" s="14"/>
      <c r="H41" s="14"/>
      <c r="I41" s="14"/>
      <c r="J41" s="14"/>
      <c r="K41" s="14"/>
      <c r="L41" s="14"/>
      <c r="M41" s="14"/>
      <c r="N41" s="20"/>
      <c r="O41" s="20"/>
      <c r="P41" s="20"/>
      <c r="Q41" s="64"/>
      <c r="R41" s="64"/>
      <c r="S41" s="20"/>
      <c r="T41" s="64"/>
      <c r="U41" s="64"/>
    </row>
    <row r="42" spans="1:21">
      <c r="A42" s="14"/>
      <c r="B42" s="14"/>
      <c r="C42" s="25"/>
      <c r="D42" s="14"/>
      <c r="E42" s="14"/>
      <c r="F42" s="14"/>
      <c r="G42" s="14"/>
      <c r="H42" s="14"/>
      <c r="I42" s="14"/>
      <c r="J42" s="14"/>
      <c r="K42" s="14"/>
      <c r="L42" s="14"/>
      <c r="M42" s="14"/>
      <c r="N42" s="20"/>
      <c r="O42" s="20"/>
      <c r="P42" s="20"/>
      <c r="Q42" s="64"/>
      <c r="R42" s="64"/>
      <c r="S42" s="20"/>
      <c r="T42" s="64"/>
      <c r="U42" s="64"/>
    </row>
    <row r="43" spans="1:21">
      <c r="A43" s="14"/>
      <c r="B43" s="14"/>
      <c r="C43" s="25"/>
      <c r="D43" s="14"/>
      <c r="E43" s="14"/>
      <c r="F43" s="14"/>
      <c r="G43" s="14"/>
      <c r="H43" s="14"/>
      <c r="I43" s="14"/>
      <c r="J43" s="14"/>
      <c r="K43" s="14"/>
      <c r="L43" s="14"/>
      <c r="M43" s="14"/>
      <c r="N43" s="20"/>
      <c r="O43" s="20"/>
      <c r="P43" s="20"/>
      <c r="Q43" s="64"/>
      <c r="R43" s="64"/>
      <c r="S43" s="20"/>
      <c r="T43" s="64"/>
      <c r="U43" s="64"/>
    </row>
    <row r="44" spans="1:21">
      <c r="A44" s="14"/>
      <c r="B44" s="14"/>
      <c r="C44" s="25"/>
      <c r="D44" s="14"/>
      <c r="E44" s="14"/>
      <c r="F44" s="14"/>
      <c r="G44" s="14"/>
      <c r="H44" s="14"/>
      <c r="I44" s="14"/>
      <c r="J44" s="14"/>
      <c r="K44" s="14"/>
      <c r="L44" s="14"/>
      <c r="M44" s="14"/>
      <c r="N44" s="20"/>
      <c r="O44" s="20"/>
      <c r="P44" s="20"/>
      <c r="Q44" s="64"/>
      <c r="R44" s="64"/>
      <c r="S44" s="20"/>
      <c r="T44" s="64"/>
      <c r="U44" s="64"/>
    </row>
    <row r="45" spans="1:21">
      <c r="A45" s="14"/>
      <c r="B45" s="14"/>
      <c r="C45" s="25"/>
      <c r="D45" s="14"/>
      <c r="E45" s="14"/>
      <c r="F45" s="14"/>
      <c r="G45" s="14"/>
      <c r="H45" s="14"/>
      <c r="I45" s="14"/>
      <c r="J45" s="14"/>
      <c r="K45" s="14"/>
      <c r="L45" s="14"/>
      <c r="M45" s="14"/>
      <c r="N45" s="20"/>
      <c r="O45" s="20"/>
      <c r="P45" s="20"/>
      <c r="Q45" s="64"/>
      <c r="R45" s="64"/>
      <c r="S45" s="20"/>
      <c r="T45" s="64"/>
      <c r="U45" s="64"/>
    </row>
    <row r="46" spans="1:21">
      <c r="A46" s="14"/>
      <c r="B46" s="14"/>
      <c r="C46" s="25"/>
      <c r="D46" s="14"/>
      <c r="E46" s="14"/>
      <c r="F46" s="14"/>
      <c r="G46" s="14"/>
      <c r="H46" s="14"/>
      <c r="I46" s="14"/>
      <c r="J46" s="14"/>
      <c r="K46" s="14"/>
      <c r="L46" s="14"/>
      <c r="M46" s="14"/>
      <c r="N46" s="20"/>
      <c r="O46" s="20"/>
      <c r="P46" s="20"/>
      <c r="Q46" s="64"/>
      <c r="R46" s="64"/>
      <c r="S46" s="20"/>
      <c r="T46" s="64"/>
      <c r="U46" s="64"/>
    </row>
    <row r="47" spans="1:21">
      <c r="A47" s="14"/>
      <c r="B47" s="14"/>
      <c r="C47" s="25"/>
      <c r="D47" s="14"/>
      <c r="E47" s="14"/>
      <c r="F47" s="14"/>
      <c r="G47" s="14"/>
      <c r="H47" s="14"/>
      <c r="I47" s="14"/>
      <c r="J47" s="14"/>
      <c r="K47" s="14"/>
      <c r="L47" s="14"/>
      <c r="M47" s="14"/>
      <c r="N47" s="20"/>
      <c r="O47" s="20"/>
      <c r="P47" s="20"/>
      <c r="Q47" s="64"/>
      <c r="R47" s="64"/>
      <c r="S47" s="20"/>
      <c r="T47" s="64"/>
      <c r="U47" s="64"/>
    </row>
    <row r="48" spans="1:21">
      <c r="A48" s="14"/>
      <c r="B48" s="14"/>
      <c r="C48" s="25"/>
      <c r="D48" s="14"/>
      <c r="E48" s="14"/>
      <c r="F48" s="14"/>
      <c r="G48" s="14"/>
      <c r="H48" s="14"/>
      <c r="I48" s="14"/>
      <c r="J48" s="14"/>
      <c r="K48" s="14"/>
      <c r="L48" s="14"/>
      <c r="M48" s="14"/>
      <c r="N48" s="20"/>
      <c r="O48" s="20"/>
      <c r="P48" s="20"/>
      <c r="Q48" s="64"/>
      <c r="R48" s="64"/>
      <c r="S48" s="20"/>
      <c r="T48" s="64"/>
      <c r="U48" s="64"/>
    </row>
    <row r="49" spans="1:21">
      <c r="A49" s="14"/>
      <c r="B49" s="14"/>
      <c r="C49" s="25"/>
      <c r="D49" s="14"/>
      <c r="E49" s="14"/>
      <c r="F49" s="14"/>
      <c r="G49" s="14"/>
      <c r="H49" s="14"/>
      <c r="I49" s="14"/>
      <c r="J49" s="14"/>
      <c r="K49" s="14"/>
      <c r="L49" s="14"/>
      <c r="M49" s="14"/>
      <c r="N49" s="20"/>
      <c r="O49" s="20"/>
      <c r="P49" s="20"/>
      <c r="Q49" s="64"/>
      <c r="R49" s="64"/>
      <c r="S49" s="20"/>
      <c r="T49" s="64"/>
      <c r="U49" s="64"/>
    </row>
    <row r="50" spans="1:21">
      <c r="A50" s="14"/>
      <c r="B50" s="14"/>
      <c r="C50" s="25"/>
      <c r="D50" s="14"/>
      <c r="E50" s="14"/>
      <c r="F50" s="14"/>
      <c r="G50" s="14"/>
      <c r="H50" s="14"/>
      <c r="I50" s="14"/>
      <c r="J50" s="14"/>
      <c r="K50" s="14"/>
      <c r="L50" s="14"/>
      <c r="M50" s="14"/>
      <c r="N50" s="20"/>
      <c r="O50" s="20"/>
      <c r="P50" s="20"/>
      <c r="Q50" s="64"/>
      <c r="R50" s="64"/>
      <c r="S50" s="20"/>
      <c r="T50" s="64"/>
      <c r="U50" s="64"/>
    </row>
    <row r="51" spans="1:21">
      <c r="A51" s="14"/>
      <c r="B51" s="14"/>
      <c r="C51" s="25"/>
      <c r="D51" s="14"/>
      <c r="E51" s="14"/>
      <c r="F51" s="14"/>
      <c r="G51" s="14"/>
      <c r="H51" s="14"/>
      <c r="I51" s="14"/>
      <c r="J51" s="14"/>
      <c r="K51" s="14"/>
      <c r="L51" s="14"/>
      <c r="M51" s="14"/>
      <c r="N51" s="20"/>
      <c r="O51" s="20"/>
      <c r="P51" s="20"/>
      <c r="Q51" s="64"/>
      <c r="R51" s="64"/>
      <c r="S51" s="20"/>
      <c r="T51" s="64"/>
      <c r="U51" s="64"/>
    </row>
    <row r="52" spans="1:21">
      <c r="A52" s="14"/>
      <c r="B52" s="14"/>
      <c r="C52" s="25"/>
      <c r="D52" s="14"/>
      <c r="E52" s="14"/>
      <c r="F52" s="14"/>
      <c r="G52" s="14"/>
      <c r="H52" s="14"/>
      <c r="I52" s="14"/>
      <c r="J52" s="14"/>
      <c r="K52" s="14"/>
      <c r="L52" s="14"/>
      <c r="M52" s="14"/>
      <c r="N52" s="20"/>
      <c r="O52" s="20"/>
      <c r="P52" s="20"/>
      <c r="Q52" s="64"/>
      <c r="R52" s="64"/>
      <c r="S52" s="20"/>
      <c r="T52" s="64"/>
      <c r="U52" s="64"/>
    </row>
    <row r="53" spans="1:21">
      <c r="A53" s="14"/>
      <c r="B53" s="14"/>
      <c r="C53" s="25"/>
      <c r="D53" s="14"/>
      <c r="E53" s="14"/>
      <c r="F53" s="14"/>
      <c r="G53" s="14"/>
      <c r="H53" s="14"/>
      <c r="I53" s="14"/>
      <c r="J53" s="14"/>
      <c r="K53" s="14"/>
      <c r="L53" s="14"/>
      <c r="M53" s="14"/>
      <c r="N53" s="20"/>
      <c r="O53" s="20"/>
      <c r="P53" s="20"/>
      <c r="Q53" s="64"/>
      <c r="R53" s="64"/>
      <c r="S53" s="20"/>
      <c r="T53" s="64"/>
      <c r="U53" s="64"/>
    </row>
    <row r="54" spans="1:21">
      <c r="A54" s="14"/>
      <c r="B54" s="14"/>
      <c r="C54" s="25"/>
      <c r="D54" s="14"/>
      <c r="E54" s="14"/>
      <c r="F54" s="14"/>
      <c r="G54" s="14"/>
      <c r="H54" s="14"/>
      <c r="I54" s="14"/>
      <c r="J54" s="14"/>
      <c r="K54" s="14"/>
      <c r="L54" s="14"/>
      <c r="M54" s="14"/>
      <c r="N54" s="20"/>
      <c r="O54" s="20"/>
      <c r="P54" s="20"/>
      <c r="Q54" s="64"/>
      <c r="R54" s="64"/>
      <c r="S54" s="20"/>
      <c r="T54" s="64"/>
      <c r="U54" s="64"/>
    </row>
    <row r="55" spans="1:21">
      <c r="A55" s="14"/>
      <c r="B55" s="14"/>
      <c r="C55" s="25"/>
      <c r="D55" s="14"/>
      <c r="E55" s="14"/>
      <c r="F55" s="14"/>
      <c r="G55" s="14"/>
      <c r="H55" s="14"/>
      <c r="I55" s="14"/>
      <c r="J55" s="14"/>
      <c r="K55" s="14"/>
      <c r="L55" s="14"/>
      <c r="M55" s="14"/>
      <c r="N55" s="20"/>
      <c r="O55" s="20"/>
      <c r="P55" s="20"/>
      <c r="Q55" s="64"/>
      <c r="R55" s="64"/>
      <c r="S55" s="20"/>
      <c r="T55" s="64"/>
      <c r="U55" s="64"/>
    </row>
    <row r="56" spans="1:21">
      <c r="A56" s="14"/>
      <c r="B56" s="14"/>
      <c r="C56" s="25"/>
      <c r="D56" s="14"/>
      <c r="E56" s="14"/>
      <c r="F56" s="14"/>
      <c r="G56" s="14"/>
      <c r="H56" s="14"/>
      <c r="I56" s="14"/>
      <c r="J56" s="14"/>
      <c r="K56" s="14"/>
      <c r="L56" s="14"/>
      <c r="M56" s="14"/>
      <c r="N56" s="20"/>
      <c r="O56" s="20"/>
      <c r="P56" s="20"/>
      <c r="Q56" s="64"/>
      <c r="R56" s="64"/>
      <c r="S56" s="20"/>
      <c r="T56" s="64"/>
      <c r="U56" s="64"/>
    </row>
    <row r="57" spans="1:21">
      <c r="A57" s="14"/>
      <c r="B57" s="14"/>
      <c r="C57" s="25"/>
      <c r="D57" s="14"/>
      <c r="E57" s="14"/>
      <c r="F57" s="14"/>
      <c r="G57" s="14"/>
      <c r="H57" s="14"/>
      <c r="I57" s="14"/>
      <c r="J57" s="14"/>
      <c r="K57" s="14"/>
      <c r="L57" s="14"/>
      <c r="M57" s="14"/>
      <c r="N57" s="20"/>
      <c r="O57" s="20"/>
      <c r="P57" s="20"/>
      <c r="Q57" s="64"/>
      <c r="R57" s="64"/>
      <c r="S57" s="20"/>
      <c r="T57" s="64"/>
      <c r="U57" s="64"/>
    </row>
    <row r="58" spans="1:21">
      <c r="A58" s="14"/>
      <c r="B58" s="14"/>
      <c r="C58" s="25"/>
      <c r="D58" s="14"/>
      <c r="E58" s="14"/>
      <c r="F58" s="14"/>
      <c r="G58" s="14"/>
      <c r="H58" s="14"/>
      <c r="I58" s="14"/>
      <c r="J58" s="14"/>
      <c r="K58" s="14"/>
      <c r="L58" s="14"/>
      <c r="M58" s="14"/>
      <c r="N58" s="20"/>
      <c r="O58" s="20"/>
      <c r="P58" s="20"/>
      <c r="Q58" s="64"/>
      <c r="R58" s="64"/>
      <c r="S58" s="20"/>
      <c r="T58" s="64"/>
      <c r="U58" s="64"/>
    </row>
    <row r="59" spans="1:21">
      <c r="A59" s="14"/>
      <c r="B59" s="14"/>
      <c r="C59" s="25"/>
      <c r="D59" s="14"/>
      <c r="E59" s="14"/>
      <c r="F59" s="14"/>
      <c r="G59" s="14"/>
      <c r="H59" s="14"/>
      <c r="I59" s="14"/>
      <c r="J59" s="14"/>
      <c r="K59" s="14"/>
      <c r="L59" s="14"/>
      <c r="M59" s="14"/>
      <c r="N59" s="20"/>
      <c r="O59" s="20"/>
      <c r="P59" s="20"/>
      <c r="Q59" s="64"/>
      <c r="R59" s="64"/>
      <c r="S59" s="20"/>
      <c r="T59" s="64"/>
      <c r="U59" s="64"/>
    </row>
    <row r="60" spans="1:21">
      <c r="A60" s="14"/>
      <c r="B60" s="14"/>
      <c r="C60" s="25"/>
      <c r="D60" s="14"/>
      <c r="E60" s="14"/>
      <c r="F60" s="14"/>
      <c r="G60" s="14"/>
      <c r="H60" s="14"/>
      <c r="I60" s="14"/>
      <c r="J60" s="14"/>
      <c r="K60" s="14"/>
      <c r="L60" s="14"/>
      <c r="M60" s="14"/>
      <c r="N60" s="20"/>
      <c r="O60" s="20"/>
      <c r="P60" s="20"/>
      <c r="Q60" s="64"/>
      <c r="R60" s="64"/>
      <c r="S60" s="20"/>
      <c r="T60" s="64"/>
      <c r="U60" s="64"/>
    </row>
    <row r="61" spans="1:21">
      <c r="A61" s="14"/>
      <c r="B61" s="14"/>
      <c r="C61" s="25"/>
      <c r="D61" s="14"/>
      <c r="E61" s="14"/>
      <c r="F61" s="14"/>
      <c r="G61" s="14"/>
      <c r="H61" s="14"/>
      <c r="I61" s="14"/>
      <c r="J61" s="14"/>
      <c r="K61" s="14"/>
      <c r="L61" s="14"/>
      <c r="M61" s="14"/>
      <c r="N61" s="20"/>
      <c r="O61" s="20"/>
      <c r="P61" s="20"/>
      <c r="Q61" s="64"/>
      <c r="R61" s="64"/>
      <c r="S61" s="20"/>
      <c r="T61" s="64"/>
      <c r="U61" s="64"/>
    </row>
    <row r="62" spans="1:21">
      <c r="A62" s="14"/>
      <c r="B62" s="14"/>
      <c r="C62" s="25"/>
      <c r="D62" s="14"/>
      <c r="E62" s="14"/>
      <c r="F62" s="14"/>
      <c r="G62" s="14"/>
      <c r="H62" s="14"/>
      <c r="I62" s="14"/>
      <c r="J62" s="14"/>
      <c r="K62" s="14"/>
      <c r="L62" s="14"/>
      <c r="M62" s="14"/>
      <c r="N62" s="20"/>
      <c r="O62" s="20"/>
      <c r="P62" s="20"/>
      <c r="Q62" s="64"/>
      <c r="R62" s="64"/>
      <c r="S62" s="20"/>
      <c r="T62" s="64"/>
      <c r="U62" s="64"/>
    </row>
    <row r="63" spans="1:21">
      <c r="A63" s="14"/>
      <c r="B63" s="14"/>
      <c r="C63" s="25"/>
      <c r="D63" s="14"/>
      <c r="E63" s="14"/>
      <c r="F63" s="14"/>
      <c r="G63" s="14"/>
      <c r="H63" s="14"/>
      <c r="I63" s="14"/>
      <c r="J63" s="14"/>
      <c r="K63" s="14"/>
      <c r="L63" s="14"/>
      <c r="M63" s="14"/>
      <c r="N63" s="20"/>
      <c r="O63" s="20"/>
      <c r="P63" s="20"/>
      <c r="Q63" s="64"/>
      <c r="R63" s="64"/>
      <c r="S63" s="20"/>
      <c r="T63" s="64"/>
      <c r="U63" s="64"/>
    </row>
    <row r="64" spans="1:21">
      <c r="A64" s="14"/>
      <c r="B64" s="14"/>
      <c r="C64" s="25"/>
      <c r="D64" s="14"/>
      <c r="E64" s="14"/>
      <c r="F64" s="14"/>
      <c r="G64" s="14"/>
      <c r="H64" s="14"/>
      <c r="I64" s="14"/>
      <c r="J64" s="14"/>
      <c r="K64" s="14"/>
      <c r="L64" s="14"/>
      <c r="M64" s="14"/>
      <c r="N64" s="20"/>
      <c r="O64" s="20"/>
      <c r="P64" s="20"/>
      <c r="Q64" s="64"/>
      <c r="R64" s="64"/>
      <c r="S64" s="20"/>
      <c r="T64" s="64"/>
      <c r="U64" s="64"/>
    </row>
    <row r="65" spans="1:21">
      <c r="A65" s="14"/>
      <c r="B65" s="14"/>
      <c r="C65" s="25"/>
      <c r="D65" s="14"/>
      <c r="E65" s="14"/>
      <c r="F65" s="14"/>
      <c r="G65" s="14"/>
      <c r="H65" s="14"/>
      <c r="I65" s="14"/>
      <c r="J65" s="14"/>
      <c r="K65" s="14"/>
      <c r="L65" s="14"/>
      <c r="M65" s="14"/>
      <c r="N65" s="20"/>
      <c r="O65" s="20"/>
      <c r="P65" s="20"/>
      <c r="Q65" s="64"/>
      <c r="R65" s="64"/>
      <c r="S65" s="20"/>
      <c r="T65" s="64"/>
      <c r="U65" s="64"/>
    </row>
    <row r="66" spans="1:21">
      <c r="A66" s="14"/>
      <c r="B66" s="14"/>
      <c r="C66" s="25"/>
      <c r="D66" s="14"/>
      <c r="E66" s="14"/>
      <c r="F66" s="14"/>
      <c r="G66" s="14"/>
      <c r="H66" s="14"/>
      <c r="I66" s="14"/>
      <c r="J66" s="14"/>
      <c r="K66" s="14"/>
      <c r="L66" s="14"/>
      <c r="M66" s="14"/>
      <c r="N66" s="20"/>
      <c r="O66" s="20"/>
      <c r="P66" s="20"/>
      <c r="Q66" s="64"/>
      <c r="R66" s="64"/>
      <c r="S66" s="20"/>
      <c r="T66" s="64"/>
      <c r="U66" s="64"/>
    </row>
    <row r="67" spans="1:21">
      <c r="A67" s="14"/>
      <c r="B67" s="14"/>
      <c r="C67" s="25"/>
      <c r="D67" s="14"/>
      <c r="E67" s="14"/>
      <c r="F67" s="14"/>
      <c r="G67" s="14"/>
      <c r="H67" s="14"/>
      <c r="I67" s="14"/>
      <c r="J67" s="14"/>
      <c r="K67" s="14"/>
      <c r="L67" s="14"/>
      <c r="M67" s="14"/>
      <c r="N67" s="20"/>
      <c r="O67" s="20"/>
      <c r="P67" s="20"/>
      <c r="Q67" s="64"/>
      <c r="R67" s="64"/>
      <c r="S67" s="20"/>
      <c r="T67" s="64"/>
      <c r="U67" s="64"/>
    </row>
    <row r="68" spans="1:21">
      <c r="A68" s="14"/>
      <c r="B68" s="14"/>
      <c r="C68" s="25"/>
      <c r="D68" s="14"/>
      <c r="E68" s="14"/>
      <c r="F68" s="14"/>
      <c r="G68" s="14"/>
      <c r="H68" s="14"/>
      <c r="I68" s="14"/>
      <c r="J68" s="14"/>
      <c r="K68" s="14"/>
      <c r="L68" s="14"/>
      <c r="M68" s="14"/>
      <c r="N68" s="20"/>
      <c r="O68" s="20"/>
      <c r="P68" s="20"/>
      <c r="Q68" s="64"/>
      <c r="R68" s="64"/>
      <c r="S68" s="20"/>
      <c r="T68" s="64"/>
      <c r="U68" s="64"/>
    </row>
    <row r="69" spans="1:21">
      <c r="A69" s="14"/>
      <c r="B69" s="14"/>
      <c r="C69" s="25"/>
      <c r="D69" s="14"/>
      <c r="E69" s="14"/>
      <c r="F69" s="14"/>
      <c r="G69" s="14"/>
      <c r="H69" s="14"/>
      <c r="I69" s="14"/>
      <c r="J69" s="14"/>
      <c r="K69" s="14"/>
      <c r="L69" s="14"/>
      <c r="M69" s="14"/>
      <c r="N69" s="20"/>
      <c r="O69" s="20"/>
      <c r="P69" s="20"/>
      <c r="Q69" s="64"/>
      <c r="R69" s="64"/>
      <c r="S69" s="20"/>
      <c r="T69" s="64"/>
      <c r="U69" s="64"/>
    </row>
    <row r="70" spans="1:21">
      <c r="A70" s="14"/>
      <c r="B70" s="14"/>
      <c r="C70" s="25"/>
      <c r="D70" s="14"/>
      <c r="E70" s="14"/>
      <c r="F70" s="14"/>
      <c r="G70" s="14"/>
      <c r="H70" s="14"/>
      <c r="I70" s="14"/>
      <c r="J70" s="14"/>
      <c r="K70" s="14"/>
      <c r="L70" s="14"/>
      <c r="M70" s="14"/>
      <c r="N70" s="20"/>
      <c r="O70" s="20"/>
      <c r="P70" s="20"/>
      <c r="Q70" s="64"/>
      <c r="R70" s="64"/>
      <c r="S70" s="20"/>
      <c r="T70" s="64"/>
      <c r="U70" s="64"/>
    </row>
    <row r="71" spans="1:21">
      <c r="A71" s="14"/>
      <c r="B71" s="14"/>
      <c r="C71" s="25"/>
      <c r="D71" s="14"/>
      <c r="E71" s="14"/>
      <c r="F71" s="14"/>
      <c r="G71" s="14"/>
      <c r="H71" s="14"/>
      <c r="I71" s="14"/>
      <c r="J71" s="14"/>
      <c r="K71" s="14"/>
      <c r="L71" s="14"/>
      <c r="M71" s="14"/>
      <c r="N71" s="20"/>
      <c r="O71" s="20"/>
      <c r="P71" s="20"/>
      <c r="Q71" s="64"/>
      <c r="R71" s="64"/>
      <c r="S71" s="20"/>
      <c r="T71" s="64"/>
      <c r="U71" s="64"/>
    </row>
    <row r="72" spans="1:21">
      <c r="A72" s="14"/>
      <c r="B72" s="14"/>
      <c r="C72" s="25"/>
      <c r="D72" s="14"/>
      <c r="E72" s="14"/>
      <c r="F72" s="14"/>
      <c r="G72" s="14"/>
      <c r="H72" s="14"/>
      <c r="I72" s="14"/>
      <c r="J72" s="14"/>
      <c r="K72" s="14"/>
      <c r="L72" s="14"/>
      <c r="M72" s="14"/>
      <c r="N72" s="20"/>
      <c r="O72" s="20"/>
      <c r="P72" s="20"/>
      <c r="Q72" s="64"/>
      <c r="R72" s="64"/>
      <c r="S72" s="20"/>
      <c r="T72" s="64"/>
      <c r="U72" s="64"/>
    </row>
    <row r="73" spans="1:21">
      <c r="A73" s="14"/>
      <c r="B73" s="14"/>
      <c r="C73" s="25"/>
      <c r="D73" s="14"/>
      <c r="E73" s="14"/>
      <c r="F73" s="14"/>
      <c r="G73" s="14"/>
      <c r="H73" s="14"/>
      <c r="I73" s="14"/>
      <c r="J73" s="14"/>
      <c r="K73" s="14"/>
      <c r="L73" s="14"/>
      <c r="M73" s="14"/>
      <c r="N73" s="20"/>
      <c r="O73" s="20"/>
      <c r="P73" s="20"/>
      <c r="Q73" s="64"/>
      <c r="R73" s="64"/>
      <c r="S73" s="20"/>
      <c r="T73" s="64"/>
      <c r="U73" s="64"/>
    </row>
    <row r="74" spans="1:21">
      <c r="A74" s="14"/>
      <c r="B74" s="14"/>
      <c r="C74" s="25"/>
      <c r="D74" s="14"/>
      <c r="E74" s="14"/>
      <c r="F74" s="14"/>
      <c r="G74" s="14"/>
      <c r="H74" s="14"/>
      <c r="I74" s="14"/>
      <c r="J74" s="14"/>
      <c r="K74" s="14"/>
      <c r="L74" s="14"/>
      <c r="M74" s="14"/>
      <c r="N74" s="20"/>
      <c r="O74" s="20"/>
      <c r="P74" s="20"/>
      <c r="Q74" s="64"/>
      <c r="R74" s="64"/>
      <c r="S74" s="20"/>
      <c r="T74" s="64"/>
      <c r="U74" s="64"/>
    </row>
    <row r="75" spans="1:21">
      <c r="A75" s="14"/>
      <c r="B75" s="14"/>
      <c r="C75" s="25"/>
      <c r="D75" s="14"/>
      <c r="E75" s="14"/>
      <c r="F75" s="14"/>
      <c r="G75" s="14"/>
      <c r="H75" s="14"/>
      <c r="I75" s="14"/>
      <c r="J75" s="14"/>
      <c r="K75" s="14"/>
      <c r="L75" s="14"/>
      <c r="M75" s="14"/>
      <c r="N75" s="20"/>
      <c r="O75" s="20"/>
      <c r="P75" s="20"/>
      <c r="Q75" s="64"/>
      <c r="R75" s="64"/>
      <c r="S75" s="20"/>
      <c r="T75" s="64"/>
      <c r="U75" s="64"/>
    </row>
    <row r="76" spans="1:21">
      <c r="A76" s="14"/>
      <c r="B76" s="14"/>
      <c r="C76" s="25"/>
      <c r="D76" s="14"/>
      <c r="E76" s="14"/>
      <c r="F76" s="14"/>
      <c r="G76" s="14"/>
      <c r="H76" s="14"/>
      <c r="I76" s="14"/>
      <c r="J76" s="14"/>
      <c r="K76" s="14"/>
      <c r="L76" s="14"/>
      <c r="M76" s="14"/>
      <c r="N76" s="20"/>
      <c r="O76" s="20"/>
      <c r="P76" s="20"/>
      <c r="Q76" s="64"/>
      <c r="R76" s="64"/>
      <c r="S76" s="20"/>
      <c r="T76" s="64"/>
      <c r="U76" s="64"/>
    </row>
    <row r="77" spans="1:21">
      <c r="A77" s="14"/>
      <c r="B77" s="14"/>
      <c r="C77" s="25"/>
      <c r="D77" s="14"/>
      <c r="E77" s="14"/>
      <c r="F77" s="14"/>
      <c r="G77" s="14"/>
      <c r="H77" s="14"/>
      <c r="I77" s="14"/>
      <c r="J77" s="14"/>
      <c r="K77" s="14"/>
      <c r="L77" s="14"/>
      <c r="M77" s="14"/>
      <c r="N77" s="20"/>
      <c r="O77" s="20"/>
      <c r="P77" s="20"/>
      <c r="Q77" s="64"/>
      <c r="R77" s="64"/>
      <c r="S77" s="20"/>
      <c r="T77" s="64"/>
      <c r="U77" s="64"/>
    </row>
    <row r="78" spans="1:21">
      <c r="A78" s="14"/>
      <c r="B78" s="14"/>
      <c r="C78" s="25"/>
      <c r="D78" s="14"/>
      <c r="E78" s="14"/>
      <c r="F78" s="14"/>
      <c r="G78" s="14"/>
      <c r="H78" s="14"/>
      <c r="I78" s="14"/>
      <c r="J78" s="14"/>
      <c r="K78" s="14"/>
      <c r="L78" s="14"/>
      <c r="M78" s="14"/>
      <c r="N78" s="20"/>
      <c r="O78" s="20"/>
      <c r="P78" s="20"/>
      <c r="Q78" s="64"/>
      <c r="R78" s="64"/>
      <c r="S78" s="20"/>
      <c r="T78" s="64"/>
      <c r="U78" s="64"/>
    </row>
    <row r="79" spans="1:21">
      <c r="A79" s="14"/>
      <c r="B79" s="14"/>
      <c r="C79" s="25"/>
      <c r="D79" s="14"/>
      <c r="E79" s="14"/>
      <c r="F79" s="14"/>
      <c r="G79" s="14"/>
      <c r="H79" s="14"/>
      <c r="I79" s="14"/>
      <c r="J79" s="14"/>
      <c r="K79" s="14"/>
      <c r="L79" s="14"/>
      <c r="M79" s="14"/>
      <c r="N79" s="20"/>
      <c r="O79" s="20"/>
      <c r="P79" s="20"/>
      <c r="Q79" s="64"/>
      <c r="R79" s="64"/>
      <c r="S79" s="20"/>
      <c r="T79" s="64"/>
      <c r="U79" s="64"/>
    </row>
    <row r="80" spans="1:21">
      <c r="A80" s="14"/>
      <c r="B80" s="14"/>
      <c r="C80" s="25"/>
      <c r="D80" s="14"/>
      <c r="E80" s="14"/>
      <c r="F80" s="14"/>
      <c r="G80" s="14"/>
      <c r="H80" s="14"/>
      <c r="I80" s="14"/>
      <c r="J80" s="14"/>
      <c r="K80" s="14"/>
      <c r="L80" s="14"/>
      <c r="M80" s="14"/>
      <c r="N80" s="20"/>
      <c r="O80" s="20"/>
      <c r="P80" s="20"/>
      <c r="Q80" s="64"/>
      <c r="R80" s="64"/>
      <c r="S80" s="20"/>
      <c r="T80" s="64"/>
      <c r="U80" s="64"/>
    </row>
    <row r="81" spans="1:21">
      <c r="A81" s="14"/>
      <c r="B81" s="14"/>
      <c r="C81" s="25"/>
      <c r="D81" s="14"/>
      <c r="E81" s="14"/>
      <c r="F81" s="14"/>
      <c r="G81" s="14"/>
      <c r="H81" s="14"/>
      <c r="I81" s="14"/>
      <c r="J81" s="14"/>
      <c r="K81" s="14"/>
      <c r="L81" s="14"/>
      <c r="M81" s="14"/>
      <c r="N81" s="20"/>
      <c r="O81" s="20"/>
      <c r="P81" s="20"/>
      <c r="Q81" s="64"/>
      <c r="R81" s="64"/>
      <c r="S81" s="20"/>
      <c r="T81" s="64"/>
      <c r="U81" s="64"/>
    </row>
    <row r="82" spans="1:21">
      <c r="A82" s="14"/>
      <c r="B82" s="14"/>
      <c r="C82" s="25"/>
      <c r="D82" s="14"/>
      <c r="E82" s="14"/>
      <c r="F82" s="14"/>
      <c r="G82" s="14"/>
      <c r="H82" s="14"/>
      <c r="I82" s="14"/>
      <c r="J82" s="14"/>
      <c r="K82" s="14"/>
      <c r="L82" s="14"/>
      <c r="M82" s="14"/>
      <c r="N82" s="20"/>
      <c r="O82" s="20"/>
      <c r="P82" s="20"/>
      <c r="Q82" s="64"/>
      <c r="R82" s="64"/>
      <c r="S82" s="20"/>
      <c r="T82" s="64"/>
      <c r="U82" s="64"/>
    </row>
    <row r="83" spans="1:21">
      <c r="A83" s="14"/>
      <c r="B83" s="14"/>
      <c r="C83" s="25"/>
      <c r="D83" s="14"/>
      <c r="E83" s="14"/>
      <c r="F83" s="14"/>
      <c r="G83" s="14"/>
      <c r="H83" s="14"/>
      <c r="I83" s="14"/>
      <c r="J83" s="14"/>
      <c r="K83" s="14"/>
      <c r="L83" s="14"/>
      <c r="M83" s="14"/>
      <c r="N83" s="20"/>
      <c r="O83" s="20"/>
      <c r="P83" s="20"/>
      <c r="Q83" s="64"/>
      <c r="R83" s="64"/>
      <c r="S83" s="20"/>
      <c r="T83" s="64"/>
      <c r="U83" s="64"/>
    </row>
    <row r="84" spans="1:21">
      <c r="A84" s="14"/>
      <c r="B84" s="14"/>
      <c r="C84" s="25"/>
      <c r="D84" s="14"/>
      <c r="E84" s="14"/>
      <c r="F84" s="14"/>
      <c r="G84" s="14"/>
      <c r="H84" s="14"/>
      <c r="I84" s="14"/>
      <c r="J84" s="14"/>
      <c r="K84" s="14"/>
      <c r="L84" s="14"/>
      <c r="M84" s="14"/>
      <c r="N84" s="20"/>
      <c r="O84" s="20"/>
      <c r="P84" s="20"/>
      <c r="Q84" s="64"/>
      <c r="R84" s="64"/>
      <c r="S84" s="20"/>
      <c r="T84" s="64"/>
      <c r="U84" s="64"/>
    </row>
    <row r="85" spans="1:21">
      <c r="A85" s="14"/>
      <c r="B85" s="14"/>
      <c r="C85" s="25"/>
      <c r="D85" s="14"/>
      <c r="E85" s="14"/>
      <c r="F85" s="14"/>
      <c r="G85" s="14"/>
      <c r="H85" s="14"/>
      <c r="I85" s="14"/>
      <c r="J85" s="14"/>
      <c r="K85" s="14"/>
      <c r="L85" s="14"/>
      <c r="M85" s="14"/>
      <c r="N85" s="20"/>
      <c r="O85" s="20"/>
      <c r="P85" s="20"/>
      <c r="Q85" s="64"/>
      <c r="R85" s="64"/>
      <c r="S85" s="20"/>
      <c r="T85" s="64"/>
      <c r="U85" s="64"/>
    </row>
    <row r="86" spans="1:21">
      <c r="A86" s="14"/>
      <c r="B86" s="14"/>
      <c r="C86" s="25"/>
      <c r="D86" s="14"/>
      <c r="E86" s="14"/>
      <c r="F86" s="14"/>
      <c r="G86" s="14"/>
      <c r="H86" s="14"/>
      <c r="I86" s="14"/>
      <c r="J86" s="14"/>
      <c r="K86" s="14"/>
      <c r="L86" s="14"/>
      <c r="M86" s="14"/>
      <c r="N86" s="20"/>
      <c r="O86" s="20"/>
      <c r="P86" s="20"/>
      <c r="Q86" s="64"/>
      <c r="R86" s="64"/>
      <c r="S86" s="20"/>
      <c r="T86" s="64"/>
      <c r="U86" s="64"/>
    </row>
    <row r="87" spans="1:21">
      <c r="A87" s="14"/>
      <c r="B87" s="14"/>
      <c r="C87" s="25"/>
      <c r="D87" s="14"/>
      <c r="E87" s="14"/>
      <c r="F87" s="14"/>
      <c r="G87" s="14"/>
      <c r="H87" s="14"/>
      <c r="I87" s="14"/>
      <c r="J87" s="14"/>
      <c r="K87" s="14"/>
      <c r="L87" s="14"/>
      <c r="M87" s="14"/>
      <c r="N87" s="20"/>
      <c r="O87" s="20"/>
      <c r="P87" s="20"/>
      <c r="Q87" s="64"/>
      <c r="R87" s="64"/>
      <c r="S87" s="20"/>
      <c r="T87" s="64"/>
      <c r="U87" s="64"/>
    </row>
    <row r="88" spans="1:21">
      <c r="A88" s="14"/>
      <c r="B88" s="14"/>
      <c r="C88" s="25"/>
      <c r="D88" s="14"/>
      <c r="E88" s="14"/>
      <c r="F88" s="14"/>
      <c r="G88" s="14"/>
      <c r="H88" s="14"/>
      <c r="I88" s="14"/>
      <c r="J88" s="14"/>
      <c r="K88" s="14"/>
      <c r="L88" s="14"/>
      <c r="M88" s="14"/>
      <c r="N88" s="20"/>
      <c r="O88" s="20"/>
      <c r="P88" s="20"/>
      <c r="Q88" s="64"/>
      <c r="R88" s="64"/>
      <c r="S88" s="20"/>
      <c r="T88" s="64"/>
      <c r="U88" s="64"/>
    </row>
    <row r="89" spans="1:21">
      <c r="A89" s="14"/>
      <c r="B89" s="14"/>
      <c r="C89" s="25"/>
      <c r="D89" s="14"/>
      <c r="E89" s="14"/>
      <c r="F89" s="14"/>
      <c r="G89" s="14"/>
      <c r="H89" s="14"/>
      <c r="I89" s="14"/>
      <c r="J89" s="14"/>
      <c r="K89" s="14"/>
      <c r="L89" s="14"/>
      <c r="M89" s="14"/>
      <c r="N89" s="20"/>
      <c r="O89" s="20"/>
      <c r="P89" s="20"/>
      <c r="Q89" s="64"/>
      <c r="R89" s="64"/>
      <c r="S89" s="20"/>
      <c r="T89" s="64"/>
      <c r="U89" s="64"/>
    </row>
    <row r="90" spans="1:21">
      <c r="A90" s="14"/>
      <c r="B90" s="14"/>
      <c r="C90" s="25"/>
      <c r="D90" s="14"/>
      <c r="E90" s="14"/>
      <c r="F90" s="14"/>
      <c r="G90" s="14"/>
      <c r="H90" s="14"/>
      <c r="I90" s="14"/>
      <c r="J90" s="14"/>
      <c r="K90" s="14"/>
      <c r="L90" s="14"/>
      <c r="M90" s="14"/>
      <c r="N90" s="20"/>
      <c r="O90" s="20"/>
      <c r="P90" s="20"/>
      <c r="Q90" s="64"/>
      <c r="R90" s="64"/>
      <c r="S90" s="20"/>
      <c r="T90" s="64"/>
      <c r="U90" s="64"/>
    </row>
    <row r="91" spans="1:21">
      <c r="A91" s="14"/>
      <c r="B91" s="14"/>
      <c r="C91" s="25"/>
      <c r="D91" s="14"/>
      <c r="E91" s="14"/>
      <c r="F91" s="14"/>
      <c r="G91" s="14"/>
      <c r="H91" s="14"/>
      <c r="I91" s="14"/>
      <c r="J91" s="14"/>
      <c r="K91" s="14"/>
      <c r="L91" s="14"/>
      <c r="M91" s="14"/>
      <c r="N91" s="20"/>
      <c r="O91" s="20"/>
      <c r="P91" s="20"/>
      <c r="Q91" s="64"/>
      <c r="R91" s="64"/>
      <c r="S91" s="20"/>
      <c r="T91" s="64"/>
      <c r="U91" s="64"/>
    </row>
    <row r="92" spans="1:21">
      <c r="A92" s="14"/>
      <c r="B92" s="14"/>
      <c r="C92" s="25"/>
      <c r="D92" s="14"/>
      <c r="E92" s="14"/>
      <c r="F92" s="14"/>
      <c r="G92" s="14"/>
      <c r="H92" s="14"/>
      <c r="I92" s="14"/>
      <c r="J92" s="14"/>
      <c r="K92" s="14"/>
      <c r="L92" s="14"/>
      <c r="M92" s="14"/>
      <c r="N92" s="20"/>
      <c r="O92" s="20"/>
      <c r="P92" s="20"/>
      <c r="Q92" s="64"/>
      <c r="R92" s="64"/>
      <c r="S92" s="20"/>
      <c r="T92" s="64"/>
      <c r="U92" s="64"/>
    </row>
    <row r="93" spans="1:21">
      <c r="A93" s="14"/>
      <c r="B93" s="14"/>
      <c r="C93" s="25"/>
      <c r="D93" s="14"/>
      <c r="E93" s="14"/>
      <c r="F93" s="14"/>
      <c r="G93" s="14"/>
      <c r="H93" s="14"/>
      <c r="I93" s="14"/>
      <c r="J93" s="14"/>
      <c r="K93" s="14"/>
      <c r="L93" s="14"/>
      <c r="M93" s="14"/>
      <c r="N93" s="20"/>
      <c r="O93" s="20"/>
      <c r="P93" s="20"/>
      <c r="Q93" s="64"/>
      <c r="R93" s="64"/>
      <c r="S93" s="20"/>
      <c r="T93" s="64"/>
      <c r="U93" s="64"/>
    </row>
    <row r="94" spans="1:21">
      <c r="C94" s="25"/>
      <c r="D94" s="14"/>
      <c r="E94" s="14"/>
      <c r="F94" s="14"/>
      <c r="G94" s="14"/>
      <c r="H94" s="14"/>
      <c r="I94" s="14"/>
      <c r="J94" s="14"/>
      <c r="K94" s="14"/>
      <c r="L94" s="14"/>
      <c r="M94" s="14"/>
      <c r="N94" s="20"/>
    </row>
    <row r="95" spans="1:21">
      <c r="C95" s="25"/>
      <c r="D95" s="14"/>
      <c r="E95" s="14"/>
      <c r="F95" s="14"/>
      <c r="G95" s="14"/>
      <c r="H95" s="14"/>
      <c r="I95" s="14"/>
      <c r="J95" s="14"/>
      <c r="K95" s="14"/>
      <c r="L95" s="14"/>
      <c r="M95" s="14"/>
      <c r="N95" s="20"/>
    </row>
    <row r="96" spans="1:21">
      <c r="C96" s="25"/>
      <c r="D96" s="14"/>
      <c r="E96" s="14"/>
      <c r="F96" s="14"/>
      <c r="G96" s="14"/>
      <c r="H96" s="14"/>
      <c r="I96" s="14"/>
      <c r="J96" s="14"/>
      <c r="K96" s="14"/>
      <c r="L96" s="14"/>
      <c r="M96" s="14"/>
      <c r="N96" s="20"/>
    </row>
    <row r="97" spans="3:14">
      <c r="C97" s="25"/>
      <c r="D97" s="14"/>
      <c r="E97" s="14"/>
      <c r="F97" s="14"/>
      <c r="G97" s="14"/>
      <c r="H97" s="14"/>
      <c r="I97" s="14"/>
      <c r="J97" s="14"/>
      <c r="K97" s="14"/>
      <c r="L97" s="14"/>
      <c r="M97" s="14"/>
      <c r="N97" s="20"/>
    </row>
  </sheetData>
  <mergeCells count="127">
    <mergeCell ref="V12:V13"/>
    <mergeCell ref="U18:U19"/>
    <mergeCell ref="V14:V15"/>
    <mergeCell ref="V16:V17"/>
    <mergeCell ref="V18:V19"/>
    <mergeCell ref="A1:B4"/>
    <mergeCell ref="C1:V1"/>
    <mergeCell ref="C2:V2"/>
    <mergeCell ref="D3:V3"/>
    <mergeCell ref="D4:V4"/>
    <mergeCell ref="T8:T13"/>
    <mergeCell ref="M11:O11"/>
    <mergeCell ref="P11:R11"/>
    <mergeCell ref="P8:R8"/>
    <mergeCell ref="G9:I9"/>
    <mergeCell ref="G10:I10"/>
    <mergeCell ref="J10:L10"/>
    <mergeCell ref="M10:O10"/>
    <mergeCell ref="P10:R10"/>
    <mergeCell ref="J9:L9"/>
    <mergeCell ref="M9:O9"/>
    <mergeCell ref="P9:R9"/>
    <mergeCell ref="G13:I13"/>
    <mergeCell ref="P14:R14"/>
    <mergeCell ref="A24:S24"/>
    <mergeCell ref="E22:E23"/>
    <mergeCell ref="E20:E21"/>
    <mergeCell ref="C18:C19"/>
    <mergeCell ref="C22:C23"/>
    <mergeCell ref="E18:E19"/>
    <mergeCell ref="D20:D21"/>
    <mergeCell ref="D22:D23"/>
    <mergeCell ref="C20:C21"/>
    <mergeCell ref="D18:D19"/>
    <mergeCell ref="A14:A23"/>
    <mergeCell ref="B14:B23"/>
    <mergeCell ref="C14:C15"/>
    <mergeCell ref="G15:I15"/>
    <mergeCell ref="J15:L15"/>
    <mergeCell ref="M15:O15"/>
    <mergeCell ref="P15:R15"/>
    <mergeCell ref="G16:I16"/>
    <mergeCell ref="J16:L16"/>
    <mergeCell ref="M16:O16"/>
    <mergeCell ref="P16:R16"/>
    <mergeCell ref="G14:I14"/>
    <mergeCell ref="J14:L14"/>
    <mergeCell ref="M14:O14"/>
    <mergeCell ref="V22:V23"/>
    <mergeCell ref="U22:U23"/>
    <mergeCell ref="U12:U13"/>
    <mergeCell ref="V6:V7"/>
    <mergeCell ref="C6:C7"/>
    <mergeCell ref="C8:C9"/>
    <mergeCell ref="T6:U6"/>
    <mergeCell ref="U16:U17"/>
    <mergeCell ref="U14:U15"/>
    <mergeCell ref="D12:D13"/>
    <mergeCell ref="E12:E13"/>
    <mergeCell ref="E16:E17"/>
    <mergeCell ref="D16:D17"/>
    <mergeCell ref="C10:C11"/>
    <mergeCell ref="D10:D11"/>
    <mergeCell ref="E10:E11"/>
    <mergeCell ref="C16:C17"/>
    <mergeCell ref="E14:E15"/>
    <mergeCell ref="D14:D15"/>
    <mergeCell ref="U8:U9"/>
    <mergeCell ref="T14:T23"/>
    <mergeCell ref="U10:U11"/>
    <mergeCell ref="V10:V11"/>
    <mergeCell ref="U20:U21"/>
    <mergeCell ref="V20:V21"/>
    <mergeCell ref="V8:V9"/>
    <mergeCell ref="A8:A13"/>
    <mergeCell ref="D6:E6"/>
    <mergeCell ref="F6:S6"/>
    <mergeCell ref="A6:A7"/>
    <mergeCell ref="B6:B7"/>
    <mergeCell ref="C12:C13"/>
    <mergeCell ref="B8:B13"/>
    <mergeCell ref="D8:D9"/>
    <mergeCell ref="E8:E9"/>
    <mergeCell ref="G7:I7"/>
    <mergeCell ref="J7:L7"/>
    <mergeCell ref="M7:O7"/>
    <mergeCell ref="P7:R7"/>
    <mergeCell ref="G8:I8"/>
    <mergeCell ref="J8:L8"/>
    <mergeCell ref="M8:O8"/>
    <mergeCell ref="G11:I11"/>
    <mergeCell ref="G12:I12"/>
    <mergeCell ref="J12:L12"/>
    <mergeCell ref="M12:O12"/>
    <mergeCell ref="P12:R12"/>
    <mergeCell ref="J11:L11"/>
    <mergeCell ref="J13:L13"/>
    <mergeCell ref="M13:O13"/>
    <mergeCell ref="P13:R13"/>
    <mergeCell ref="G19:I19"/>
    <mergeCell ref="J18:L18"/>
    <mergeCell ref="M18:O18"/>
    <mergeCell ref="P18:R18"/>
    <mergeCell ref="J19:L19"/>
    <mergeCell ref="M19:O19"/>
    <mergeCell ref="P19:R19"/>
    <mergeCell ref="J17:L17"/>
    <mergeCell ref="M17:O17"/>
    <mergeCell ref="P17:R17"/>
    <mergeCell ref="G17:I17"/>
    <mergeCell ref="G18:I18"/>
    <mergeCell ref="G23:I23"/>
    <mergeCell ref="J23:L23"/>
    <mergeCell ref="M23:O23"/>
    <mergeCell ref="P23:R23"/>
    <mergeCell ref="P21:R21"/>
    <mergeCell ref="G22:I22"/>
    <mergeCell ref="J22:L22"/>
    <mergeCell ref="G20:I20"/>
    <mergeCell ref="J20:L20"/>
    <mergeCell ref="M20:O20"/>
    <mergeCell ref="M22:O22"/>
    <mergeCell ref="P22:R22"/>
    <mergeCell ref="G21:I21"/>
    <mergeCell ref="J21:L21"/>
    <mergeCell ref="M21:O21"/>
    <mergeCell ref="P20:R20"/>
  </mergeCells>
  <printOptions horizontalCentered="1" verticalCentered="1"/>
  <pageMargins left="0" right="0" top="0.55118110236220474" bottom="0" header="0.31496062992125984" footer="0"/>
  <pageSetup scale="40"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2"/>
  <sheetViews>
    <sheetView zoomScale="85" zoomScaleNormal="85" workbookViewId="0">
      <selection activeCell="I14" sqref="I14"/>
    </sheetView>
  </sheetViews>
  <sheetFormatPr baseColWidth="10" defaultColWidth="10.85546875" defaultRowHeight="11.25"/>
  <cols>
    <col min="1" max="1" width="8.7109375" style="165" customWidth="1"/>
    <col min="2" max="2" width="21.140625" style="165" customWidth="1"/>
    <col min="3" max="3" width="17.7109375" style="165" customWidth="1"/>
    <col min="4" max="4" width="19.42578125" style="165" customWidth="1"/>
    <col min="5" max="5" width="17.7109375" style="264" customWidth="1"/>
    <col min="6" max="6" width="17.85546875" style="265" customWidth="1"/>
    <col min="7" max="7" width="16" style="165" hidden="1" customWidth="1"/>
    <col min="8" max="8" width="10.5703125" style="165" hidden="1" customWidth="1"/>
    <col min="9" max="9" width="16.42578125" style="165" customWidth="1"/>
    <col min="10" max="10" width="19" style="165" hidden="1" customWidth="1"/>
    <col min="11" max="11" width="14.42578125" style="165" hidden="1" customWidth="1"/>
    <col min="12" max="12" width="14.7109375" style="165" customWidth="1"/>
    <col min="13" max="13" width="20.85546875" style="165" customWidth="1"/>
    <col min="14" max="14" width="14.85546875" style="165" customWidth="1"/>
    <col min="15" max="15" width="14.42578125" style="165" customWidth="1"/>
    <col min="16" max="16" width="15.7109375" style="165" customWidth="1"/>
    <col min="17" max="18" width="16.7109375" style="262" customWidth="1"/>
    <col min="19" max="19" width="16.7109375" style="165" customWidth="1"/>
    <col min="20" max="20" width="15.5703125" style="165" customWidth="1"/>
    <col min="21" max="21" width="13.140625" style="266" customWidth="1"/>
    <col min="22" max="22" width="17.7109375" style="165" customWidth="1"/>
    <col min="23" max="23" width="4.7109375" style="162" customWidth="1"/>
    <col min="24" max="24" width="7.7109375" style="163" hidden="1" customWidth="1"/>
    <col min="25" max="25" width="14.28515625" style="163" hidden="1" customWidth="1"/>
    <col min="26" max="26" width="1.7109375" style="163" hidden="1" customWidth="1"/>
    <col min="27" max="27" width="14.28515625" style="163" hidden="1" customWidth="1"/>
    <col min="28" max="28" width="1.7109375" style="163" hidden="1" customWidth="1"/>
    <col min="29" max="29" width="16.7109375" style="163" hidden="1" customWidth="1"/>
    <col min="30" max="31" width="1.7109375" style="163" hidden="1" customWidth="1"/>
    <col min="32" max="32" width="14.28515625" style="163" hidden="1" customWidth="1"/>
    <col min="33" max="35" width="10.85546875" style="164"/>
    <col min="36" max="79" width="10.85546875" style="162"/>
    <col min="80" max="16384" width="10.85546875" style="165"/>
  </cols>
  <sheetData>
    <row r="1" spans="1:79" ht="18" customHeight="1">
      <c r="A1" s="515"/>
      <c r="B1" s="516"/>
      <c r="C1" s="516"/>
      <c r="D1" s="517"/>
      <c r="E1" s="521" t="s">
        <v>0</v>
      </c>
      <c r="F1" s="522"/>
      <c r="G1" s="522"/>
      <c r="H1" s="522"/>
      <c r="I1" s="522"/>
      <c r="J1" s="522"/>
      <c r="K1" s="522"/>
      <c r="L1" s="522"/>
      <c r="M1" s="522"/>
      <c r="N1" s="522"/>
      <c r="O1" s="522"/>
      <c r="P1" s="522"/>
      <c r="Q1" s="522"/>
      <c r="R1" s="522"/>
      <c r="S1" s="522"/>
      <c r="T1" s="522"/>
      <c r="U1" s="522"/>
      <c r="V1" s="523"/>
    </row>
    <row r="2" spans="1:79" ht="23.25" customHeight="1">
      <c r="A2" s="518"/>
      <c r="B2" s="519"/>
      <c r="C2" s="519"/>
      <c r="D2" s="520"/>
      <c r="E2" s="524" t="s">
        <v>122</v>
      </c>
      <c r="F2" s="525"/>
      <c r="G2" s="525"/>
      <c r="H2" s="525"/>
      <c r="I2" s="525"/>
      <c r="J2" s="525"/>
      <c r="K2" s="525"/>
      <c r="L2" s="525"/>
      <c r="M2" s="525"/>
      <c r="N2" s="525"/>
      <c r="O2" s="525"/>
      <c r="P2" s="525"/>
      <c r="Q2" s="525"/>
      <c r="R2" s="525"/>
      <c r="S2" s="525"/>
      <c r="T2" s="525"/>
      <c r="U2" s="525"/>
      <c r="V2" s="526"/>
    </row>
    <row r="3" spans="1:79" ht="20.25" customHeight="1">
      <c r="A3" s="518"/>
      <c r="B3" s="519"/>
      <c r="C3" s="519"/>
      <c r="D3" s="520"/>
      <c r="E3" s="166" t="s">
        <v>123</v>
      </c>
      <c r="F3" s="527" t="s">
        <v>99</v>
      </c>
      <c r="G3" s="528"/>
      <c r="H3" s="528"/>
      <c r="I3" s="528"/>
      <c r="J3" s="528"/>
      <c r="K3" s="528"/>
      <c r="L3" s="528"/>
      <c r="M3" s="528"/>
      <c r="N3" s="528"/>
      <c r="O3" s="528"/>
      <c r="P3" s="528"/>
      <c r="Q3" s="528"/>
      <c r="R3" s="528"/>
      <c r="S3" s="528"/>
      <c r="T3" s="528"/>
      <c r="U3" s="528"/>
      <c r="V3" s="529"/>
    </row>
    <row r="4" spans="1:79" ht="23.25" customHeight="1" thickBot="1">
      <c r="A4" s="518"/>
      <c r="B4" s="519"/>
      <c r="C4" s="519"/>
      <c r="D4" s="520"/>
      <c r="E4" s="167" t="s">
        <v>124</v>
      </c>
      <c r="F4" s="530"/>
      <c r="G4" s="531"/>
      <c r="H4" s="531"/>
      <c r="I4" s="531"/>
      <c r="J4" s="531"/>
      <c r="K4" s="531"/>
      <c r="L4" s="531"/>
      <c r="M4" s="531"/>
      <c r="N4" s="531"/>
      <c r="O4" s="531"/>
      <c r="P4" s="531"/>
      <c r="Q4" s="531"/>
      <c r="R4" s="531"/>
      <c r="S4" s="531"/>
      <c r="T4" s="531"/>
      <c r="U4" s="531"/>
      <c r="V4" s="532"/>
    </row>
    <row r="5" spans="1:79" ht="18.75" customHeight="1">
      <c r="A5" s="533" t="s">
        <v>125</v>
      </c>
      <c r="B5" s="535" t="s">
        <v>126</v>
      </c>
      <c r="C5" s="535" t="s">
        <v>127</v>
      </c>
      <c r="D5" s="535" t="s">
        <v>128</v>
      </c>
      <c r="E5" s="537" t="s">
        <v>129</v>
      </c>
      <c r="F5" s="535"/>
      <c r="G5" s="535"/>
      <c r="H5" s="535"/>
      <c r="I5" s="535"/>
      <c r="J5" s="535"/>
      <c r="K5" s="535"/>
      <c r="L5" s="535" t="s">
        <v>130</v>
      </c>
      <c r="M5" s="535"/>
      <c r="N5" s="535"/>
      <c r="O5" s="535"/>
      <c r="P5" s="535"/>
      <c r="Q5" s="535" t="s">
        <v>131</v>
      </c>
      <c r="R5" s="535"/>
      <c r="S5" s="535"/>
      <c r="T5" s="535"/>
      <c r="U5" s="535"/>
      <c r="V5" s="539"/>
    </row>
    <row r="6" spans="1:79" ht="33.75" customHeight="1" thickBot="1">
      <c r="A6" s="534" t="s">
        <v>132</v>
      </c>
      <c r="B6" s="536"/>
      <c r="C6" s="536"/>
      <c r="D6" s="536"/>
      <c r="E6" s="538"/>
      <c r="F6" s="168" t="s">
        <v>133</v>
      </c>
      <c r="G6" s="169" t="s">
        <v>134</v>
      </c>
      <c r="H6" s="169" t="s">
        <v>135</v>
      </c>
      <c r="I6" s="169" t="s">
        <v>136</v>
      </c>
      <c r="J6" s="169" t="s">
        <v>137</v>
      </c>
      <c r="K6" s="169" t="s">
        <v>138</v>
      </c>
      <c r="L6" s="169" t="s">
        <v>139</v>
      </c>
      <c r="M6" s="169" t="s">
        <v>140</v>
      </c>
      <c r="N6" s="169" t="s">
        <v>141</v>
      </c>
      <c r="O6" s="169" t="s">
        <v>142</v>
      </c>
      <c r="P6" s="169" t="s">
        <v>143</v>
      </c>
      <c r="Q6" s="169" t="s">
        <v>144</v>
      </c>
      <c r="R6" s="169" t="s">
        <v>145</v>
      </c>
      <c r="S6" s="169" t="s">
        <v>146</v>
      </c>
      <c r="T6" s="169" t="s">
        <v>147</v>
      </c>
      <c r="U6" s="169" t="s">
        <v>148</v>
      </c>
      <c r="V6" s="170" t="s">
        <v>149</v>
      </c>
      <c r="X6" s="171" t="s">
        <v>150</v>
      </c>
      <c r="Y6" s="171" t="s">
        <v>151</v>
      </c>
      <c r="Z6" s="172"/>
      <c r="AA6" s="171" t="s">
        <v>152</v>
      </c>
      <c r="AB6" s="172"/>
      <c r="AC6" s="171" t="s">
        <v>153</v>
      </c>
      <c r="AF6" s="173" t="s">
        <v>154</v>
      </c>
    </row>
    <row r="7" spans="1:79" s="184" customFormat="1" ht="20.100000000000001" customHeight="1">
      <c r="A7" s="508">
        <v>1</v>
      </c>
      <c r="B7" s="510" t="s">
        <v>155</v>
      </c>
      <c r="C7" s="510" t="s">
        <v>156</v>
      </c>
      <c r="D7" s="174" t="s">
        <v>157</v>
      </c>
      <c r="E7" s="175"/>
      <c r="F7" s="176">
        <v>23.5</v>
      </c>
      <c r="G7" s="177"/>
      <c r="H7" s="177"/>
      <c r="I7" s="177">
        <v>25.33</v>
      </c>
      <c r="J7" s="178">
        <f>+[2]INVERSION!AE9</f>
        <v>0</v>
      </c>
      <c r="K7" s="179"/>
      <c r="L7" s="512" t="s">
        <v>158</v>
      </c>
      <c r="M7" s="512" t="s">
        <v>159</v>
      </c>
      <c r="N7" s="512" t="s">
        <v>90</v>
      </c>
      <c r="O7" s="503" t="s">
        <v>160</v>
      </c>
      <c r="P7" s="505" t="s">
        <v>161</v>
      </c>
      <c r="Q7" s="506">
        <f>V7*51%</f>
        <v>1279.08</v>
      </c>
      <c r="R7" s="506">
        <f>V7*49%</f>
        <v>1228.92</v>
      </c>
      <c r="S7" s="503" t="s">
        <v>162</v>
      </c>
      <c r="T7" s="503" t="s">
        <v>162</v>
      </c>
      <c r="U7" s="503" t="s">
        <v>162</v>
      </c>
      <c r="V7" s="504">
        <v>2508</v>
      </c>
      <c r="W7" s="180"/>
      <c r="X7" s="181">
        <v>12</v>
      </c>
      <c r="Y7" s="181" t="s">
        <v>163</v>
      </c>
      <c r="Z7" s="182"/>
      <c r="AA7" s="182"/>
      <c r="AB7" s="182"/>
      <c r="AC7" s="181" t="s">
        <v>164</v>
      </c>
      <c r="AD7" s="182"/>
      <c r="AE7" s="182"/>
      <c r="AF7" s="182"/>
      <c r="AG7" s="183"/>
      <c r="AH7" s="183"/>
      <c r="AI7" s="183"/>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row>
    <row r="8" spans="1:79" s="184" customFormat="1" ht="20.100000000000001" customHeight="1">
      <c r="A8" s="499"/>
      <c r="B8" s="477"/>
      <c r="C8" s="477"/>
      <c r="D8" s="185" t="s">
        <v>165</v>
      </c>
      <c r="E8" s="186"/>
      <c r="F8" s="187">
        <v>145568400</v>
      </c>
      <c r="G8" s="188"/>
      <c r="H8" s="189"/>
      <c r="I8" s="190">
        <v>31023200</v>
      </c>
      <c r="J8" s="191">
        <f>+[2]INVERSION!AE10</f>
        <v>0</v>
      </c>
      <c r="K8" s="191"/>
      <c r="L8" s="481"/>
      <c r="M8" s="481"/>
      <c r="N8" s="481"/>
      <c r="O8" s="474"/>
      <c r="P8" s="470"/>
      <c r="Q8" s="507"/>
      <c r="R8" s="507"/>
      <c r="S8" s="474"/>
      <c r="T8" s="474"/>
      <c r="U8" s="474"/>
      <c r="V8" s="476"/>
      <c r="W8" s="180"/>
      <c r="X8" s="181">
        <v>13</v>
      </c>
      <c r="Y8" s="181" t="s">
        <v>166</v>
      </c>
      <c r="Z8" s="182"/>
      <c r="AA8" s="182"/>
      <c r="AB8" s="182"/>
      <c r="AC8" s="181" t="s">
        <v>167</v>
      </c>
      <c r="AD8" s="182"/>
      <c r="AE8" s="182"/>
      <c r="AF8" s="182"/>
      <c r="AG8" s="183"/>
      <c r="AH8" s="183"/>
      <c r="AI8" s="183"/>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row>
    <row r="9" spans="1:79" s="184" customFormat="1" ht="20.100000000000001" customHeight="1">
      <c r="A9" s="499"/>
      <c r="B9" s="477"/>
      <c r="C9" s="477"/>
      <c r="D9" s="185" t="s">
        <v>168</v>
      </c>
      <c r="E9" s="192"/>
      <c r="F9" s="193"/>
      <c r="G9" s="193"/>
      <c r="H9" s="193"/>
      <c r="I9" s="193"/>
      <c r="J9" s="194"/>
      <c r="K9" s="194"/>
      <c r="L9" s="481"/>
      <c r="M9" s="481"/>
      <c r="N9" s="481"/>
      <c r="O9" s="474"/>
      <c r="P9" s="470"/>
      <c r="Q9" s="507"/>
      <c r="R9" s="507"/>
      <c r="S9" s="474"/>
      <c r="T9" s="474"/>
      <c r="U9" s="474"/>
      <c r="V9" s="476"/>
      <c r="W9" s="180"/>
      <c r="X9" s="181">
        <v>14</v>
      </c>
      <c r="Y9" s="181" t="s">
        <v>169</v>
      </c>
      <c r="Z9" s="182"/>
      <c r="AA9" s="182"/>
      <c r="AB9" s="182"/>
      <c r="AC9" s="181" t="s">
        <v>170</v>
      </c>
      <c r="AD9" s="182"/>
      <c r="AE9" s="182"/>
      <c r="AF9" s="182"/>
      <c r="AG9" s="183"/>
      <c r="AH9" s="183"/>
      <c r="AI9" s="183"/>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row>
    <row r="10" spans="1:79" s="184" customFormat="1" ht="20.100000000000001" customHeight="1">
      <c r="A10" s="499"/>
      <c r="B10" s="477"/>
      <c r="C10" s="477"/>
      <c r="D10" s="195" t="s">
        <v>171</v>
      </c>
      <c r="E10" s="196"/>
      <c r="F10" s="193"/>
      <c r="G10" s="193"/>
      <c r="H10" s="193"/>
      <c r="I10" s="193"/>
      <c r="J10" s="197"/>
      <c r="K10" s="197"/>
      <c r="L10" s="481"/>
      <c r="M10" s="481"/>
      <c r="N10" s="481"/>
      <c r="O10" s="474"/>
      <c r="P10" s="470"/>
      <c r="Q10" s="507"/>
      <c r="R10" s="507"/>
      <c r="S10" s="474"/>
      <c r="T10" s="474"/>
      <c r="U10" s="474"/>
      <c r="V10" s="476"/>
      <c r="W10" s="180"/>
      <c r="X10" s="181"/>
      <c r="Y10" s="181"/>
      <c r="Z10" s="182"/>
      <c r="AA10" s="182"/>
      <c r="AB10" s="182"/>
      <c r="AC10" s="181"/>
      <c r="AD10" s="182"/>
      <c r="AE10" s="182"/>
      <c r="AF10" s="182"/>
      <c r="AG10" s="183"/>
      <c r="AH10" s="183"/>
      <c r="AI10" s="183"/>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row>
    <row r="11" spans="1:79" s="184" customFormat="1" ht="20.100000000000001" customHeight="1">
      <c r="A11" s="499"/>
      <c r="B11" s="477"/>
      <c r="C11" s="477" t="s">
        <v>172</v>
      </c>
      <c r="D11" s="198" t="s">
        <v>157</v>
      </c>
      <c r="E11" s="199"/>
      <c r="F11" s="200">
        <v>23.5</v>
      </c>
      <c r="G11" s="193"/>
      <c r="H11" s="193"/>
      <c r="I11" s="193">
        <v>20</v>
      </c>
      <c r="J11" s="201"/>
      <c r="K11" s="194"/>
      <c r="L11" s="481" t="s">
        <v>173</v>
      </c>
      <c r="M11" s="481" t="s">
        <v>174</v>
      </c>
      <c r="N11" s="481" t="s">
        <v>90</v>
      </c>
      <c r="O11" s="474" t="s">
        <v>160</v>
      </c>
      <c r="P11" s="470" t="s">
        <v>161</v>
      </c>
      <c r="Q11" s="472">
        <f>V11*51%</f>
        <v>1446.3600000000001</v>
      </c>
      <c r="R11" s="472">
        <f>V11*49%</f>
        <v>1389.6399999999999</v>
      </c>
      <c r="S11" s="474" t="s">
        <v>162</v>
      </c>
      <c r="T11" s="474" t="s">
        <v>162</v>
      </c>
      <c r="U11" s="474" t="s">
        <v>162</v>
      </c>
      <c r="V11" s="476">
        <v>2836</v>
      </c>
      <c r="W11" s="180"/>
      <c r="X11" s="181">
        <v>12</v>
      </c>
      <c r="Y11" s="181" t="s">
        <v>163</v>
      </c>
      <c r="Z11" s="182"/>
      <c r="AA11" s="182"/>
      <c r="AB11" s="182"/>
      <c r="AC11" s="181" t="s">
        <v>164</v>
      </c>
      <c r="AD11" s="182"/>
      <c r="AE11" s="182"/>
      <c r="AF11" s="182"/>
      <c r="AG11" s="183"/>
      <c r="AH11" s="183"/>
      <c r="AI11" s="183"/>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row>
    <row r="12" spans="1:79" s="184" customFormat="1" ht="20.100000000000001" customHeight="1">
      <c r="A12" s="499"/>
      <c r="B12" s="477"/>
      <c r="C12" s="477"/>
      <c r="D12" s="185" t="s">
        <v>165</v>
      </c>
      <c r="E12" s="186"/>
      <c r="F12" s="187">
        <v>145568400</v>
      </c>
      <c r="G12" s="188"/>
      <c r="H12" s="189"/>
      <c r="I12" s="187">
        <v>31023200</v>
      </c>
      <c r="J12" s="191">
        <f>+[2]INVERSION!AE14</f>
        <v>0</v>
      </c>
      <c r="K12" s="191"/>
      <c r="L12" s="481"/>
      <c r="M12" s="481"/>
      <c r="N12" s="481"/>
      <c r="O12" s="474"/>
      <c r="P12" s="470"/>
      <c r="Q12" s="472"/>
      <c r="R12" s="472"/>
      <c r="S12" s="474"/>
      <c r="T12" s="474"/>
      <c r="U12" s="474"/>
      <c r="V12" s="476"/>
      <c r="W12" s="180"/>
      <c r="X12" s="181">
        <v>13</v>
      </c>
      <c r="Y12" s="181" t="s">
        <v>166</v>
      </c>
      <c r="Z12" s="182"/>
      <c r="AA12" s="182"/>
      <c r="AB12" s="182"/>
      <c r="AC12" s="181" t="s">
        <v>167</v>
      </c>
      <c r="AD12" s="182"/>
      <c r="AE12" s="182"/>
      <c r="AF12" s="182"/>
      <c r="AG12" s="183"/>
      <c r="AH12" s="183"/>
      <c r="AI12" s="183"/>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row>
    <row r="13" spans="1:79" s="184" customFormat="1" ht="20.100000000000001" customHeight="1">
      <c r="A13" s="499"/>
      <c r="B13" s="477"/>
      <c r="C13" s="477"/>
      <c r="D13" s="185" t="s">
        <v>168</v>
      </c>
      <c r="E13" s="192"/>
      <c r="F13" s="193"/>
      <c r="G13" s="193"/>
      <c r="H13" s="193"/>
      <c r="I13" s="193"/>
      <c r="J13" s="194"/>
      <c r="K13" s="194"/>
      <c r="L13" s="481"/>
      <c r="M13" s="481"/>
      <c r="N13" s="481"/>
      <c r="O13" s="474"/>
      <c r="P13" s="470"/>
      <c r="Q13" s="472"/>
      <c r="R13" s="472"/>
      <c r="S13" s="474"/>
      <c r="T13" s="474"/>
      <c r="U13" s="474"/>
      <c r="V13" s="476"/>
      <c r="W13" s="180"/>
      <c r="X13" s="181">
        <v>14</v>
      </c>
      <c r="Y13" s="181" t="s">
        <v>169</v>
      </c>
      <c r="Z13" s="182"/>
      <c r="AA13" s="182"/>
      <c r="AB13" s="182"/>
      <c r="AC13" s="181" t="s">
        <v>170</v>
      </c>
      <c r="AD13" s="182"/>
      <c r="AE13" s="182"/>
      <c r="AF13" s="182"/>
      <c r="AG13" s="183"/>
      <c r="AH13" s="183"/>
      <c r="AI13" s="183"/>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row>
    <row r="14" spans="1:79" s="184" customFormat="1" ht="20.100000000000001" customHeight="1">
      <c r="A14" s="499"/>
      <c r="B14" s="477"/>
      <c r="C14" s="477"/>
      <c r="D14" s="195" t="s">
        <v>171</v>
      </c>
      <c r="E14" s="196"/>
      <c r="F14" s="193"/>
      <c r="G14" s="193"/>
      <c r="H14" s="193"/>
      <c r="I14" s="193"/>
      <c r="J14" s="197"/>
      <c r="K14" s="197"/>
      <c r="L14" s="481"/>
      <c r="M14" s="481"/>
      <c r="N14" s="481"/>
      <c r="O14" s="474"/>
      <c r="P14" s="470"/>
      <c r="Q14" s="472"/>
      <c r="R14" s="472"/>
      <c r="S14" s="474"/>
      <c r="T14" s="474"/>
      <c r="U14" s="474"/>
      <c r="V14" s="476"/>
      <c r="W14" s="180"/>
      <c r="X14" s="181"/>
      <c r="Y14" s="181"/>
      <c r="Z14" s="182"/>
      <c r="AA14" s="182"/>
      <c r="AB14" s="182"/>
      <c r="AC14" s="181"/>
      <c r="AD14" s="182"/>
      <c r="AE14" s="182"/>
      <c r="AF14" s="182"/>
      <c r="AG14" s="183"/>
      <c r="AH14" s="183"/>
      <c r="AI14" s="183"/>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row>
    <row r="15" spans="1:79" s="184" customFormat="1" ht="20.100000000000001" customHeight="1">
      <c r="A15" s="499"/>
      <c r="B15" s="477"/>
      <c r="C15" s="477" t="s">
        <v>175</v>
      </c>
      <c r="D15" s="198" t="s">
        <v>157</v>
      </c>
      <c r="E15" s="199"/>
      <c r="F15" s="200">
        <v>23.5</v>
      </c>
      <c r="G15" s="193"/>
      <c r="H15" s="193"/>
      <c r="I15" s="193">
        <v>6</v>
      </c>
      <c r="J15" s="201"/>
      <c r="K15" s="194"/>
      <c r="L15" s="481" t="s">
        <v>176</v>
      </c>
      <c r="M15" s="481" t="s">
        <v>174</v>
      </c>
      <c r="N15" s="481" t="s">
        <v>90</v>
      </c>
      <c r="O15" s="474" t="s">
        <v>160</v>
      </c>
      <c r="P15" s="470" t="s">
        <v>161</v>
      </c>
      <c r="Q15" s="472">
        <f>V15*51%</f>
        <v>2037.45</v>
      </c>
      <c r="R15" s="472">
        <f>V15*49%</f>
        <v>1957.55</v>
      </c>
      <c r="S15" s="474" t="s">
        <v>162</v>
      </c>
      <c r="T15" s="474" t="s">
        <v>162</v>
      </c>
      <c r="U15" s="474" t="s">
        <v>162</v>
      </c>
      <c r="V15" s="476">
        <v>3995</v>
      </c>
      <c r="W15" s="180"/>
      <c r="X15" s="181">
        <v>12</v>
      </c>
      <c r="Y15" s="181" t="s">
        <v>163</v>
      </c>
      <c r="Z15" s="182"/>
      <c r="AA15" s="182"/>
      <c r="AB15" s="182"/>
      <c r="AC15" s="181" t="s">
        <v>164</v>
      </c>
      <c r="AD15" s="182"/>
      <c r="AE15" s="182"/>
      <c r="AF15" s="182"/>
      <c r="AG15" s="183"/>
      <c r="AH15" s="183"/>
      <c r="AI15" s="183"/>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row>
    <row r="16" spans="1:79" s="184" customFormat="1" ht="20.100000000000001" customHeight="1">
      <c r="A16" s="499"/>
      <c r="B16" s="477"/>
      <c r="C16" s="477"/>
      <c r="D16" s="185" t="s">
        <v>165</v>
      </c>
      <c r="E16" s="186"/>
      <c r="F16" s="187">
        <v>145568400</v>
      </c>
      <c r="G16" s="188"/>
      <c r="H16" s="189"/>
      <c r="I16" s="187">
        <v>31023200</v>
      </c>
      <c r="J16" s="191">
        <f>+[2]INVERSION!AE18</f>
        <v>0</v>
      </c>
      <c r="K16" s="191"/>
      <c r="L16" s="481"/>
      <c r="M16" s="481"/>
      <c r="N16" s="481"/>
      <c r="O16" s="474"/>
      <c r="P16" s="470"/>
      <c r="Q16" s="472"/>
      <c r="R16" s="472"/>
      <c r="S16" s="474"/>
      <c r="T16" s="474"/>
      <c r="U16" s="474"/>
      <c r="V16" s="476"/>
      <c r="W16" s="180"/>
      <c r="X16" s="181">
        <v>13</v>
      </c>
      <c r="Y16" s="181" t="s">
        <v>166</v>
      </c>
      <c r="Z16" s="182"/>
      <c r="AA16" s="182"/>
      <c r="AB16" s="182"/>
      <c r="AC16" s="181" t="s">
        <v>167</v>
      </c>
      <c r="AD16" s="182"/>
      <c r="AE16" s="182"/>
      <c r="AF16" s="182"/>
      <c r="AG16" s="183"/>
      <c r="AH16" s="183"/>
      <c r="AI16" s="183"/>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row>
    <row r="17" spans="1:79" s="184" customFormat="1" ht="20.100000000000001" customHeight="1">
      <c r="A17" s="499"/>
      <c r="B17" s="477"/>
      <c r="C17" s="477"/>
      <c r="D17" s="185" t="s">
        <v>168</v>
      </c>
      <c r="E17" s="192"/>
      <c r="F17" s="193"/>
      <c r="G17" s="193"/>
      <c r="H17" s="193"/>
      <c r="I17" s="193"/>
      <c r="J17" s="194"/>
      <c r="K17" s="194"/>
      <c r="L17" s="481"/>
      <c r="M17" s="481"/>
      <c r="N17" s="481"/>
      <c r="O17" s="474"/>
      <c r="P17" s="470"/>
      <c r="Q17" s="472"/>
      <c r="R17" s="472"/>
      <c r="S17" s="474"/>
      <c r="T17" s="474"/>
      <c r="U17" s="474"/>
      <c r="V17" s="476"/>
      <c r="W17" s="180"/>
      <c r="X17" s="181">
        <v>14</v>
      </c>
      <c r="Y17" s="181" t="s">
        <v>169</v>
      </c>
      <c r="Z17" s="182"/>
      <c r="AA17" s="182"/>
      <c r="AB17" s="182"/>
      <c r="AC17" s="181" t="s">
        <v>170</v>
      </c>
      <c r="AD17" s="182"/>
      <c r="AE17" s="182"/>
      <c r="AF17" s="182"/>
      <c r="AG17" s="183"/>
      <c r="AH17" s="183"/>
      <c r="AI17" s="183"/>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row>
    <row r="18" spans="1:79" s="184" customFormat="1" ht="20.100000000000001" customHeight="1">
      <c r="A18" s="499"/>
      <c r="B18" s="477"/>
      <c r="C18" s="477"/>
      <c r="D18" s="195" t="s">
        <v>171</v>
      </c>
      <c r="E18" s="196"/>
      <c r="F18" s="193"/>
      <c r="G18" s="193"/>
      <c r="H18" s="193"/>
      <c r="I18" s="193"/>
      <c r="J18" s="197"/>
      <c r="K18" s="197"/>
      <c r="L18" s="481"/>
      <c r="M18" s="481"/>
      <c r="N18" s="481"/>
      <c r="O18" s="474"/>
      <c r="P18" s="470"/>
      <c r="Q18" s="472"/>
      <c r="R18" s="472"/>
      <c r="S18" s="474"/>
      <c r="T18" s="474"/>
      <c r="U18" s="474"/>
      <c r="V18" s="476"/>
      <c r="W18" s="180"/>
      <c r="X18" s="181"/>
      <c r="Y18" s="181"/>
      <c r="Z18" s="182"/>
      <c r="AA18" s="182"/>
      <c r="AB18" s="182"/>
      <c r="AC18" s="181"/>
      <c r="AD18" s="182"/>
      <c r="AE18" s="182"/>
      <c r="AF18" s="182"/>
      <c r="AG18" s="183"/>
      <c r="AH18" s="183"/>
      <c r="AI18" s="183"/>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row>
    <row r="19" spans="1:79" s="184" customFormat="1" ht="20.100000000000001" customHeight="1">
      <c r="A19" s="499"/>
      <c r="B19" s="477"/>
      <c r="C19" s="477" t="s">
        <v>177</v>
      </c>
      <c r="D19" s="198" t="s">
        <v>157</v>
      </c>
      <c r="E19" s="199"/>
      <c r="F19" s="200">
        <v>23.5</v>
      </c>
      <c r="G19" s="193"/>
      <c r="H19" s="193"/>
      <c r="I19" s="193">
        <v>6</v>
      </c>
      <c r="J19" s="194">
        <f>+[2]INVERSION!AE21</f>
        <v>0</v>
      </c>
      <c r="K19" s="194"/>
      <c r="L19" s="481" t="s">
        <v>178</v>
      </c>
      <c r="M19" s="481" t="s">
        <v>179</v>
      </c>
      <c r="N19" s="481" t="s">
        <v>90</v>
      </c>
      <c r="O19" s="474" t="s">
        <v>160</v>
      </c>
      <c r="P19" s="470" t="s">
        <v>161</v>
      </c>
      <c r="Q19" s="502">
        <v>369</v>
      </c>
      <c r="R19" s="472">
        <f>V19*49%</f>
        <v>180.81</v>
      </c>
      <c r="S19" s="474" t="s">
        <v>162</v>
      </c>
      <c r="T19" s="474" t="s">
        <v>162</v>
      </c>
      <c r="U19" s="474" t="s">
        <v>162</v>
      </c>
      <c r="V19" s="476">
        <v>369</v>
      </c>
      <c r="W19" s="180"/>
      <c r="X19" s="181">
        <v>12</v>
      </c>
      <c r="Y19" s="181" t="s">
        <v>163</v>
      </c>
      <c r="Z19" s="182"/>
      <c r="AA19" s="182"/>
      <c r="AB19" s="182"/>
      <c r="AC19" s="181" t="s">
        <v>164</v>
      </c>
      <c r="AD19" s="182"/>
      <c r="AE19" s="182"/>
      <c r="AF19" s="182"/>
      <c r="AG19" s="183"/>
      <c r="AH19" s="183"/>
      <c r="AI19" s="183"/>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row>
    <row r="20" spans="1:79" s="184" customFormat="1" ht="20.100000000000001" customHeight="1">
      <c r="A20" s="499"/>
      <c r="B20" s="477"/>
      <c r="C20" s="477"/>
      <c r="D20" s="185" t="s">
        <v>165</v>
      </c>
      <c r="E20" s="186"/>
      <c r="F20" s="187">
        <v>145568400</v>
      </c>
      <c r="G20" s="188"/>
      <c r="H20" s="189"/>
      <c r="I20" s="187">
        <v>31023200</v>
      </c>
      <c r="J20" s="191">
        <f>+[2]INVERSION!AE22</f>
        <v>0</v>
      </c>
      <c r="K20" s="191"/>
      <c r="L20" s="481"/>
      <c r="M20" s="481"/>
      <c r="N20" s="481"/>
      <c r="O20" s="474"/>
      <c r="P20" s="470"/>
      <c r="Q20" s="502"/>
      <c r="R20" s="472"/>
      <c r="S20" s="474"/>
      <c r="T20" s="474"/>
      <c r="U20" s="474"/>
      <c r="V20" s="476"/>
      <c r="W20" s="180"/>
      <c r="X20" s="181">
        <v>13</v>
      </c>
      <c r="Y20" s="181" t="s">
        <v>166</v>
      </c>
      <c r="Z20" s="182"/>
      <c r="AA20" s="182"/>
      <c r="AB20" s="182"/>
      <c r="AC20" s="181" t="s">
        <v>167</v>
      </c>
      <c r="AD20" s="182"/>
      <c r="AE20" s="182"/>
      <c r="AF20" s="182"/>
      <c r="AG20" s="183"/>
      <c r="AH20" s="183"/>
      <c r="AI20" s="183"/>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row>
    <row r="21" spans="1:79" s="184" customFormat="1" ht="20.100000000000001" customHeight="1">
      <c r="A21" s="499"/>
      <c r="B21" s="477"/>
      <c r="C21" s="477"/>
      <c r="D21" s="185" t="s">
        <v>168</v>
      </c>
      <c r="E21" s="192"/>
      <c r="F21" s="193"/>
      <c r="G21" s="193"/>
      <c r="H21" s="193"/>
      <c r="I21" s="193"/>
      <c r="J21" s="194"/>
      <c r="K21" s="194"/>
      <c r="L21" s="481"/>
      <c r="M21" s="481"/>
      <c r="N21" s="481"/>
      <c r="O21" s="474"/>
      <c r="P21" s="470"/>
      <c r="Q21" s="502"/>
      <c r="R21" s="472"/>
      <c r="S21" s="474"/>
      <c r="T21" s="474"/>
      <c r="U21" s="474"/>
      <c r="V21" s="476"/>
      <c r="W21" s="180"/>
      <c r="X21" s="181">
        <v>14</v>
      </c>
      <c r="Y21" s="181" t="s">
        <v>169</v>
      </c>
      <c r="Z21" s="182"/>
      <c r="AA21" s="182"/>
      <c r="AB21" s="182"/>
      <c r="AC21" s="181" t="s">
        <v>170</v>
      </c>
      <c r="AD21" s="182"/>
      <c r="AE21" s="182"/>
      <c r="AF21" s="182"/>
      <c r="AG21" s="183"/>
      <c r="AH21" s="183"/>
      <c r="AI21" s="183"/>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row>
    <row r="22" spans="1:79" s="184" customFormat="1" ht="20.100000000000001" customHeight="1">
      <c r="A22" s="499"/>
      <c r="B22" s="477"/>
      <c r="C22" s="477"/>
      <c r="D22" s="195" t="s">
        <v>171</v>
      </c>
      <c r="E22" s="196"/>
      <c r="F22" s="193"/>
      <c r="G22" s="193"/>
      <c r="H22" s="193"/>
      <c r="I22" s="193"/>
      <c r="J22" s="197"/>
      <c r="K22" s="197"/>
      <c r="L22" s="481"/>
      <c r="M22" s="481"/>
      <c r="N22" s="481"/>
      <c r="O22" s="474"/>
      <c r="P22" s="470"/>
      <c r="Q22" s="502"/>
      <c r="R22" s="472"/>
      <c r="S22" s="474"/>
      <c r="T22" s="474"/>
      <c r="U22" s="474"/>
      <c r="V22" s="476"/>
      <c r="W22" s="180"/>
      <c r="X22" s="181"/>
      <c r="Y22" s="181"/>
      <c r="Z22" s="182"/>
      <c r="AA22" s="182"/>
      <c r="AB22" s="182"/>
      <c r="AC22" s="181"/>
      <c r="AD22" s="182"/>
      <c r="AE22" s="182"/>
      <c r="AF22" s="182"/>
      <c r="AG22" s="183"/>
      <c r="AH22" s="183"/>
      <c r="AI22" s="183"/>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row>
    <row r="23" spans="1:79" s="184" customFormat="1" ht="20.100000000000001" customHeight="1">
      <c r="A23" s="499"/>
      <c r="B23" s="477"/>
      <c r="C23" s="477" t="s">
        <v>180</v>
      </c>
      <c r="D23" s="198" t="s">
        <v>157</v>
      </c>
      <c r="E23" s="199"/>
      <c r="F23" s="200">
        <v>23.5</v>
      </c>
      <c r="G23" s="193"/>
      <c r="H23" s="193"/>
      <c r="I23" s="193">
        <v>19</v>
      </c>
      <c r="J23" s="194">
        <f>+[2]INVERSION!AE25</f>
        <v>0</v>
      </c>
      <c r="K23" s="194"/>
      <c r="L23" s="481" t="s">
        <v>181</v>
      </c>
      <c r="M23" s="481" t="s">
        <v>179</v>
      </c>
      <c r="N23" s="481" t="s">
        <v>90</v>
      </c>
      <c r="O23" s="474" t="s">
        <v>160</v>
      </c>
      <c r="P23" s="470" t="s">
        <v>161</v>
      </c>
      <c r="Q23" s="502">
        <v>661</v>
      </c>
      <c r="R23" s="472">
        <f>V23*49%</f>
        <v>323.89</v>
      </c>
      <c r="S23" s="474" t="s">
        <v>162</v>
      </c>
      <c r="T23" s="474" t="s">
        <v>162</v>
      </c>
      <c r="U23" s="474" t="s">
        <v>162</v>
      </c>
      <c r="V23" s="476">
        <v>661</v>
      </c>
      <c r="W23" s="180"/>
      <c r="X23" s="181">
        <v>12</v>
      </c>
      <c r="Y23" s="181" t="s">
        <v>163</v>
      </c>
      <c r="Z23" s="182"/>
      <c r="AA23" s="182"/>
      <c r="AB23" s="182"/>
      <c r="AC23" s="181" t="s">
        <v>164</v>
      </c>
      <c r="AD23" s="182"/>
      <c r="AE23" s="182"/>
      <c r="AF23" s="182"/>
      <c r="AG23" s="183"/>
      <c r="AH23" s="183"/>
      <c r="AI23" s="183"/>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row>
    <row r="24" spans="1:79" s="184" customFormat="1" ht="20.100000000000001" customHeight="1">
      <c r="A24" s="499"/>
      <c r="B24" s="477"/>
      <c r="C24" s="477"/>
      <c r="D24" s="185" t="s">
        <v>165</v>
      </c>
      <c r="E24" s="186"/>
      <c r="F24" s="187">
        <v>145568400</v>
      </c>
      <c r="G24" s="188"/>
      <c r="H24" s="189"/>
      <c r="I24" s="187">
        <v>31023200</v>
      </c>
      <c r="J24" s="191">
        <f>+[2]INVERSION!AE26</f>
        <v>0</v>
      </c>
      <c r="K24" s="191"/>
      <c r="L24" s="481"/>
      <c r="M24" s="481"/>
      <c r="N24" s="481"/>
      <c r="O24" s="474"/>
      <c r="P24" s="470"/>
      <c r="Q24" s="502"/>
      <c r="R24" s="472"/>
      <c r="S24" s="474"/>
      <c r="T24" s="474"/>
      <c r="U24" s="474"/>
      <c r="V24" s="476"/>
      <c r="W24" s="180"/>
      <c r="X24" s="181">
        <v>13</v>
      </c>
      <c r="Y24" s="181" t="s">
        <v>166</v>
      </c>
      <c r="Z24" s="182"/>
      <c r="AA24" s="182"/>
      <c r="AB24" s="182"/>
      <c r="AC24" s="181" t="s">
        <v>167</v>
      </c>
      <c r="AD24" s="182"/>
      <c r="AE24" s="182"/>
      <c r="AF24" s="182"/>
      <c r="AG24" s="183"/>
      <c r="AH24" s="183"/>
      <c r="AI24" s="183"/>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row>
    <row r="25" spans="1:79" s="184" customFormat="1" ht="20.100000000000001" customHeight="1">
      <c r="A25" s="499"/>
      <c r="B25" s="477"/>
      <c r="C25" s="477"/>
      <c r="D25" s="185" t="s">
        <v>168</v>
      </c>
      <c r="E25" s="192"/>
      <c r="F25" s="193"/>
      <c r="G25" s="193"/>
      <c r="H25" s="193"/>
      <c r="I25" s="193"/>
      <c r="J25" s="194"/>
      <c r="K25" s="194"/>
      <c r="L25" s="481"/>
      <c r="M25" s="481"/>
      <c r="N25" s="481"/>
      <c r="O25" s="474"/>
      <c r="P25" s="470"/>
      <c r="Q25" s="502"/>
      <c r="R25" s="472"/>
      <c r="S25" s="474"/>
      <c r="T25" s="474"/>
      <c r="U25" s="474"/>
      <c r="V25" s="476"/>
      <c r="W25" s="180"/>
      <c r="X25" s="181">
        <v>14</v>
      </c>
      <c r="Y25" s="181" t="s">
        <v>169</v>
      </c>
      <c r="Z25" s="182"/>
      <c r="AA25" s="182"/>
      <c r="AB25" s="182"/>
      <c r="AC25" s="181" t="s">
        <v>170</v>
      </c>
      <c r="AD25" s="182"/>
      <c r="AE25" s="182"/>
      <c r="AF25" s="182"/>
      <c r="AG25" s="183"/>
      <c r="AH25" s="183"/>
      <c r="AI25" s="183"/>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row>
    <row r="26" spans="1:79" s="184" customFormat="1" ht="20.100000000000001" customHeight="1">
      <c r="A26" s="499"/>
      <c r="B26" s="477"/>
      <c r="C26" s="477"/>
      <c r="D26" s="195" t="s">
        <v>171</v>
      </c>
      <c r="E26" s="202"/>
      <c r="F26" s="200"/>
      <c r="G26" s="193"/>
      <c r="H26" s="193"/>
      <c r="I26" s="193"/>
      <c r="J26" s="197"/>
      <c r="K26" s="197"/>
      <c r="L26" s="481"/>
      <c r="M26" s="481"/>
      <c r="N26" s="481"/>
      <c r="O26" s="474"/>
      <c r="P26" s="470"/>
      <c r="Q26" s="502"/>
      <c r="R26" s="472"/>
      <c r="S26" s="474"/>
      <c r="T26" s="474"/>
      <c r="U26" s="474"/>
      <c r="V26" s="476"/>
      <c r="W26" s="180"/>
      <c r="X26" s="181"/>
      <c r="Y26" s="181"/>
      <c r="Z26" s="182"/>
      <c r="AA26" s="182"/>
      <c r="AB26" s="182"/>
      <c r="AC26" s="181"/>
      <c r="AD26" s="182"/>
      <c r="AE26" s="182"/>
      <c r="AF26" s="182"/>
      <c r="AG26" s="183"/>
      <c r="AH26" s="183"/>
      <c r="AI26" s="183"/>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row>
    <row r="27" spans="1:79" s="184" customFormat="1" ht="20.100000000000001" customHeight="1">
      <c r="A27" s="499"/>
      <c r="B27" s="477"/>
      <c r="C27" s="513" t="s">
        <v>182</v>
      </c>
      <c r="D27" s="198" t="s">
        <v>157</v>
      </c>
      <c r="E27" s="203">
        <v>117.5</v>
      </c>
      <c r="F27" s="200">
        <f>+F23+F19+F15+F11+F7</f>
        <v>117.5</v>
      </c>
      <c r="G27" s="204">
        <f t="shared" ref="G27:H27" si="0">68.33+G23+G19+G15+G11+G7</f>
        <v>68.33</v>
      </c>
      <c r="H27" s="204">
        <f t="shared" si="0"/>
        <v>68.33</v>
      </c>
      <c r="I27" s="205">
        <f>I7+I11+I15+I19+I23</f>
        <v>76.33</v>
      </c>
      <c r="J27" s="197"/>
      <c r="K27" s="197"/>
      <c r="L27" s="194"/>
      <c r="M27" s="194"/>
      <c r="N27" s="194"/>
      <c r="O27" s="206"/>
      <c r="P27" s="207"/>
      <c r="Q27" s="208"/>
      <c r="R27" s="209"/>
      <c r="S27" s="206"/>
      <c r="T27" s="206"/>
      <c r="U27" s="206"/>
      <c r="V27" s="210"/>
      <c r="W27" s="180"/>
      <c r="X27" s="181"/>
      <c r="Y27" s="181"/>
      <c r="Z27" s="182"/>
      <c r="AA27" s="182"/>
      <c r="AB27" s="182"/>
      <c r="AC27" s="181"/>
      <c r="AD27" s="182"/>
      <c r="AE27" s="182"/>
      <c r="AF27" s="182"/>
      <c r="AG27" s="183"/>
      <c r="AH27" s="183"/>
      <c r="AI27" s="183"/>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row>
    <row r="28" spans="1:79" s="184" customFormat="1" ht="20.100000000000001" customHeight="1">
      <c r="A28" s="499"/>
      <c r="B28" s="477"/>
      <c r="C28" s="513"/>
      <c r="D28" s="185" t="s">
        <v>165</v>
      </c>
      <c r="E28" s="211">
        <v>727842000</v>
      </c>
      <c r="F28" s="187">
        <f>F24+F20+F16+F12+F8</f>
        <v>727842000</v>
      </c>
      <c r="G28" s="211">
        <f t="shared" ref="G28:I28" si="1">G24+G20+G16+G12+G8</f>
        <v>0</v>
      </c>
      <c r="H28" s="211">
        <f t="shared" si="1"/>
        <v>0</v>
      </c>
      <c r="I28" s="211">
        <f t="shared" si="1"/>
        <v>155116000</v>
      </c>
      <c r="J28" s="212"/>
      <c r="K28" s="212"/>
      <c r="L28" s="194"/>
      <c r="M28" s="194"/>
      <c r="N28" s="194"/>
      <c r="O28" s="206"/>
      <c r="P28" s="207"/>
      <c r="Q28" s="208"/>
      <c r="R28" s="209"/>
      <c r="S28" s="206"/>
      <c r="T28" s="206"/>
      <c r="U28" s="206"/>
      <c r="V28" s="210"/>
      <c r="W28" s="180"/>
      <c r="X28" s="181"/>
      <c r="Y28" s="181"/>
      <c r="Z28" s="182"/>
      <c r="AA28" s="182"/>
      <c r="AB28" s="182"/>
      <c r="AC28" s="181"/>
      <c r="AD28" s="182"/>
      <c r="AE28" s="182"/>
      <c r="AF28" s="182"/>
      <c r="AG28" s="183"/>
      <c r="AH28" s="183"/>
      <c r="AI28" s="183"/>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row>
    <row r="29" spans="1:79" s="184" customFormat="1" ht="20.100000000000001" customHeight="1">
      <c r="A29" s="499"/>
      <c r="B29" s="477"/>
      <c r="C29" s="513"/>
      <c r="D29" s="185" t="s">
        <v>168</v>
      </c>
      <c r="E29" s="213"/>
      <c r="F29" s="201"/>
      <c r="G29" s="194"/>
      <c r="H29" s="194"/>
      <c r="I29" s="194"/>
      <c r="J29" s="197"/>
      <c r="K29" s="197"/>
      <c r="L29" s="194"/>
      <c r="M29" s="194"/>
      <c r="N29" s="194"/>
      <c r="O29" s="206"/>
      <c r="P29" s="207"/>
      <c r="Q29" s="208"/>
      <c r="R29" s="209"/>
      <c r="S29" s="206"/>
      <c r="T29" s="206"/>
      <c r="U29" s="206"/>
      <c r="V29" s="210"/>
      <c r="W29" s="180"/>
      <c r="X29" s="181"/>
      <c r="Y29" s="181"/>
      <c r="Z29" s="182"/>
      <c r="AA29" s="182"/>
      <c r="AB29" s="182"/>
      <c r="AC29" s="181"/>
      <c r="AD29" s="182"/>
      <c r="AE29" s="182"/>
      <c r="AF29" s="182"/>
      <c r="AG29" s="183"/>
      <c r="AH29" s="183"/>
      <c r="AI29" s="183"/>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row>
    <row r="30" spans="1:79" s="184" customFormat="1" ht="20.100000000000001" customHeight="1" thickBot="1">
      <c r="A30" s="509"/>
      <c r="B30" s="511"/>
      <c r="C30" s="514"/>
      <c r="D30" s="214" t="s">
        <v>171</v>
      </c>
      <c r="E30" s="215"/>
      <c r="F30" s="216"/>
      <c r="G30" s="217"/>
      <c r="H30" s="217"/>
      <c r="I30" s="217"/>
      <c r="J30" s="218"/>
      <c r="K30" s="218"/>
      <c r="L30" s="217"/>
      <c r="M30" s="217"/>
      <c r="N30" s="217"/>
      <c r="O30" s="219"/>
      <c r="P30" s="220"/>
      <c r="Q30" s="221"/>
      <c r="R30" s="222"/>
      <c r="S30" s="219"/>
      <c r="T30" s="219"/>
      <c r="U30" s="219"/>
      <c r="V30" s="223"/>
      <c r="W30" s="180"/>
      <c r="X30" s="181"/>
      <c r="Y30" s="181"/>
      <c r="Z30" s="182"/>
      <c r="AA30" s="182"/>
      <c r="AB30" s="182"/>
      <c r="AC30" s="181"/>
      <c r="AD30" s="182"/>
      <c r="AE30" s="182"/>
      <c r="AF30" s="182"/>
      <c r="AG30" s="183"/>
      <c r="AH30" s="183"/>
      <c r="AI30" s="183"/>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row>
    <row r="31" spans="1:79" s="184" customFormat="1" ht="20.100000000000001" customHeight="1">
      <c r="A31" s="498">
        <v>3</v>
      </c>
      <c r="B31" s="501" t="s">
        <v>183</v>
      </c>
      <c r="C31" s="501" t="s">
        <v>184</v>
      </c>
      <c r="D31" s="224" t="s">
        <v>157</v>
      </c>
      <c r="E31" s="225"/>
      <c r="F31" s="226">
        <v>85</v>
      </c>
      <c r="G31" s="227"/>
      <c r="H31" s="227"/>
      <c r="I31" s="227">
        <v>121</v>
      </c>
      <c r="J31" s="227"/>
      <c r="K31" s="227"/>
      <c r="L31" s="495" t="s">
        <v>185</v>
      </c>
      <c r="M31" s="495" t="s">
        <v>174</v>
      </c>
      <c r="N31" s="495" t="s">
        <v>90</v>
      </c>
      <c r="O31" s="493" t="s">
        <v>160</v>
      </c>
      <c r="P31" s="496" t="s">
        <v>161</v>
      </c>
      <c r="Q31" s="497">
        <f>V31*51%</f>
        <v>1446.3600000000001</v>
      </c>
      <c r="R31" s="497">
        <f>V31*49%</f>
        <v>1389.6399999999999</v>
      </c>
      <c r="S31" s="493" t="s">
        <v>162</v>
      </c>
      <c r="T31" s="493" t="s">
        <v>162</v>
      </c>
      <c r="U31" s="493" t="s">
        <v>162</v>
      </c>
      <c r="V31" s="494">
        <v>2836</v>
      </c>
      <c r="W31" s="180"/>
      <c r="X31" s="181">
        <v>12</v>
      </c>
      <c r="Y31" s="181" t="s">
        <v>163</v>
      </c>
      <c r="Z31" s="182"/>
      <c r="AA31" s="182"/>
      <c r="AB31" s="182"/>
      <c r="AC31" s="181" t="s">
        <v>164</v>
      </c>
      <c r="AD31" s="182"/>
      <c r="AE31" s="182"/>
      <c r="AF31" s="182"/>
      <c r="AG31" s="183"/>
      <c r="AH31" s="183"/>
      <c r="AI31" s="183"/>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row>
    <row r="32" spans="1:79" s="184" customFormat="1" ht="20.100000000000001" customHeight="1">
      <c r="A32" s="499"/>
      <c r="B32" s="477"/>
      <c r="C32" s="477"/>
      <c r="D32" s="185" t="s">
        <v>165</v>
      </c>
      <c r="E32" s="228"/>
      <c r="F32" s="187">
        <v>144426500</v>
      </c>
      <c r="G32" s="188"/>
      <c r="H32" s="189"/>
      <c r="I32" s="187">
        <v>79197700</v>
      </c>
      <c r="J32" s="191"/>
      <c r="K32" s="191"/>
      <c r="L32" s="481"/>
      <c r="M32" s="481"/>
      <c r="N32" s="481"/>
      <c r="O32" s="474"/>
      <c r="P32" s="470"/>
      <c r="Q32" s="472"/>
      <c r="R32" s="472"/>
      <c r="S32" s="474"/>
      <c r="T32" s="474"/>
      <c r="U32" s="474"/>
      <c r="V32" s="476"/>
      <c r="W32" s="180"/>
      <c r="X32" s="181">
        <v>13</v>
      </c>
      <c r="Y32" s="181" t="s">
        <v>166</v>
      </c>
      <c r="Z32" s="182"/>
      <c r="AA32" s="182"/>
      <c r="AB32" s="182"/>
      <c r="AC32" s="181" t="s">
        <v>167</v>
      </c>
      <c r="AD32" s="182"/>
      <c r="AE32" s="182"/>
      <c r="AF32" s="182"/>
      <c r="AG32" s="183"/>
      <c r="AH32" s="183"/>
      <c r="AI32" s="183"/>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row>
    <row r="33" spans="1:79" s="184" customFormat="1" ht="20.100000000000001" customHeight="1">
      <c r="A33" s="499"/>
      <c r="B33" s="477"/>
      <c r="C33" s="477"/>
      <c r="D33" s="185" t="s">
        <v>168</v>
      </c>
      <c r="E33" s="229"/>
      <c r="F33" s="193"/>
      <c r="G33" s="193"/>
      <c r="H33" s="193"/>
      <c r="I33" s="193"/>
      <c r="J33" s="194"/>
      <c r="K33" s="194"/>
      <c r="L33" s="481"/>
      <c r="M33" s="481"/>
      <c r="N33" s="481"/>
      <c r="O33" s="474"/>
      <c r="P33" s="470"/>
      <c r="Q33" s="472"/>
      <c r="R33" s="472"/>
      <c r="S33" s="474"/>
      <c r="T33" s="474"/>
      <c r="U33" s="474"/>
      <c r="V33" s="476"/>
      <c r="W33" s="180"/>
      <c r="X33" s="181">
        <v>14</v>
      </c>
      <c r="Y33" s="181" t="s">
        <v>169</v>
      </c>
      <c r="Z33" s="182"/>
      <c r="AA33" s="182"/>
      <c r="AB33" s="182"/>
      <c r="AC33" s="181" t="s">
        <v>170</v>
      </c>
      <c r="AD33" s="182"/>
      <c r="AE33" s="182"/>
      <c r="AF33" s="182"/>
      <c r="AG33" s="183"/>
      <c r="AH33" s="183"/>
      <c r="AI33" s="183"/>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row>
    <row r="34" spans="1:79" s="184" customFormat="1" ht="20.100000000000001" customHeight="1">
      <c r="A34" s="499"/>
      <c r="B34" s="477"/>
      <c r="C34" s="477"/>
      <c r="D34" s="195" t="s">
        <v>171</v>
      </c>
      <c r="E34" s="230"/>
      <c r="F34" s="193"/>
      <c r="G34" s="193"/>
      <c r="H34" s="193"/>
      <c r="I34" s="193"/>
      <c r="J34" s="197"/>
      <c r="K34" s="197"/>
      <c r="L34" s="481"/>
      <c r="M34" s="481"/>
      <c r="N34" s="481"/>
      <c r="O34" s="474"/>
      <c r="P34" s="470"/>
      <c r="Q34" s="472"/>
      <c r="R34" s="472"/>
      <c r="S34" s="474"/>
      <c r="T34" s="474"/>
      <c r="U34" s="474"/>
      <c r="V34" s="476"/>
      <c r="W34" s="180"/>
      <c r="X34" s="181"/>
      <c r="Y34" s="181"/>
      <c r="Z34" s="182"/>
      <c r="AA34" s="182"/>
      <c r="AB34" s="182"/>
      <c r="AC34" s="181"/>
      <c r="AD34" s="182"/>
      <c r="AE34" s="182"/>
      <c r="AF34" s="182"/>
      <c r="AG34" s="183"/>
      <c r="AH34" s="183"/>
      <c r="AI34" s="183"/>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row>
    <row r="35" spans="1:79" s="184" customFormat="1" ht="20.100000000000001" customHeight="1">
      <c r="A35" s="499"/>
      <c r="B35" s="477"/>
      <c r="C35" s="477" t="s">
        <v>186</v>
      </c>
      <c r="D35" s="198" t="s">
        <v>157</v>
      </c>
      <c r="E35" s="231"/>
      <c r="F35" s="232">
        <v>85</v>
      </c>
      <c r="G35" s="193"/>
      <c r="H35" s="193"/>
      <c r="I35" s="193">
        <v>151.25</v>
      </c>
      <c r="J35" s="194"/>
      <c r="K35" s="194"/>
      <c r="L35" s="481" t="s">
        <v>176</v>
      </c>
      <c r="M35" s="481" t="s">
        <v>174</v>
      </c>
      <c r="N35" s="481" t="s">
        <v>90</v>
      </c>
      <c r="O35" s="474" t="s">
        <v>160</v>
      </c>
      <c r="P35" s="470" t="s">
        <v>161</v>
      </c>
      <c r="Q35" s="472">
        <f>V35*51%</f>
        <v>2037.45</v>
      </c>
      <c r="R35" s="472">
        <f>V35*49%</f>
        <v>1957.55</v>
      </c>
      <c r="S35" s="474" t="s">
        <v>162</v>
      </c>
      <c r="T35" s="474" t="s">
        <v>162</v>
      </c>
      <c r="U35" s="474" t="s">
        <v>162</v>
      </c>
      <c r="V35" s="476">
        <v>3995</v>
      </c>
      <c r="W35" s="180"/>
      <c r="X35" s="181">
        <v>12</v>
      </c>
      <c r="Y35" s="181" t="s">
        <v>163</v>
      </c>
      <c r="Z35" s="182"/>
      <c r="AA35" s="182"/>
      <c r="AB35" s="182"/>
      <c r="AC35" s="181" t="s">
        <v>164</v>
      </c>
      <c r="AD35" s="182"/>
      <c r="AE35" s="182"/>
      <c r="AF35" s="182"/>
      <c r="AG35" s="183"/>
      <c r="AH35" s="183"/>
      <c r="AI35" s="183"/>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row>
    <row r="36" spans="1:79" s="184" customFormat="1" ht="20.100000000000001" customHeight="1">
      <c r="A36" s="499"/>
      <c r="B36" s="477"/>
      <c r="C36" s="477"/>
      <c r="D36" s="185" t="s">
        <v>165</v>
      </c>
      <c r="E36" s="228"/>
      <c r="F36" s="187">
        <v>144426500</v>
      </c>
      <c r="G36" s="188"/>
      <c r="H36" s="189"/>
      <c r="I36" s="187">
        <v>79197700</v>
      </c>
      <c r="J36" s="191"/>
      <c r="K36" s="191"/>
      <c r="L36" s="481"/>
      <c r="M36" s="481"/>
      <c r="N36" s="481"/>
      <c r="O36" s="474"/>
      <c r="P36" s="470"/>
      <c r="Q36" s="472"/>
      <c r="R36" s="472"/>
      <c r="S36" s="474"/>
      <c r="T36" s="474"/>
      <c r="U36" s="474"/>
      <c r="V36" s="476"/>
      <c r="W36" s="180"/>
      <c r="X36" s="181">
        <v>13</v>
      </c>
      <c r="Y36" s="181" t="s">
        <v>166</v>
      </c>
      <c r="Z36" s="182"/>
      <c r="AA36" s="182"/>
      <c r="AB36" s="182"/>
      <c r="AC36" s="181" t="s">
        <v>167</v>
      </c>
      <c r="AD36" s="182"/>
      <c r="AE36" s="182"/>
      <c r="AF36" s="182"/>
      <c r="AG36" s="183"/>
      <c r="AH36" s="183"/>
      <c r="AI36" s="183"/>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row>
    <row r="37" spans="1:79" s="184" customFormat="1" ht="20.100000000000001" customHeight="1">
      <c r="A37" s="499"/>
      <c r="B37" s="477"/>
      <c r="C37" s="477"/>
      <c r="D37" s="185" t="s">
        <v>168</v>
      </c>
      <c r="E37" s="229"/>
      <c r="F37" s="193"/>
      <c r="G37" s="193"/>
      <c r="H37" s="193"/>
      <c r="I37" s="193"/>
      <c r="J37" s="194"/>
      <c r="K37" s="194"/>
      <c r="L37" s="481"/>
      <c r="M37" s="481"/>
      <c r="N37" s="481"/>
      <c r="O37" s="474"/>
      <c r="P37" s="470"/>
      <c r="Q37" s="472"/>
      <c r="R37" s="472"/>
      <c r="S37" s="474"/>
      <c r="T37" s="474"/>
      <c r="U37" s="474"/>
      <c r="V37" s="476"/>
      <c r="W37" s="180"/>
      <c r="X37" s="181">
        <v>14</v>
      </c>
      <c r="Y37" s="181" t="s">
        <v>169</v>
      </c>
      <c r="Z37" s="182"/>
      <c r="AA37" s="182"/>
      <c r="AB37" s="182"/>
      <c r="AC37" s="181" t="s">
        <v>170</v>
      </c>
      <c r="AD37" s="182"/>
      <c r="AE37" s="182"/>
      <c r="AF37" s="182"/>
      <c r="AG37" s="183"/>
      <c r="AH37" s="183"/>
      <c r="AI37" s="183"/>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row>
    <row r="38" spans="1:79" s="184" customFormat="1" ht="20.100000000000001" customHeight="1">
      <c r="A38" s="499"/>
      <c r="B38" s="477"/>
      <c r="C38" s="477"/>
      <c r="D38" s="195" t="s">
        <v>171</v>
      </c>
      <c r="E38" s="230"/>
      <c r="F38" s="193"/>
      <c r="G38" s="193"/>
      <c r="H38" s="193"/>
      <c r="I38" s="193"/>
      <c r="J38" s="197"/>
      <c r="K38" s="197"/>
      <c r="L38" s="481"/>
      <c r="M38" s="481"/>
      <c r="N38" s="481"/>
      <c r="O38" s="474"/>
      <c r="P38" s="470"/>
      <c r="Q38" s="472"/>
      <c r="R38" s="472"/>
      <c r="S38" s="474"/>
      <c r="T38" s="474"/>
      <c r="U38" s="474"/>
      <c r="V38" s="476"/>
      <c r="W38" s="180"/>
      <c r="X38" s="181"/>
      <c r="Y38" s="181"/>
      <c r="Z38" s="182"/>
      <c r="AA38" s="182"/>
      <c r="AB38" s="182"/>
      <c r="AC38" s="181"/>
      <c r="AD38" s="182"/>
      <c r="AE38" s="182"/>
      <c r="AF38" s="182"/>
      <c r="AG38" s="183"/>
      <c r="AH38" s="183"/>
      <c r="AI38" s="183"/>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row>
    <row r="39" spans="1:79" s="184" customFormat="1" ht="20.100000000000001" customHeight="1">
      <c r="A39" s="499"/>
      <c r="B39" s="477"/>
      <c r="C39" s="477" t="s">
        <v>187</v>
      </c>
      <c r="D39" s="198" t="s">
        <v>157</v>
      </c>
      <c r="E39" s="231"/>
      <c r="F39" s="232">
        <v>85</v>
      </c>
      <c r="G39" s="193"/>
      <c r="H39" s="193"/>
      <c r="I39" s="193">
        <v>71</v>
      </c>
      <c r="J39" s="194"/>
      <c r="K39" s="194"/>
      <c r="L39" s="481" t="s">
        <v>181</v>
      </c>
      <c r="M39" s="481" t="s">
        <v>188</v>
      </c>
      <c r="N39" s="481" t="s">
        <v>90</v>
      </c>
      <c r="O39" s="474" t="s">
        <v>160</v>
      </c>
      <c r="P39" s="470" t="s">
        <v>161</v>
      </c>
      <c r="Q39" s="472">
        <f>V39*51%</f>
        <v>114.75</v>
      </c>
      <c r="R39" s="472">
        <f>V39*49%</f>
        <v>110.25</v>
      </c>
      <c r="S39" s="474" t="s">
        <v>162</v>
      </c>
      <c r="T39" s="474" t="s">
        <v>162</v>
      </c>
      <c r="U39" s="474" t="s">
        <v>162</v>
      </c>
      <c r="V39" s="476">
        <v>225</v>
      </c>
      <c r="W39" s="180"/>
      <c r="X39" s="181">
        <v>12</v>
      </c>
      <c r="Y39" s="181" t="s">
        <v>163</v>
      </c>
      <c r="Z39" s="182"/>
      <c r="AA39" s="182"/>
      <c r="AB39" s="182"/>
      <c r="AC39" s="181" t="s">
        <v>164</v>
      </c>
      <c r="AD39" s="182"/>
      <c r="AE39" s="182"/>
      <c r="AF39" s="182"/>
      <c r="AG39" s="183"/>
      <c r="AH39" s="183"/>
      <c r="AI39" s="183"/>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row>
    <row r="40" spans="1:79" s="184" customFormat="1" ht="20.100000000000001" customHeight="1">
      <c r="A40" s="499"/>
      <c r="B40" s="477"/>
      <c r="C40" s="477"/>
      <c r="D40" s="185" t="s">
        <v>165</v>
      </c>
      <c r="E40" s="228"/>
      <c r="F40" s="187">
        <v>129100000</v>
      </c>
      <c r="G40" s="188"/>
      <c r="H40" s="189"/>
      <c r="I40" s="187">
        <v>64208200</v>
      </c>
      <c r="J40" s="191"/>
      <c r="K40" s="191"/>
      <c r="L40" s="481"/>
      <c r="M40" s="481"/>
      <c r="N40" s="481"/>
      <c r="O40" s="474"/>
      <c r="P40" s="470"/>
      <c r="Q40" s="472"/>
      <c r="R40" s="472"/>
      <c r="S40" s="474"/>
      <c r="T40" s="474"/>
      <c r="U40" s="474"/>
      <c r="V40" s="476"/>
      <c r="W40" s="180"/>
      <c r="X40" s="181">
        <v>13</v>
      </c>
      <c r="Y40" s="181" t="s">
        <v>166</v>
      </c>
      <c r="Z40" s="182"/>
      <c r="AA40" s="182"/>
      <c r="AB40" s="182"/>
      <c r="AC40" s="181" t="s">
        <v>167</v>
      </c>
      <c r="AD40" s="182"/>
      <c r="AE40" s="182"/>
      <c r="AF40" s="182"/>
      <c r="AG40" s="183"/>
      <c r="AH40" s="183"/>
      <c r="AI40" s="183"/>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row>
    <row r="41" spans="1:79" s="184" customFormat="1" ht="20.100000000000001" customHeight="1">
      <c r="A41" s="499"/>
      <c r="B41" s="477"/>
      <c r="C41" s="477"/>
      <c r="D41" s="185" t="s">
        <v>168</v>
      </c>
      <c r="E41" s="229"/>
      <c r="F41" s="193"/>
      <c r="G41" s="193"/>
      <c r="H41" s="193"/>
      <c r="I41" s="193"/>
      <c r="J41" s="194"/>
      <c r="K41" s="194"/>
      <c r="L41" s="481"/>
      <c r="M41" s="481"/>
      <c r="N41" s="481"/>
      <c r="O41" s="474"/>
      <c r="P41" s="470"/>
      <c r="Q41" s="472"/>
      <c r="R41" s="472"/>
      <c r="S41" s="474"/>
      <c r="T41" s="474"/>
      <c r="U41" s="474"/>
      <c r="V41" s="476"/>
      <c r="W41" s="180"/>
      <c r="X41" s="181">
        <v>14</v>
      </c>
      <c r="Y41" s="181" t="s">
        <v>169</v>
      </c>
      <c r="Z41" s="182"/>
      <c r="AA41" s="182"/>
      <c r="AB41" s="182"/>
      <c r="AC41" s="181" t="s">
        <v>170</v>
      </c>
      <c r="AD41" s="182"/>
      <c r="AE41" s="182"/>
      <c r="AF41" s="182"/>
      <c r="AG41" s="183"/>
      <c r="AH41" s="183"/>
      <c r="AI41" s="183"/>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row>
    <row r="42" spans="1:79" s="184" customFormat="1" ht="20.100000000000001" customHeight="1">
      <c r="A42" s="499"/>
      <c r="B42" s="477"/>
      <c r="C42" s="477"/>
      <c r="D42" s="195" t="s">
        <v>171</v>
      </c>
      <c r="E42" s="230"/>
      <c r="F42" s="193"/>
      <c r="G42" s="193"/>
      <c r="H42" s="193"/>
      <c r="I42" s="193"/>
      <c r="J42" s="197"/>
      <c r="K42" s="197"/>
      <c r="L42" s="481"/>
      <c r="M42" s="481"/>
      <c r="N42" s="481"/>
      <c r="O42" s="474"/>
      <c r="P42" s="470"/>
      <c r="Q42" s="472"/>
      <c r="R42" s="472"/>
      <c r="S42" s="474"/>
      <c r="T42" s="474"/>
      <c r="U42" s="474"/>
      <c r="V42" s="476"/>
      <c r="W42" s="180"/>
      <c r="X42" s="181"/>
      <c r="Y42" s="181"/>
      <c r="Z42" s="182"/>
      <c r="AA42" s="182"/>
      <c r="AB42" s="182"/>
      <c r="AC42" s="181"/>
      <c r="AD42" s="182"/>
      <c r="AE42" s="182"/>
      <c r="AF42" s="182"/>
      <c r="AG42" s="183"/>
      <c r="AH42" s="183"/>
      <c r="AI42" s="183"/>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row>
    <row r="43" spans="1:79" s="184" customFormat="1" ht="20.100000000000001" customHeight="1">
      <c r="A43" s="499"/>
      <c r="B43" s="477"/>
      <c r="C43" s="477" t="s">
        <v>189</v>
      </c>
      <c r="D43" s="198" t="s">
        <v>157</v>
      </c>
      <c r="E43" s="231"/>
      <c r="F43" s="232">
        <v>85</v>
      </c>
      <c r="G43" s="193"/>
      <c r="H43" s="193"/>
      <c r="I43" s="193">
        <v>121</v>
      </c>
      <c r="J43" s="194"/>
      <c r="K43" s="194"/>
      <c r="L43" s="481" t="s">
        <v>178</v>
      </c>
      <c r="M43" s="481" t="s">
        <v>188</v>
      </c>
      <c r="N43" s="481" t="s">
        <v>90</v>
      </c>
      <c r="O43" s="474" t="s">
        <v>160</v>
      </c>
      <c r="P43" s="470" t="s">
        <v>161</v>
      </c>
      <c r="Q43" s="472">
        <f>V43*51%</f>
        <v>86.19</v>
      </c>
      <c r="R43" s="472">
        <f>V43*49%</f>
        <v>82.81</v>
      </c>
      <c r="S43" s="474" t="s">
        <v>162</v>
      </c>
      <c r="T43" s="474" t="s">
        <v>162</v>
      </c>
      <c r="U43" s="474" t="s">
        <v>162</v>
      </c>
      <c r="V43" s="476">
        <v>169</v>
      </c>
      <c r="W43" s="180"/>
      <c r="X43" s="181">
        <v>12</v>
      </c>
      <c r="Y43" s="181" t="s">
        <v>163</v>
      </c>
      <c r="Z43" s="182"/>
      <c r="AA43" s="182"/>
      <c r="AB43" s="182"/>
      <c r="AC43" s="181" t="s">
        <v>164</v>
      </c>
      <c r="AD43" s="182"/>
      <c r="AE43" s="182"/>
      <c r="AF43" s="182"/>
      <c r="AG43" s="183"/>
      <c r="AH43" s="183"/>
      <c r="AI43" s="183"/>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row>
    <row r="44" spans="1:79" s="184" customFormat="1" ht="20.100000000000001" customHeight="1">
      <c r="A44" s="499"/>
      <c r="B44" s="477"/>
      <c r="C44" s="477"/>
      <c r="D44" s="185" t="s">
        <v>165</v>
      </c>
      <c r="E44" s="228"/>
      <c r="F44" s="187">
        <v>129100000</v>
      </c>
      <c r="G44" s="188"/>
      <c r="H44" s="189"/>
      <c r="I44" s="187">
        <v>64208200</v>
      </c>
      <c r="J44" s="191"/>
      <c r="K44" s="191"/>
      <c r="L44" s="481"/>
      <c r="M44" s="481"/>
      <c r="N44" s="481"/>
      <c r="O44" s="474"/>
      <c r="P44" s="470"/>
      <c r="Q44" s="472"/>
      <c r="R44" s="472"/>
      <c r="S44" s="474"/>
      <c r="T44" s="474"/>
      <c r="U44" s="474"/>
      <c r="V44" s="476"/>
      <c r="W44" s="180"/>
      <c r="X44" s="181">
        <v>13</v>
      </c>
      <c r="Y44" s="181" t="s">
        <v>166</v>
      </c>
      <c r="Z44" s="182"/>
      <c r="AA44" s="182"/>
      <c r="AB44" s="182"/>
      <c r="AC44" s="181" t="s">
        <v>167</v>
      </c>
      <c r="AD44" s="182"/>
      <c r="AE44" s="182"/>
      <c r="AF44" s="182"/>
      <c r="AG44" s="183"/>
      <c r="AH44" s="183"/>
      <c r="AI44" s="183"/>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row>
    <row r="45" spans="1:79" s="184" customFormat="1" ht="20.100000000000001" customHeight="1">
      <c r="A45" s="499"/>
      <c r="B45" s="477"/>
      <c r="C45" s="477"/>
      <c r="D45" s="185" t="s">
        <v>168</v>
      </c>
      <c r="E45" s="229"/>
      <c r="F45" s="193"/>
      <c r="G45" s="193"/>
      <c r="H45" s="193"/>
      <c r="I45" s="193"/>
      <c r="J45" s="194"/>
      <c r="K45" s="194"/>
      <c r="L45" s="481"/>
      <c r="M45" s="481"/>
      <c r="N45" s="481"/>
      <c r="O45" s="474"/>
      <c r="P45" s="470"/>
      <c r="Q45" s="472"/>
      <c r="R45" s="472"/>
      <c r="S45" s="474"/>
      <c r="T45" s="474"/>
      <c r="U45" s="474"/>
      <c r="V45" s="476"/>
      <c r="W45" s="180"/>
      <c r="X45" s="181">
        <v>14</v>
      </c>
      <c r="Y45" s="181" t="s">
        <v>169</v>
      </c>
      <c r="Z45" s="182"/>
      <c r="AA45" s="182"/>
      <c r="AB45" s="182"/>
      <c r="AC45" s="181" t="s">
        <v>170</v>
      </c>
      <c r="AD45" s="182"/>
      <c r="AE45" s="182"/>
      <c r="AF45" s="182"/>
      <c r="AG45" s="183"/>
      <c r="AH45" s="183"/>
      <c r="AI45" s="183"/>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row>
    <row r="46" spans="1:79" s="184" customFormat="1" ht="20.100000000000001" customHeight="1">
      <c r="A46" s="499"/>
      <c r="B46" s="477"/>
      <c r="C46" s="477"/>
      <c r="D46" s="195" t="s">
        <v>171</v>
      </c>
      <c r="E46" s="230"/>
      <c r="F46" s="193"/>
      <c r="G46" s="193"/>
      <c r="H46" s="193"/>
      <c r="I46" s="193"/>
      <c r="J46" s="197"/>
      <c r="K46" s="197"/>
      <c r="L46" s="481"/>
      <c r="M46" s="481"/>
      <c r="N46" s="481"/>
      <c r="O46" s="474"/>
      <c r="P46" s="470"/>
      <c r="Q46" s="472"/>
      <c r="R46" s="472"/>
      <c r="S46" s="474"/>
      <c r="T46" s="474"/>
      <c r="U46" s="474"/>
      <c r="V46" s="476"/>
      <c r="W46" s="180"/>
      <c r="X46" s="181"/>
      <c r="Y46" s="181"/>
      <c r="Z46" s="182"/>
      <c r="AA46" s="182"/>
      <c r="AB46" s="182"/>
      <c r="AC46" s="181"/>
      <c r="AD46" s="182"/>
      <c r="AE46" s="182"/>
      <c r="AF46" s="182"/>
      <c r="AG46" s="183"/>
      <c r="AH46" s="183"/>
      <c r="AI46" s="183"/>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180"/>
      <c r="CA46" s="180"/>
    </row>
    <row r="47" spans="1:79" s="184" customFormat="1" ht="20.100000000000001" customHeight="1">
      <c r="A47" s="499"/>
      <c r="B47" s="477"/>
      <c r="C47" s="477" t="s">
        <v>190</v>
      </c>
      <c r="D47" s="198" t="s">
        <v>157</v>
      </c>
      <c r="E47" s="231"/>
      <c r="F47" s="232">
        <v>85</v>
      </c>
      <c r="G47" s="193"/>
      <c r="H47" s="193"/>
      <c r="I47" s="193">
        <v>171</v>
      </c>
      <c r="J47" s="194"/>
      <c r="K47" s="194"/>
      <c r="L47" s="479" t="s">
        <v>158</v>
      </c>
      <c r="M47" s="481" t="s">
        <v>159</v>
      </c>
      <c r="N47" s="481" t="s">
        <v>90</v>
      </c>
      <c r="O47" s="474" t="s">
        <v>160</v>
      </c>
      <c r="P47" s="470" t="s">
        <v>161</v>
      </c>
      <c r="Q47" s="472">
        <f>V47*51%</f>
        <v>1279.08</v>
      </c>
      <c r="R47" s="472">
        <f>V47*49%</f>
        <v>1228.92</v>
      </c>
      <c r="S47" s="474" t="s">
        <v>162</v>
      </c>
      <c r="T47" s="474" t="s">
        <v>162</v>
      </c>
      <c r="U47" s="474" t="s">
        <v>162</v>
      </c>
      <c r="V47" s="476">
        <v>2508</v>
      </c>
      <c r="W47" s="180"/>
      <c r="X47" s="181">
        <v>12</v>
      </c>
      <c r="Y47" s="181" t="s">
        <v>163</v>
      </c>
      <c r="Z47" s="182"/>
      <c r="AA47" s="182"/>
      <c r="AB47" s="182"/>
      <c r="AC47" s="181" t="s">
        <v>164</v>
      </c>
      <c r="AD47" s="182"/>
      <c r="AE47" s="182"/>
      <c r="AF47" s="182"/>
      <c r="AG47" s="183"/>
      <c r="AH47" s="183"/>
      <c r="AI47" s="183"/>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row>
    <row r="48" spans="1:79" s="184" customFormat="1" ht="20.100000000000001" customHeight="1">
      <c r="A48" s="499"/>
      <c r="B48" s="477"/>
      <c r="C48" s="477"/>
      <c r="D48" s="185" t="s">
        <v>165</v>
      </c>
      <c r="E48" s="228"/>
      <c r="F48" s="187">
        <v>260483000</v>
      </c>
      <c r="G48" s="188"/>
      <c r="H48" s="189"/>
      <c r="I48" s="187">
        <v>166946200</v>
      </c>
      <c r="J48" s="191"/>
      <c r="K48" s="191"/>
      <c r="L48" s="479"/>
      <c r="M48" s="481"/>
      <c r="N48" s="481"/>
      <c r="O48" s="474"/>
      <c r="P48" s="470"/>
      <c r="Q48" s="472"/>
      <c r="R48" s="472"/>
      <c r="S48" s="474"/>
      <c r="T48" s="474"/>
      <c r="U48" s="474"/>
      <c r="V48" s="476"/>
      <c r="W48" s="180"/>
      <c r="X48" s="181">
        <v>13</v>
      </c>
      <c r="Y48" s="181" t="s">
        <v>166</v>
      </c>
      <c r="Z48" s="182"/>
      <c r="AA48" s="182"/>
      <c r="AB48" s="182"/>
      <c r="AC48" s="181" t="s">
        <v>167</v>
      </c>
      <c r="AD48" s="182"/>
      <c r="AE48" s="182"/>
      <c r="AF48" s="182"/>
      <c r="AG48" s="183"/>
      <c r="AH48" s="183"/>
      <c r="AI48" s="183"/>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row>
    <row r="49" spans="1:79" s="184" customFormat="1" ht="20.100000000000001" customHeight="1">
      <c r="A49" s="499"/>
      <c r="B49" s="477"/>
      <c r="C49" s="477"/>
      <c r="D49" s="185" t="s">
        <v>168</v>
      </c>
      <c r="E49" s="229"/>
      <c r="F49" s="193"/>
      <c r="G49" s="193"/>
      <c r="H49" s="193"/>
      <c r="I49" s="193"/>
      <c r="J49" s="194"/>
      <c r="K49" s="194"/>
      <c r="L49" s="479"/>
      <c r="M49" s="481"/>
      <c r="N49" s="481"/>
      <c r="O49" s="474"/>
      <c r="P49" s="470"/>
      <c r="Q49" s="472"/>
      <c r="R49" s="472"/>
      <c r="S49" s="474"/>
      <c r="T49" s="474"/>
      <c r="U49" s="474"/>
      <c r="V49" s="476"/>
      <c r="W49" s="180"/>
      <c r="X49" s="181">
        <v>14</v>
      </c>
      <c r="Y49" s="181" t="s">
        <v>169</v>
      </c>
      <c r="Z49" s="182"/>
      <c r="AA49" s="182"/>
      <c r="AB49" s="182"/>
      <c r="AC49" s="181" t="s">
        <v>170</v>
      </c>
      <c r="AD49" s="182"/>
      <c r="AE49" s="182"/>
      <c r="AF49" s="182"/>
      <c r="AG49" s="183"/>
      <c r="AH49" s="183"/>
      <c r="AI49" s="183"/>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row>
    <row r="50" spans="1:79" s="184" customFormat="1" ht="20.100000000000001" customHeight="1">
      <c r="A50" s="499"/>
      <c r="B50" s="477"/>
      <c r="C50" s="477"/>
      <c r="D50" s="195" t="s">
        <v>171</v>
      </c>
      <c r="E50" s="230"/>
      <c r="F50" s="193"/>
      <c r="G50" s="193"/>
      <c r="H50" s="193"/>
      <c r="I50" s="193"/>
      <c r="J50" s="197"/>
      <c r="K50" s="197"/>
      <c r="L50" s="479"/>
      <c r="M50" s="481"/>
      <c r="N50" s="481"/>
      <c r="O50" s="474"/>
      <c r="P50" s="470"/>
      <c r="Q50" s="472"/>
      <c r="R50" s="472"/>
      <c r="S50" s="474"/>
      <c r="T50" s="474"/>
      <c r="U50" s="474"/>
      <c r="V50" s="476"/>
      <c r="W50" s="180"/>
      <c r="X50" s="181"/>
      <c r="Y50" s="181"/>
      <c r="Z50" s="182"/>
      <c r="AA50" s="182"/>
      <c r="AB50" s="182"/>
      <c r="AC50" s="181"/>
      <c r="AD50" s="182"/>
      <c r="AE50" s="182"/>
      <c r="AF50" s="182"/>
      <c r="AG50" s="183"/>
      <c r="AH50" s="183"/>
      <c r="AI50" s="183"/>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row>
    <row r="51" spans="1:79" s="184" customFormat="1" ht="20.100000000000001" customHeight="1">
      <c r="A51" s="499"/>
      <c r="B51" s="477"/>
      <c r="C51" s="477" t="s">
        <v>182</v>
      </c>
      <c r="D51" s="198" t="s">
        <v>157</v>
      </c>
      <c r="E51" s="233">
        <v>681</v>
      </c>
      <c r="F51" s="193">
        <f>556+F47+F43+F39+F35+F31</f>
        <v>981</v>
      </c>
      <c r="G51" s="193"/>
      <c r="H51" s="193"/>
      <c r="I51" s="193">
        <f>I43+I39+I47+I35+I31</f>
        <v>635.25</v>
      </c>
      <c r="J51" s="194"/>
      <c r="K51" s="194"/>
      <c r="L51" s="479" t="s">
        <v>158</v>
      </c>
      <c r="M51" s="481" t="s">
        <v>159</v>
      </c>
      <c r="N51" s="481" t="s">
        <v>90</v>
      </c>
      <c r="O51" s="474" t="s">
        <v>160</v>
      </c>
      <c r="P51" s="470" t="s">
        <v>161</v>
      </c>
      <c r="Q51" s="472">
        <f>V51*51%</f>
        <v>1279.08</v>
      </c>
      <c r="R51" s="472">
        <f>V51*49%</f>
        <v>1228.92</v>
      </c>
      <c r="S51" s="474" t="s">
        <v>162</v>
      </c>
      <c r="T51" s="474" t="s">
        <v>162</v>
      </c>
      <c r="U51" s="474" t="s">
        <v>162</v>
      </c>
      <c r="V51" s="476">
        <v>2508</v>
      </c>
      <c r="W51" s="180"/>
      <c r="X51" s="181">
        <v>12</v>
      </c>
      <c r="Y51" s="181" t="s">
        <v>163</v>
      </c>
      <c r="Z51" s="182"/>
      <c r="AA51" s="182"/>
      <c r="AB51" s="182"/>
      <c r="AC51" s="181" t="s">
        <v>164</v>
      </c>
      <c r="AD51" s="182"/>
      <c r="AE51" s="182"/>
      <c r="AF51" s="182"/>
      <c r="AG51" s="183"/>
      <c r="AH51" s="183"/>
      <c r="AI51" s="183"/>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row>
    <row r="52" spans="1:79" s="184" customFormat="1" ht="20.100000000000001" customHeight="1">
      <c r="A52" s="499"/>
      <c r="B52" s="477"/>
      <c r="C52" s="477"/>
      <c r="D52" s="185" t="s">
        <v>165</v>
      </c>
      <c r="E52" s="188">
        <v>807536000</v>
      </c>
      <c r="F52" s="188">
        <f>F48+F44+F40+F36+F32</f>
        <v>807536000</v>
      </c>
      <c r="G52" s="188">
        <f t="shared" ref="G52:I52" si="2">G48+G44+G40+G36+G32</f>
        <v>0</v>
      </c>
      <c r="H52" s="188">
        <f t="shared" si="2"/>
        <v>0</v>
      </c>
      <c r="I52" s="188">
        <f t="shared" si="2"/>
        <v>453758000</v>
      </c>
      <c r="J52" s="191"/>
      <c r="K52" s="191"/>
      <c r="L52" s="479"/>
      <c r="M52" s="481"/>
      <c r="N52" s="481"/>
      <c r="O52" s="474"/>
      <c r="P52" s="470"/>
      <c r="Q52" s="472"/>
      <c r="R52" s="472"/>
      <c r="S52" s="474"/>
      <c r="T52" s="474"/>
      <c r="U52" s="474"/>
      <c r="V52" s="476"/>
      <c r="W52" s="180"/>
      <c r="X52" s="181">
        <v>13</v>
      </c>
      <c r="Y52" s="181" t="s">
        <v>166</v>
      </c>
      <c r="Z52" s="182"/>
      <c r="AA52" s="182"/>
      <c r="AB52" s="182"/>
      <c r="AC52" s="181" t="s">
        <v>167</v>
      </c>
      <c r="AD52" s="182"/>
      <c r="AE52" s="182"/>
      <c r="AF52" s="182"/>
      <c r="AG52" s="183"/>
      <c r="AH52" s="183"/>
      <c r="AI52" s="183"/>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row>
    <row r="53" spans="1:79" s="184" customFormat="1" ht="20.100000000000001" customHeight="1">
      <c r="A53" s="499"/>
      <c r="B53" s="477"/>
      <c r="C53" s="477"/>
      <c r="D53" s="185" t="s">
        <v>168</v>
      </c>
      <c r="E53" s="229"/>
      <c r="F53" s="234"/>
      <c r="G53" s="194"/>
      <c r="H53" s="194"/>
      <c r="I53" s="194"/>
      <c r="J53" s="194"/>
      <c r="K53" s="194"/>
      <c r="L53" s="479"/>
      <c r="M53" s="481"/>
      <c r="N53" s="481"/>
      <c r="O53" s="474"/>
      <c r="P53" s="470"/>
      <c r="Q53" s="472"/>
      <c r="R53" s="472"/>
      <c r="S53" s="474"/>
      <c r="T53" s="474"/>
      <c r="U53" s="474"/>
      <c r="V53" s="476"/>
      <c r="W53" s="180"/>
      <c r="X53" s="181">
        <v>14</v>
      </c>
      <c r="Y53" s="181" t="s">
        <v>169</v>
      </c>
      <c r="Z53" s="182"/>
      <c r="AA53" s="182"/>
      <c r="AB53" s="182"/>
      <c r="AC53" s="181" t="s">
        <v>170</v>
      </c>
      <c r="AD53" s="182"/>
      <c r="AE53" s="182"/>
      <c r="AF53" s="182"/>
      <c r="AG53" s="183"/>
      <c r="AH53" s="183"/>
      <c r="AI53" s="183"/>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row>
    <row r="54" spans="1:79" s="184" customFormat="1" ht="20.100000000000001" customHeight="1" thickBot="1">
      <c r="A54" s="500"/>
      <c r="B54" s="478"/>
      <c r="C54" s="478"/>
      <c r="D54" s="235" t="s">
        <v>171</v>
      </c>
      <c r="E54" s="236"/>
      <c r="F54" s="237"/>
      <c r="G54" s="238"/>
      <c r="H54" s="238"/>
      <c r="I54" s="238"/>
      <c r="J54" s="239"/>
      <c r="K54" s="239"/>
      <c r="L54" s="480"/>
      <c r="M54" s="482"/>
      <c r="N54" s="482"/>
      <c r="O54" s="475"/>
      <c r="P54" s="471"/>
      <c r="Q54" s="473"/>
      <c r="R54" s="473"/>
      <c r="S54" s="475"/>
      <c r="T54" s="475"/>
      <c r="U54" s="475"/>
      <c r="V54" s="483"/>
      <c r="W54" s="180"/>
      <c r="X54" s="181"/>
      <c r="Y54" s="181"/>
      <c r="Z54" s="182"/>
      <c r="AA54" s="182"/>
      <c r="AB54" s="182"/>
      <c r="AC54" s="181"/>
      <c r="AD54" s="182"/>
      <c r="AE54" s="182"/>
      <c r="AF54" s="182"/>
      <c r="AG54" s="183"/>
      <c r="AH54" s="183"/>
      <c r="AI54" s="183"/>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row>
    <row r="55" spans="1:79" s="253" customFormat="1" ht="27" customHeight="1">
      <c r="A55" s="484" t="s">
        <v>191</v>
      </c>
      <c r="B55" s="485"/>
      <c r="C55" s="486"/>
      <c r="D55" s="240" t="s">
        <v>192</v>
      </c>
      <c r="E55" s="241">
        <f>E52+E28</f>
        <v>1535378000</v>
      </c>
      <c r="F55" s="241">
        <f>F52+F28</f>
        <v>1535378000</v>
      </c>
      <c r="G55" s="241">
        <f t="shared" ref="G55:I55" si="3">G52+G28</f>
        <v>0</v>
      </c>
      <c r="H55" s="241">
        <f t="shared" si="3"/>
        <v>0</v>
      </c>
      <c r="I55" s="241">
        <f t="shared" si="3"/>
        <v>608874000</v>
      </c>
      <c r="J55" s="242">
        <f>+J8+J32</f>
        <v>0</v>
      </c>
      <c r="K55" s="243"/>
      <c r="L55" s="244"/>
      <c r="M55" s="244"/>
      <c r="N55" s="244"/>
      <c r="O55" s="244"/>
      <c r="P55" s="245"/>
      <c r="Q55" s="246"/>
      <c r="R55" s="246"/>
      <c r="S55" s="245"/>
      <c r="T55" s="245"/>
      <c r="U55" s="247"/>
      <c r="V55" s="248"/>
      <c r="W55" s="249"/>
      <c r="X55" s="250"/>
      <c r="Y55" s="250"/>
      <c r="Z55" s="250"/>
      <c r="AA55" s="250"/>
      <c r="AB55" s="250"/>
      <c r="AC55" s="250"/>
      <c r="AD55" s="250"/>
      <c r="AE55" s="250"/>
      <c r="AF55" s="250"/>
      <c r="AG55" s="251"/>
      <c r="AH55" s="251"/>
      <c r="AI55" s="251"/>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52"/>
      <c r="BU55" s="252"/>
      <c r="BV55" s="252"/>
      <c r="BW55" s="252"/>
      <c r="BX55" s="252"/>
      <c r="BY55" s="252"/>
      <c r="BZ55" s="252"/>
      <c r="CA55" s="252"/>
    </row>
    <row r="56" spans="1:79" s="253" customFormat="1" ht="26.25" customHeight="1" thickBot="1">
      <c r="A56" s="487"/>
      <c r="B56" s="488"/>
      <c r="C56" s="489"/>
      <c r="D56" s="254" t="s">
        <v>193</v>
      </c>
      <c r="E56" s="255">
        <f>SUM(E55)</f>
        <v>1535378000</v>
      </c>
      <c r="F56" s="255">
        <f>SUM(F55)</f>
        <v>1535378000</v>
      </c>
      <c r="G56" s="255">
        <f t="shared" ref="G56:K56" si="4">SUM(G55)</f>
        <v>0</v>
      </c>
      <c r="H56" s="255">
        <f t="shared" si="4"/>
        <v>0</v>
      </c>
      <c r="I56" s="255">
        <f t="shared" si="4"/>
        <v>608874000</v>
      </c>
      <c r="J56" s="256">
        <f t="shared" si="4"/>
        <v>0</v>
      </c>
      <c r="K56" s="256">
        <f t="shared" si="4"/>
        <v>0</v>
      </c>
      <c r="L56" s="257"/>
      <c r="M56" s="257"/>
      <c r="N56" s="257"/>
      <c r="O56" s="257"/>
      <c r="P56" s="257"/>
      <c r="Q56" s="258"/>
      <c r="R56" s="258"/>
      <c r="S56" s="490"/>
      <c r="T56" s="491"/>
      <c r="U56" s="491"/>
      <c r="V56" s="492"/>
      <c r="W56" s="249"/>
      <c r="X56" s="250"/>
      <c r="Y56" s="250"/>
      <c r="Z56" s="250"/>
      <c r="AA56" s="250"/>
      <c r="AB56" s="250"/>
      <c r="AC56" s="250"/>
      <c r="AD56" s="250"/>
      <c r="AE56" s="250"/>
      <c r="AF56" s="250"/>
      <c r="AG56" s="251"/>
      <c r="AH56" s="251"/>
      <c r="AI56" s="251"/>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52"/>
      <c r="BU56" s="252"/>
      <c r="BV56" s="252"/>
      <c r="BW56" s="252"/>
      <c r="BX56" s="252"/>
      <c r="BY56" s="252"/>
      <c r="BZ56" s="252"/>
      <c r="CA56" s="252"/>
    </row>
    <row r="57" spans="1:79">
      <c r="E57" s="259"/>
      <c r="F57" s="260"/>
      <c r="G57" s="261"/>
      <c r="H57" s="261"/>
      <c r="I57" s="261"/>
      <c r="J57" s="261"/>
      <c r="K57" s="261"/>
      <c r="T57" s="468"/>
      <c r="U57" s="468"/>
      <c r="V57" s="468"/>
    </row>
    <row r="58" spans="1:79" ht="18" customHeight="1">
      <c r="E58" s="259"/>
      <c r="F58" s="260"/>
      <c r="G58" s="261"/>
      <c r="H58" s="261"/>
      <c r="I58" s="261"/>
      <c r="J58" s="261"/>
      <c r="K58" s="261"/>
      <c r="S58" s="469" t="s">
        <v>70</v>
      </c>
      <c r="T58" s="469"/>
      <c r="U58" s="469"/>
      <c r="V58" s="469"/>
    </row>
    <row r="59" spans="1:79" s="162" customFormat="1">
      <c r="A59" s="165"/>
      <c r="B59" s="165"/>
      <c r="C59" s="165"/>
      <c r="D59" s="165"/>
      <c r="E59" s="259"/>
      <c r="F59" s="260"/>
      <c r="G59" s="261"/>
      <c r="H59" s="261"/>
      <c r="I59" s="261"/>
      <c r="J59" s="261"/>
      <c r="K59" s="261"/>
      <c r="L59" s="165"/>
      <c r="M59" s="165"/>
      <c r="N59" s="165"/>
      <c r="O59" s="165"/>
      <c r="P59" s="165"/>
      <c r="Q59" s="262"/>
      <c r="R59" s="262"/>
      <c r="S59" s="165"/>
      <c r="T59" s="263"/>
      <c r="U59" s="263"/>
      <c r="V59" s="263"/>
      <c r="X59" s="163"/>
      <c r="Y59" s="163"/>
      <c r="Z59" s="163"/>
      <c r="AA59" s="163"/>
      <c r="AB59" s="163"/>
      <c r="AC59" s="163"/>
      <c r="AD59" s="163"/>
      <c r="AE59" s="163"/>
      <c r="AF59" s="163"/>
      <c r="AG59" s="164"/>
      <c r="AH59" s="164"/>
      <c r="AI59" s="164"/>
    </row>
    <row r="60" spans="1:79" s="162" customFormat="1">
      <c r="A60" s="165"/>
      <c r="B60" s="165"/>
      <c r="C60" s="165"/>
      <c r="D60" s="165"/>
      <c r="E60" s="259"/>
      <c r="F60" s="260"/>
      <c r="G60" s="261"/>
      <c r="H60" s="261"/>
      <c r="I60" s="261"/>
      <c r="J60" s="261"/>
      <c r="K60" s="261"/>
      <c r="L60" s="165"/>
      <c r="M60" s="165"/>
      <c r="N60" s="165"/>
      <c r="O60" s="165"/>
      <c r="P60" s="165"/>
      <c r="Q60" s="262"/>
      <c r="R60" s="262"/>
      <c r="S60" s="165"/>
      <c r="T60" s="263"/>
      <c r="U60" s="263"/>
      <c r="V60" s="263"/>
      <c r="X60" s="163"/>
      <c r="Y60" s="163"/>
      <c r="Z60" s="163"/>
      <c r="AA60" s="163"/>
      <c r="AB60" s="163"/>
      <c r="AC60" s="163"/>
      <c r="AD60" s="163"/>
      <c r="AE60" s="163"/>
      <c r="AF60" s="163"/>
      <c r="AG60" s="164"/>
      <c r="AH60" s="164"/>
      <c r="AI60" s="164"/>
    </row>
    <row r="61" spans="1:79" s="162" customFormat="1">
      <c r="A61" s="165"/>
      <c r="B61" s="165"/>
      <c r="C61" s="165"/>
      <c r="D61" s="165"/>
      <c r="E61" s="259"/>
      <c r="F61" s="260"/>
      <c r="G61" s="261"/>
      <c r="H61" s="261"/>
      <c r="I61" s="261"/>
      <c r="J61" s="261"/>
      <c r="K61" s="261"/>
      <c r="L61" s="165"/>
      <c r="M61" s="165"/>
      <c r="N61" s="165"/>
      <c r="O61" s="165"/>
      <c r="P61" s="165"/>
      <c r="Q61" s="262"/>
      <c r="R61" s="262"/>
      <c r="S61" s="165"/>
      <c r="T61" s="263"/>
      <c r="U61" s="263"/>
      <c r="V61" s="263"/>
      <c r="X61" s="163"/>
      <c r="Y61" s="163"/>
      <c r="Z61" s="163"/>
      <c r="AA61" s="163"/>
      <c r="AB61" s="163"/>
      <c r="AC61" s="163"/>
      <c r="AD61" s="163"/>
      <c r="AE61" s="163"/>
      <c r="AF61" s="163"/>
      <c r="AG61" s="164"/>
      <c r="AH61" s="164"/>
      <c r="AI61" s="164"/>
    </row>
    <row r="62" spans="1:79" s="162" customFormat="1">
      <c r="A62" s="165"/>
      <c r="B62" s="165"/>
      <c r="C62" s="165"/>
      <c r="D62" s="165"/>
      <c r="E62" s="259"/>
      <c r="F62" s="260"/>
      <c r="G62" s="261"/>
      <c r="H62" s="261"/>
      <c r="I62" s="261"/>
      <c r="J62" s="261"/>
      <c r="K62" s="261"/>
      <c r="L62" s="165"/>
      <c r="M62" s="165"/>
      <c r="N62" s="165"/>
      <c r="O62" s="165"/>
      <c r="P62" s="165"/>
      <c r="Q62" s="262"/>
      <c r="R62" s="262"/>
      <c r="S62" s="165"/>
      <c r="T62" s="263"/>
      <c r="U62" s="263"/>
      <c r="V62" s="263"/>
      <c r="X62" s="163"/>
      <c r="Y62" s="163"/>
      <c r="Z62" s="163"/>
      <c r="AA62" s="163"/>
      <c r="AB62" s="163"/>
      <c r="AC62" s="163"/>
      <c r="AD62" s="163"/>
      <c r="AE62" s="163"/>
      <c r="AF62" s="163"/>
      <c r="AG62" s="164"/>
      <c r="AH62" s="164"/>
      <c r="AI62" s="164"/>
    </row>
  </sheetData>
  <mergeCells count="155">
    <mergeCell ref="A1:D4"/>
    <mergeCell ref="E1:V1"/>
    <mergeCell ref="E2:V2"/>
    <mergeCell ref="F3:V3"/>
    <mergeCell ref="F4:V4"/>
    <mergeCell ref="A5:A6"/>
    <mergeCell ref="B5:B6"/>
    <mergeCell ref="C5:C6"/>
    <mergeCell ref="D5:D6"/>
    <mergeCell ref="E5:E6"/>
    <mergeCell ref="F5:H5"/>
    <mergeCell ref="I5:K5"/>
    <mergeCell ref="L5:P5"/>
    <mergeCell ref="Q5:V5"/>
    <mergeCell ref="A7:A30"/>
    <mergeCell ref="B7:B30"/>
    <mergeCell ref="C7:C10"/>
    <mergeCell ref="L7:L10"/>
    <mergeCell ref="M7:M10"/>
    <mergeCell ref="N7:N10"/>
    <mergeCell ref="C15:C18"/>
    <mergeCell ref="L15:L18"/>
    <mergeCell ref="M15:M18"/>
    <mergeCell ref="N15:N18"/>
    <mergeCell ref="C19:C22"/>
    <mergeCell ref="L19:L22"/>
    <mergeCell ref="M19:M22"/>
    <mergeCell ref="N19:N22"/>
    <mergeCell ref="C27:C30"/>
    <mergeCell ref="O15:O18"/>
    <mergeCell ref="P15:P18"/>
    <mergeCell ref="U7:U10"/>
    <mergeCell ref="V7:V10"/>
    <mergeCell ref="C11:C14"/>
    <mergeCell ref="L11:L14"/>
    <mergeCell ref="M11:M14"/>
    <mergeCell ref="N11:N14"/>
    <mergeCell ref="O11:O14"/>
    <mergeCell ref="P11:P14"/>
    <mergeCell ref="Q11:Q14"/>
    <mergeCell ref="R11:R14"/>
    <mergeCell ref="O7:O10"/>
    <mergeCell ref="P7:P10"/>
    <mergeCell ref="Q7:Q10"/>
    <mergeCell ref="R7:R10"/>
    <mergeCell ref="S7:S10"/>
    <mergeCell ref="T7:T10"/>
    <mergeCell ref="Q15:Q18"/>
    <mergeCell ref="R15:R18"/>
    <mergeCell ref="S15:S18"/>
    <mergeCell ref="T15:T18"/>
    <mergeCell ref="U15:U18"/>
    <mergeCell ref="V15:V18"/>
    <mergeCell ref="S11:S14"/>
    <mergeCell ref="T11:T14"/>
    <mergeCell ref="U11:U14"/>
    <mergeCell ref="V11:V14"/>
    <mergeCell ref="Q19:Q22"/>
    <mergeCell ref="R19:R22"/>
    <mergeCell ref="S19:S22"/>
    <mergeCell ref="T19:T22"/>
    <mergeCell ref="U19:U22"/>
    <mergeCell ref="V19:V22"/>
    <mergeCell ref="O19:O22"/>
    <mergeCell ref="P19:P22"/>
    <mergeCell ref="T23:T26"/>
    <mergeCell ref="U23:U26"/>
    <mergeCell ref="V23:V26"/>
    <mergeCell ref="C23:C26"/>
    <mergeCell ref="L23:L26"/>
    <mergeCell ref="M23:M26"/>
    <mergeCell ref="N23:N26"/>
    <mergeCell ref="O23:O26"/>
    <mergeCell ref="P23:P26"/>
    <mergeCell ref="A31:A54"/>
    <mergeCell ref="B31:B54"/>
    <mergeCell ref="C31:C34"/>
    <mergeCell ref="L31:L34"/>
    <mergeCell ref="M31:M34"/>
    <mergeCell ref="Q23:Q26"/>
    <mergeCell ref="R23:R26"/>
    <mergeCell ref="S23:S26"/>
    <mergeCell ref="T31:T34"/>
    <mergeCell ref="C39:C42"/>
    <mergeCell ref="L39:L42"/>
    <mergeCell ref="M39:M42"/>
    <mergeCell ref="N39:N42"/>
    <mergeCell ref="O39:O42"/>
    <mergeCell ref="C47:C50"/>
    <mergeCell ref="L47:L50"/>
    <mergeCell ref="M47:M50"/>
    <mergeCell ref="N47:N50"/>
    <mergeCell ref="O47:O50"/>
    <mergeCell ref="P47:P50"/>
    <mergeCell ref="Q47:Q50"/>
    <mergeCell ref="R47:R50"/>
    <mergeCell ref="S47:S50"/>
    <mergeCell ref="T47:T50"/>
    <mergeCell ref="T43:T46"/>
    <mergeCell ref="U43:U46"/>
    <mergeCell ref="V43:V46"/>
    <mergeCell ref="U31:U34"/>
    <mergeCell ref="V31:V34"/>
    <mergeCell ref="C35:C38"/>
    <mergeCell ref="L35:L38"/>
    <mergeCell ref="M35:M38"/>
    <mergeCell ref="N35:N38"/>
    <mergeCell ref="O35:O38"/>
    <mergeCell ref="P35:P38"/>
    <mergeCell ref="Q35:Q38"/>
    <mergeCell ref="N31:N34"/>
    <mergeCell ref="O31:O34"/>
    <mergeCell ref="P31:P34"/>
    <mergeCell ref="Q31:Q34"/>
    <mergeCell ref="R31:R34"/>
    <mergeCell ref="S31:S34"/>
    <mergeCell ref="R35:R38"/>
    <mergeCell ref="S35:S38"/>
    <mergeCell ref="T35:T38"/>
    <mergeCell ref="U35:U38"/>
    <mergeCell ref="V35:V38"/>
    <mergeCell ref="C51:C54"/>
    <mergeCell ref="L51:L54"/>
    <mergeCell ref="M51:M54"/>
    <mergeCell ref="N51:N54"/>
    <mergeCell ref="O51:O54"/>
    <mergeCell ref="V51:V54"/>
    <mergeCell ref="A55:C56"/>
    <mergeCell ref="S56:V56"/>
    <mergeCell ref="V39:V42"/>
    <mergeCell ref="C43:C46"/>
    <mergeCell ref="L43:L46"/>
    <mergeCell ref="M43:M46"/>
    <mergeCell ref="N43:N46"/>
    <mergeCell ref="O43:O46"/>
    <mergeCell ref="P43:P46"/>
    <mergeCell ref="Q43:Q46"/>
    <mergeCell ref="R43:R46"/>
    <mergeCell ref="S43:S46"/>
    <mergeCell ref="P39:P42"/>
    <mergeCell ref="Q39:Q42"/>
    <mergeCell ref="R39:R42"/>
    <mergeCell ref="S39:S42"/>
    <mergeCell ref="T39:T42"/>
    <mergeCell ref="U39:U42"/>
    <mergeCell ref="T57:V57"/>
    <mergeCell ref="S58:V58"/>
    <mergeCell ref="P51:P54"/>
    <mergeCell ref="Q51:Q54"/>
    <mergeCell ref="R51:R54"/>
    <mergeCell ref="S51:S54"/>
    <mergeCell ref="T51:T54"/>
    <mergeCell ref="U51:U54"/>
    <mergeCell ref="U47:U50"/>
    <mergeCell ref="V47:V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79"/>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B7" sqref="B7:B30"/>
    </sheetView>
  </sheetViews>
  <sheetFormatPr baseColWidth="10" defaultColWidth="10.85546875" defaultRowHeight="12" customHeight="1"/>
  <cols>
    <col min="1" max="1" width="8.7109375" style="165" customWidth="1"/>
    <col min="2" max="2" width="21.140625" style="165" customWidth="1"/>
    <col min="3" max="3" width="35" style="165" customWidth="1"/>
    <col min="4" max="4" width="19.42578125" style="165" customWidth="1"/>
    <col min="5" max="5" width="17.5703125" style="264" customWidth="1"/>
    <col min="6" max="6" width="17.85546875" style="265" customWidth="1"/>
    <col min="7" max="7" width="13.42578125" style="165" customWidth="1"/>
    <col min="8" max="8" width="13.85546875" style="165" customWidth="1"/>
    <col min="9" max="9" width="16.42578125" style="165" customWidth="1"/>
    <col min="10" max="10" width="18.5703125" style="165" customWidth="1"/>
    <col min="11" max="11" width="21.7109375" style="165" customWidth="1"/>
    <col min="12" max="12" width="14.7109375" style="165" customWidth="1"/>
    <col min="13" max="13" width="20.85546875" style="165" customWidth="1"/>
    <col min="14" max="14" width="14.85546875" style="165" customWidth="1"/>
    <col min="15" max="15" width="14.42578125" style="165" customWidth="1"/>
    <col min="16" max="16" width="15.7109375" style="165" customWidth="1"/>
    <col min="17" max="18" width="16.7109375" style="262" customWidth="1"/>
    <col min="19" max="19" width="15.28515625" style="262" customWidth="1"/>
    <col min="20" max="20" width="16.7109375" style="165" customWidth="1"/>
    <col min="21" max="21" width="15.5703125" style="165" customWidth="1"/>
    <col min="22" max="22" width="13.140625" style="266" customWidth="1"/>
    <col min="23" max="23" width="17.7109375" style="165" customWidth="1"/>
    <col min="24" max="24" width="4.7109375" style="162" customWidth="1"/>
    <col min="25" max="25" width="7.7109375" style="163" hidden="1" customWidth="1"/>
    <col min="26" max="26" width="14.28515625" style="163" hidden="1" customWidth="1"/>
    <col min="27" max="27" width="1.7109375" style="163" hidden="1" customWidth="1"/>
    <col min="28" max="28" width="14.28515625" style="163" hidden="1" customWidth="1"/>
    <col min="29" max="29" width="1.7109375" style="163" hidden="1" customWidth="1"/>
    <col min="30" max="30" width="16.7109375" style="163" hidden="1" customWidth="1"/>
    <col min="31" max="32" width="1.7109375" style="163" hidden="1" customWidth="1"/>
    <col min="33" max="33" width="14.28515625" style="163" hidden="1" customWidth="1"/>
    <col min="34" max="36" width="10.85546875" style="164"/>
    <col min="37" max="80" width="10.85546875" style="162"/>
    <col min="81" max="16384" width="10.85546875" style="165"/>
  </cols>
  <sheetData>
    <row r="1" spans="1:80" ht="12" customHeight="1">
      <c r="A1" s="515"/>
      <c r="B1" s="516"/>
      <c r="C1" s="516"/>
      <c r="D1" s="517"/>
      <c r="E1" s="521" t="s">
        <v>0</v>
      </c>
      <c r="F1" s="522"/>
      <c r="G1" s="522"/>
      <c r="H1" s="522"/>
      <c r="I1" s="522"/>
      <c r="J1" s="522"/>
      <c r="K1" s="522"/>
      <c r="L1" s="522"/>
      <c r="M1" s="522"/>
      <c r="N1" s="522"/>
      <c r="O1" s="522"/>
      <c r="P1" s="522"/>
      <c r="Q1" s="522"/>
      <c r="R1" s="522"/>
      <c r="S1" s="522"/>
      <c r="T1" s="522"/>
      <c r="U1" s="522"/>
      <c r="V1" s="522"/>
      <c r="W1" s="523"/>
    </row>
    <row r="2" spans="1:80" ht="12" customHeight="1">
      <c r="A2" s="518"/>
      <c r="B2" s="519"/>
      <c r="C2" s="519"/>
      <c r="D2" s="520"/>
      <c r="E2" s="524" t="s">
        <v>122</v>
      </c>
      <c r="F2" s="525"/>
      <c r="G2" s="525"/>
      <c r="H2" s="525"/>
      <c r="I2" s="525"/>
      <c r="J2" s="525"/>
      <c r="K2" s="525"/>
      <c r="L2" s="525"/>
      <c r="M2" s="525"/>
      <c r="N2" s="525"/>
      <c r="O2" s="525"/>
      <c r="P2" s="525"/>
      <c r="Q2" s="525"/>
      <c r="R2" s="525"/>
      <c r="S2" s="525"/>
      <c r="T2" s="525"/>
      <c r="U2" s="525"/>
      <c r="V2" s="525"/>
      <c r="W2" s="526"/>
    </row>
    <row r="3" spans="1:80" ht="12" customHeight="1">
      <c r="A3" s="518"/>
      <c r="B3" s="519"/>
      <c r="C3" s="519"/>
      <c r="D3" s="520"/>
      <c r="E3" s="166" t="s">
        <v>123</v>
      </c>
      <c r="F3" s="527" t="s">
        <v>99</v>
      </c>
      <c r="G3" s="528"/>
      <c r="H3" s="528"/>
      <c r="I3" s="528"/>
      <c r="J3" s="528"/>
      <c r="K3" s="528"/>
      <c r="L3" s="528"/>
      <c r="M3" s="528"/>
      <c r="N3" s="528"/>
      <c r="O3" s="528"/>
      <c r="P3" s="528"/>
      <c r="Q3" s="528"/>
      <c r="R3" s="528"/>
      <c r="S3" s="528"/>
      <c r="T3" s="528"/>
      <c r="U3" s="528"/>
      <c r="V3" s="528"/>
      <c r="W3" s="529"/>
    </row>
    <row r="4" spans="1:80" ht="12" customHeight="1" thickBot="1">
      <c r="A4" s="518"/>
      <c r="B4" s="519"/>
      <c r="C4" s="519"/>
      <c r="D4" s="520"/>
      <c r="E4" s="167" t="s">
        <v>124</v>
      </c>
      <c r="F4" s="530"/>
      <c r="G4" s="531"/>
      <c r="H4" s="531"/>
      <c r="I4" s="531"/>
      <c r="J4" s="531"/>
      <c r="K4" s="531"/>
      <c r="L4" s="531"/>
      <c r="M4" s="531"/>
      <c r="N4" s="531"/>
      <c r="O4" s="531"/>
      <c r="P4" s="531"/>
      <c r="Q4" s="531"/>
      <c r="R4" s="531"/>
      <c r="S4" s="531"/>
      <c r="T4" s="531"/>
      <c r="U4" s="531"/>
      <c r="V4" s="531"/>
      <c r="W4" s="532"/>
    </row>
    <row r="5" spans="1:80" ht="16.5" customHeight="1">
      <c r="A5" s="533" t="s">
        <v>125</v>
      </c>
      <c r="B5" s="535" t="s">
        <v>126</v>
      </c>
      <c r="C5" s="535" t="s">
        <v>127</v>
      </c>
      <c r="D5" s="535" t="s">
        <v>128</v>
      </c>
      <c r="E5" s="629" t="s">
        <v>129</v>
      </c>
      <c r="F5" s="535"/>
      <c r="G5" s="535"/>
      <c r="H5" s="535"/>
      <c r="I5" s="535"/>
      <c r="J5" s="535"/>
      <c r="K5" s="535"/>
      <c r="L5" s="535" t="s">
        <v>130</v>
      </c>
      <c r="M5" s="535"/>
      <c r="N5" s="535"/>
      <c r="O5" s="535"/>
      <c r="P5" s="535"/>
      <c r="Q5" s="535" t="s">
        <v>131</v>
      </c>
      <c r="R5" s="535"/>
      <c r="S5" s="535"/>
      <c r="T5" s="535"/>
      <c r="U5" s="535"/>
      <c r="V5" s="535"/>
      <c r="W5" s="539"/>
    </row>
    <row r="6" spans="1:80" ht="21" customHeight="1" thickBot="1">
      <c r="A6" s="534" t="s">
        <v>132</v>
      </c>
      <c r="B6" s="536"/>
      <c r="C6" s="536"/>
      <c r="D6" s="536"/>
      <c r="E6" s="628"/>
      <c r="F6" s="168" t="s">
        <v>133</v>
      </c>
      <c r="G6" s="269" t="s">
        <v>134</v>
      </c>
      <c r="H6" s="269" t="s">
        <v>135</v>
      </c>
      <c r="I6" s="269" t="s">
        <v>136</v>
      </c>
      <c r="J6" s="269" t="s">
        <v>249</v>
      </c>
      <c r="K6" s="269" t="s">
        <v>138</v>
      </c>
      <c r="L6" s="269" t="s">
        <v>139</v>
      </c>
      <c r="M6" s="269" t="s">
        <v>140</v>
      </c>
      <c r="N6" s="269" t="s">
        <v>141</v>
      </c>
      <c r="O6" s="269" t="s">
        <v>142</v>
      </c>
      <c r="P6" s="627" t="s">
        <v>143</v>
      </c>
      <c r="Q6" s="269" t="s">
        <v>144</v>
      </c>
      <c r="R6" s="269" t="s">
        <v>145</v>
      </c>
      <c r="S6" s="269" t="s">
        <v>248</v>
      </c>
      <c r="T6" s="269" t="s">
        <v>146</v>
      </c>
      <c r="U6" s="269" t="s">
        <v>147</v>
      </c>
      <c r="V6" s="269" t="s">
        <v>148</v>
      </c>
      <c r="W6" s="170" t="s">
        <v>149</v>
      </c>
      <c r="Y6" s="171" t="s">
        <v>150</v>
      </c>
      <c r="Z6" s="171" t="s">
        <v>151</v>
      </c>
      <c r="AA6" s="172"/>
      <c r="AB6" s="171" t="s">
        <v>152</v>
      </c>
      <c r="AC6" s="172"/>
      <c r="AD6" s="171" t="s">
        <v>153</v>
      </c>
      <c r="AG6" s="173" t="s">
        <v>154</v>
      </c>
    </row>
    <row r="7" spans="1:80" s="184" customFormat="1" ht="24" customHeight="1">
      <c r="A7" s="508"/>
      <c r="B7" s="510" t="s">
        <v>155</v>
      </c>
      <c r="C7" s="510" t="s">
        <v>247</v>
      </c>
      <c r="D7" s="626" t="s">
        <v>157</v>
      </c>
      <c r="E7" s="625"/>
      <c r="F7" s="624">
        <v>23.5</v>
      </c>
      <c r="G7" s="624">
        <v>23.5</v>
      </c>
      <c r="H7" s="272"/>
      <c r="I7" s="623">
        <f>0.72+0</f>
        <v>0.72</v>
      </c>
      <c r="J7" s="623">
        <f>+I7</f>
        <v>0.72</v>
      </c>
      <c r="K7" s="272"/>
      <c r="L7" s="495" t="s">
        <v>158</v>
      </c>
      <c r="M7" s="495" t="s">
        <v>159</v>
      </c>
      <c r="N7" s="495" t="s">
        <v>90</v>
      </c>
      <c r="O7" s="493" t="s">
        <v>160</v>
      </c>
      <c r="P7" s="481" t="s">
        <v>246</v>
      </c>
      <c r="Q7" s="497">
        <f>W7*51%</f>
        <v>1279.08</v>
      </c>
      <c r="R7" s="497">
        <f>W7*49%</f>
        <v>1228.92</v>
      </c>
      <c r="S7" s="622"/>
      <c r="T7" s="493" t="s">
        <v>162</v>
      </c>
      <c r="U7" s="493" t="s">
        <v>162</v>
      </c>
      <c r="V7" s="493" t="s">
        <v>162</v>
      </c>
      <c r="W7" s="572">
        <v>2508</v>
      </c>
      <c r="X7" s="180"/>
      <c r="Y7" s="181">
        <v>12</v>
      </c>
      <c r="Z7" s="181" t="s">
        <v>163</v>
      </c>
      <c r="AA7" s="182"/>
      <c r="AB7" s="182"/>
      <c r="AC7" s="182"/>
      <c r="AD7" s="181" t="s">
        <v>164</v>
      </c>
      <c r="AE7" s="182"/>
      <c r="AF7" s="182"/>
      <c r="AG7" s="182"/>
      <c r="AH7" s="183"/>
      <c r="AI7" s="183"/>
      <c r="AJ7" s="183"/>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row>
    <row r="8" spans="1:80" s="184" customFormat="1" ht="24" customHeight="1">
      <c r="A8" s="499"/>
      <c r="B8" s="477"/>
      <c r="C8" s="477"/>
      <c r="D8" s="589" t="s">
        <v>165</v>
      </c>
      <c r="E8" s="606"/>
      <c r="F8" s="190">
        <v>145568400</v>
      </c>
      <c r="G8" s="190">
        <v>145568400</v>
      </c>
      <c r="H8" s="604"/>
      <c r="I8" s="621">
        <v>31023200</v>
      </c>
      <c r="J8" s="621">
        <v>138868000</v>
      </c>
      <c r="K8" s="270"/>
      <c r="L8" s="481"/>
      <c r="M8" s="481"/>
      <c r="N8" s="481"/>
      <c r="O8" s="474"/>
      <c r="P8" s="481"/>
      <c r="Q8" s="472"/>
      <c r="R8" s="472"/>
      <c r="S8" s="615"/>
      <c r="T8" s="474"/>
      <c r="U8" s="474"/>
      <c r="V8" s="474"/>
      <c r="W8" s="557"/>
      <c r="X8" s="180"/>
      <c r="Y8" s="181">
        <v>13</v>
      </c>
      <c r="Z8" s="181" t="s">
        <v>166</v>
      </c>
      <c r="AA8" s="182"/>
      <c r="AB8" s="182"/>
      <c r="AC8" s="182"/>
      <c r="AD8" s="181" t="s">
        <v>167</v>
      </c>
      <c r="AE8" s="182"/>
      <c r="AF8" s="182"/>
      <c r="AG8" s="182"/>
      <c r="AH8" s="183"/>
      <c r="AI8" s="183"/>
      <c r="AJ8" s="183"/>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row>
    <row r="9" spans="1:80" s="184" customFormat="1" ht="24" customHeight="1">
      <c r="A9" s="499"/>
      <c r="B9" s="477"/>
      <c r="C9" s="477"/>
      <c r="D9" s="589" t="s">
        <v>168</v>
      </c>
      <c r="E9" s="602"/>
      <c r="F9" s="234"/>
      <c r="G9" s="270"/>
      <c r="H9" s="270"/>
      <c r="I9" s="601"/>
      <c r="J9" s="270"/>
      <c r="K9" s="270"/>
      <c r="L9" s="481"/>
      <c r="M9" s="481"/>
      <c r="N9" s="481"/>
      <c r="O9" s="474"/>
      <c r="P9" s="481"/>
      <c r="Q9" s="472"/>
      <c r="R9" s="472"/>
      <c r="S9" s="615"/>
      <c r="T9" s="474"/>
      <c r="U9" s="474"/>
      <c r="V9" s="474"/>
      <c r="W9" s="557"/>
      <c r="X9" s="180"/>
      <c r="Y9" s="181">
        <v>14</v>
      </c>
      <c r="Z9" s="181" t="s">
        <v>169</v>
      </c>
      <c r="AA9" s="182"/>
      <c r="AB9" s="182"/>
      <c r="AC9" s="182"/>
      <c r="AD9" s="181" t="s">
        <v>170</v>
      </c>
      <c r="AE9" s="182"/>
      <c r="AF9" s="182"/>
      <c r="AG9" s="182"/>
      <c r="AH9" s="183"/>
      <c r="AI9" s="183"/>
      <c r="AJ9" s="183"/>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row>
    <row r="10" spans="1:80" s="184" customFormat="1" ht="24" customHeight="1">
      <c r="A10" s="499"/>
      <c r="B10" s="477"/>
      <c r="C10" s="477"/>
      <c r="D10" s="599" t="s">
        <v>171</v>
      </c>
      <c r="E10" s="598"/>
      <c r="F10" s="234"/>
      <c r="G10" s="270"/>
      <c r="H10" s="270"/>
      <c r="I10" s="601"/>
      <c r="J10" s="197"/>
      <c r="K10" s="197"/>
      <c r="L10" s="481"/>
      <c r="M10" s="481"/>
      <c r="N10" s="481"/>
      <c r="O10" s="474"/>
      <c r="P10" s="481"/>
      <c r="Q10" s="472"/>
      <c r="R10" s="472"/>
      <c r="S10" s="612"/>
      <c r="T10" s="474"/>
      <c r="U10" s="474"/>
      <c r="V10" s="474"/>
      <c r="W10" s="557"/>
      <c r="X10" s="180"/>
      <c r="Y10" s="181"/>
      <c r="Z10" s="181"/>
      <c r="AA10" s="182"/>
      <c r="AB10" s="182"/>
      <c r="AC10" s="182"/>
      <c r="AD10" s="181"/>
      <c r="AE10" s="182"/>
      <c r="AF10" s="182"/>
      <c r="AG10" s="182"/>
      <c r="AH10" s="183"/>
      <c r="AI10" s="183"/>
      <c r="AJ10" s="183"/>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row>
    <row r="11" spans="1:80" s="184" customFormat="1" ht="33.75" customHeight="1">
      <c r="A11" s="499"/>
      <c r="B11" s="477"/>
      <c r="C11" s="477" t="s">
        <v>245</v>
      </c>
      <c r="D11" s="596" t="s">
        <v>157</v>
      </c>
      <c r="E11" s="610"/>
      <c r="F11" s="609">
        <v>23.5</v>
      </c>
      <c r="G11" s="270"/>
      <c r="H11" s="270"/>
      <c r="I11" s="608">
        <f>32.41+8</f>
        <v>40.409999999999997</v>
      </c>
      <c r="J11" s="607">
        <f>+I11</f>
        <v>40.409999999999997</v>
      </c>
      <c r="K11" s="270"/>
      <c r="L11" s="481" t="s">
        <v>173</v>
      </c>
      <c r="M11" s="481" t="s">
        <v>174</v>
      </c>
      <c r="N11" s="481" t="s">
        <v>90</v>
      </c>
      <c r="O11" s="474" t="s">
        <v>160</v>
      </c>
      <c r="P11" s="481" t="s">
        <v>244</v>
      </c>
      <c r="Q11" s="472">
        <f>W11*51%</f>
        <v>1446.3600000000001</v>
      </c>
      <c r="R11" s="472">
        <f>W11*49%</f>
        <v>1389.6399999999999</v>
      </c>
      <c r="S11" s="619"/>
      <c r="T11" s="474" t="s">
        <v>162</v>
      </c>
      <c r="U11" s="474" t="s">
        <v>162</v>
      </c>
      <c r="V11" s="474" t="s">
        <v>162</v>
      </c>
      <c r="W11" s="557">
        <v>2836</v>
      </c>
      <c r="X11" s="180"/>
      <c r="Y11" s="181">
        <v>12</v>
      </c>
      <c r="Z11" s="181" t="s">
        <v>163</v>
      </c>
      <c r="AA11" s="182"/>
      <c r="AB11" s="182"/>
      <c r="AC11" s="182"/>
      <c r="AD11" s="181" t="s">
        <v>164</v>
      </c>
      <c r="AE11" s="182"/>
      <c r="AF11" s="182"/>
      <c r="AG11" s="182"/>
      <c r="AH11" s="183"/>
      <c r="AI11" s="183"/>
      <c r="AJ11" s="183"/>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row>
    <row r="12" spans="1:80" s="184" customFormat="1" ht="33.75" customHeight="1">
      <c r="A12" s="499"/>
      <c r="B12" s="477"/>
      <c r="C12" s="477"/>
      <c r="D12" s="589" t="s">
        <v>165</v>
      </c>
      <c r="E12" s="606"/>
      <c r="F12" s="190">
        <v>145568400</v>
      </c>
      <c r="G12" s="605"/>
      <c r="H12" s="604"/>
      <c r="I12" s="621">
        <v>31023200</v>
      </c>
      <c r="J12" s="603">
        <v>138868000</v>
      </c>
      <c r="K12" s="270"/>
      <c r="L12" s="481"/>
      <c r="M12" s="481"/>
      <c r="N12" s="481"/>
      <c r="O12" s="474"/>
      <c r="P12" s="481"/>
      <c r="Q12" s="472"/>
      <c r="R12" s="472"/>
      <c r="S12" s="615"/>
      <c r="T12" s="474"/>
      <c r="U12" s="474"/>
      <c r="V12" s="474"/>
      <c r="W12" s="557"/>
      <c r="X12" s="180"/>
      <c r="Y12" s="181">
        <v>13</v>
      </c>
      <c r="Z12" s="181" t="s">
        <v>166</v>
      </c>
      <c r="AA12" s="182"/>
      <c r="AB12" s="182"/>
      <c r="AC12" s="182"/>
      <c r="AD12" s="181" t="s">
        <v>167</v>
      </c>
      <c r="AE12" s="182"/>
      <c r="AF12" s="182"/>
      <c r="AG12" s="182"/>
      <c r="AH12" s="183"/>
      <c r="AI12" s="183"/>
      <c r="AJ12" s="183"/>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row>
    <row r="13" spans="1:80" s="184" customFormat="1" ht="33.75" customHeight="1">
      <c r="A13" s="499"/>
      <c r="B13" s="477"/>
      <c r="C13" s="477"/>
      <c r="D13" s="589" t="s">
        <v>168</v>
      </c>
      <c r="E13" s="602"/>
      <c r="F13" s="234"/>
      <c r="G13" s="270"/>
      <c r="H13" s="270"/>
      <c r="I13" s="601"/>
      <c r="J13" s="270"/>
      <c r="K13" s="270"/>
      <c r="L13" s="481"/>
      <c r="M13" s="481"/>
      <c r="N13" s="481"/>
      <c r="O13" s="474"/>
      <c r="P13" s="481"/>
      <c r="Q13" s="472"/>
      <c r="R13" s="472"/>
      <c r="S13" s="615"/>
      <c r="T13" s="474"/>
      <c r="U13" s="474"/>
      <c r="V13" s="474"/>
      <c r="W13" s="557"/>
      <c r="X13" s="180"/>
      <c r="Y13" s="181">
        <v>14</v>
      </c>
      <c r="Z13" s="181" t="s">
        <v>169</v>
      </c>
      <c r="AA13" s="182"/>
      <c r="AB13" s="182"/>
      <c r="AC13" s="182"/>
      <c r="AD13" s="181" t="s">
        <v>170</v>
      </c>
      <c r="AE13" s="182"/>
      <c r="AF13" s="182"/>
      <c r="AG13" s="182"/>
      <c r="AH13" s="183"/>
      <c r="AI13" s="183"/>
      <c r="AJ13" s="183"/>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row>
    <row r="14" spans="1:80" s="184" customFormat="1" ht="33.75" customHeight="1">
      <c r="A14" s="499"/>
      <c r="B14" s="477"/>
      <c r="C14" s="477"/>
      <c r="D14" s="599" t="s">
        <v>171</v>
      </c>
      <c r="E14" s="598"/>
      <c r="F14" s="234"/>
      <c r="G14" s="270"/>
      <c r="H14" s="270"/>
      <c r="I14" s="601"/>
      <c r="J14" s="197"/>
      <c r="K14" s="197"/>
      <c r="L14" s="481"/>
      <c r="M14" s="481"/>
      <c r="N14" s="481"/>
      <c r="O14" s="474"/>
      <c r="P14" s="481"/>
      <c r="Q14" s="472"/>
      <c r="R14" s="472"/>
      <c r="S14" s="612"/>
      <c r="T14" s="474"/>
      <c r="U14" s="474"/>
      <c r="V14" s="474"/>
      <c r="W14" s="557"/>
      <c r="X14" s="180"/>
      <c r="Y14" s="181"/>
      <c r="Z14" s="181"/>
      <c r="AA14" s="182"/>
      <c r="AB14" s="182"/>
      <c r="AC14" s="182"/>
      <c r="AD14" s="181"/>
      <c r="AE14" s="182"/>
      <c r="AF14" s="182"/>
      <c r="AG14" s="182"/>
      <c r="AH14" s="183"/>
      <c r="AI14" s="183"/>
      <c r="AJ14" s="183"/>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row>
    <row r="15" spans="1:80" s="184" customFormat="1" ht="42.75" customHeight="1">
      <c r="A15" s="499"/>
      <c r="B15" s="477"/>
      <c r="C15" s="477" t="s">
        <v>243</v>
      </c>
      <c r="D15" s="596" t="s">
        <v>157</v>
      </c>
      <c r="E15" s="610"/>
      <c r="F15" s="609">
        <v>23.5</v>
      </c>
      <c r="G15" s="270"/>
      <c r="H15" s="270"/>
      <c r="I15" s="608">
        <f>35.2+0</f>
        <v>35.200000000000003</v>
      </c>
      <c r="J15" s="607">
        <f>+I15+28.5+2.3+0.34</f>
        <v>66.34</v>
      </c>
      <c r="K15" s="270"/>
      <c r="L15" s="481" t="s">
        <v>176</v>
      </c>
      <c r="M15" s="481" t="s">
        <v>174</v>
      </c>
      <c r="N15" s="481" t="s">
        <v>90</v>
      </c>
      <c r="O15" s="474" t="s">
        <v>160</v>
      </c>
      <c r="P15" s="481" t="s">
        <v>242</v>
      </c>
      <c r="Q15" s="472">
        <f>W15*51%</f>
        <v>2037.45</v>
      </c>
      <c r="R15" s="472">
        <f>W15*49%</f>
        <v>1957.55</v>
      </c>
      <c r="S15" s="619"/>
      <c r="T15" s="474" t="s">
        <v>162</v>
      </c>
      <c r="U15" s="474" t="s">
        <v>162</v>
      </c>
      <c r="V15" s="474" t="s">
        <v>162</v>
      </c>
      <c r="W15" s="557">
        <v>3995</v>
      </c>
      <c r="X15" s="180"/>
      <c r="Y15" s="181">
        <v>12</v>
      </c>
      <c r="Z15" s="181" t="s">
        <v>163</v>
      </c>
      <c r="AA15" s="182"/>
      <c r="AB15" s="182"/>
      <c r="AC15" s="182"/>
      <c r="AD15" s="181" t="s">
        <v>164</v>
      </c>
      <c r="AE15" s="182"/>
      <c r="AF15" s="182"/>
      <c r="AG15" s="182"/>
      <c r="AH15" s="183"/>
      <c r="AI15" s="183"/>
      <c r="AJ15" s="183"/>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row>
    <row r="16" spans="1:80" s="184" customFormat="1" ht="42.75" customHeight="1">
      <c r="A16" s="499"/>
      <c r="B16" s="477"/>
      <c r="C16" s="477"/>
      <c r="D16" s="589" t="s">
        <v>165</v>
      </c>
      <c r="E16" s="606"/>
      <c r="F16" s="190">
        <v>145568400</v>
      </c>
      <c r="G16" s="605"/>
      <c r="H16" s="604"/>
      <c r="I16" s="190">
        <v>31023200</v>
      </c>
      <c r="J16" s="603">
        <v>138868000</v>
      </c>
      <c r="K16" s="270"/>
      <c r="L16" s="481"/>
      <c r="M16" s="481"/>
      <c r="N16" s="481"/>
      <c r="O16" s="474"/>
      <c r="P16" s="481"/>
      <c r="Q16" s="472"/>
      <c r="R16" s="472"/>
      <c r="S16" s="615"/>
      <c r="T16" s="474"/>
      <c r="U16" s="474"/>
      <c r="V16" s="474"/>
      <c r="W16" s="557"/>
      <c r="X16" s="180"/>
      <c r="Y16" s="181">
        <v>13</v>
      </c>
      <c r="Z16" s="181" t="s">
        <v>166</v>
      </c>
      <c r="AA16" s="182"/>
      <c r="AB16" s="182"/>
      <c r="AC16" s="182"/>
      <c r="AD16" s="181" t="s">
        <v>167</v>
      </c>
      <c r="AE16" s="182"/>
      <c r="AF16" s="182"/>
      <c r="AG16" s="182"/>
      <c r="AH16" s="183"/>
      <c r="AI16" s="183"/>
      <c r="AJ16" s="183"/>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row>
    <row r="17" spans="1:80" s="184" customFormat="1" ht="42.75" customHeight="1">
      <c r="A17" s="499"/>
      <c r="B17" s="477"/>
      <c r="C17" s="477"/>
      <c r="D17" s="589" t="s">
        <v>168</v>
      </c>
      <c r="E17" s="602"/>
      <c r="F17" s="234"/>
      <c r="G17" s="270"/>
      <c r="H17" s="270"/>
      <c r="I17" s="601"/>
      <c r="J17" s="270"/>
      <c r="K17" s="270"/>
      <c r="L17" s="481"/>
      <c r="M17" s="481"/>
      <c r="N17" s="481"/>
      <c r="O17" s="474"/>
      <c r="P17" s="481"/>
      <c r="Q17" s="472"/>
      <c r="R17" s="472"/>
      <c r="S17" s="615"/>
      <c r="T17" s="474"/>
      <c r="U17" s="474"/>
      <c r="V17" s="474"/>
      <c r="W17" s="557"/>
      <c r="X17" s="180"/>
      <c r="Y17" s="181">
        <v>14</v>
      </c>
      <c r="Z17" s="181" t="s">
        <v>169</v>
      </c>
      <c r="AA17" s="182"/>
      <c r="AB17" s="182"/>
      <c r="AC17" s="182"/>
      <c r="AD17" s="181" t="s">
        <v>170</v>
      </c>
      <c r="AE17" s="182"/>
      <c r="AF17" s="182"/>
      <c r="AG17" s="182"/>
      <c r="AH17" s="183"/>
      <c r="AI17" s="183"/>
      <c r="AJ17" s="183"/>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row>
    <row r="18" spans="1:80" s="184" customFormat="1" ht="42.75" customHeight="1">
      <c r="A18" s="499"/>
      <c r="B18" s="477"/>
      <c r="C18" s="477"/>
      <c r="D18" s="599" t="s">
        <v>171</v>
      </c>
      <c r="E18" s="598"/>
      <c r="F18" s="234"/>
      <c r="G18" s="270"/>
      <c r="H18" s="270"/>
      <c r="I18" s="601"/>
      <c r="J18" s="197"/>
      <c r="K18" s="197"/>
      <c r="L18" s="481"/>
      <c r="M18" s="481"/>
      <c r="N18" s="481"/>
      <c r="O18" s="474"/>
      <c r="P18" s="481"/>
      <c r="Q18" s="472"/>
      <c r="R18" s="472"/>
      <c r="S18" s="612"/>
      <c r="T18" s="474"/>
      <c r="U18" s="474"/>
      <c r="V18" s="474"/>
      <c r="W18" s="557"/>
      <c r="X18" s="180"/>
      <c r="Y18" s="181"/>
      <c r="Z18" s="181"/>
      <c r="AA18" s="182"/>
      <c r="AB18" s="182"/>
      <c r="AC18" s="182"/>
      <c r="AD18" s="181"/>
      <c r="AE18" s="182"/>
      <c r="AF18" s="182"/>
      <c r="AG18" s="182"/>
      <c r="AH18" s="183"/>
      <c r="AI18" s="183"/>
      <c r="AJ18" s="183"/>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row>
    <row r="19" spans="1:80" s="184" customFormat="1" ht="18" customHeight="1">
      <c r="A19" s="499"/>
      <c r="B19" s="477"/>
      <c r="C19" s="511" t="s">
        <v>241</v>
      </c>
      <c r="D19" s="596" t="s">
        <v>157</v>
      </c>
      <c r="E19" s="598"/>
      <c r="F19" s="234"/>
      <c r="G19" s="270"/>
      <c r="H19" s="270"/>
      <c r="I19" s="601">
        <v>0</v>
      </c>
      <c r="J19" s="607">
        <v>0</v>
      </c>
      <c r="K19" s="197"/>
      <c r="L19" s="620"/>
      <c r="M19" s="620"/>
      <c r="N19" s="620"/>
      <c r="O19" s="618"/>
      <c r="P19" s="620"/>
      <c r="Q19" s="619"/>
      <c r="R19" s="619"/>
      <c r="S19" s="619"/>
      <c r="T19" s="618"/>
      <c r="U19" s="618"/>
      <c r="V19" s="618"/>
      <c r="W19" s="617"/>
      <c r="X19" s="180"/>
      <c r="Y19" s="181"/>
      <c r="Z19" s="181"/>
      <c r="AA19" s="182"/>
      <c r="AB19" s="182"/>
      <c r="AC19" s="182"/>
      <c r="AD19" s="181"/>
      <c r="AE19" s="182"/>
      <c r="AF19" s="182"/>
      <c r="AG19" s="182"/>
      <c r="AH19" s="183"/>
      <c r="AI19" s="183"/>
      <c r="AJ19" s="183"/>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row>
    <row r="20" spans="1:80" s="184" customFormat="1" ht="18" customHeight="1">
      <c r="A20" s="499"/>
      <c r="B20" s="477"/>
      <c r="C20" s="600"/>
      <c r="D20" s="589" t="s">
        <v>165</v>
      </c>
      <c r="E20" s="598"/>
      <c r="F20" s="234"/>
      <c r="G20" s="270"/>
      <c r="H20" s="270"/>
      <c r="I20" s="190">
        <v>31023200</v>
      </c>
      <c r="J20" s="197">
        <v>69434000</v>
      </c>
      <c r="K20" s="197"/>
      <c r="L20" s="616"/>
      <c r="M20" s="616"/>
      <c r="N20" s="616"/>
      <c r="O20" s="614"/>
      <c r="P20" s="616"/>
      <c r="Q20" s="615"/>
      <c r="R20" s="615"/>
      <c r="S20" s="615"/>
      <c r="T20" s="614"/>
      <c r="U20" s="614"/>
      <c r="V20" s="614"/>
      <c r="W20" s="613"/>
      <c r="X20" s="180"/>
      <c r="Y20" s="181"/>
      <c r="Z20" s="181"/>
      <c r="AA20" s="182"/>
      <c r="AB20" s="182"/>
      <c r="AC20" s="182"/>
      <c r="AD20" s="181"/>
      <c r="AE20" s="182"/>
      <c r="AF20" s="182"/>
      <c r="AG20" s="182"/>
      <c r="AH20" s="183"/>
      <c r="AI20" s="183"/>
      <c r="AJ20" s="183"/>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row>
    <row r="21" spans="1:80" s="184" customFormat="1" ht="18" customHeight="1">
      <c r="A21" s="499"/>
      <c r="B21" s="477"/>
      <c r="C21" s="600"/>
      <c r="D21" s="589" t="s">
        <v>168</v>
      </c>
      <c r="E21" s="598"/>
      <c r="F21" s="234"/>
      <c r="G21" s="270"/>
      <c r="H21" s="270"/>
      <c r="I21" s="601"/>
      <c r="J21" s="197"/>
      <c r="K21" s="197"/>
      <c r="L21" s="616"/>
      <c r="M21" s="616"/>
      <c r="N21" s="616"/>
      <c r="O21" s="614"/>
      <c r="P21" s="616"/>
      <c r="Q21" s="615"/>
      <c r="R21" s="615"/>
      <c r="S21" s="615"/>
      <c r="T21" s="614"/>
      <c r="U21" s="614"/>
      <c r="V21" s="614"/>
      <c r="W21" s="613"/>
      <c r="X21" s="180"/>
      <c r="Y21" s="181"/>
      <c r="Z21" s="181"/>
      <c r="AA21" s="182"/>
      <c r="AB21" s="182"/>
      <c r="AC21" s="182"/>
      <c r="AD21" s="181"/>
      <c r="AE21" s="182"/>
      <c r="AF21" s="182"/>
      <c r="AG21" s="182"/>
      <c r="AH21" s="183"/>
      <c r="AI21" s="183"/>
      <c r="AJ21" s="183"/>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row>
    <row r="22" spans="1:80" s="184" customFormat="1" ht="18" customHeight="1">
      <c r="A22" s="499"/>
      <c r="B22" s="477"/>
      <c r="C22" s="510"/>
      <c r="D22" s="599" t="s">
        <v>171</v>
      </c>
      <c r="E22" s="598"/>
      <c r="F22" s="234"/>
      <c r="G22" s="270"/>
      <c r="H22" s="270"/>
      <c r="I22" s="601"/>
      <c r="J22" s="197"/>
      <c r="K22" s="197"/>
      <c r="L22" s="512"/>
      <c r="M22" s="512"/>
      <c r="N22" s="512"/>
      <c r="O22" s="503"/>
      <c r="P22" s="512"/>
      <c r="Q22" s="612"/>
      <c r="R22" s="612"/>
      <c r="S22" s="612"/>
      <c r="T22" s="503"/>
      <c r="U22" s="503"/>
      <c r="V22" s="503"/>
      <c r="W22" s="611"/>
      <c r="X22" s="180"/>
      <c r="Y22" s="181"/>
      <c r="Z22" s="181"/>
      <c r="AA22" s="182"/>
      <c r="AB22" s="182"/>
      <c r="AC22" s="182"/>
      <c r="AD22" s="181"/>
      <c r="AE22" s="182"/>
      <c r="AF22" s="182"/>
      <c r="AG22" s="182"/>
      <c r="AH22" s="183"/>
      <c r="AI22" s="183"/>
      <c r="AJ22" s="183"/>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row>
    <row r="23" spans="1:80" s="184" customFormat="1" ht="18" customHeight="1">
      <c r="A23" s="499"/>
      <c r="B23" s="477"/>
      <c r="C23" s="511" t="s">
        <v>240</v>
      </c>
      <c r="D23" s="596" t="s">
        <v>157</v>
      </c>
      <c r="E23" s="610"/>
      <c r="F23" s="609">
        <f>23.5+23.5</f>
        <v>47</v>
      </c>
      <c r="G23" s="270"/>
      <c r="H23" s="270"/>
      <c r="I23" s="608">
        <v>0</v>
      </c>
      <c r="J23" s="607">
        <v>0</v>
      </c>
      <c r="K23" s="270"/>
      <c r="L23" s="481" t="s">
        <v>239</v>
      </c>
      <c r="M23" s="481" t="s">
        <v>179</v>
      </c>
      <c r="N23" s="481" t="s">
        <v>90</v>
      </c>
      <c r="O23" s="474" t="s">
        <v>160</v>
      </c>
      <c r="P23" s="481" t="s">
        <v>238</v>
      </c>
      <c r="Q23" s="597">
        <f>369+661</f>
        <v>1030</v>
      </c>
      <c r="R23" s="559">
        <f>W23*49%+324</f>
        <v>504.81</v>
      </c>
      <c r="S23" s="565"/>
      <c r="T23" s="474" t="s">
        <v>162</v>
      </c>
      <c r="U23" s="474" t="s">
        <v>162</v>
      </c>
      <c r="V23" s="474" t="s">
        <v>162</v>
      </c>
      <c r="W23" s="557">
        <v>369</v>
      </c>
      <c r="X23" s="180"/>
      <c r="Y23" s="181">
        <v>12</v>
      </c>
      <c r="Z23" s="181" t="s">
        <v>163</v>
      </c>
      <c r="AA23" s="182"/>
      <c r="AB23" s="182"/>
      <c r="AC23" s="182"/>
      <c r="AD23" s="181" t="s">
        <v>164</v>
      </c>
      <c r="AE23" s="182"/>
      <c r="AF23" s="182"/>
      <c r="AG23" s="182"/>
      <c r="AH23" s="183"/>
      <c r="AI23" s="183"/>
      <c r="AJ23" s="183"/>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row>
    <row r="24" spans="1:80" s="184" customFormat="1" ht="18" customHeight="1">
      <c r="A24" s="499"/>
      <c r="B24" s="477"/>
      <c r="C24" s="600"/>
      <c r="D24" s="589" t="s">
        <v>165</v>
      </c>
      <c r="E24" s="606"/>
      <c r="F24" s="190">
        <f>145568400+145568400</f>
        <v>291136800</v>
      </c>
      <c r="G24" s="605"/>
      <c r="H24" s="604"/>
      <c r="I24" s="190">
        <f>31023200+31023200</f>
        <v>62046400</v>
      </c>
      <c r="J24" s="603">
        <v>69434000</v>
      </c>
      <c r="K24" s="270"/>
      <c r="L24" s="481"/>
      <c r="M24" s="481"/>
      <c r="N24" s="481"/>
      <c r="O24" s="474"/>
      <c r="P24" s="481"/>
      <c r="Q24" s="597"/>
      <c r="R24" s="559"/>
      <c r="S24" s="558"/>
      <c r="T24" s="474"/>
      <c r="U24" s="474"/>
      <c r="V24" s="474"/>
      <c r="W24" s="557"/>
      <c r="X24" s="180"/>
      <c r="Y24" s="181">
        <v>13</v>
      </c>
      <c r="Z24" s="181" t="s">
        <v>166</v>
      </c>
      <c r="AA24" s="182"/>
      <c r="AB24" s="182"/>
      <c r="AC24" s="182"/>
      <c r="AD24" s="181" t="s">
        <v>167</v>
      </c>
      <c r="AE24" s="182"/>
      <c r="AF24" s="182"/>
      <c r="AG24" s="182"/>
      <c r="AH24" s="183"/>
      <c r="AI24" s="183"/>
      <c r="AJ24" s="183"/>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c r="CB24" s="180"/>
    </row>
    <row r="25" spans="1:80" s="184" customFormat="1" ht="18" customHeight="1">
      <c r="A25" s="499"/>
      <c r="B25" s="477"/>
      <c r="C25" s="600"/>
      <c r="D25" s="589" t="s">
        <v>168</v>
      </c>
      <c r="E25" s="602"/>
      <c r="F25" s="234"/>
      <c r="G25" s="270"/>
      <c r="H25" s="270"/>
      <c r="I25" s="601"/>
      <c r="J25" s="270"/>
      <c r="K25" s="270"/>
      <c r="L25" s="481"/>
      <c r="M25" s="481"/>
      <c r="N25" s="481"/>
      <c r="O25" s="474"/>
      <c r="P25" s="481"/>
      <c r="Q25" s="597"/>
      <c r="R25" s="559"/>
      <c r="S25" s="558"/>
      <c r="T25" s="474"/>
      <c r="U25" s="474"/>
      <c r="V25" s="474"/>
      <c r="W25" s="557"/>
      <c r="X25" s="180"/>
      <c r="Y25" s="181">
        <v>14</v>
      </c>
      <c r="Z25" s="181" t="s">
        <v>169</v>
      </c>
      <c r="AA25" s="182"/>
      <c r="AB25" s="182"/>
      <c r="AC25" s="182"/>
      <c r="AD25" s="181" t="s">
        <v>170</v>
      </c>
      <c r="AE25" s="182"/>
      <c r="AF25" s="182"/>
      <c r="AG25" s="182"/>
      <c r="AH25" s="183"/>
      <c r="AI25" s="183"/>
      <c r="AJ25" s="183"/>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row>
    <row r="26" spans="1:80" s="184" customFormat="1" ht="18" customHeight="1">
      <c r="A26" s="499"/>
      <c r="B26" s="477"/>
      <c r="C26" s="600"/>
      <c r="D26" s="599" t="s">
        <v>171</v>
      </c>
      <c r="E26" s="598"/>
      <c r="F26" s="234"/>
      <c r="G26" s="270"/>
      <c r="H26" s="270"/>
      <c r="I26" s="270"/>
      <c r="J26" s="197"/>
      <c r="K26" s="197"/>
      <c r="L26" s="481"/>
      <c r="M26" s="481"/>
      <c r="N26" s="481"/>
      <c r="O26" s="474"/>
      <c r="P26" s="481"/>
      <c r="Q26" s="597"/>
      <c r="R26" s="559"/>
      <c r="S26" s="569"/>
      <c r="T26" s="474"/>
      <c r="U26" s="474"/>
      <c r="V26" s="474"/>
      <c r="W26" s="557"/>
      <c r="X26" s="180"/>
      <c r="Y26" s="181"/>
      <c r="Z26" s="181"/>
      <c r="AA26" s="182"/>
      <c r="AB26" s="182"/>
      <c r="AC26" s="182"/>
      <c r="AD26" s="181"/>
      <c r="AE26" s="182"/>
      <c r="AF26" s="182"/>
      <c r="AG26" s="182"/>
      <c r="AH26" s="183"/>
      <c r="AI26" s="183"/>
      <c r="AJ26" s="183"/>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row>
    <row r="27" spans="1:80" s="184" customFormat="1" ht="12" customHeight="1">
      <c r="A27" s="499"/>
      <c r="B27" s="477"/>
      <c r="C27" s="513" t="s">
        <v>182</v>
      </c>
      <c r="D27" s="596" t="s">
        <v>157</v>
      </c>
      <c r="E27" s="595">
        <v>117.5</v>
      </c>
      <c r="F27" s="594">
        <f>+F23+F15+F11+F7</f>
        <v>117.5</v>
      </c>
      <c r="G27" s="594">
        <v>117.5</v>
      </c>
      <c r="H27" s="594">
        <f>H23+H19+H15+H11+H7</f>
        <v>0</v>
      </c>
      <c r="I27" s="594">
        <f>+I23+I15+I11+I7</f>
        <v>76.33</v>
      </c>
      <c r="J27" s="594">
        <f>+J7+J11+J15</f>
        <v>107.47</v>
      </c>
      <c r="K27" s="197"/>
      <c r="L27" s="270"/>
      <c r="M27" s="270"/>
      <c r="N27" s="270"/>
      <c r="O27" s="271"/>
      <c r="P27" s="270"/>
      <c r="Q27" s="587"/>
      <c r="R27" s="586"/>
      <c r="S27" s="586"/>
      <c r="T27" s="271"/>
      <c r="U27" s="271"/>
      <c r="V27" s="271"/>
      <c r="W27" s="585"/>
      <c r="X27" s="180"/>
      <c r="Y27" s="181"/>
      <c r="Z27" s="181"/>
      <c r="AA27" s="182"/>
      <c r="AB27" s="182"/>
      <c r="AC27" s="182"/>
      <c r="AD27" s="181"/>
      <c r="AE27" s="182"/>
      <c r="AF27" s="182"/>
      <c r="AG27" s="182"/>
      <c r="AH27" s="183"/>
      <c r="AI27" s="183"/>
      <c r="AJ27" s="183"/>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row>
    <row r="28" spans="1:80" s="184" customFormat="1" ht="12" customHeight="1">
      <c r="A28" s="499"/>
      <c r="B28" s="477"/>
      <c r="C28" s="513"/>
      <c r="D28" s="589" t="s">
        <v>165</v>
      </c>
      <c r="E28" s="593">
        <v>727842000</v>
      </c>
      <c r="F28" s="591">
        <f>+F24+F16+F12+F8</f>
        <v>727842000</v>
      </c>
      <c r="G28" s="592">
        <v>727842000</v>
      </c>
      <c r="H28" s="591" t="e">
        <f>#REF!+H24+H16+H12+H8</f>
        <v>#REF!</v>
      </c>
      <c r="I28" s="591">
        <f>+I24+I16+I12+I8</f>
        <v>155116000</v>
      </c>
      <c r="J28" s="591">
        <f>+J24+J16+J12+J8</f>
        <v>486038000</v>
      </c>
      <c r="K28" s="590"/>
      <c r="L28" s="270"/>
      <c r="M28" s="270"/>
      <c r="N28" s="270"/>
      <c r="O28" s="271"/>
      <c r="P28" s="270"/>
      <c r="Q28" s="587"/>
      <c r="R28" s="586"/>
      <c r="S28" s="586"/>
      <c r="T28" s="271"/>
      <c r="U28" s="271"/>
      <c r="V28" s="271"/>
      <c r="W28" s="585"/>
      <c r="X28" s="180"/>
      <c r="Y28" s="181"/>
      <c r="Z28" s="181"/>
      <c r="AA28" s="182"/>
      <c r="AB28" s="182"/>
      <c r="AC28" s="182"/>
      <c r="AD28" s="181"/>
      <c r="AE28" s="182"/>
      <c r="AF28" s="182"/>
      <c r="AG28" s="182"/>
      <c r="AH28" s="183"/>
      <c r="AI28" s="183"/>
      <c r="AJ28" s="183"/>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row>
    <row r="29" spans="1:80" s="184" customFormat="1" ht="12" customHeight="1">
      <c r="A29" s="499"/>
      <c r="B29" s="477"/>
      <c r="C29" s="513"/>
      <c r="D29" s="589" t="s">
        <v>168</v>
      </c>
      <c r="E29" s="588"/>
      <c r="F29" s="180"/>
      <c r="G29" s="270"/>
      <c r="H29" s="270"/>
      <c r="I29" s="270"/>
      <c r="J29" s="197"/>
      <c r="K29" s="197"/>
      <c r="L29" s="270"/>
      <c r="M29" s="270"/>
      <c r="N29" s="270"/>
      <c r="O29" s="271"/>
      <c r="P29" s="270"/>
      <c r="Q29" s="587"/>
      <c r="R29" s="586"/>
      <c r="S29" s="586"/>
      <c r="T29" s="271"/>
      <c r="U29" s="271"/>
      <c r="V29" s="271"/>
      <c r="W29" s="585"/>
      <c r="X29" s="180"/>
      <c r="Y29" s="181"/>
      <c r="Z29" s="181"/>
      <c r="AA29" s="182"/>
      <c r="AB29" s="182"/>
      <c r="AC29" s="182"/>
      <c r="AD29" s="181"/>
      <c r="AE29" s="182"/>
      <c r="AF29" s="182"/>
      <c r="AG29" s="182"/>
      <c r="AH29" s="183"/>
      <c r="AI29" s="183"/>
      <c r="AJ29" s="183"/>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row>
    <row r="30" spans="1:80" s="184" customFormat="1" ht="12" customHeight="1" thickBot="1">
      <c r="A30" s="509"/>
      <c r="B30" s="511"/>
      <c r="C30" s="514"/>
      <c r="D30" s="584" t="s">
        <v>171</v>
      </c>
      <c r="E30" s="583"/>
      <c r="F30" s="237"/>
      <c r="G30" s="273"/>
      <c r="H30" s="273"/>
      <c r="I30" s="273"/>
      <c r="J30" s="239"/>
      <c r="K30" s="239"/>
      <c r="L30" s="273"/>
      <c r="M30" s="273"/>
      <c r="N30" s="273"/>
      <c r="O30" s="274"/>
      <c r="P30" s="217"/>
      <c r="Q30" s="582"/>
      <c r="R30" s="581"/>
      <c r="S30" s="581"/>
      <c r="T30" s="274"/>
      <c r="U30" s="274"/>
      <c r="V30" s="274"/>
      <c r="W30" s="580"/>
      <c r="X30" s="180"/>
      <c r="Y30" s="181"/>
      <c r="Z30" s="181"/>
      <c r="AA30" s="182"/>
      <c r="AB30" s="182"/>
      <c r="AC30" s="182"/>
      <c r="AD30" s="181"/>
      <c r="AE30" s="182"/>
      <c r="AF30" s="182"/>
      <c r="AG30" s="182"/>
      <c r="AH30" s="183"/>
      <c r="AI30" s="183"/>
      <c r="AJ30" s="183"/>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row>
    <row r="31" spans="1:80" s="184" customFormat="1" ht="23.25" customHeight="1">
      <c r="A31" s="579"/>
      <c r="B31" s="578" t="s">
        <v>183</v>
      </c>
      <c r="C31" s="501" t="s">
        <v>237</v>
      </c>
      <c r="D31" s="224" t="s">
        <v>157</v>
      </c>
      <c r="E31" s="225"/>
      <c r="F31" s="577">
        <v>10</v>
      </c>
      <c r="G31" s="576"/>
      <c r="H31" s="272"/>
      <c r="I31" s="575">
        <f>0+3+5</f>
        <v>8</v>
      </c>
      <c r="J31" s="575">
        <v>255</v>
      </c>
      <c r="K31" s="272"/>
      <c r="L31" s="495" t="s">
        <v>185</v>
      </c>
      <c r="M31" s="495" t="s">
        <v>174</v>
      </c>
      <c r="N31" s="495" t="s">
        <v>90</v>
      </c>
      <c r="O31" s="493" t="s">
        <v>160</v>
      </c>
      <c r="P31" s="481" t="s">
        <v>235</v>
      </c>
      <c r="Q31" s="574">
        <f>W31*51%</f>
        <v>1446.3600000000001</v>
      </c>
      <c r="R31" s="574">
        <f>W31*49%</f>
        <v>1389.6399999999999</v>
      </c>
      <c r="S31" s="573"/>
      <c r="T31" s="493" t="s">
        <v>162</v>
      </c>
      <c r="U31" s="493" t="s">
        <v>162</v>
      </c>
      <c r="V31" s="493" t="s">
        <v>162</v>
      </c>
      <c r="W31" s="572">
        <v>2836</v>
      </c>
      <c r="X31" s="180"/>
      <c r="Y31" s="181">
        <v>12</v>
      </c>
      <c r="Z31" s="181" t="s">
        <v>163</v>
      </c>
      <c r="AA31" s="182"/>
      <c r="AB31" s="182"/>
      <c r="AC31" s="182"/>
      <c r="AD31" s="181" t="s">
        <v>164</v>
      </c>
      <c r="AE31" s="182"/>
      <c r="AF31" s="182"/>
      <c r="AG31" s="182"/>
      <c r="AH31" s="183"/>
      <c r="AI31" s="183"/>
      <c r="AJ31" s="183"/>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row>
    <row r="32" spans="1:80" s="184" customFormat="1" ht="23.25" customHeight="1">
      <c r="A32" s="561"/>
      <c r="B32" s="560"/>
      <c r="C32" s="477"/>
      <c r="D32" s="185" t="s">
        <v>165</v>
      </c>
      <c r="E32" s="228"/>
      <c r="F32" s="564">
        <v>144426500</v>
      </c>
      <c r="G32" s="571"/>
      <c r="H32" s="570"/>
      <c r="I32" s="187">
        <v>79197700</v>
      </c>
      <c r="J32" s="187">
        <v>99880765.25</v>
      </c>
      <c r="K32" s="270"/>
      <c r="L32" s="481"/>
      <c r="M32" s="481"/>
      <c r="N32" s="481"/>
      <c r="O32" s="474"/>
      <c r="P32" s="481"/>
      <c r="Q32" s="559"/>
      <c r="R32" s="559"/>
      <c r="S32" s="558"/>
      <c r="T32" s="474"/>
      <c r="U32" s="474"/>
      <c r="V32" s="474"/>
      <c r="W32" s="557"/>
      <c r="X32" s="180"/>
      <c r="Y32" s="181">
        <v>13</v>
      </c>
      <c r="Z32" s="181" t="s">
        <v>166</v>
      </c>
      <c r="AA32" s="182"/>
      <c r="AB32" s="182"/>
      <c r="AC32" s="182"/>
      <c r="AD32" s="181" t="s">
        <v>167</v>
      </c>
      <c r="AE32" s="182"/>
      <c r="AF32" s="182"/>
      <c r="AG32" s="182"/>
      <c r="AH32" s="183"/>
      <c r="AI32" s="183"/>
      <c r="AJ32" s="183"/>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row>
    <row r="33" spans="1:80" s="184" customFormat="1" ht="23.25" customHeight="1">
      <c r="A33" s="561"/>
      <c r="B33" s="560"/>
      <c r="C33" s="477"/>
      <c r="D33" s="185" t="s">
        <v>168</v>
      </c>
      <c r="E33" s="229"/>
      <c r="F33" s="234"/>
      <c r="G33" s="270"/>
      <c r="H33" s="270"/>
      <c r="I33" s="270"/>
      <c r="J33" s="270"/>
      <c r="K33" s="270"/>
      <c r="L33" s="481"/>
      <c r="M33" s="481"/>
      <c r="N33" s="481"/>
      <c r="O33" s="474"/>
      <c r="P33" s="481"/>
      <c r="Q33" s="559"/>
      <c r="R33" s="559"/>
      <c r="S33" s="558"/>
      <c r="T33" s="474"/>
      <c r="U33" s="474"/>
      <c r="V33" s="474"/>
      <c r="W33" s="557"/>
      <c r="X33" s="180"/>
      <c r="Y33" s="181">
        <v>14</v>
      </c>
      <c r="Z33" s="181" t="s">
        <v>169</v>
      </c>
      <c r="AA33" s="182"/>
      <c r="AB33" s="182"/>
      <c r="AC33" s="182"/>
      <c r="AD33" s="181" t="s">
        <v>170</v>
      </c>
      <c r="AE33" s="182"/>
      <c r="AF33" s="182"/>
      <c r="AG33" s="182"/>
      <c r="AH33" s="183"/>
      <c r="AI33" s="183"/>
      <c r="AJ33" s="183"/>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row>
    <row r="34" spans="1:80" s="184" customFormat="1" ht="23.25" customHeight="1">
      <c r="A34" s="561"/>
      <c r="B34" s="560"/>
      <c r="C34" s="477"/>
      <c r="D34" s="195" t="s">
        <v>171</v>
      </c>
      <c r="E34" s="230"/>
      <c r="F34" s="234"/>
      <c r="G34" s="270"/>
      <c r="H34" s="270"/>
      <c r="I34" s="270"/>
      <c r="J34" s="197"/>
      <c r="K34" s="197"/>
      <c r="L34" s="481"/>
      <c r="M34" s="481"/>
      <c r="N34" s="481"/>
      <c r="O34" s="474"/>
      <c r="P34" s="481"/>
      <c r="Q34" s="559"/>
      <c r="R34" s="559"/>
      <c r="S34" s="569"/>
      <c r="T34" s="474"/>
      <c r="U34" s="474"/>
      <c r="V34" s="474"/>
      <c r="W34" s="557"/>
      <c r="X34" s="180"/>
      <c r="Y34" s="181"/>
      <c r="Z34" s="181"/>
      <c r="AA34" s="182"/>
      <c r="AB34" s="182"/>
      <c r="AC34" s="182"/>
      <c r="AD34" s="181"/>
      <c r="AE34" s="182"/>
      <c r="AF34" s="182"/>
      <c r="AG34" s="182"/>
      <c r="AH34" s="183"/>
      <c r="AI34" s="183"/>
      <c r="AJ34" s="183"/>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row>
    <row r="35" spans="1:80" s="184" customFormat="1" ht="22.5" customHeight="1">
      <c r="A35" s="561"/>
      <c r="B35" s="560"/>
      <c r="C35" s="477" t="s">
        <v>236</v>
      </c>
      <c r="D35" s="198" t="s">
        <v>157</v>
      </c>
      <c r="E35" s="231"/>
      <c r="F35" s="568">
        <v>15</v>
      </c>
      <c r="G35" s="567"/>
      <c r="H35" s="270"/>
      <c r="I35" s="566">
        <f>16+3</f>
        <v>19</v>
      </c>
      <c r="J35" s="566">
        <v>252</v>
      </c>
      <c r="K35" s="270"/>
      <c r="L35" s="481" t="s">
        <v>176</v>
      </c>
      <c r="M35" s="481" t="s">
        <v>174</v>
      </c>
      <c r="N35" s="481" t="s">
        <v>90</v>
      </c>
      <c r="O35" s="474" t="s">
        <v>160</v>
      </c>
      <c r="P35" s="481" t="s">
        <v>235</v>
      </c>
      <c r="Q35" s="559">
        <f>W35*51%</f>
        <v>2037.45</v>
      </c>
      <c r="R35" s="559">
        <f>W35*49%</f>
        <v>1957.55</v>
      </c>
      <c r="S35" s="565"/>
      <c r="T35" s="474" t="s">
        <v>162</v>
      </c>
      <c r="U35" s="474" t="s">
        <v>162</v>
      </c>
      <c r="V35" s="474" t="s">
        <v>162</v>
      </c>
      <c r="W35" s="557">
        <v>3995</v>
      </c>
      <c r="X35" s="180"/>
      <c r="Y35" s="181">
        <v>12</v>
      </c>
      <c r="Z35" s="181" t="s">
        <v>163</v>
      </c>
      <c r="AA35" s="182"/>
      <c r="AB35" s="182"/>
      <c r="AC35" s="182"/>
      <c r="AD35" s="181" t="s">
        <v>164</v>
      </c>
      <c r="AE35" s="182"/>
      <c r="AF35" s="182"/>
      <c r="AG35" s="182"/>
      <c r="AH35" s="183"/>
      <c r="AI35" s="183"/>
      <c r="AJ35" s="183"/>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row>
    <row r="36" spans="1:80" s="184" customFormat="1" ht="22.5" customHeight="1">
      <c r="A36" s="561"/>
      <c r="B36" s="560"/>
      <c r="C36" s="477"/>
      <c r="D36" s="185" t="s">
        <v>165</v>
      </c>
      <c r="E36" s="228"/>
      <c r="F36" s="564">
        <v>144426500</v>
      </c>
      <c r="G36" s="571"/>
      <c r="H36" s="570"/>
      <c r="I36" s="187">
        <v>79197700</v>
      </c>
      <c r="J36" s="187">
        <v>99880765.25</v>
      </c>
      <c r="K36" s="270"/>
      <c r="L36" s="481"/>
      <c r="M36" s="481"/>
      <c r="N36" s="481"/>
      <c r="O36" s="474"/>
      <c r="P36" s="481"/>
      <c r="Q36" s="559"/>
      <c r="R36" s="559"/>
      <c r="S36" s="558"/>
      <c r="T36" s="474"/>
      <c r="U36" s="474"/>
      <c r="V36" s="474"/>
      <c r="W36" s="557"/>
      <c r="X36" s="180"/>
      <c r="Y36" s="181">
        <v>13</v>
      </c>
      <c r="Z36" s="181" t="s">
        <v>166</v>
      </c>
      <c r="AA36" s="182"/>
      <c r="AB36" s="182"/>
      <c r="AC36" s="182"/>
      <c r="AD36" s="181" t="s">
        <v>167</v>
      </c>
      <c r="AE36" s="182"/>
      <c r="AF36" s="182"/>
      <c r="AG36" s="182"/>
      <c r="AH36" s="183"/>
      <c r="AI36" s="183"/>
      <c r="AJ36" s="183"/>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row>
    <row r="37" spans="1:80" s="184" customFormat="1" ht="22.5" customHeight="1">
      <c r="A37" s="561"/>
      <c r="B37" s="560"/>
      <c r="C37" s="477"/>
      <c r="D37" s="185" t="s">
        <v>168</v>
      </c>
      <c r="E37" s="229"/>
      <c r="F37" s="234"/>
      <c r="G37" s="270"/>
      <c r="H37" s="270"/>
      <c r="I37" s="270"/>
      <c r="J37" s="270"/>
      <c r="K37" s="270"/>
      <c r="L37" s="481"/>
      <c r="M37" s="481"/>
      <c r="N37" s="481"/>
      <c r="O37" s="474"/>
      <c r="P37" s="481"/>
      <c r="Q37" s="559"/>
      <c r="R37" s="559"/>
      <c r="S37" s="558"/>
      <c r="T37" s="474"/>
      <c r="U37" s="474"/>
      <c r="V37" s="474"/>
      <c r="W37" s="557"/>
      <c r="X37" s="180"/>
      <c r="Y37" s="181">
        <v>14</v>
      </c>
      <c r="Z37" s="181" t="s">
        <v>169</v>
      </c>
      <c r="AA37" s="182"/>
      <c r="AB37" s="182"/>
      <c r="AC37" s="182"/>
      <c r="AD37" s="181" t="s">
        <v>170</v>
      </c>
      <c r="AE37" s="182"/>
      <c r="AF37" s="182"/>
      <c r="AG37" s="182"/>
      <c r="AH37" s="183"/>
      <c r="AI37" s="183"/>
      <c r="AJ37" s="183"/>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row>
    <row r="38" spans="1:80" s="184" customFormat="1" ht="22.5" customHeight="1">
      <c r="A38" s="561"/>
      <c r="B38" s="560"/>
      <c r="C38" s="477"/>
      <c r="D38" s="195" t="s">
        <v>171</v>
      </c>
      <c r="E38" s="230"/>
      <c r="F38" s="234"/>
      <c r="G38" s="270"/>
      <c r="H38" s="270"/>
      <c r="I38" s="270"/>
      <c r="J38" s="197"/>
      <c r="K38" s="197"/>
      <c r="L38" s="481"/>
      <c r="M38" s="481"/>
      <c r="N38" s="481"/>
      <c r="O38" s="474"/>
      <c r="P38" s="481"/>
      <c r="Q38" s="559"/>
      <c r="R38" s="559"/>
      <c r="S38" s="569"/>
      <c r="T38" s="474"/>
      <c r="U38" s="474"/>
      <c r="V38" s="474"/>
      <c r="W38" s="557"/>
      <c r="X38" s="180"/>
      <c r="Y38" s="181"/>
      <c r="Z38" s="181"/>
      <c r="AA38" s="182"/>
      <c r="AB38" s="182"/>
      <c r="AC38" s="182"/>
      <c r="AD38" s="181"/>
      <c r="AE38" s="182"/>
      <c r="AF38" s="182"/>
      <c r="AG38" s="182"/>
      <c r="AH38" s="183"/>
      <c r="AI38" s="183"/>
      <c r="AJ38" s="183"/>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row>
    <row r="39" spans="1:80" s="184" customFormat="1" ht="21" customHeight="1">
      <c r="A39" s="561"/>
      <c r="B39" s="560"/>
      <c r="C39" s="477" t="s">
        <v>234</v>
      </c>
      <c r="D39" s="198" t="s">
        <v>157</v>
      </c>
      <c r="E39" s="231"/>
      <c r="F39" s="568">
        <v>12</v>
      </c>
      <c r="G39" s="567"/>
      <c r="H39" s="270"/>
      <c r="I39" s="566">
        <f>4+0</f>
        <v>4</v>
      </c>
      <c r="J39" s="566">
        <v>6</v>
      </c>
      <c r="K39" s="270"/>
      <c r="L39" s="481" t="s">
        <v>181</v>
      </c>
      <c r="M39" s="481" t="s">
        <v>188</v>
      </c>
      <c r="N39" s="481" t="s">
        <v>90</v>
      </c>
      <c r="O39" s="474" t="s">
        <v>160</v>
      </c>
      <c r="P39" s="481" t="s">
        <v>232</v>
      </c>
      <c r="Q39" s="559">
        <f>W39*51%</f>
        <v>114.75</v>
      </c>
      <c r="R39" s="559">
        <f>W39*49%</f>
        <v>110.25</v>
      </c>
      <c r="S39" s="565"/>
      <c r="T39" s="474" t="s">
        <v>162</v>
      </c>
      <c r="U39" s="474" t="s">
        <v>162</v>
      </c>
      <c r="V39" s="474" t="s">
        <v>162</v>
      </c>
      <c r="W39" s="557">
        <v>225</v>
      </c>
      <c r="X39" s="180"/>
      <c r="Y39" s="181">
        <v>12</v>
      </c>
      <c r="Z39" s="181" t="s">
        <v>163</v>
      </c>
      <c r="AA39" s="182"/>
      <c r="AB39" s="182"/>
      <c r="AC39" s="182"/>
      <c r="AD39" s="181" t="s">
        <v>164</v>
      </c>
      <c r="AE39" s="182"/>
      <c r="AF39" s="182"/>
      <c r="AG39" s="182"/>
      <c r="AH39" s="183"/>
      <c r="AI39" s="183"/>
      <c r="AJ39" s="183"/>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row>
    <row r="40" spans="1:80" s="184" customFormat="1" ht="21" customHeight="1">
      <c r="A40" s="561"/>
      <c r="B40" s="560"/>
      <c r="C40" s="477"/>
      <c r="D40" s="185" t="s">
        <v>165</v>
      </c>
      <c r="E40" s="228"/>
      <c r="F40" s="564">
        <v>129100000</v>
      </c>
      <c r="G40" s="571"/>
      <c r="H40" s="570"/>
      <c r="I40" s="187">
        <v>64208200</v>
      </c>
      <c r="J40" s="187">
        <v>99880765.25</v>
      </c>
      <c r="K40" s="270"/>
      <c r="L40" s="481"/>
      <c r="M40" s="481"/>
      <c r="N40" s="481"/>
      <c r="O40" s="474"/>
      <c r="P40" s="481"/>
      <c r="Q40" s="559"/>
      <c r="R40" s="559"/>
      <c r="S40" s="558"/>
      <c r="T40" s="474"/>
      <c r="U40" s="474"/>
      <c r="V40" s="474"/>
      <c r="W40" s="557"/>
      <c r="X40" s="180"/>
      <c r="Y40" s="181">
        <v>13</v>
      </c>
      <c r="Z40" s="181" t="s">
        <v>166</v>
      </c>
      <c r="AA40" s="182"/>
      <c r="AB40" s="182"/>
      <c r="AC40" s="182"/>
      <c r="AD40" s="181" t="s">
        <v>167</v>
      </c>
      <c r="AE40" s="182"/>
      <c r="AF40" s="182"/>
      <c r="AG40" s="182"/>
      <c r="AH40" s="183"/>
      <c r="AI40" s="183"/>
      <c r="AJ40" s="183"/>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row>
    <row r="41" spans="1:80" s="184" customFormat="1" ht="21" customHeight="1">
      <c r="A41" s="561"/>
      <c r="B41" s="560"/>
      <c r="C41" s="477"/>
      <c r="D41" s="185" t="s">
        <v>168</v>
      </c>
      <c r="E41" s="229"/>
      <c r="F41" s="234"/>
      <c r="G41" s="270"/>
      <c r="H41" s="270"/>
      <c r="I41" s="270"/>
      <c r="J41" s="270"/>
      <c r="K41" s="270"/>
      <c r="L41" s="481"/>
      <c r="M41" s="481"/>
      <c r="N41" s="481"/>
      <c r="O41" s="474"/>
      <c r="P41" s="481"/>
      <c r="Q41" s="559"/>
      <c r="R41" s="559"/>
      <c r="S41" s="558"/>
      <c r="T41" s="474"/>
      <c r="U41" s="474"/>
      <c r="V41" s="474"/>
      <c r="W41" s="557"/>
      <c r="X41" s="180"/>
      <c r="Y41" s="181">
        <v>14</v>
      </c>
      <c r="Z41" s="181" t="s">
        <v>169</v>
      </c>
      <c r="AA41" s="182"/>
      <c r="AB41" s="182"/>
      <c r="AC41" s="182"/>
      <c r="AD41" s="181" t="s">
        <v>170</v>
      </c>
      <c r="AE41" s="182"/>
      <c r="AF41" s="182"/>
      <c r="AG41" s="182"/>
      <c r="AH41" s="183"/>
      <c r="AI41" s="183"/>
      <c r="AJ41" s="183"/>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row>
    <row r="42" spans="1:80" s="184" customFormat="1" ht="21" customHeight="1">
      <c r="A42" s="561"/>
      <c r="B42" s="560"/>
      <c r="C42" s="477"/>
      <c r="D42" s="195" t="s">
        <v>171</v>
      </c>
      <c r="E42" s="230"/>
      <c r="F42" s="234"/>
      <c r="G42" s="270"/>
      <c r="H42" s="270"/>
      <c r="I42" s="270"/>
      <c r="J42" s="197"/>
      <c r="K42" s="197"/>
      <c r="L42" s="481"/>
      <c r="M42" s="481"/>
      <c r="N42" s="481"/>
      <c r="O42" s="474"/>
      <c r="P42" s="481"/>
      <c r="Q42" s="559"/>
      <c r="R42" s="559"/>
      <c r="S42" s="569"/>
      <c r="T42" s="474"/>
      <c r="U42" s="474"/>
      <c r="V42" s="474"/>
      <c r="W42" s="557"/>
      <c r="X42" s="180"/>
      <c r="Y42" s="181"/>
      <c r="Z42" s="181"/>
      <c r="AA42" s="182"/>
      <c r="AB42" s="182"/>
      <c r="AC42" s="182"/>
      <c r="AD42" s="181"/>
      <c r="AE42" s="182"/>
      <c r="AF42" s="182"/>
      <c r="AG42" s="182"/>
      <c r="AH42" s="183"/>
      <c r="AI42" s="183"/>
      <c r="AJ42" s="183"/>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row>
    <row r="43" spans="1:80" s="184" customFormat="1" ht="21.75" customHeight="1">
      <c r="A43" s="561"/>
      <c r="B43" s="560"/>
      <c r="C43" s="477" t="s">
        <v>233</v>
      </c>
      <c r="D43" s="198" t="s">
        <v>157</v>
      </c>
      <c r="E43" s="231"/>
      <c r="F43" s="568">
        <v>13</v>
      </c>
      <c r="G43" s="567"/>
      <c r="H43" s="270"/>
      <c r="I43" s="566">
        <f>5+6</f>
        <v>11</v>
      </c>
      <c r="J43" s="566">
        <v>17</v>
      </c>
      <c r="K43" s="270"/>
      <c r="L43" s="481" t="s">
        <v>178</v>
      </c>
      <c r="M43" s="481" t="s">
        <v>188</v>
      </c>
      <c r="N43" s="481" t="s">
        <v>90</v>
      </c>
      <c r="O43" s="474" t="s">
        <v>160</v>
      </c>
      <c r="P43" s="481" t="s">
        <v>232</v>
      </c>
      <c r="Q43" s="559">
        <f>W43*51%</f>
        <v>86.19</v>
      </c>
      <c r="R43" s="559">
        <f>W43*49%</f>
        <v>82.81</v>
      </c>
      <c r="S43" s="565"/>
      <c r="T43" s="474" t="s">
        <v>162</v>
      </c>
      <c r="U43" s="474" t="s">
        <v>162</v>
      </c>
      <c r="V43" s="474" t="s">
        <v>162</v>
      </c>
      <c r="W43" s="557">
        <v>169</v>
      </c>
      <c r="X43" s="180"/>
      <c r="Y43" s="181">
        <v>12</v>
      </c>
      <c r="Z43" s="181" t="s">
        <v>163</v>
      </c>
      <c r="AA43" s="182"/>
      <c r="AB43" s="182"/>
      <c r="AC43" s="182"/>
      <c r="AD43" s="181" t="s">
        <v>164</v>
      </c>
      <c r="AE43" s="182"/>
      <c r="AF43" s="182"/>
      <c r="AG43" s="182"/>
      <c r="AH43" s="183"/>
      <c r="AI43" s="183"/>
      <c r="AJ43" s="183"/>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row>
    <row r="44" spans="1:80" s="184" customFormat="1" ht="21.75" customHeight="1">
      <c r="A44" s="561"/>
      <c r="B44" s="560"/>
      <c r="C44" s="477"/>
      <c r="D44" s="185" t="s">
        <v>165</v>
      </c>
      <c r="E44" s="228"/>
      <c r="F44" s="564">
        <v>129100000</v>
      </c>
      <c r="G44" s="571"/>
      <c r="H44" s="570"/>
      <c r="I44" s="187">
        <v>64208200</v>
      </c>
      <c r="J44" s="187">
        <v>99880765.25</v>
      </c>
      <c r="K44" s="270"/>
      <c r="L44" s="481"/>
      <c r="M44" s="481"/>
      <c r="N44" s="481"/>
      <c r="O44" s="474"/>
      <c r="P44" s="481"/>
      <c r="Q44" s="559"/>
      <c r="R44" s="559"/>
      <c r="S44" s="558"/>
      <c r="T44" s="474"/>
      <c r="U44" s="474"/>
      <c r="V44" s="474"/>
      <c r="W44" s="557"/>
      <c r="X44" s="180"/>
      <c r="Y44" s="181">
        <v>13</v>
      </c>
      <c r="Z44" s="181" t="s">
        <v>166</v>
      </c>
      <c r="AA44" s="182"/>
      <c r="AB44" s="182"/>
      <c r="AC44" s="182"/>
      <c r="AD44" s="181" t="s">
        <v>167</v>
      </c>
      <c r="AE44" s="182"/>
      <c r="AF44" s="182"/>
      <c r="AG44" s="182"/>
      <c r="AH44" s="183"/>
      <c r="AI44" s="183"/>
      <c r="AJ44" s="183"/>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row>
    <row r="45" spans="1:80" s="184" customFormat="1" ht="21.75" customHeight="1">
      <c r="A45" s="561"/>
      <c r="B45" s="560"/>
      <c r="C45" s="477"/>
      <c r="D45" s="185" t="s">
        <v>168</v>
      </c>
      <c r="E45" s="229"/>
      <c r="F45" s="234"/>
      <c r="G45" s="270"/>
      <c r="H45" s="270"/>
      <c r="I45" s="270"/>
      <c r="J45" s="270"/>
      <c r="K45" s="270"/>
      <c r="L45" s="481"/>
      <c r="M45" s="481"/>
      <c r="N45" s="481"/>
      <c r="O45" s="474"/>
      <c r="P45" s="481"/>
      <c r="Q45" s="559"/>
      <c r="R45" s="559"/>
      <c r="S45" s="558"/>
      <c r="T45" s="474"/>
      <c r="U45" s="474"/>
      <c r="V45" s="474"/>
      <c r="W45" s="557"/>
      <c r="X45" s="180"/>
      <c r="Y45" s="181">
        <v>14</v>
      </c>
      <c r="Z45" s="181" t="s">
        <v>169</v>
      </c>
      <c r="AA45" s="182"/>
      <c r="AB45" s="182"/>
      <c r="AC45" s="182"/>
      <c r="AD45" s="181" t="s">
        <v>170</v>
      </c>
      <c r="AE45" s="182"/>
      <c r="AF45" s="182"/>
      <c r="AG45" s="182"/>
      <c r="AH45" s="183"/>
      <c r="AI45" s="183"/>
      <c r="AJ45" s="183"/>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row>
    <row r="46" spans="1:80" s="184" customFormat="1" ht="21.75" customHeight="1">
      <c r="A46" s="561"/>
      <c r="B46" s="560"/>
      <c r="C46" s="477"/>
      <c r="D46" s="195" t="s">
        <v>171</v>
      </c>
      <c r="E46" s="230"/>
      <c r="F46" s="234"/>
      <c r="G46" s="270"/>
      <c r="H46" s="270"/>
      <c r="I46" s="270"/>
      <c r="J46" s="197"/>
      <c r="K46" s="197"/>
      <c r="L46" s="481"/>
      <c r="M46" s="481"/>
      <c r="N46" s="481"/>
      <c r="O46" s="474"/>
      <c r="P46" s="481"/>
      <c r="Q46" s="559"/>
      <c r="R46" s="559"/>
      <c r="S46" s="569"/>
      <c r="T46" s="474"/>
      <c r="U46" s="474"/>
      <c r="V46" s="474"/>
      <c r="W46" s="557"/>
      <c r="X46" s="180"/>
      <c r="Y46" s="181"/>
      <c r="Z46" s="181"/>
      <c r="AA46" s="182"/>
      <c r="AB46" s="182"/>
      <c r="AC46" s="182"/>
      <c r="AD46" s="181"/>
      <c r="AE46" s="182"/>
      <c r="AF46" s="182"/>
      <c r="AG46" s="182"/>
      <c r="AH46" s="183"/>
      <c r="AI46" s="183"/>
      <c r="AJ46" s="183"/>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180"/>
      <c r="CA46" s="180"/>
      <c r="CB46" s="180"/>
    </row>
    <row r="47" spans="1:80" s="184" customFormat="1" ht="23.25" customHeight="1">
      <c r="A47" s="561"/>
      <c r="B47" s="560"/>
      <c r="C47" s="477" t="s">
        <v>231</v>
      </c>
      <c r="D47" s="198" t="s">
        <v>157</v>
      </c>
      <c r="E47" s="231"/>
      <c r="F47" s="568">
        <f>30+45</f>
        <v>75</v>
      </c>
      <c r="G47" s="567"/>
      <c r="H47" s="270"/>
      <c r="I47" s="566">
        <f>5+2</f>
        <v>7</v>
      </c>
      <c r="J47" s="566">
        <v>131</v>
      </c>
      <c r="K47" s="270"/>
      <c r="L47" s="479" t="s">
        <v>158</v>
      </c>
      <c r="M47" s="481" t="s">
        <v>159</v>
      </c>
      <c r="N47" s="481" t="s">
        <v>90</v>
      </c>
      <c r="O47" s="474" t="s">
        <v>160</v>
      </c>
      <c r="P47" s="481" t="s">
        <v>230</v>
      </c>
      <c r="Q47" s="559">
        <f>W47*51%</f>
        <v>1279.08</v>
      </c>
      <c r="R47" s="559">
        <f>W47*49%</f>
        <v>1228.92</v>
      </c>
      <c r="S47" s="565"/>
      <c r="T47" s="474" t="s">
        <v>162</v>
      </c>
      <c r="U47" s="474" t="s">
        <v>162</v>
      </c>
      <c r="V47" s="474" t="s">
        <v>162</v>
      </c>
      <c r="W47" s="557">
        <v>2508</v>
      </c>
      <c r="X47" s="180"/>
      <c r="Y47" s="181">
        <v>12</v>
      </c>
      <c r="Z47" s="181" t="s">
        <v>163</v>
      </c>
      <c r="AA47" s="182"/>
      <c r="AB47" s="182"/>
      <c r="AC47" s="182"/>
      <c r="AD47" s="181" t="s">
        <v>164</v>
      </c>
      <c r="AE47" s="182"/>
      <c r="AF47" s="182"/>
      <c r="AG47" s="182"/>
      <c r="AH47" s="183"/>
      <c r="AI47" s="183"/>
      <c r="AJ47" s="183"/>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c r="CB47" s="180"/>
    </row>
    <row r="48" spans="1:80" s="184" customFormat="1" ht="23.25" customHeight="1">
      <c r="A48" s="561"/>
      <c r="B48" s="560"/>
      <c r="C48" s="477"/>
      <c r="D48" s="185" t="s">
        <v>165</v>
      </c>
      <c r="E48" s="228"/>
      <c r="F48" s="564">
        <v>260483000</v>
      </c>
      <c r="G48" s="571"/>
      <c r="H48" s="570"/>
      <c r="I48" s="187">
        <v>166946200</v>
      </c>
      <c r="J48" s="187">
        <v>166946200</v>
      </c>
      <c r="K48" s="270"/>
      <c r="L48" s="479"/>
      <c r="M48" s="481"/>
      <c r="N48" s="481"/>
      <c r="O48" s="474"/>
      <c r="P48" s="481"/>
      <c r="Q48" s="559"/>
      <c r="R48" s="559"/>
      <c r="S48" s="558"/>
      <c r="T48" s="474"/>
      <c r="U48" s="474"/>
      <c r="V48" s="474"/>
      <c r="W48" s="557"/>
      <c r="X48" s="180"/>
      <c r="Y48" s="181">
        <v>13</v>
      </c>
      <c r="Z48" s="181" t="s">
        <v>166</v>
      </c>
      <c r="AA48" s="182"/>
      <c r="AB48" s="182"/>
      <c r="AC48" s="182"/>
      <c r="AD48" s="181" t="s">
        <v>167</v>
      </c>
      <c r="AE48" s="182"/>
      <c r="AF48" s="182"/>
      <c r="AG48" s="182"/>
      <c r="AH48" s="183"/>
      <c r="AI48" s="183"/>
      <c r="AJ48" s="183"/>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row>
    <row r="49" spans="1:80" s="184" customFormat="1" ht="23.25" customHeight="1">
      <c r="A49" s="561"/>
      <c r="B49" s="560"/>
      <c r="C49" s="477"/>
      <c r="D49" s="185" t="s">
        <v>168</v>
      </c>
      <c r="E49" s="229"/>
      <c r="F49" s="234"/>
      <c r="G49" s="270"/>
      <c r="H49" s="270"/>
      <c r="I49" s="270"/>
      <c r="J49" s="270"/>
      <c r="K49" s="270"/>
      <c r="L49" s="479"/>
      <c r="M49" s="481"/>
      <c r="N49" s="481"/>
      <c r="O49" s="474"/>
      <c r="P49" s="481"/>
      <c r="Q49" s="559"/>
      <c r="R49" s="559"/>
      <c r="S49" s="558"/>
      <c r="T49" s="474"/>
      <c r="U49" s="474"/>
      <c r="V49" s="474"/>
      <c r="W49" s="557"/>
      <c r="X49" s="180"/>
      <c r="Y49" s="181">
        <v>14</v>
      </c>
      <c r="Z49" s="181" t="s">
        <v>169</v>
      </c>
      <c r="AA49" s="182"/>
      <c r="AB49" s="182"/>
      <c r="AC49" s="182"/>
      <c r="AD49" s="181" t="s">
        <v>170</v>
      </c>
      <c r="AE49" s="182"/>
      <c r="AF49" s="182"/>
      <c r="AG49" s="182"/>
      <c r="AH49" s="183"/>
      <c r="AI49" s="183"/>
      <c r="AJ49" s="183"/>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row>
    <row r="50" spans="1:80" s="184" customFormat="1" ht="23.25" customHeight="1">
      <c r="A50" s="561"/>
      <c r="B50" s="560"/>
      <c r="C50" s="477"/>
      <c r="D50" s="195" t="s">
        <v>171</v>
      </c>
      <c r="E50" s="230"/>
      <c r="F50" s="234"/>
      <c r="G50" s="270"/>
      <c r="H50" s="270"/>
      <c r="I50" s="270"/>
      <c r="J50" s="197"/>
      <c r="K50" s="197"/>
      <c r="L50" s="479"/>
      <c r="M50" s="481"/>
      <c r="N50" s="481"/>
      <c r="O50" s="474"/>
      <c r="P50" s="481"/>
      <c r="Q50" s="559"/>
      <c r="R50" s="559"/>
      <c r="S50" s="569"/>
      <c r="T50" s="474"/>
      <c r="U50" s="474"/>
      <c r="V50" s="474"/>
      <c r="W50" s="557"/>
      <c r="X50" s="180"/>
      <c r="Y50" s="181"/>
      <c r="Z50" s="181"/>
      <c r="AA50" s="182"/>
      <c r="AB50" s="182"/>
      <c r="AC50" s="182"/>
      <c r="AD50" s="181"/>
      <c r="AE50" s="182"/>
      <c r="AF50" s="182"/>
      <c r="AG50" s="182"/>
      <c r="AH50" s="183"/>
      <c r="AI50" s="183"/>
      <c r="AJ50" s="183"/>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row>
    <row r="51" spans="1:80" s="184" customFormat="1" ht="12" customHeight="1">
      <c r="A51" s="561"/>
      <c r="B51" s="560"/>
      <c r="C51" s="477" t="s">
        <v>182</v>
      </c>
      <c r="D51" s="198" t="s">
        <v>157</v>
      </c>
      <c r="E51" s="231">
        <v>125</v>
      </c>
      <c r="F51" s="568">
        <f>F47+F43+F39+F35+F31</f>
        <v>125</v>
      </c>
      <c r="G51" s="567"/>
      <c r="H51" s="270"/>
      <c r="I51" s="566">
        <f>I43+I39+I47+I35+I31</f>
        <v>49</v>
      </c>
      <c r="J51" s="566">
        <f>J47+J43+J39+J35+J31</f>
        <v>661</v>
      </c>
      <c r="K51" s="270"/>
      <c r="L51" s="479"/>
      <c r="M51" s="481"/>
      <c r="N51" s="481"/>
      <c r="O51" s="474"/>
      <c r="P51" s="559"/>
      <c r="Q51" s="559"/>
      <c r="R51" s="559"/>
      <c r="S51" s="565"/>
      <c r="T51" s="474"/>
      <c r="U51" s="474"/>
      <c r="V51" s="474"/>
      <c r="W51" s="557"/>
      <c r="X51" s="180"/>
      <c r="Y51" s="181">
        <v>12</v>
      </c>
      <c r="Z51" s="181" t="s">
        <v>163</v>
      </c>
      <c r="AA51" s="182"/>
      <c r="AB51" s="182"/>
      <c r="AC51" s="182"/>
      <c r="AD51" s="181" t="s">
        <v>164</v>
      </c>
      <c r="AE51" s="182"/>
      <c r="AF51" s="182"/>
      <c r="AG51" s="182"/>
      <c r="AH51" s="183"/>
      <c r="AI51" s="183"/>
      <c r="AJ51" s="183"/>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row>
    <row r="52" spans="1:80" s="184" customFormat="1" ht="12" customHeight="1">
      <c r="A52" s="561"/>
      <c r="B52" s="560"/>
      <c r="C52" s="477"/>
      <c r="D52" s="185" t="s">
        <v>165</v>
      </c>
      <c r="E52" s="563">
        <v>807536000</v>
      </c>
      <c r="F52" s="564">
        <f>F48+F44+F40+F36+F32</f>
        <v>807536000</v>
      </c>
      <c r="G52" s="563">
        <f>G48+G44+G40+G36+G32</f>
        <v>0</v>
      </c>
      <c r="H52" s="563">
        <f>H48+H44+H40+H36+H32</f>
        <v>0</v>
      </c>
      <c r="I52" s="562">
        <f>I48+I44+I40+I36+I32</f>
        <v>453758000</v>
      </c>
      <c r="J52" s="562">
        <f>+J48+J44+J40+J36+J32</f>
        <v>566469261</v>
      </c>
      <c r="K52" s="270"/>
      <c r="L52" s="479"/>
      <c r="M52" s="481"/>
      <c r="N52" s="481"/>
      <c r="O52" s="474"/>
      <c r="P52" s="559"/>
      <c r="Q52" s="559"/>
      <c r="R52" s="559"/>
      <c r="S52" s="558"/>
      <c r="T52" s="474"/>
      <c r="U52" s="474"/>
      <c r="V52" s="474"/>
      <c r="W52" s="557"/>
      <c r="X52" s="180"/>
      <c r="Y52" s="181">
        <v>13</v>
      </c>
      <c r="Z52" s="181" t="s">
        <v>166</v>
      </c>
      <c r="AA52" s="182"/>
      <c r="AB52" s="182"/>
      <c r="AC52" s="182"/>
      <c r="AD52" s="181" t="s">
        <v>167</v>
      </c>
      <c r="AE52" s="182"/>
      <c r="AF52" s="182"/>
      <c r="AG52" s="182"/>
      <c r="AH52" s="183"/>
      <c r="AI52" s="183"/>
      <c r="AJ52" s="183"/>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c r="CB52" s="180"/>
    </row>
    <row r="53" spans="1:80" s="184" customFormat="1" ht="12" customHeight="1">
      <c r="A53" s="561"/>
      <c r="B53" s="560"/>
      <c r="C53" s="477"/>
      <c r="D53" s="185" t="s">
        <v>168</v>
      </c>
      <c r="E53" s="229"/>
      <c r="F53" s="234"/>
      <c r="G53" s="270"/>
      <c r="H53" s="270"/>
      <c r="I53" s="270"/>
      <c r="J53" s="270"/>
      <c r="K53" s="270"/>
      <c r="L53" s="479"/>
      <c r="M53" s="481"/>
      <c r="N53" s="481"/>
      <c r="O53" s="474"/>
      <c r="P53" s="559"/>
      <c r="Q53" s="559"/>
      <c r="R53" s="559"/>
      <c r="S53" s="558"/>
      <c r="T53" s="474"/>
      <c r="U53" s="474"/>
      <c r="V53" s="474"/>
      <c r="W53" s="557"/>
      <c r="X53" s="180"/>
      <c r="Y53" s="181">
        <v>14</v>
      </c>
      <c r="Z53" s="181" t="s">
        <v>169</v>
      </c>
      <c r="AA53" s="182"/>
      <c r="AB53" s="182"/>
      <c r="AC53" s="182"/>
      <c r="AD53" s="181" t="s">
        <v>170</v>
      </c>
      <c r="AE53" s="182"/>
      <c r="AF53" s="182"/>
      <c r="AG53" s="182"/>
      <c r="AH53" s="183"/>
      <c r="AI53" s="183"/>
      <c r="AJ53" s="183"/>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row>
    <row r="54" spans="1:80" s="184" customFormat="1" ht="12" customHeight="1" thickBot="1">
      <c r="A54" s="556"/>
      <c r="B54" s="555"/>
      <c r="C54" s="478"/>
      <c r="D54" s="235" t="s">
        <v>171</v>
      </c>
      <c r="E54" s="554"/>
      <c r="F54" s="237"/>
      <c r="G54" s="273"/>
      <c r="H54" s="273"/>
      <c r="I54" s="273"/>
      <c r="J54" s="239"/>
      <c r="K54" s="239"/>
      <c r="L54" s="480"/>
      <c r="M54" s="482"/>
      <c r="N54" s="482"/>
      <c r="O54" s="475"/>
      <c r="P54" s="553"/>
      <c r="Q54" s="553"/>
      <c r="R54" s="553"/>
      <c r="S54" s="552"/>
      <c r="T54" s="475"/>
      <c r="U54" s="475"/>
      <c r="V54" s="475"/>
      <c r="W54" s="551"/>
      <c r="X54" s="180"/>
      <c r="Y54" s="181"/>
      <c r="Z54" s="181"/>
      <c r="AA54" s="182"/>
      <c r="AB54" s="182"/>
      <c r="AC54" s="182"/>
      <c r="AD54" s="181"/>
      <c r="AE54" s="182"/>
      <c r="AF54" s="182"/>
      <c r="AG54" s="182"/>
      <c r="AH54" s="183"/>
      <c r="AI54" s="183"/>
      <c r="AJ54" s="183"/>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row>
    <row r="55" spans="1:80" s="253" customFormat="1" ht="12" customHeight="1">
      <c r="A55" s="484" t="s">
        <v>191</v>
      </c>
      <c r="B55" s="485"/>
      <c r="C55" s="486"/>
      <c r="D55" s="240" t="s">
        <v>192</v>
      </c>
      <c r="E55" s="550">
        <f>E52+E28</f>
        <v>1535378000</v>
      </c>
      <c r="F55" s="550">
        <f>F52+F28</f>
        <v>1535378000</v>
      </c>
      <c r="G55" s="550">
        <f>G52+G28</f>
        <v>727842000</v>
      </c>
      <c r="H55" s="550" t="e">
        <f>H52+H28</f>
        <v>#REF!</v>
      </c>
      <c r="I55" s="548">
        <f>I52+I28</f>
        <v>608874000</v>
      </c>
      <c r="J55" s="548">
        <f>+J28+J52</f>
        <v>1052507261</v>
      </c>
      <c r="K55" s="243"/>
      <c r="L55" s="244"/>
      <c r="M55" s="244"/>
      <c r="N55" s="244"/>
      <c r="O55" s="244"/>
      <c r="P55" s="244"/>
      <c r="Q55" s="246"/>
      <c r="R55" s="246"/>
      <c r="S55" s="246"/>
      <c r="T55" s="245"/>
      <c r="U55" s="245"/>
      <c r="V55" s="247"/>
      <c r="W55" s="248"/>
      <c r="X55" s="249"/>
      <c r="Y55" s="250"/>
      <c r="Z55" s="250"/>
      <c r="AA55" s="250"/>
      <c r="AB55" s="250"/>
      <c r="AC55" s="250"/>
      <c r="AD55" s="250"/>
      <c r="AE55" s="250"/>
      <c r="AF55" s="250"/>
      <c r="AG55" s="250"/>
      <c r="AH55" s="251"/>
      <c r="AI55" s="251"/>
      <c r="AJ55" s="251"/>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52"/>
      <c r="BV55" s="252"/>
      <c r="BW55" s="252"/>
      <c r="BX55" s="252"/>
      <c r="BY55" s="252"/>
      <c r="BZ55" s="252"/>
      <c r="CA55" s="252"/>
      <c r="CB55" s="252"/>
    </row>
    <row r="56" spans="1:80" s="253" customFormat="1" ht="12" customHeight="1" thickBot="1">
      <c r="A56" s="487"/>
      <c r="B56" s="488"/>
      <c r="C56" s="489"/>
      <c r="D56" s="254" t="s">
        <v>193</v>
      </c>
      <c r="E56" s="549">
        <f>SUM(E55)</f>
        <v>1535378000</v>
      </c>
      <c r="F56" s="549">
        <f>SUM(F55)</f>
        <v>1535378000</v>
      </c>
      <c r="G56" s="549">
        <f>SUM(G55)</f>
        <v>727842000</v>
      </c>
      <c r="H56" s="549" t="e">
        <f>SUM(H55)</f>
        <v>#REF!</v>
      </c>
      <c r="I56" s="548">
        <f>SUM(I55)</f>
        <v>608874000</v>
      </c>
      <c r="J56" s="548">
        <f>SUM(J55)</f>
        <v>1052507261</v>
      </c>
      <c r="K56" s="243">
        <f>SUM(K55)</f>
        <v>0</v>
      </c>
      <c r="L56" s="257"/>
      <c r="M56" s="257"/>
      <c r="N56" s="257"/>
      <c r="O56" s="257"/>
      <c r="P56" s="257"/>
      <c r="Q56" s="258"/>
      <c r="R56" s="258"/>
      <c r="S56" s="547"/>
      <c r="T56" s="490"/>
      <c r="U56" s="491"/>
      <c r="V56" s="491"/>
      <c r="W56" s="492"/>
      <c r="X56" s="249"/>
      <c r="Y56" s="250"/>
      <c r="Z56" s="250"/>
      <c r="AA56" s="250"/>
      <c r="AB56" s="250"/>
      <c r="AC56" s="250"/>
      <c r="AD56" s="250"/>
      <c r="AE56" s="250"/>
      <c r="AF56" s="250"/>
      <c r="AG56" s="250"/>
      <c r="AH56" s="251"/>
      <c r="AI56" s="251"/>
      <c r="AJ56" s="251"/>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52"/>
      <c r="BV56" s="252"/>
      <c r="BW56" s="252"/>
      <c r="BX56" s="252"/>
      <c r="BY56" s="252"/>
      <c r="BZ56" s="252"/>
      <c r="CA56" s="252"/>
      <c r="CB56" s="252"/>
    </row>
    <row r="57" spans="1:80" ht="12" customHeight="1">
      <c r="E57" s="259"/>
      <c r="F57" s="260"/>
      <c r="G57" s="261"/>
      <c r="H57" s="261"/>
      <c r="I57" s="261"/>
      <c r="J57" s="261"/>
      <c r="K57" s="261"/>
      <c r="U57" s="468"/>
      <c r="V57" s="468"/>
      <c r="W57" s="468"/>
    </row>
    <row r="58" spans="1:80" ht="12" customHeight="1">
      <c r="E58" s="259"/>
      <c r="F58" s="260"/>
      <c r="G58" s="261"/>
      <c r="H58" s="261"/>
      <c r="I58" s="261"/>
      <c r="J58" s="261"/>
      <c r="K58" s="261"/>
      <c r="T58" s="469" t="s">
        <v>203</v>
      </c>
      <c r="U58" s="469"/>
      <c r="V58" s="469"/>
      <c r="W58" s="469"/>
    </row>
    <row r="59" spans="1:80" s="162" customFormat="1" ht="12" customHeight="1">
      <c r="A59" s="165"/>
      <c r="B59" s="165"/>
      <c r="C59" s="165"/>
      <c r="D59" s="165"/>
      <c r="E59" s="259"/>
      <c r="F59" s="260"/>
      <c r="G59" s="261"/>
      <c r="H59" s="261"/>
      <c r="I59" s="261"/>
      <c r="J59" s="261"/>
      <c r="K59" s="261"/>
      <c r="L59" s="165"/>
      <c r="M59" s="165"/>
      <c r="N59" s="165"/>
      <c r="O59" s="165"/>
      <c r="P59" s="165"/>
      <c r="Q59" s="262"/>
      <c r="R59" s="262"/>
      <c r="S59" s="262"/>
      <c r="T59" s="165"/>
      <c r="U59" s="263"/>
      <c r="V59" s="263"/>
      <c r="W59" s="263"/>
      <c r="Y59" s="163"/>
      <c r="Z59" s="163"/>
      <c r="AA59" s="163"/>
      <c r="AB59" s="163"/>
      <c r="AC59" s="163"/>
      <c r="AD59" s="163"/>
      <c r="AE59" s="163"/>
      <c r="AF59" s="163"/>
      <c r="AG59" s="163"/>
      <c r="AH59" s="164"/>
      <c r="AI59" s="164"/>
      <c r="AJ59" s="164"/>
    </row>
    <row r="60" spans="1:80" s="162" customFormat="1" ht="12" customHeight="1">
      <c r="A60" s="165"/>
      <c r="B60" s="165"/>
      <c r="C60" s="165"/>
      <c r="D60" s="165"/>
      <c r="E60" s="259"/>
      <c r="F60" s="260"/>
      <c r="G60" s="261"/>
      <c r="H60" s="261"/>
      <c r="I60" s="261"/>
      <c r="J60" s="261"/>
      <c r="K60" s="261"/>
      <c r="L60" s="165"/>
      <c r="M60" s="165"/>
      <c r="N60" s="165"/>
      <c r="O60" s="165"/>
      <c r="P60" s="165"/>
      <c r="Q60" s="262"/>
      <c r="R60" s="262"/>
      <c r="S60" s="262"/>
      <c r="T60" s="165"/>
      <c r="U60" s="263"/>
      <c r="V60" s="263"/>
      <c r="W60" s="263"/>
      <c r="Y60" s="163"/>
      <c r="Z60" s="163"/>
      <c r="AA60" s="163"/>
      <c r="AB60" s="163"/>
      <c r="AC60" s="163"/>
      <c r="AD60" s="163"/>
      <c r="AE60" s="163"/>
      <c r="AF60" s="163"/>
      <c r="AG60" s="163"/>
      <c r="AH60" s="164"/>
      <c r="AI60" s="164"/>
      <c r="AJ60" s="164"/>
    </row>
    <row r="61" spans="1:80" s="162" customFormat="1" ht="12" customHeight="1">
      <c r="A61" s="165"/>
      <c r="B61" s="165"/>
      <c r="C61" s="165"/>
      <c r="D61" s="540"/>
      <c r="E61" s="546"/>
      <c r="F61" s="545"/>
      <c r="G61" s="544"/>
      <c r="H61" s="544"/>
      <c r="I61" s="544"/>
      <c r="J61" s="544"/>
      <c r="K61" s="544"/>
      <c r="L61" s="540"/>
      <c r="M61" s="165"/>
      <c r="N61" s="165"/>
      <c r="O61" s="165"/>
      <c r="P61" s="165"/>
      <c r="Q61" s="262"/>
      <c r="R61" s="262"/>
      <c r="S61" s="262"/>
      <c r="T61" s="165"/>
      <c r="U61" s="263"/>
      <c r="V61" s="263"/>
      <c r="W61" s="263"/>
      <c r="Y61" s="163"/>
      <c r="Z61" s="163"/>
      <c r="AA61" s="163"/>
      <c r="AB61" s="163"/>
      <c r="AC61" s="163"/>
      <c r="AD61" s="163"/>
      <c r="AE61" s="163"/>
      <c r="AF61" s="163"/>
      <c r="AG61" s="163"/>
      <c r="AH61" s="164"/>
      <c r="AI61" s="164"/>
      <c r="AJ61" s="164"/>
    </row>
    <row r="62" spans="1:80" s="162" customFormat="1" ht="12" customHeight="1">
      <c r="A62" s="165"/>
      <c r="B62" s="165"/>
      <c r="C62" s="165"/>
      <c r="D62" s="540"/>
      <c r="E62" s="546"/>
      <c r="F62" s="545"/>
      <c r="G62" s="544"/>
      <c r="H62" s="544"/>
      <c r="I62" s="544"/>
      <c r="J62" s="544"/>
      <c r="K62" s="544"/>
      <c r="L62" s="540"/>
      <c r="M62" s="165"/>
      <c r="N62" s="165"/>
      <c r="O62" s="165"/>
      <c r="P62" s="165"/>
      <c r="Q62" s="262"/>
      <c r="R62" s="262"/>
      <c r="S62" s="262"/>
      <c r="T62" s="165"/>
      <c r="U62" s="263"/>
      <c r="V62" s="263"/>
      <c r="W62" s="263"/>
      <c r="Y62" s="163"/>
      <c r="Z62" s="163"/>
      <c r="AA62" s="163"/>
      <c r="AB62" s="163"/>
      <c r="AC62" s="163"/>
      <c r="AD62" s="163"/>
      <c r="AE62" s="163"/>
      <c r="AF62" s="163"/>
      <c r="AG62" s="163"/>
      <c r="AH62" s="164"/>
      <c r="AI62" s="164"/>
      <c r="AJ62" s="164"/>
    </row>
    <row r="63" spans="1:80" ht="12" customHeight="1">
      <c r="D63" s="540"/>
      <c r="E63" s="542"/>
      <c r="F63" s="541"/>
      <c r="G63" s="540"/>
      <c r="H63" s="540"/>
      <c r="I63" s="540"/>
      <c r="J63" s="540"/>
      <c r="K63" s="540"/>
      <c r="L63" s="540"/>
    </row>
    <row r="64" spans="1:80" ht="12" customHeight="1">
      <c r="D64" s="540"/>
      <c r="E64" s="542"/>
      <c r="F64" s="541"/>
      <c r="G64" s="540"/>
      <c r="H64" s="540"/>
      <c r="I64" s="540"/>
      <c r="J64" s="540"/>
      <c r="K64" s="543"/>
      <c r="L64" s="540"/>
    </row>
    <row r="65" spans="4:12" ht="12" customHeight="1">
      <c r="D65" s="540"/>
      <c r="E65" s="542"/>
      <c r="F65" s="541"/>
      <c r="G65" s="540"/>
      <c r="H65" s="540"/>
      <c r="I65" s="540"/>
      <c r="J65" s="540"/>
      <c r="K65" s="543"/>
      <c r="L65" s="540"/>
    </row>
    <row r="66" spans="4:12" ht="12" customHeight="1">
      <c r="D66" s="540"/>
      <c r="E66" s="542"/>
      <c r="F66" s="541"/>
      <c r="G66" s="540"/>
      <c r="H66" s="540"/>
      <c r="I66" s="540"/>
      <c r="J66" s="540"/>
      <c r="K66" s="543"/>
      <c r="L66" s="540"/>
    </row>
    <row r="67" spans="4:12" ht="12" customHeight="1">
      <c r="D67" s="540"/>
      <c r="E67" s="542"/>
      <c r="F67" s="541"/>
      <c r="G67" s="540"/>
      <c r="H67" s="540"/>
      <c r="I67" s="540"/>
      <c r="J67" s="540"/>
      <c r="K67" s="543"/>
      <c r="L67" s="540"/>
    </row>
    <row r="68" spans="4:12" ht="12" customHeight="1">
      <c r="D68" s="540"/>
      <c r="E68" s="542"/>
      <c r="F68" s="540">
        <f>K67/4</f>
        <v>0</v>
      </c>
      <c r="G68" s="540"/>
      <c r="H68" s="540"/>
      <c r="I68" s="540"/>
      <c r="J68" s="540"/>
      <c r="K68" s="540"/>
      <c r="L68" s="540"/>
    </row>
    <row r="69" spans="4:12" ht="12" customHeight="1">
      <c r="D69" s="540"/>
      <c r="E69" s="542"/>
      <c r="F69" s="541"/>
      <c r="G69" s="540"/>
      <c r="H69" s="540"/>
      <c r="I69" s="540"/>
      <c r="J69" s="540"/>
      <c r="K69" s="540"/>
      <c r="L69" s="540"/>
    </row>
    <row r="70" spans="4:12" ht="12" customHeight="1">
      <c r="D70" s="540"/>
      <c r="E70" s="542"/>
      <c r="F70" s="543">
        <f>SUM(F64:F69)</f>
        <v>0</v>
      </c>
      <c r="G70" s="540"/>
      <c r="H70" s="540"/>
      <c r="I70" s="540"/>
      <c r="J70" s="540"/>
      <c r="K70" s="540"/>
      <c r="L70" s="540"/>
    </row>
    <row r="71" spans="4:12" ht="12" customHeight="1">
      <c r="D71" s="540"/>
      <c r="E71" s="542"/>
      <c r="F71" s="541"/>
      <c r="G71" s="540"/>
      <c r="H71" s="540"/>
      <c r="I71" s="540"/>
      <c r="J71" s="540"/>
      <c r="K71" s="540"/>
      <c r="L71" s="540"/>
    </row>
    <row r="72" spans="4:12" ht="12" customHeight="1">
      <c r="D72" s="540"/>
      <c r="E72" s="542"/>
      <c r="F72" s="541"/>
      <c r="G72" s="540"/>
      <c r="H72" s="540"/>
      <c r="I72" s="540"/>
      <c r="J72" s="540"/>
      <c r="K72" s="540"/>
      <c r="L72" s="540"/>
    </row>
    <row r="73" spans="4:12" ht="12" customHeight="1">
      <c r="D73" s="540"/>
      <c r="E73" s="542"/>
      <c r="F73" s="541"/>
      <c r="G73" s="540"/>
      <c r="H73" s="540"/>
      <c r="I73" s="540"/>
      <c r="J73" s="540"/>
      <c r="K73" s="540"/>
      <c r="L73" s="540"/>
    </row>
    <row r="74" spans="4:12" ht="12" customHeight="1">
      <c r="D74" s="540"/>
      <c r="E74" s="542"/>
      <c r="F74" s="541"/>
      <c r="G74" s="540"/>
      <c r="H74" s="540"/>
      <c r="I74" s="540"/>
      <c r="J74" s="540"/>
      <c r="K74" s="540"/>
      <c r="L74" s="540"/>
    </row>
    <row r="75" spans="4:12" ht="12" customHeight="1">
      <c r="D75" s="540"/>
      <c r="E75" s="542"/>
      <c r="F75" s="541"/>
      <c r="G75" s="540"/>
      <c r="H75" s="540"/>
      <c r="I75" s="540"/>
      <c r="J75" s="540"/>
      <c r="K75" s="540"/>
      <c r="L75" s="540"/>
    </row>
    <row r="76" spans="4:12" ht="12" customHeight="1">
      <c r="D76" s="540"/>
      <c r="E76" s="542"/>
      <c r="F76" s="541"/>
      <c r="G76" s="540"/>
      <c r="H76" s="540"/>
      <c r="I76" s="540"/>
      <c r="J76" s="540"/>
      <c r="K76" s="540"/>
      <c r="L76" s="540"/>
    </row>
    <row r="77" spans="4:12" ht="12" customHeight="1">
      <c r="D77" s="540"/>
      <c r="E77" s="542"/>
      <c r="F77" s="541"/>
      <c r="G77" s="540"/>
      <c r="H77" s="540"/>
      <c r="I77" s="540"/>
      <c r="J77" s="540"/>
      <c r="K77" s="540"/>
      <c r="L77" s="540"/>
    </row>
    <row r="78" spans="4:12" ht="12" customHeight="1">
      <c r="D78" s="540"/>
      <c r="E78" s="542"/>
      <c r="F78" s="541"/>
      <c r="G78" s="540"/>
      <c r="H78" s="540"/>
      <c r="I78" s="540"/>
      <c r="J78" s="540"/>
      <c r="K78" s="540"/>
      <c r="L78" s="540"/>
    </row>
    <row r="79" spans="4:12" ht="12" customHeight="1">
      <c r="D79" s="540"/>
      <c r="E79" s="542"/>
      <c r="F79" s="541"/>
      <c r="G79" s="540"/>
      <c r="H79" s="540"/>
      <c r="I79" s="540"/>
      <c r="J79" s="540"/>
      <c r="K79" s="540"/>
      <c r="L79" s="540"/>
    </row>
  </sheetData>
  <mergeCells count="166">
    <mergeCell ref="C23:C26"/>
    <mergeCell ref="C27:C30"/>
    <mergeCell ref="C51:C54"/>
    <mergeCell ref="L51:L54"/>
    <mergeCell ref="M51:M54"/>
    <mergeCell ref="N51:N54"/>
    <mergeCell ref="S35:S38"/>
    <mergeCell ref="S31:S34"/>
    <mergeCell ref="S23:S26"/>
    <mergeCell ref="S19:S22"/>
    <mergeCell ref="O19:O22"/>
    <mergeCell ref="P19:P22"/>
    <mergeCell ref="Q19:Q22"/>
    <mergeCell ref="R19:R22"/>
    <mergeCell ref="V19:V22"/>
    <mergeCell ref="W19:W22"/>
    <mergeCell ref="N19:N22"/>
    <mergeCell ref="M19:M22"/>
    <mergeCell ref="L19:L22"/>
    <mergeCell ref="C19:C22"/>
    <mergeCell ref="C39:C42"/>
    <mergeCell ref="L39:L42"/>
    <mergeCell ref="M39:M42"/>
    <mergeCell ref="N39:N42"/>
    <mergeCell ref="O39:O42"/>
    <mergeCell ref="C47:C50"/>
    <mergeCell ref="L47:L50"/>
    <mergeCell ref="M47:M50"/>
    <mergeCell ref="V51:V54"/>
    <mergeCell ref="W51:W54"/>
    <mergeCell ref="U31:U34"/>
    <mergeCell ref="R35:R38"/>
    <mergeCell ref="O51:O54"/>
    <mergeCell ref="N31:N34"/>
    <mergeCell ref="O31:O34"/>
    <mergeCell ref="S51:S54"/>
    <mergeCell ref="S47:S50"/>
    <mergeCell ref="S43:S46"/>
    <mergeCell ref="T58:W58"/>
    <mergeCell ref="W31:W34"/>
    <mergeCell ref="C31:C34"/>
    <mergeCell ref="L31:L34"/>
    <mergeCell ref="M31:M34"/>
    <mergeCell ref="V35:V38"/>
    <mergeCell ref="W35:W38"/>
    <mergeCell ref="C35:C38"/>
    <mergeCell ref="L35:L38"/>
    <mergeCell ref="P51:P54"/>
    <mergeCell ref="L23:L26"/>
    <mergeCell ref="M23:M26"/>
    <mergeCell ref="N23:N26"/>
    <mergeCell ref="A55:C56"/>
    <mergeCell ref="T56:W56"/>
    <mergeCell ref="U57:W57"/>
    <mergeCell ref="Q51:Q54"/>
    <mergeCell ref="R51:R54"/>
    <mergeCell ref="T51:T54"/>
    <mergeCell ref="U51:U54"/>
    <mergeCell ref="Q23:Q26"/>
    <mergeCell ref="R23:R26"/>
    <mergeCell ref="T23:T26"/>
    <mergeCell ref="U23:U26"/>
    <mergeCell ref="S15:S18"/>
    <mergeCell ref="S11:S14"/>
    <mergeCell ref="U35:U38"/>
    <mergeCell ref="V31:V34"/>
    <mergeCell ref="U7:U10"/>
    <mergeCell ref="Q31:Q34"/>
    <mergeCell ref="R31:R34"/>
    <mergeCell ref="T31:T34"/>
    <mergeCell ref="Q7:Q10"/>
    <mergeCell ref="R7:R10"/>
    <mergeCell ref="T7:T10"/>
    <mergeCell ref="T11:T14"/>
    <mergeCell ref="W11:W14"/>
    <mergeCell ref="C15:C18"/>
    <mergeCell ref="L15:L18"/>
    <mergeCell ref="M15:M18"/>
    <mergeCell ref="N15:N18"/>
    <mergeCell ref="O15:O18"/>
    <mergeCell ref="P15:P18"/>
    <mergeCell ref="Q15:Q18"/>
    <mergeCell ref="U11:U14"/>
    <mergeCell ref="Q5:W5"/>
    <mergeCell ref="C7:C10"/>
    <mergeCell ref="L7:L10"/>
    <mergeCell ref="M7:M10"/>
    <mergeCell ref="N7:N10"/>
    <mergeCell ref="V7:V10"/>
    <mergeCell ref="W7:W10"/>
    <mergeCell ref="O7:O10"/>
    <mergeCell ref="P7:P10"/>
    <mergeCell ref="S7:S10"/>
    <mergeCell ref="E5:E6"/>
    <mergeCell ref="T19:T22"/>
    <mergeCell ref="U19:U22"/>
    <mergeCell ref="B7:B30"/>
    <mergeCell ref="A7:A30"/>
    <mergeCell ref="L11:L14"/>
    <mergeCell ref="M11:M14"/>
    <mergeCell ref="A5:A6"/>
    <mergeCell ref="B5:B6"/>
    <mergeCell ref="C5:C6"/>
    <mergeCell ref="C11:C14"/>
    <mergeCell ref="A1:D4"/>
    <mergeCell ref="E1:W1"/>
    <mergeCell ref="E2:W2"/>
    <mergeCell ref="F3:W3"/>
    <mergeCell ref="F4:W4"/>
    <mergeCell ref="F5:H5"/>
    <mergeCell ref="I5:K5"/>
    <mergeCell ref="L5:P5"/>
    <mergeCell ref="D5:D6"/>
    <mergeCell ref="U15:U18"/>
    <mergeCell ref="N11:N14"/>
    <mergeCell ref="O11:O14"/>
    <mergeCell ref="P11:P14"/>
    <mergeCell ref="Q11:Q14"/>
    <mergeCell ref="R11:R14"/>
    <mergeCell ref="L43:L46"/>
    <mergeCell ref="M43:M46"/>
    <mergeCell ref="N43:N46"/>
    <mergeCell ref="O43:O46"/>
    <mergeCell ref="R15:R18"/>
    <mergeCell ref="T15:T18"/>
    <mergeCell ref="T35:T38"/>
    <mergeCell ref="P31:P34"/>
    <mergeCell ref="O23:O26"/>
    <mergeCell ref="P23:P26"/>
    <mergeCell ref="A31:A54"/>
    <mergeCell ref="P39:P42"/>
    <mergeCell ref="Q39:Q42"/>
    <mergeCell ref="R39:R42"/>
    <mergeCell ref="T39:T42"/>
    <mergeCell ref="U39:U42"/>
    <mergeCell ref="M35:M38"/>
    <mergeCell ref="N35:N38"/>
    <mergeCell ref="O35:O38"/>
    <mergeCell ref="P35:P38"/>
    <mergeCell ref="V11:V14"/>
    <mergeCell ref="V15:V18"/>
    <mergeCell ref="W15:W18"/>
    <mergeCell ref="V23:V26"/>
    <mergeCell ref="W23:W26"/>
    <mergeCell ref="B31:B54"/>
    <mergeCell ref="Q35:Q38"/>
    <mergeCell ref="T47:T50"/>
    <mergeCell ref="U47:U50"/>
    <mergeCell ref="C43:C46"/>
    <mergeCell ref="V47:V50"/>
    <mergeCell ref="W47:W50"/>
    <mergeCell ref="N47:N50"/>
    <mergeCell ref="O47:O50"/>
    <mergeCell ref="P47:P50"/>
    <mergeCell ref="Q47:Q50"/>
    <mergeCell ref="R47:R50"/>
    <mergeCell ref="V39:V42"/>
    <mergeCell ref="W39:W42"/>
    <mergeCell ref="U43:U46"/>
    <mergeCell ref="V43:V46"/>
    <mergeCell ref="W43:W46"/>
    <mergeCell ref="P43:P46"/>
    <mergeCell ref="Q43:Q46"/>
    <mergeCell ref="R43:R46"/>
    <mergeCell ref="T43:T46"/>
    <mergeCell ref="S39:S42"/>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INVERSION</vt:lpstr>
      <vt:lpstr>ACTIVIDADES</vt:lpstr>
      <vt:lpstr>TERRITORIALIZACION</vt:lpstr>
      <vt:lpstr>TERRITORIALIZACION </vt:lpstr>
      <vt:lpstr>ACTIVIDADES!Área_de_impresión</vt:lpstr>
      <vt:lpstr>GESTIÓN!Área_de_impresión</vt:lpstr>
      <vt:lpstr>INVERSION!Área_de_impresión</vt:lpstr>
      <vt:lpstr>'TERRITORIALIZACION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Laura Nathalia Cardenas Jimenez</cp:lastModifiedBy>
  <cp:lastPrinted>2014-02-14T15:16:27Z</cp:lastPrinted>
  <dcterms:created xsi:type="dcterms:W3CDTF">2010-03-25T16:40:43Z</dcterms:created>
  <dcterms:modified xsi:type="dcterms:W3CDTF">2017-12-21T22:29:03Z</dcterms:modified>
</cp:coreProperties>
</file>